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showInkAnnotation="0"/>
  <mc:AlternateContent xmlns:mc="http://schemas.openxmlformats.org/markup-compatibility/2006">
    <mc:Choice Requires="x15">
      <x15ac:absPath xmlns:x15ac="http://schemas.microsoft.com/office/spreadsheetml/2010/11/ac" url="Z:\Processos 2025\CONCORRÊNCIA PÚBLICA\C.P. 005 - P. 088 - Construção da Quadra Poliesportiva - CMEI - Pedro Lessa\Documentos\"/>
    </mc:Choice>
  </mc:AlternateContent>
  <xr:revisionPtr revIDLastSave="0" documentId="8_{B7134416-DF88-445F-868E-25A76C4A97B0}" xr6:coauthVersionLast="47" xr6:coauthVersionMax="47" xr10:uidLastSave="{00000000-0000-0000-0000-000000000000}"/>
  <bookViews>
    <workbookView xWindow="-120" yWindow="-120" windowWidth="20730" windowHeight="11160" tabRatio="618" activeTab="1" xr2:uid="{00000000-000D-0000-FFFF-FFFF00000000}"/>
  </bookViews>
  <sheets>
    <sheet name="ADITIVO" sheetId="5" r:id="rId1"/>
    <sheet name="MEMÓRIA DE CÁLCULO" sheetId="1" r:id="rId2"/>
    <sheet name="CFF" sheetId="2" r:id="rId3"/>
    <sheet name="CFF - CORRIGIDO" sheetId="7" r:id="rId4"/>
    <sheet name="RESUMO" sheetId="6" r:id="rId5"/>
  </sheets>
  <definedNames>
    <definedName name="__Anonymous_Sheet_DB__1">'MEMÓRIA DE CÁLCULO'!$F$1:$F$64230</definedName>
    <definedName name="__Anonymous_Sheet_DB__1_1">'MEMÓRIA DE CÁLCULO'!#REF!</definedName>
    <definedName name="__Anonymous_Sheet_DB__2">'MEMÓRIA DE CÁLCULO'!$B$1:$I$64230</definedName>
    <definedName name="_xlnm.Print_Area" localSheetId="0">ADITIVO!$A$1:$X$451</definedName>
    <definedName name="Excel_BuiltIn__FilterDatabase" localSheetId="1">'MEMÓRIA DE CÁLCULO'!$F$1:$F$64230</definedName>
    <definedName name="Excel_BuiltIn__FilterDatabase_1">'MEMÓRIA DE CÁLCULO'!$F$1:$F$64230</definedName>
    <definedName name="Excel_BuiltIn_Print_Area" localSheetId="1">'MEMÓRIA DE CÁLCULO'!$A$1:$I$454</definedName>
    <definedName name="Print_Area" localSheetId="2">CFF!$A$1:$AA$27</definedName>
    <definedName name="Print_Area" localSheetId="3">'CFF - CORRIGIDO'!$A$1:$Y$28</definedName>
    <definedName name="Print_Area" localSheetId="1">'MEMÓRIA DE CÁLCULO'!$A$1:$I$459</definedName>
    <definedName name="Print_Titles" localSheetId="1">'MEMÓRIA DE CÁLCULO'!$1:$5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6" i="7" l="1"/>
  <c r="C24" i="7"/>
  <c r="C23" i="7"/>
  <c r="C22" i="7"/>
  <c r="C21" i="7"/>
  <c r="C20" i="7"/>
  <c r="C19" i="7"/>
  <c r="C18" i="7"/>
  <c r="C17" i="7"/>
  <c r="C16" i="7"/>
  <c r="C15" i="7"/>
  <c r="C14" i="7"/>
  <c r="C13" i="7"/>
  <c r="C12" i="7"/>
  <c r="C11" i="7"/>
  <c r="C10" i="7"/>
  <c r="C9" i="7"/>
  <c r="C8" i="7"/>
  <c r="B23" i="7"/>
  <c r="B22" i="7"/>
  <c r="B21" i="7"/>
  <c r="B20" i="7"/>
  <c r="B19" i="7"/>
  <c r="B18" i="7"/>
  <c r="B17" i="7"/>
  <c r="B16" i="7"/>
  <c r="B15" i="7"/>
  <c r="B14" i="7"/>
  <c r="B13" i="7"/>
  <c r="B12" i="7"/>
  <c r="B11" i="7"/>
  <c r="B10" i="7"/>
  <c r="B9" i="7"/>
  <c r="B8" i="7"/>
  <c r="C21" i="6"/>
  <c r="C20" i="6"/>
  <c r="C19" i="6"/>
  <c r="B19" i="6"/>
  <c r="C18" i="6"/>
  <c r="C17" i="6"/>
  <c r="C16" i="6"/>
  <c r="C15" i="6"/>
  <c r="C14" i="6"/>
  <c r="C13" i="6"/>
  <c r="C12" i="6"/>
  <c r="C11" i="6"/>
  <c r="C9" i="6"/>
  <c r="C8" i="6"/>
  <c r="C7" i="6"/>
  <c r="C6" i="6"/>
  <c r="C5" i="6"/>
  <c r="C4" i="6"/>
  <c r="C3" i="6"/>
  <c r="P447" i="5"/>
  <c r="M447" i="5"/>
  <c r="J447" i="5"/>
  <c r="G447" i="5"/>
  <c r="C447" i="5"/>
  <c r="P446" i="5"/>
  <c r="M446" i="5"/>
  <c r="J446" i="5"/>
  <c r="G446" i="5"/>
  <c r="C446" i="5"/>
  <c r="S442" i="5"/>
  <c r="O442" i="5"/>
  <c r="O444" i="5" s="1"/>
  <c r="L442" i="5"/>
  <c r="U442" i="5" s="1"/>
  <c r="G442" i="5"/>
  <c r="I442" i="5" s="1"/>
  <c r="I444" i="5" s="1"/>
  <c r="D442" i="5"/>
  <c r="F442" i="5" s="1"/>
  <c r="F444" i="5" s="1"/>
  <c r="S439" i="5"/>
  <c r="O439" i="5"/>
  <c r="L439" i="5"/>
  <c r="U439" i="5" s="1"/>
  <c r="I439" i="5"/>
  <c r="F439" i="5"/>
  <c r="S437" i="5"/>
  <c r="O437" i="5"/>
  <c r="L437" i="5"/>
  <c r="U437" i="5" s="1"/>
  <c r="I437" i="5"/>
  <c r="F437" i="5"/>
  <c r="S435" i="5"/>
  <c r="O435" i="5"/>
  <c r="L435" i="5"/>
  <c r="U435" i="5" s="1"/>
  <c r="I435" i="5"/>
  <c r="F435" i="5"/>
  <c r="S433" i="5"/>
  <c r="O433" i="5"/>
  <c r="L433" i="5"/>
  <c r="U433" i="5" s="1"/>
  <c r="I433" i="5"/>
  <c r="F433" i="5"/>
  <c r="S431" i="5"/>
  <c r="O431" i="5"/>
  <c r="L431" i="5"/>
  <c r="U431" i="5" s="1"/>
  <c r="I431" i="5"/>
  <c r="F431" i="5"/>
  <c r="S429" i="5"/>
  <c r="O429" i="5"/>
  <c r="L429" i="5"/>
  <c r="U429" i="5" s="1"/>
  <c r="I429" i="5"/>
  <c r="F429" i="5"/>
  <c r="S424" i="5"/>
  <c r="R424" i="5"/>
  <c r="R440" i="5" s="1"/>
  <c r="O424" i="5"/>
  <c r="L424" i="5"/>
  <c r="I424" i="5"/>
  <c r="F424" i="5"/>
  <c r="S417" i="5"/>
  <c r="O417" i="5"/>
  <c r="L417" i="5"/>
  <c r="U417" i="5" s="1"/>
  <c r="I417" i="5"/>
  <c r="F417" i="5"/>
  <c r="S414" i="5"/>
  <c r="O414" i="5"/>
  <c r="L414" i="5"/>
  <c r="U414" i="5" s="1"/>
  <c r="G414" i="5"/>
  <c r="I414" i="5" s="1"/>
  <c r="D414" i="5"/>
  <c r="F414" i="5" s="1"/>
  <c r="S408" i="5"/>
  <c r="O408" i="5"/>
  <c r="L408" i="5"/>
  <c r="U408" i="5" s="1"/>
  <c r="G408" i="5"/>
  <c r="I408" i="5" s="1"/>
  <c r="D408" i="5"/>
  <c r="F408" i="5" s="1"/>
  <c r="S405" i="5"/>
  <c r="O405" i="5"/>
  <c r="L405" i="5"/>
  <c r="U405" i="5" s="1"/>
  <c r="G405" i="5"/>
  <c r="I405" i="5" s="1"/>
  <c r="D405" i="5"/>
  <c r="F405" i="5" s="1"/>
  <c r="S402" i="5"/>
  <c r="O402" i="5"/>
  <c r="L402" i="5"/>
  <c r="U402" i="5" s="1"/>
  <c r="G402" i="5"/>
  <c r="I402" i="5" s="1"/>
  <c r="D402" i="5"/>
  <c r="F402" i="5" s="1"/>
  <c r="S400" i="5"/>
  <c r="O400" i="5"/>
  <c r="L400" i="5"/>
  <c r="U400" i="5" s="1"/>
  <c r="G400" i="5"/>
  <c r="I400" i="5" s="1"/>
  <c r="D400" i="5"/>
  <c r="F400" i="5" s="1"/>
  <c r="S397" i="5"/>
  <c r="O397" i="5"/>
  <c r="L397" i="5"/>
  <c r="U397" i="5" s="1"/>
  <c r="G397" i="5"/>
  <c r="I397" i="5" s="1"/>
  <c r="D397" i="5"/>
  <c r="F397" i="5" s="1"/>
  <c r="S393" i="5"/>
  <c r="O393" i="5"/>
  <c r="L393" i="5"/>
  <c r="U393" i="5" s="1"/>
  <c r="G393" i="5"/>
  <c r="I393" i="5" s="1"/>
  <c r="D393" i="5"/>
  <c r="F393" i="5" s="1"/>
  <c r="S390" i="5"/>
  <c r="O390" i="5"/>
  <c r="L390" i="5"/>
  <c r="U390" i="5" s="1"/>
  <c r="I390" i="5"/>
  <c r="F390" i="5"/>
  <c r="S386" i="5"/>
  <c r="O386" i="5"/>
  <c r="L386" i="5"/>
  <c r="U386" i="5"/>
  <c r="G386" i="5"/>
  <c r="I386" i="5" s="1"/>
  <c r="D386" i="5"/>
  <c r="F386" i="5" s="1"/>
  <c r="S383" i="5"/>
  <c r="O383" i="5"/>
  <c r="L383" i="5"/>
  <c r="U383" i="5" s="1"/>
  <c r="G383" i="5"/>
  <c r="I383" i="5" s="1"/>
  <c r="D383" i="5"/>
  <c r="F383" i="5" s="1"/>
  <c r="S381" i="5"/>
  <c r="O381" i="5"/>
  <c r="L381" i="5"/>
  <c r="U381" i="5" s="1"/>
  <c r="I381" i="5"/>
  <c r="F381" i="5"/>
  <c r="S375" i="5"/>
  <c r="O375" i="5"/>
  <c r="L375" i="5"/>
  <c r="U375" i="5" s="1"/>
  <c r="I375" i="5"/>
  <c r="F375" i="5"/>
  <c r="S372" i="5"/>
  <c r="O372" i="5"/>
  <c r="L372" i="5"/>
  <c r="U372" i="5" s="1"/>
  <c r="G372" i="5"/>
  <c r="I372" i="5" s="1"/>
  <c r="D372" i="5"/>
  <c r="F372" i="5" s="1"/>
  <c r="S363" i="5"/>
  <c r="O363" i="5"/>
  <c r="O368" i="5" s="1"/>
  <c r="L363" i="5"/>
  <c r="U363" i="5" s="1"/>
  <c r="G363" i="5"/>
  <c r="I363" i="5" s="1"/>
  <c r="I368" i="5" s="1"/>
  <c r="D363" i="5"/>
  <c r="F363" i="5" s="1"/>
  <c r="F368" i="5" s="1"/>
  <c r="S355" i="5"/>
  <c r="O355" i="5"/>
  <c r="L355" i="5"/>
  <c r="U355" i="5" s="1"/>
  <c r="S351" i="5"/>
  <c r="O351" i="5"/>
  <c r="L351" i="5"/>
  <c r="G351" i="5"/>
  <c r="I351" i="5" s="1"/>
  <c r="D351" i="5"/>
  <c r="F351" i="5" s="1"/>
  <c r="S344" i="5"/>
  <c r="O344" i="5"/>
  <c r="L344" i="5"/>
  <c r="U344" i="5" s="1"/>
  <c r="G344" i="5"/>
  <c r="I344" i="5" s="1"/>
  <c r="D344" i="5"/>
  <c r="F344" i="5" s="1"/>
  <c r="S340" i="5"/>
  <c r="O340" i="5"/>
  <c r="L340" i="5"/>
  <c r="U340" i="5" s="1"/>
  <c r="G340" i="5"/>
  <c r="I340" i="5" s="1"/>
  <c r="D340" i="5"/>
  <c r="F340" i="5" s="1"/>
  <c r="S336" i="5"/>
  <c r="O336" i="5"/>
  <c r="L336" i="5"/>
  <c r="U336" i="5" s="1"/>
  <c r="G336" i="5"/>
  <c r="I336" i="5" s="1"/>
  <c r="D336" i="5"/>
  <c r="F336" i="5" s="1"/>
  <c r="S332" i="5"/>
  <c r="O332" i="5"/>
  <c r="L332" i="5"/>
  <c r="G332" i="5"/>
  <c r="I332" i="5" s="1"/>
  <c r="D332" i="5"/>
  <c r="F332" i="5" s="1"/>
  <c r="S325" i="5"/>
  <c r="O325" i="5"/>
  <c r="L325" i="5"/>
  <c r="U325" i="5" s="1"/>
  <c r="L321" i="5"/>
  <c r="U321" i="5" s="1"/>
  <c r="G321" i="5"/>
  <c r="D321" i="5"/>
  <c r="F321" i="5" s="1"/>
  <c r="L317" i="5"/>
  <c r="U317" i="5" s="1"/>
  <c r="S314" i="5"/>
  <c r="O314" i="5"/>
  <c r="L314" i="5"/>
  <c r="U314" i="5" s="1"/>
  <c r="G314" i="5"/>
  <c r="I314" i="5" s="1"/>
  <c r="D314" i="5"/>
  <c r="F314" i="5" s="1"/>
  <c r="S309" i="5"/>
  <c r="O309" i="5"/>
  <c r="L309" i="5"/>
  <c r="U309" i="5" s="1"/>
  <c r="G309" i="5"/>
  <c r="I309" i="5" s="1"/>
  <c r="D309" i="5"/>
  <c r="F309" i="5" s="1"/>
  <c r="S305" i="5"/>
  <c r="O305" i="5"/>
  <c r="L305" i="5"/>
  <c r="U305" i="5" s="1"/>
  <c r="G305" i="5"/>
  <c r="I305" i="5" s="1"/>
  <c r="D305" i="5"/>
  <c r="F305" i="5" s="1"/>
  <c r="S301" i="5"/>
  <c r="O301" i="5"/>
  <c r="L301" i="5"/>
  <c r="U301" i="5" s="1"/>
  <c r="I301" i="5"/>
  <c r="F301" i="5"/>
  <c r="S298" i="5"/>
  <c r="O298" i="5"/>
  <c r="L298" i="5"/>
  <c r="U298" i="5" s="1"/>
  <c r="I298" i="5"/>
  <c r="F298" i="5"/>
  <c r="S290" i="5"/>
  <c r="O290" i="5"/>
  <c r="L290" i="5"/>
  <c r="U290" i="5" s="1"/>
  <c r="G290" i="5"/>
  <c r="I290" i="5" s="1"/>
  <c r="D290" i="5"/>
  <c r="F290" i="5" s="1"/>
  <c r="S286" i="5"/>
  <c r="O286" i="5"/>
  <c r="L286" i="5"/>
  <c r="G286" i="5"/>
  <c r="I286" i="5"/>
  <c r="D286" i="5"/>
  <c r="F286" i="5" s="1"/>
  <c r="S281" i="5"/>
  <c r="O281" i="5"/>
  <c r="L281" i="5"/>
  <c r="U281" i="5" s="1"/>
  <c r="I281" i="5"/>
  <c r="F281" i="5"/>
  <c r="S273" i="5"/>
  <c r="O273" i="5"/>
  <c r="L273" i="5"/>
  <c r="U273" i="5" s="1"/>
  <c r="I273" i="5"/>
  <c r="F273" i="5"/>
  <c r="S269" i="5"/>
  <c r="O269" i="5"/>
  <c r="L269" i="5"/>
  <c r="U269" i="5" s="1"/>
  <c r="I269" i="5"/>
  <c r="F269" i="5"/>
  <c r="S265" i="5"/>
  <c r="O265" i="5"/>
  <c r="L265" i="5"/>
  <c r="U265" i="5" s="1"/>
  <c r="I265" i="5"/>
  <c r="F265" i="5"/>
  <c r="S260" i="5"/>
  <c r="O260" i="5"/>
  <c r="L260" i="5"/>
  <c r="U260" i="5" s="1"/>
  <c r="G260" i="5"/>
  <c r="I260" i="5" s="1"/>
  <c r="D260" i="5"/>
  <c r="F260" i="5" s="1"/>
  <c r="S253" i="5"/>
  <c r="O253" i="5"/>
  <c r="L253" i="5"/>
  <c r="U253" i="5" s="1"/>
  <c r="I253" i="5"/>
  <c r="F253" i="5"/>
  <c r="S251" i="5"/>
  <c r="O251" i="5"/>
  <c r="L251" i="5"/>
  <c r="U251" i="5" s="1"/>
  <c r="G251" i="5"/>
  <c r="I251" i="5" s="1"/>
  <c r="D251" i="5"/>
  <c r="F251" i="5" s="1"/>
  <c r="S244" i="5"/>
  <c r="O244" i="5"/>
  <c r="L244" i="5"/>
  <c r="U244" i="5" s="1"/>
  <c r="I244" i="5"/>
  <c r="F244" i="5"/>
  <c r="S241" i="5"/>
  <c r="O241" i="5"/>
  <c r="L241" i="5"/>
  <c r="U241" i="5" s="1"/>
  <c r="G241" i="5"/>
  <c r="I241" i="5" s="1"/>
  <c r="D241" i="5"/>
  <c r="F241" i="5" s="1"/>
  <c r="S234" i="5"/>
  <c r="O234" i="5"/>
  <c r="L234" i="5"/>
  <c r="U234" i="5" s="1"/>
  <c r="G234" i="5"/>
  <c r="I234" i="5" s="1"/>
  <c r="D234" i="5"/>
  <c r="F234" i="5" s="1"/>
  <c r="S232" i="5"/>
  <c r="O232" i="5"/>
  <c r="L232" i="5"/>
  <c r="U232" i="5" s="1"/>
  <c r="G232" i="5"/>
  <c r="I232" i="5" s="1"/>
  <c r="D232" i="5"/>
  <c r="F232" i="5" s="1"/>
  <c r="S224" i="5"/>
  <c r="O224" i="5"/>
  <c r="L224" i="5"/>
  <c r="U224" i="5" s="1"/>
  <c r="I224" i="5"/>
  <c r="F224" i="5"/>
  <c r="S220" i="5"/>
  <c r="O220" i="5"/>
  <c r="L220" i="5"/>
  <c r="U220" i="5" s="1"/>
  <c r="I220" i="5"/>
  <c r="F220" i="5"/>
  <c r="S217" i="5"/>
  <c r="O217" i="5"/>
  <c r="L217" i="5"/>
  <c r="U217" i="5" s="1"/>
  <c r="I217" i="5"/>
  <c r="F217" i="5"/>
  <c r="S210" i="5"/>
  <c r="O210" i="5"/>
  <c r="L210" i="5"/>
  <c r="U210" i="5" s="1"/>
  <c r="I210" i="5"/>
  <c r="F210" i="5"/>
  <c r="S206" i="5"/>
  <c r="O206" i="5"/>
  <c r="L206" i="5"/>
  <c r="U206" i="5"/>
  <c r="I206" i="5"/>
  <c r="F206" i="5"/>
  <c r="S202" i="5"/>
  <c r="O202" i="5"/>
  <c r="O283" i="5" s="1"/>
  <c r="L202" i="5"/>
  <c r="U202" i="5" s="1"/>
  <c r="I202" i="5"/>
  <c r="F202" i="5"/>
  <c r="S192" i="5"/>
  <c r="O192" i="5"/>
  <c r="L192" i="5"/>
  <c r="U192" i="5" s="1"/>
  <c r="I192" i="5"/>
  <c r="F192" i="5"/>
  <c r="S187" i="5"/>
  <c r="O187" i="5"/>
  <c r="L187" i="5"/>
  <c r="U187" i="5"/>
  <c r="I187" i="5"/>
  <c r="F187" i="5"/>
  <c r="S185" i="5"/>
  <c r="O185" i="5"/>
  <c r="L185" i="5"/>
  <c r="U185" i="5" s="1"/>
  <c r="I185" i="5"/>
  <c r="F185" i="5"/>
  <c r="S182" i="5"/>
  <c r="O182" i="5"/>
  <c r="L182" i="5"/>
  <c r="U182" i="5" s="1"/>
  <c r="I182" i="5"/>
  <c r="F182" i="5"/>
  <c r="S175" i="5"/>
  <c r="O175" i="5"/>
  <c r="L175" i="5"/>
  <c r="U175" i="5" s="1"/>
  <c r="I175" i="5"/>
  <c r="F175" i="5"/>
  <c r="S169" i="5"/>
  <c r="O169" i="5"/>
  <c r="L169" i="5"/>
  <c r="U169" i="5" s="1"/>
  <c r="I169" i="5"/>
  <c r="F169" i="5"/>
  <c r="S166" i="5"/>
  <c r="O166" i="5"/>
  <c r="L166" i="5"/>
  <c r="U166" i="5" s="1"/>
  <c r="I166" i="5"/>
  <c r="F166" i="5"/>
  <c r="S162" i="5"/>
  <c r="O162" i="5"/>
  <c r="L162" i="5"/>
  <c r="U162" i="5" s="1"/>
  <c r="I162" i="5"/>
  <c r="F162" i="5"/>
  <c r="S159" i="5"/>
  <c r="O159" i="5"/>
  <c r="L159" i="5"/>
  <c r="U159" i="5" s="1"/>
  <c r="I159" i="5"/>
  <c r="F159" i="5"/>
  <c r="S156" i="5"/>
  <c r="O156" i="5"/>
  <c r="L156" i="5"/>
  <c r="U156" i="5" s="1"/>
  <c r="I156" i="5"/>
  <c r="F156" i="5"/>
  <c r="S154" i="5"/>
  <c r="O154" i="5"/>
  <c r="L154" i="5"/>
  <c r="U154" i="5" s="1"/>
  <c r="I154" i="5"/>
  <c r="F154" i="5"/>
  <c r="S151" i="5"/>
  <c r="O151" i="5"/>
  <c r="L151" i="5"/>
  <c r="U151" i="5" s="1"/>
  <c r="I151" i="5"/>
  <c r="F151" i="5"/>
  <c r="S145" i="5"/>
  <c r="O145" i="5"/>
  <c r="L145" i="5"/>
  <c r="U145" i="5" s="1"/>
  <c r="I145" i="5"/>
  <c r="F145" i="5"/>
  <c r="S142" i="5"/>
  <c r="O142" i="5"/>
  <c r="L142" i="5"/>
  <c r="U142" i="5" s="1"/>
  <c r="I142" i="5"/>
  <c r="F142" i="5"/>
  <c r="S134" i="5"/>
  <c r="O134" i="5"/>
  <c r="L134" i="5"/>
  <c r="U134" i="5" s="1"/>
  <c r="I134" i="5"/>
  <c r="F134" i="5"/>
  <c r="S129" i="5"/>
  <c r="O129" i="5"/>
  <c r="L129" i="5"/>
  <c r="U129" i="5" s="1"/>
  <c r="I129" i="5"/>
  <c r="F129" i="5"/>
  <c r="S126" i="5"/>
  <c r="O126" i="5"/>
  <c r="L126" i="5"/>
  <c r="U126" i="5" s="1"/>
  <c r="I126" i="5"/>
  <c r="F126" i="5"/>
  <c r="S116" i="5"/>
  <c r="O116" i="5"/>
  <c r="L116" i="5"/>
  <c r="U116" i="5" s="1"/>
  <c r="I116" i="5"/>
  <c r="F116" i="5"/>
  <c r="S111" i="5"/>
  <c r="O111" i="5"/>
  <c r="L111" i="5"/>
  <c r="U111" i="5" s="1"/>
  <c r="I111" i="5"/>
  <c r="F111" i="5"/>
  <c r="S108" i="5"/>
  <c r="O108" i="5"/>
  <c r="L108" i="5"/>
  <c r="U108" i="5" s="1"/>
  <c r="I108" i="5"/>
  <c r="F108" i="5"/>
  <c r="S103" i="5"/>
  <c r="O103" i="5"/>
  <c r="L103" i="5"/>
  <c r="U103" i="5" s="1"/>
  <c r="I103" i="5"/>
  <c r="F103" i="5"/>
  <c r="S99" i="5"/>
  <c r="O99" i="5"/>
  <c r="L99" i="5"/>
  <c r="U99" i="5" s="1"/>
  <c r="I99" i="5"/>
  <c r="F99" i="5"/>
  <c r="S94" i="5"/>
  <c r="O94" i="5"/>
  <c r="L94" i="5"/>
  <c r="U94" i="5" s="1"/>
  <c r="I94" i="5"/>
  <c r="F94" i="5"/>
  <c r="S88" i="5"/>
  <c r="O88" i="5"/>
  <c r="L88" i="5"/>
  <c r="U88" i="5" s="1"/>
  <c r="G88" i="5"/>
  <c r="I88" i="5" s="1"/>
  <c r="I96" i="5" s="1"/>
  <c r="D88" i="5"/>
  <c r="F88" i="5" s="1"/>
  <c r="L78" i="5"/>
  <c r="G78" i="5"/>
  <c r="M78" i="5" s="1"/>
  <c r="P78" i="5" s="1"/>
  <c r="S78" i="5" s="1"/>
  <c r="D78" i="5"/>
  <c r="F78" i="5" s="1"/>
  <c r="F81" i="5" s="1"/>
  <c r="S71" i="5"/>
  <c r="M71" i="5"/>
  <c r="O71" i="5" s="1"/>
  <c r="L71" i="5"/>
  <c r="U71" i="5" s="1"/>
  <c r="G71" i="5"/>
  <c r="I71" i="5" s="1"/>
  <c r="D71" i="5"/>
  <c r="F71" i="5" s="1"/>
  <c r="L67" i="5"/>
  <c r="G67" i="5"/>
  <c r="M67" i="5" s="1"/>
  <c r="O67" i="5" s="1"/>
  <c r="O74" i="5" s="1"/>
  <c r="D67" i="5"/>
  <c r="F67" i="5" s="1"/>
  <c r="S62" i="5"/>
  <c r="O62" i="5"/>
  <c r="L62" i="5"/>
  <c r="U62" i="5" s="1"/>
  <c r="I62" i="5"/>
  <c r="F62" i="5"/>
  <c r="S59" i="5"/>
  <c r="O59" i="5"/>
  <c r="L59" i="5"/>
  <c r="U59" i="5" s="1"/>
  <c r="I59" i="5"/>
  <c r="F59" i="5"/>
  <c r="S54" i="5"/>
  <c r="M54" i="5"/>
  <c r="O54" i="5" s="1"/>
  <c r="L54" i="5"/>
  <c r="U54" i="5" s="1"/>
  <c r="G54" i="5"/>
  <c r="I54" i="5" s="1"/>
  <c r="D54" i="5"/>
  <c r="F54" i="5" s="1"/>
  <c r="O51" i="5"/>
  <c r="J51" i="5"/>
  <c r="S51" i="5" s="1"/>
  <c r="G51" i="5"/>
  <c r="I51" i="5" s="1"/>
  <c r="D51" i="5"/>
  <c r="F51" i="5"/>
  <c r="O48" i="5"/>
  <c r="J48" i="5"/>
  <c r="G48" i="5"/>
  <c r="I48" i="5" s="1"/>
  <c r="D48" i="5"/>
  <c r="F48" i="5" s="1"/>
  <c r="S45" i="5"/>
  <c r="O45" i="5"/>
  <c r="L45" i="5"/>
  <c r="G45" i="5"/>
  <c r="I45" i="5" s="1"/>
  <c r="D45" i="5"/>
  <c r="F45" i="5" s="1"/>
  <c r="S42" i="5"/>
  <c r="O42" i="5"/>
  <c r="L42" i="5"/>
  <c r="U42" i="5" s="1"/>
  <c r="G42" i="5"/>
  <c r="I42" i="5"/>
  <c r="D42" i="5"/>
  <c r="F42" i="5" s="1"/>
  <c r="O37" i="5"/>
  <c r="J37" i="5"/>
  <c r="S37" i="5" s="1"/>
  <c r="G37" i="5"/>
  <c r="I37" i="5" s="1"/>
  <c r="D37" i="5"/>
  <c r="F37" i="5" s="1"/>
  <c r="O33" i="5"/>
  <c r="J33" i="5"/>
  <c r="S33" i="5" s="1"/>
  <c r="G33" i="5"/>
  <c r="I33" i="5" s="1"/>
  <c r="D33" i="5"/>
  <c r="F33" i="5" s="1"/>
  <c r="O29" i="5"/>
  <c r="J29" i="5"/>
  <c r="L29" i="5" s="1"/>
  <c r="U29" i="5" s="1"/>
  <c r="G29" i="5"/>
  <c r="I29" i="5"/>
  <c r="D29" i="5"/>
  <c r="F29" i="5" s="1"/>
  <c r="O26" i="5"/>
  <c r="J26" i="5"/>
  <c r="L26" i="5" s="1"/>
  <c r="U26" i="5" s="1"/>
  <c r="G26" i="5"/>
  <c r="I26" i="5" s="1"/>
  <c r="D26" i="5"/>
  <c r="F26" i="5" s="1"/>
  <c r="O23" i="5"/>
  <c r="J23" i="5"/>
  <c r="S23" i="5" s="1"/>
  <c r="G23" i="5"/>
  <c r="I23" i="5" s="1"/>
  <c r="D23" i="5"/>
  <c r="F23" i="5" s="1"/>
  <c r="O18" i="5"/>
  <c r="J18" i="5"/>
  <c r="L18" i="5" s="1"/>
  <c r="U18" i="5" s="1"/>
  <c r="G18" i="5"/>
  <c r="I18" i="5" s="1"/>
  <c r="D18" i="5"/>
  <c r="F18" i="5" s="1"/>
  <c r="O14" i="5"/>
  <c r="J14" i="5"/>
  <c r="L14" i="5" s="1"/>
  <c r="U14" i="5" s="1"/>
  <c r="G14" i="5"/>
  <c r="I14" i="5" s="1"/>
  <c r="D14" i="5"/>
  <c r="F14" i="5" s="1"/>
  <c r="S11" i="5"/>
  <c r="O11" i="5"/>
  <c r="L11" i="5"/>
  <c r="U11" i="5"/>
  <c r="I11" i="5"/>
  <c r="F11" i="5"/>
  <c r="O7" i="5"/>
  <c r="J7" i="5"/>
  <c r="L7" i="5" s="1"/>
  <c r="G7" i="5"/>
  <c r="I7" i="5" s="1"/>
  <c r="D7" i="5"/>
  <c r="F7" i="5" s="1"/>
  <c r="F7" i="1"/>
  <c r="F11" i="1"/>
  <c r="F14" i="1"/>
  <c r="F18" i="1"/>
  <c r="F23" i="1"/>
  <c r="F26" i="1"/>
  <c r="F33" i="1"/>
  <c r="F42" i="1"/>
  <c r="F45" i="1"/>
  <c r="F51" i="1"/>
  <c r="D54" i="1"/>
  <c r="F54" i="1"/>
  <c r="F59" i="1"/>
  <c r="F62" i="1"/>
  <c r="F67" i="1"/>
  <c r="D71" i="1"/>
  <c r="F71" i="1" s="1"/>
  <c r="F74" i="1" s="1"/>
  <c r="F78" i="1"/>
  <c r="F81" i="1" s="1"/>
  <c r="D88" i="1"/>
  <c r="F94" i="1"/>
  <c r="F99" i="1"/>
  <c r="F103" i="1"/>
  <c r="F108" i="1"/>
  <c r="F111" i="1"/>
  <c r="F116" i="1"/>
  <c r="F126" i="1"/>
  <c r="F129" i="1"/>
  <c r="F134" i="1"/>
  <c r="F142" i="1"/>
  <c r="F145" i="1"/>
  <c r="F151" i="1"/>
  <c r="F154" i="1"/>
  <c r="F156" i="1"/>
  <c r="F159" i="1"/>
  <c r="F162" i="1"/>
  <c r="F166" i="1"/>
  <c r="F169" i="1"/>
  <c r="F175" i="1"/>
  <c r="F182" i="1"/>
  <c r="F185" i="1"/>
  <c r="F187" i="1"/>
  <c r="F192" i="1"/>
  <c r="F202" i="1"/>
  <c r="F206" i="1"/>
  <c r="F210" i="1"/>
  <c r="F217" i="1"/>
  <c r="F220" i="1"/>
  <c r="F224" i="1"/>
  <c r="D232" i="1"/>
  <c r="F232" i="1" s="1"/>
  <c r="D234" i="1"/>
  <c r="F234" i="1" s="1"/>
  <c r="D241" i="1"/>
  <c r="F241" i="1" s="1"/>
  <c r="F244" i="1"/>
  <c r="D251" i="1"/>
  <c r="F251" i="1"/>
  <c r="F253" i="1"/>
  <c r="D260" i="1"/>
  <c r="F260" i="1" s="1"/>
  <c r="F265" i="1"/>
  <c r="F269" i="1"/>
  <c r="F273" i="1"/>
  <c r="F281" i="1"/>
  <c r="D286" i="1"/>
  <c r="F286" i="1"/>
  <c r="D290" i="1"/>
  <c r="F290" i="1" s="1"/>
  <c r="F298" i="1"/>
  <c r="F301" i="1"/>
  <c r="D305" i="1"/>
  <c r="F305" i="1" s="1"/>
  <c r="D309" i="1"/>
  <c r="F309" i="1" s="1"/>
  <c r="D314" i="1"/>
  <c r="F314" i="1" s="1"/>
  <c r="D317" i="1"/>
  <c r="F317" i="1" s="1"/>
  <c r="F321" i="1"/>
  <c r="D325" i="1"/>
  <c r="D332" i="1"/>
  <c r="F332" i="1"/>
  <c r="D336" i="1"/>
  <c r="F336" i="1" s="1"/>
  <c r="D340" i="1"/>
  <c r="D344" i="1"/>
  <c r="F344" i="1" s="1"/>
  <c r="D351" i="1"/>
  <c r="D363" i="1"/>
  <c r="F363" i="1"/>
  <c r="F368" i="1" s="1"/>
  <c r="D372" i="1"/>
  <c r="F375" i="1"/>
  <c r="F381" i="1"/>
  <c r="D383" i="1"/>
  <c r="F383" i="1"/>
  <c r="D386" i="1"/>
  <c r="F386" i="1"/>
  <c r="F390" i="1"/>
  <c r="D393" i="1"/>
  <c r="D397" i="1"/>
  <c r="F397" i="1"/>
  <c r="D400" i="1"/>
  <c r="D402" i="1"/>
  <c r="F402" i="1" s="1"/>
  <c r="D408" i="1"/>
  <c r="F408" i="1" s="1"/>
  <c r="D414" i="1"/>
  <c r="F414" i="1" s="1"/>
  <c r="F418" i="1"/>
  <c r="F420" i="1" s="1"/>
  <c r="F425" i="1"/>
  <c r="F431" i="1"/>
  <c r="F433" i="1"/>
  <c r="F435" i="1"/>
  <c r="F438" i="1"/>
  <c r="F440" i="1"/>
  <c r="F443" i="1"/>
  <c r="D447" i="1"/>
  <c r="F447" i="1" s="1"/>
  <c r="F449" i="1" s="1"/>
  <c r="C451" i="1"/>
  <c r="C452" i="1"/>
  <c r="B7" i="2"/>
  <c r="B3" i="6" s="1"/>
  <c r="B8" i="2"/>
  <c r="B4" i="6" s="1"/>
  <c r="B9" i="2"/>
  <c r="B10" i="2"/>
  <c r="B6" i="6" s="1"/>
  <c r="B11" i="2"/>
  <c r="B7" i="6" s="1"/>
  <c r="B12" i="2"/>
  <c r="B8" i="6" s="1"/>
  <c r="B13" i="2"/>
  <c r="B9" i="6" s="1"/>
  <c r="B14" i="2"/>
  <c r="B10" i="6" s="1"/>
  <c r="B15" i="2"/>
  <c r="B16" i="2"/>
  <c r="B12" i="6" s="1"/>
  <c r="B17" i="2"/>
  <c r="B13" i="6" s="1"/>
  <c r="B18" i="2"/>
  <c r="B14" i="6" s="1"/>
  <c r="B19" i="2"/>
  <c r="B20" i="2"/>
  <c r="B16" i="6" s="1"/>
  <c r="B21" i="2"/>
  <c r="B22" i="2"/>
  <c r="B18" i="6" s="1"/>
  <c r="F372" i="1"/>
  <c r="F340" i="1"/>
  <c r="F405" i="1"/>
  <c r="F400" i="1"/>
  <c r="F393" i="1"/>
  <c r="F325" i="1"/>
  <c r="F88" i="1"/>
  <c r="F96" i="1" s="1"/>
  <c r="F48" i="1"/>
  <c r="F37" i="1"/>
  <c r="F29" i="1"/>
  <c r="F40" i="1" s="1"/>
  <c r="U351" i="5"/>
  <c r="U286" i="5"/>
  <c r="L33" i="5"/>
  <c r="U33" i="5" s="1"/>
  <c r="D325" i="5"/>
  <c r="F325" i="5"/>
  <c r="G355" i="5"/>
  <c r="I355" i="5" s="1"/>
  <c r="B5" i="6"/>
  <c r="F21" i="1"/>
  <c r="F445" i="1" l="1"/>
  <c r="F347" i="1"/>
  <c r="F293" i="1"/>
  <c r="F64" i="1"/>
  <c r="O293" i="5"/>
  <c r="I419" i="5"/>
  <c r="L419" i="5"/>
  <c r="D23" i="2" s="1"/>
  <c r="S29" i="5"/>
  <c r="F74" i="5"/>
  <c r="I293" i="5"/>
  <c r="G317" i="5"/>
  <c r="I317" i="5" s="1"/>
  <c r="L368" i="5"/>
  <c r="D21" i="2" s="1"/>
  <c r="E17" i="6" s="1"/>
  <c r="F347" i="5"/>
  <c r="O172" i="5"/>
  <c r="F419" i="5"/>
  <c r="F96" i="5"/>
  <c r="G325" i="5"/>
  <c r="I325" i="5" s="1"/>
  <c r="R446" i="5"/>
  <c r="C25" i="7"/>
  <c r="D25" i="7" s="1"/>
  <c r="R445" i="5"/>
  <c r="R447" i="5" s="1"/>
  <c r="S14" i="5"/>
  <c r="F21" i="5"/>
  <c r="O96" i="5"/>
  <c r="F293" i="5"/>
  <c r="L74" i="5"/>
  <c r="F6" i="6" s="1"/>
  <c r="G11" i="7" s="1"/>
  <c r="O347" i="5"/>
  <c r="P67" i="5"/>
  <c r="S67" i="5" s="1"/>
  <c r="O64" i="5"/>
  <c r="I64" i="5"/>
  <c r="F440" i="5"/>
  <c r="F446" i="5" s="1"/>
  <c r="L51" i="5"/>
  <c r="U51" i="5" s="1"/>
  <c r="U424" i="5"/>
  <c r="I172" i="5"/>
  <c r="I311" i="5"/>
  <c r="I358" i="5"/>
  <c r="L172" i="5"/>
  <c r="D13" i="2" s="1"/>
  <c r="U419" i="5"/>
  <c r="C23" i="2" s="1"/>
  <c r="I67" i="5"/>
  <c r="I74" i="5" s="1"/>
  <c r="L96" i="5"/>
  <c r="D11" i="7"/>
  <c r="D12" i="7"/>
  <c r="D13" i="7"/>
  <c r="O419" i="5"/>
  <c r="D14" i="7"/>
  <c r="F64" i="5"/>
  <c r="G20" i="6"/>
  <c r="L440" i="5"/>
  <c r="D317" i="5"/>
  <c r="F317" i="5" s="1"/>
  <c r="F328" i="5" s="1"/>
  <c r="O78" i="5"/>
  <c r="O81" i="5" s="1"/>
  <c r="L23" i="5"/>
  <c r="U23" i="5" s="1"/>
  <c r="L328" i="5"/>
  <c r="D18" i="2" s="1"/>
  <c r="D15" i="7"/>
  <c r="I21" i="5"/>
  <c r="U67" i="5"/>
  <c r="O411" i="5"/>
  <c r="L358" i="5"/>
  <c r="D26" i="7"/>
  <c r="I194" i="5"/>
  <c r="L194" i="5"/>
  <c r="O40" i="5"/>
  <c r="O358" i="5"/>
  <c r="F411" i="5"/>
  <c r="D16" i="7"/>
  <c r="D10" i="7"/>
  <c r="F283" i="5"/>
  <c r="O311" i="5"/>
  <c r="D17" i="7"/>
  <c r="I440" i="5"/>
  <c r="I446" i="5" s="1"/>
  <c r="L311" i="5"/>
  <c r="D17" i="2" s="1"/>
  <c r="O21" i="5"/>
  <c r="L293" i="5"/>
  <c r="I40" i="5"/>
  <c r="D355" i="5"/>
  <c r="F355" i="5" s="1"/>
  <c r="F358" i="5" s="1"/>
  <c r="D18" i="7"/>
  <c r="L411" i="5"/>
  <c r="D9" i="7"/>
  <c r="S26" i="5"/>
  <c r="I78" i="5"/>
  <c r="I81" i="5" s="1"/>
  <c r="L347" i="5"/>
  <c r="D19" i="2" s="1"/>
  <c r="W19" i="2" s="1"/>
  <c r="F19" i="6"/>
  <c r="D19" i="7"/>
  <c r="D20" i="7"/>
  <c r="D21" i="7"/>
  <c r="D22" i="7"/>
  <c r="D23" i="7"/>
  <c r="F311" i="5"/>
  <c r="D8" i="7"/>
  <c r="D24" i="7"/>
  <c r="D10" i="2"/>
  <c r="M10" i="2" s="1"/>
  <c r="O23" i="2"/>
  <c r="B17" i="6"/>
  <c r="D355" i="1"/>
  <c r="F355" i="1" s="1"/>
  <c r="F351" i="1"/>
  <c r="F358" i="1" s="1"/>
  <c r="B11" i="6"/>
  <c r="W23" i="2"/>
  <c r="M23" i="2"/>
  <c r="AA23" i="2"/>
  <c r="U23" i="2"/>
  <c r="E19" i="6"/>
  <c r="Y23" i="2"/>
  <c r="Q23" i="2"/>
  <c r="F194" i="1"/>
  <c r="F40" i="5"/>
  <c r="L81" i="5"/>
  <c r="D11" i="2" s="1"/>
  <c r="E7" i="6" s="1"/>
  <c r="U78" i="5"/>
  <c r="I321" i="5"/>
  <c r="M321" i="5"/>
  <c r="M317" i="5"/>
  <c r="G18" i="6"/>
  <c r="G14" i="6"/>
  <c r="G10" i="6"/>
  <c r="G3" i="6"/>
  <c r="G21" i="6"/>
  <c r="G17" i="6"/>
  <c r="G13" i="6"/>
  <c r="G9" i="6"/>
  <c r="G6" i="6"/>
  <c r="G16" i="6"/>
  <c r="G12" i="6"/>
  <c r="G8" i="6"/>
  <c r="G5" i="6"/>
  <c r="G19" i="6"/>
  <c r="G4" i="6"/>
  <c r="G15" i="6"/>
  <c r="G11" i="6"/>
  <c r="U45" i="5"/>
  <c r="F411" i="1"/>
  <c r="S23" i="2"/>
  <c r="F328" i="1"/>
  <c r="F311" i="1"/>
  <c r="S18" i="5"/>
  <c r="L48" i="5"/>
  <c r="U48" i="5" s="1"/>
  <c r="S48" i="5"/>
  <c r="G7" i="6"/>
  <c r="C10" i="6"/>
  <c r="C22" i="6" s="1"/>
  <c r="F283" i="1"/>
  <c r="B15" i="6"/>
  <c r="F451" i="1"/>
  <c r="F172" i="1"/>
  <c r="U7" i="5"/>
  <c r="L21" i="5"/>
  <c r="D7" i="2" s="1"/>
  <c r="S7" i="5"/>
  <c r="L37" i="5"/>
  <c r="U37" i="5" s="1"/>
  <c r="F172" i="5"/>
  <c r="O194" i="5"/>
  <c r="I347" i="5"/>
  <c r="I411" i="5"/>
  <c r="O440" i="5"/>
  <c r="O446" i="5" s="1"/>
  <c r="F194" i="5"/>
  <c r="I283" i="5"/>
  <c r="U332" i="5"/>
  <c r="L444" i="5"/>
  <c r="D25" i="2" s="1"/>
  <c r="E21" i="6" s="1"/>
  <c r="L283" i="5"/>
  <c r="D15" i="2" s="1"/>
  <c r="R448" i="5" l="1"/>
  <c r="R4" i="5" s="1"/>
  <c r="U74" i="5"/>
  <c r="U368" i="5"/>
  <c r="C21" i="2" s="1"/>
  <c r="F17" i="6"/>
  <c r="I328" i="5"/>
  <c r="I445" i="5" s="1"/>
  <c r="I447" i="5" s="1"/>
  <c r="I448" i="5" s="1"/>
  <c r="I4" i="5" s="1"/>
  <c r="F13" i="6"/>
  <c r="Q21" i="2"/>
  <c r="S21" i="2"/>
  <c r="F9" i="6"/>
  <c r="D12" i="2"/>
  <c r="U96" i="5"/>
  <c r="C12" i="2" s="1"/>
  <c r="F15" i="6"/>
  <c r="H15" i="6" s="1"/>
  <c r="U347" i="5"/>
  <c r="C19" i="2" s="1"/>
  <c r="D28" i="7"/>
  <c r="E26" i="7" s="1"/>
  <c r="F8" i="6"/>
  <c r="E15" i="6"/>
  <c r="U328" i="5"/>
  <c r="C18" i="2" s="1"/>
  <c r="U311" i="5"/>
  <c r="C17" i="2" s="1"/>
  <c r="U172" i="5"/>
  <c r="C13" i="2" s="1"/>
  <c r="W25" i="2"/>
  <c r="M11" i="2"/>
  <c r="F14" i="6"/>
  <c r="H14" i="6" s="1"/>
  <c r="F20" i="6"/>
  <c r="D24" i="2"/>
  <c r="G24" i="2" s="1"/>
  <c r="L446" i="5"/>
  <c r="U446" i="5" s="1"/>
  <c r="U440" i="5"/>
  <c r="C24" i="2" s="1"/>
  <c r="F18" i="6"/>
  <c r="G23" i="7" s="1"/>
  <c r="D22" i="2"/>
  <c r="U411" i="5"/>
  <c r="C22" i="2" s="1"/>
  <c r="F12" i="6"/>
  <c r="H12" i="6" s="1"/>
  <c r="U293" i="5"/>
  <c r="C16" i="2" s="1"/>
  <c r="D16" i="2"/>
  <c r="O11" i="2"/>
  <c r="K11" i="2"/>
  <c r="F445" i="5"/>
  <c r="F447" i="5" s="1"/>
  <c r="F448" i="5" s="1"/>
  <c r="F4" i="5" s="1"/>
  <c r="L64" i="5"/>
  <c r="D9" i="2" s="1"/>
  <c r="F10" i="6"/>
  <c r="H10" i="6" s="1"/>
  <c r="W15" i="7" s="1"/>
  <c r="U194" i="5"/>
  <c r="C14" i="2" s="1"/>
  <c r="D14" i="2"/>
  <c r="Y14" i="2" s="1"/>
  <c r="F16" i="6"/>
  <c r="H16" i="6" s="1"/>
  <c r="U358" i="5"/>
  <c r="C20" i="2" s="1"/>
  <c r="D20" i="2"/>
  <c r="E16" i="6" s="1"/>
  <c r="H19" i="6"/>
  <c r="O24" i="7" s="1"/>
  <c r="H17" i="6"/>
  <c r="I17" i="6"/>
  <c r="Q10" i="2"/>
  <c r="H13" i="6"/>
  <c r="O10" i="2"/>
  <c r="E6" i="6"/>
  <c r="C28" i="7"/>
  <c r="C10" i="2"/>
  <c r="U19" i="2"/>
  <c r="S19" i="2"/>
  <c r="F21" i="6"/>
  <c r="U444" i="5"/>
  <c r="C25" i="2" s="1"/>
  <c r="L40" i="5"/>
  <c r="D8" i="2" s="1"/>
  <c r="K8" i="2" s="1"/>
  <c r="W15" i="2"/>
  <c r="E11" i="6"/>
  <c r="O15" i="2"/>
  <c r="S15" i="2"/>
  <c r="M15" i="2"/>
  <c r="U15" i="2"/>
  <c r="Y15" i="2"/>
  <c r="Q15" i="2"/>
  <c r="U18" i="2"/>
  <c r="E14" i="6"/>
  <c r="S18" i="2"/>
  <c r="Q18" i="2"/>
  <c r="G22" i="6"/>
  <c r="O317" i="5"/>
  <c r="P317" i="5"/>
  <c r="S317" i="5" s="1"/>
  <c r="F11" i="6"/>
  <c r="U283" i="5"/>
  <c r="C15" i="2" s="1"/>
  <c r="E13" i="6"/>
  <c r="U17" i="2"/>
  <c r="W17" i="2"/>
  <c r="F7" i="6"/>
  <c r="U81" i="5"/>
  <c r="C11" i="2" s="1"/>
  <c r="S13" i="2"/>
  <c r="W13" i="2"/>
  <c r="Q13" i="2"/>
  <c r="O13" i="2"/>
  <c r="U13" i="2"/>
  <c r="E9" i="6"/>
  <c r="M13" i="2"/>
  <c r="H6" i="6"/>
  <c r="O321" i="5"/>
  <c r="P321" i="5"/>
  <c r="S321" i="5" s="1"/>
  <c r="F5" i="6"/>
  <c r="U64" i="5"/>
  <c r="C9" i="2" s="1"/>
  <c r="W20" i="2"/>
  <c r="Y20" i="2"/>
  <c r="F3" i="6"/>
  <c r="U21" i="5"/>
  <c r="C7" i="2" s="1"/>
  <c r="F450" i="1"/>
  <c r="G7" i="2"/>
  <c r="E3" i="6"/>
  <c r="I13" i="6" l="1"/>
  <c r="E12" i="7"/>
  <c r="G19" i="7"/>
  <c r="E4" i="6"/>
  <c r="I8" i="2"/>
  <c r="M15" i="7"/>
  <c r="K15" i="7"/>
  <c r="H9" i="6"/>
  <c r="S14" i="7" s="1"/>
  <c r="S15" i="7"/>
  <c r="E22" i="7"/>
  <c r="E15" i="7"/>
  <c r="Q24" i="7"/>
  <c r="Q14" i="7"/>
  <c r="E21" i="7"/>
  <c r="S24" i="7"/>
  <c r="U14" i="7"/>
  <c r="E16" i="7"/>
  <c r="Y24" i="7"/>
  <c r="E8" i="7"/>
  <c r="H18" i="6"/>
  <c r="U23" i="7" s="1"/>
  <c r="E10" i="7"/>
  <c r="I15" i="6"/>
  <c r="E23" i="7"/>
  <c r="E24" i="7"/>
  <c r="E9" i="7"/>
  <c r="AA20" i="2"/>
  <c r="AA26" i="2" s="1"/>
  <c r="E20" i="7"/>
  <c r="E13" i="7"/>
  <c r="E17" i="7"/>
  <c r="E11" i="7"/>
  <c r="H8" i="6"/>
  <c r="I8" i="6" s="1"/>
  <c r="E14" i="7"/>
  <c r="I19" i="6"/>
  <c r="O15" i="7"/>
  <c r="E19" i="7"/>
  <c r="E18" i="7"/>
  <c r="E25" i="7"/>
  <c r="U24" i="7"/>
  <c r="U12" i="2"/>
  <c r="E8" i="6"/>
  <c r="S12" i="2"/>
  <c r="I12" i="6"/>
  <c r="U17" i="7"/>
  <c r="S17" i="7"/>
  <c r="W17" i="7"/>
  <c r="W21" i="7"/>
  <c r="U21" i="7"/>
  <c r="Y21" i="7"/>
  <c r="Y27" i="7" s="1"/>
  <c r="X27" i="7" s="1"/>
  <c r="H20" i="6"/>
  <c r="I20" i="6" s="1"/>
  <c r="F25" i="7" s="1"/>
  <c r="H25" i="7" s="1"/>
  <c r="I25" i="7" s="1"/>
  <c r="G25" i="7"/>
  <c r="M14" i="2"/>
  <c r="E20" i="6"/>
  <c r="S14" i="2"/>
  <c r="I24" i="2"/>
  <c r="W24" i="7"/>
  <c r="Q15" i="7"/>
  <c r="W16" i="2"/>
  <c r="U16" i="2"/>
  <c r="Y16" i="2"/>
  <c r="E12" i="6"/>
  <c r="I16" i="6"/>
  <c r="D27" i="2"/>
  <c r="E13" i="2" s="1"/>
  <c r="E10" i="6"/>
  <c r="U14" i="2"/>
  <c r="W14" i="2"/>
  <c r="G8" i="2"/>
  <c r="Q14" i="2"/>
  <c r="K24" i="7"/>
  <c r="O14" i="2"/>
  <c r="I10" i="6"/>
  <c r="M24" i="7"/>
  <c r="U15" i="7"/>
  <c r="E5" i="6"/>
  <c r="K9" i="2"/>
  <c r="G9" i="2"/>
  <c r="I9" i="2"/>
  <c r="Q19" i="7"/>
  <c r="S19" i="7"/>
  <c r="H7" i="6"/>
  <c r="I7" i="6" s="1"/>
  <c r="F12" i="7" s="1"/>
  <c r="J12" i="7" s="1"/>
  <c r="G12" i="7"/>
  <c r="G8" i="7"/>
  <c r="H5" i="6"/>
  <c r="I5" i="6" s="1"/>
  <c r="F10" i="7" s="1"/>
  <c r="H10" i="7" s="1"/>
  <c r="G10" i="7"/>
  <c r="H11" i="6"/>
  <c r="S20" i="7"/>
  <c r="U20" i="7"/>
  <c r="Q20" i="7"/>
  <c r="H21" i="6"/>
  <c r="U26" i="7" s="1"/>
  <c r="Q22" i="7"/>
  <c r="O22" i="7"/>
  <c r="I6" i="6"/>
  <c r="F11" i="7" s="1"/>
  <c r="N11" i="7" s="1"/>
  <c r="O11" i="7" s="1"/>
  <c r="K11" i="7"/>
  <c r="M11" i="7"/>
  <c r="S18" i="7"/>
  <c r="U18" i="7"/>
  <c r="I14" i="6"/>
  <c r="F19" i="7" s="1"/>
  <c r="N19" i="7" s="1"/>
  <c r="O19" i="7" s="1"/>
  <c r="F4" i="6"/>
  <c r="F22" i="6" s="1"/>
  <c r="U40" i="5"/>
  <c r="C8" i="2" s="1"/>
  <c r="C27" i="2" s="1"/>
  <c r="F452" i="1"/>
  <c r="F453" i="1"/>
  <c r="F4" i="1" s="1"/>
  <c r="L445" i="5"/>
  <c r="Y22" i="2"/>
  <c r="W22" i="2"/>
  <c r="M22" i="2"/>
  <c r="U22" i="2"/>
  <c r="S22" i="2"/>
  <c r="O22" i="2"/>
  <c r="K22" i="2"/>
  <c r="Q22" i="2"/>
  <c r="E18" i="6"/>
  <c r="H3" i="6"/>
  <c r="I3" i="6" s="1"/>
  <c r="F8" i="7" s="1"/>
  <c r="O328" i="5"/>
  <c r="O445" i="5" s="1"/>
  <c r="U445" i="5"/>
  <c r="K23" i="7" l="1"/>
  <c r="Z26" i="2"/>
  <c r="E7" i="2"/>
  <c r="E17" i="2"/>
  <c r="E24" i="2"/>
  <c r="E19" i="2"/>
  <c r="E16" i="2"/>
  <c r="E18" i="2"/>
  <c r="E25" i="2"/>
  <c r="E22" i="2"/>
  <c r="E8" i="2"/>
  <c r="O14" i="7"/>
  <c r="K14" i="7"/>
  <c r="E28" i="7"/>
  <c r="Y26" i="2"/>
  <c r="X26" i="2" s="1"/>
  <c r="E11" i="2"/>
  <c r="E10" i="2"/>
  <c r="M14" i="7"/>
  <c r="I9" i="6"/>
  <c r="I23" i="7"/>
  <c r="O23" i="7"/>
  <c r="I26" i="2"/>
  <c r="H26" i="2" s="1"/>
  <c r="I18" i="6"/>
  <c r="F23" i="7" s="1"/>
  <c r="L23" i="7" s="1"/>
  <c r="M23" i="7" s="1"/>
  <c r="Q23" i="7"/>
  <c r="E23" i="2"/>
  <c r="S23" i="7"/>
  <c r="O26" i="2"/>
  <c r="N26" i="2" s="1"/>
  <c r="Q13" i="7"/>
  <c r="S13" i="7"/>
  <c r="W26" i="2"/>
  <c r="V26" i="2" s="1"/>
  <c r="E9" i="2"/>
  <c r="G26" i="2"/>
  <c r="G27" i="2" s="1"/>
  <c r="F27" i="2" s="1"/>
  <c r="E22" i="6"/>
  <c r="E12" i="2"/>
  <c r="I21" i="6"/>
  <c r="Q26" i="2"/>
  <c r="P26" i="2" s="1"/>
  <c r="K26" i="2"/>
  <c r="J26" i="2" s="1"/>
  <c r="E15" i="2"/>
  <c r="E21" i="2"/>
  <c r="S26" i="2"/>
  <c r="R26" i="2" s="1"/>
  <c r="E14" i="2"/>
  <c r="U26" i="2"/>
  <c r="T26" i="2" s="1"/>
  <c r="E20" i="2"/>
  <c r="M26" i="2"/>
  <c r="L26" i="2" s="1"/>
  <c r="I10" i="7"/>
  <c r="H4" i="6"/>
  <c r="I4" i="6" s="1"/>
  <c r="F9" i="7" s="1"/>
  <c r="G9" i="7"/>
  <c r="G27" i="7" s="1"/>
  <c r="F27" i="7" s="1"/>
  <c r="K12" i="7"/>
  <c r="I12" i="7"/>
  <c r="U16" i="7"/>
  <c r="U27" i="7" s="1"/>
  <c r="T27" i="7" s="1"/>
  <c r="S16" i="7"/>
  <c r="Q16" i="7"/>
  <c r="O16" i="7"/>
  <c r="M16" i="7"/>
  <c r="K16" i="7"/>
  <c r="W16" i="7"/>
  <c r="W27" i="7" s="1"/>
  <c r="V27" i="7" s="1"/>
  <c r="I11" i="6"/>
  <c r="H22" i="6"/>
  <c r="I22" i="6" s="1"/>
  <c r="L447" i="5"/>
  <c r="U447" i="5" s="1"/>
  <c r="U448" i="5" s="1"/>
  <c r="U4" i="5" s="1"/>
  <c r="O447" i="5"/>
  <c r="O448" i="5" s="1"/>
  <c r="E27" i="2" l="1"/>
  <c r="M27" i="7"/>
  <c r="L27" i="7" s="1"/>
  <c r="O27" i="7"/>
  <c r="N27" i="7" s="1"/>
  <c r="S27" i="7"/>
  <c r="R27" i="7" s="1"/>
  <c r="F26" i="2"/>
  <c r="I27" i="2"/>
  <c r="Q27" i="7"/>
  <c r="P27" i="7" s="1"/>
  <c r="L448" i="5"/>
  <c r="L4" i="5" s="1"/>
  <c r="K27" i="7"/>
  <c r="J27" i="7" s="1"/>
  <c r="I27" i="7"/>
  <c r="G28" i="7"/>
  <c r="F28" i="7"/>
  <c r="O4" i="5"/>
  <c r="K27" i="2"/>
  <c r="H27" i="2"/>
  <c r="I28" i="7" l="1"/>
  <c r="H28" i="7" s="1"/>
  <c r="J28" i="7" s="1"/>
  <c r="H27" i="7"/>
  <c r="J27" i="2"/>
  <c r="M27" i="2"/>
  <c r="K28" i="7" l="1"/>
  <c r="L28" i="7" s="1"/>
  <c r="N28" i="7" s="1"/>
  <c r="L27" i="2"/>
  <c r="N27" i="2" s="1"/>
  <c r="P27" i="2" s="1"/>
  <c r="R27" i="2" s="1"/>
  <c r="T27" i="2" s="1"/>
  <c r="V27" i="2" s="1"/>
  <c r="X27" i="2" s="1"/>
  <c r="O27" i="2"/>
  <c r="Q27" i="2" s="1"/>
  <c r="S27" i="2" s="1"/>
  <c r="U27" i="2" s="1"/>
  <c r="W27" i="2" s="1"/>
  <c r="Y27" i="2" s="1"/>
  <c r="AA27" i="2" s="1"/>
  <c r="Z27" i="2" s="1"/>
  <c r="M28" i="7" l="1"/>
  <c r="O28" i="7" s="1"/>
  <c r="Q28" i="7" s="1"/>
  <c r="S28" i="7" s="1"/>
  <c r="U28" i="7" l="1"/>
  <c r="W28" i="7" s="1"/>
  <c r="Y28" i="7" s="1"/>
  <c r="X28" i="7" s="1"/>
  <c r="P28" i="7"/>
  <c r="R28" i="7" s="1"/>
  <c r="T28" i="7" s="1"/>
  <c r="V28" i="7" s="1"/>
</calcChain>
</file>

<file path=xl/sharedStrings.xml><?xml version="1.0" encoding="utf-8"?>
<sst xmlns="http://schemas.openxmlformats.org/spreadsheetml/2006/main" count="1556" uniqueCount="583">
  <si>
    <t xml:space="preserve">        SECRETARIA DE ESTADO DE EDUCAÇÃO - DIRETORIA DE INFRAESTRUTURA ESCOLAR E GESTÃO DA REDE FÍSICA - PLANILHA DE SERVIÇOS</t>
  </si>
  <si>
    <t>ISS</t>
  </si>
  <si>
    <t>ITEM</t>
  </si>
  <si>
    <t>DESCRIÇÃO</t>
  </si>
  <si>
    <t>UNID.</t>
  </si>
  <si>
    <t>ANALISADO</t>
  </si>
  <si>
    <t>LOCAL DE INTERVENÇÃO</t>
  </si>
  <si>
    <t>QUANT.</t>
  </si>
  <si>
    <t>PREÇO UNITÁRIO</t>
  </si>
  <si>
    <t>TOTAL</t>
  </si>
  <si>
    <t>MEMÓRIA DE CALCULO</t>
  </si>
  <si>
    <t>010000</t>
  </si>
  <si>
    <t>INSTALAÇÃO DOS SERVIÇOS DE ENGENHARIA</t>
  </si>
  <si>
    <t>010001</t>
  </si>
  <si>
    <t>Locação dos serviços de engenharia: execução de gabarito</t>
  </si>
  <si>
    <t>M²</t>
  </si>
  <si>
    <t>28*18</t>
  </si>
  <si>
    <t>Área de projeção da quadra</t>
  </si>
  <si>
    <t>Será medido pela área de obra locada, aferida entre os eixos de fundação e acrescentando-se 0,50 m, a partir do eixo, para o lado externo (m²).
O item remunera o fornecimento de pontaletes em Pinus ou Cedrinho de 3" x 3"; tábuas em Pinus de 1" x 12"; arame galvanizado; inclusive materiais acessórios e a mão-de-obra necessária para os serviços de locação completa em obras de edificação compreendendo: locação de estacas, eixos principais, paredes, etc.</t>
  </si>
  <si>
    <t>010003</t>
  </si>
  <si>
    <t>Fornecimento e colocação de placa dos serviços de engenharia em chapa galvanizada (3,00 X 1,50m)   -  Governo do Estado  -  (Ampliação e / ou Reforma acima de R$ 30.000,00)</t>
  </si>
  <si>
    <t>UN</t>
  </si>
  <si>
    <t>Rente ao muro de divisa da escola</t>
  </si>
  <si>
    <t>Será medido por unidade de placa instalada (UN).
O item remunera as placas de obras que deverão ser confeccionadas em chapa galvanizada 0,26. As chapas serão afixadas com rebites 540 e parafusos 3/8, em uma estrutura metálica com viga U 2” enrijecida e Metalon 20x20. O suporte para a instalação deverá ser em Eucalipto Autoclavado. As placas serão pintadas na frente e no verso com fundo anticorrosivo e tinta automotiva. FORMATO: 3,00 x 1,50m. O tamanho da placa é definido em função do local da sua instalação e/ou do valor dos serviços acima de R$ 30.000,00, obedecendo à proporção de 6,00 x 3,00m e o manual de identidade visual do Governo de Minas.</t>
  </si>
  <si>
    <t>010004</t>
  </si>
  <si>
    <t>Limpeza do terreno, raspagem, capina e queima manual</t>
  </si>
  <si>
    <t>31*21+3*3</t>
  </si>
  <si>
    <t>Área de implantação da quadra</t>
  </si>
  <si>
    <t>Será medido pela área real do terreno, onde ocorrer a limpeza manual de vegetação (m²).
O item remunera o fornecimento de caminhão basculante, a mão-de-obra necessária e ferramentas auxiliares para a execução dos serviços executados manualmente com auxílio de ferramental apropriado para a roçada, derrubada de árvores e arbustos, destocamento, fragmentação de galhos e troncos, empilhamento e transporte, abrangendo: a remoção de vegetação, árvores e arbustos com diâmetro do tronco até 5 cm, medidos na altura de 1,00 m do solo, capim. etc.; arrancamento e remoção de tocos, raízes e troncos; raspagem manual da camada de solo vegetal na espessura mínima de 15 cm; carga manual; e o transporte, interno na obra, num raio de 500m.</t>
  </si>
  <si>
    <t>010006</t>
  </si>
  <si>
    <t>Barracão em madeira, piso cimentado e cobertura em telhas de fibrocimento ondulada</t>
  </si>
  <si>
    <t>3,3*3,3</t>
  </si>
  <si>
    <t>Local a ser definido com a fiscalização</t>
  </si>
  <si>
    <t>Será medido pela área de projeção da cobertura de construção provisória executada, com croqui analisado e aprovado previamente pela fiscalização. (M²)
O item remunera o fornecimento de materiais e mão-de-obra necessários para a execução de construção provisória em madeira destinada a escritório e/ou depósito de obra, constituída por: piso interno e calçada externa em concreto usinado, Fck 20 MPa; paredes, portas e janelas em chapa compensada plastificada de no mínimo 6 mm de espessura, e / ou compensado resinado com seladora impermeabilizante e aplicação de textura na pintura; janelas com vidro fantasia de 3 ou 4mm; porta com dobradiças de latão cromado e fechadura de embutir cromada e com miolo tipo Georges; estrutura, apoio para cobertura e contraventamentos em pontaletes e tábuas de Pinus ou Cedrinho e engradamento da cobertura de eucalípto imunizado, cobertura com telha em fibrocimento, perfil ondulado de no mínimo 5 mm de espessura; instalação elétrica e pintura acrílica, materiais acessórios para execução total da construção provisória, conforme norma regulamentadora. Devem obedecer a NR 18 (Áreas de vivência).  Remunera também a manutenção durante todo o periodo da obra e a demobilização completa deste barracão.</t>
  </si>
  <si>
    <t>SUB-TOTAL =</t>
  </si>
  <si>
    <t>030000</t>
  </si>
  <si>
    <t>TRABALHOS EM TERRA</t>
  </si>
  <si>
    <t>030001</t>
  </si>
  <si>
    <t>Aterro Compactado manual, com soquete</t>
  </si>
  <si>
    <t>31*1,5*2*0,05+18*2*0,05+(2,35+1,36)*1,36*0,25+3,89*1,36*0,44</t>
  </si>
  <si>
    <t>Passeio  lateral e rampa</t>
  </si>
  <si>
    <t>Será medido pelo volume de aterro compactado (m³).
O item remunera o fornecimento de equipamentos e mão-de-obra necessários para execução dos serviços de aterro interno, com material existente ou importado, incluindo o apiloamento em camadas, de 20 cm, com maço de 30 kg e a disposição das sobras.</t>
  </si>
  <si>
    <t>030002</t>
  </si>
  <si>
    <t>Escavação  manual de vala em solo de 1ª e 2ª categoria, profundidade em até 2,00m</t>
  </si>
  <si>
    <t>28*0,25*0,46*2+18*0,25*0,46*2+(18,6+3,02)*0,25*0,46*2+(4,46+2,25+2,41+2,25+2,41+0,2)*0,25*0,46+0,4*0,25*0,46*2+15,4*0,25*0,46*2+1,1*0,25*0,4*2+(3,75+1,66)*0,25*0,46+(2,58+3,74)*0,25*0,46+1,24*0,25*0,46+4,7*0,25*0,46+(2,11*2+0,18*3)*0,25*0,46+1,82*0,25*0,46+0,75*0,75*0,8*14+0,45*0,45*0,46*15</t>
  </si>
  <si>
    <t>Baldrames,blocos e coroamento</t>
  </si>
  <si>
    <t>Será medido pelo volume escavado, considerando-se um acréscimo para cada lado, no plano horizontal, em relação às dimensões de cada peça, de 20 cm (m³).
O item remunera o fornecimento da mão-de-obra necessária para a escavação manual em solo de 1ª e 2ª categorias em valas ou cavas até 2,00 m de profundidade.</t>
  </si>
  <si>
    <t>030003</t>
  </si>
  <si>
    <t xml:space="preserve">Escavação  manual em campo aberto em solo exceto rocha com profundidade em até 2,00m </t>
  </si>
  <si>
    <t>3,14*1,3*1,3*1,7</t>
  </si>
  <si>
    <t>Reservatório de água pluvial</t>
  </si>
  <si>
    <t>Será medido pelo volume real escavado (m³).
O item remunera o fornecimento da mão-de-obra necessária para a escavação manual em solo, de primeira ou segunda categoria, em campo aberto.</t>
  </si>
  <si>
    <t>030005</t>
  </si>
  <si>
    <t>Reaterro manual de vala apiloado</t>
  </si>
  <si>
    <t>28*0,05*0,4*2+18*0,05*0,4*2+(18,6+3,02)*0,05*0,4*2+(4,46+2,25+2,41+2,25+2,41+0,2)*0,05*0,4+0,4*0,05*0,4*2+15,4*0,05*0,4*2+1,1*0,05*0,4*2+(3,75+1,66)*0,05*0,4+(2,58+3,74)*0,05*0,4+1,24*0,05*0,4+4,7*0,05*0,4+(2,11*2+0,18*3)*0,05*0,4+1,82*0,05*0,4+14*,05*,05*,7+15*,05*,05*,4</t>
  </si>
  <si>
    <t>Será medido pelo volume de reaterro em valas, poços ou cavas executado (m³).
O item remunera o fornecimento da mão-de-obra necessária para a execução dos serviços de reaterro manual apiloado, com material existente ou importado, sem controle de compactação.</t>
  </si>
  <si>
    <t>030007</t>
  </si>
  <si>
    <t xml:space="preserve">Escavação manual de tubulão à céu aberto </t>
  </si>
  <si>
    <t>3,14*0,7*0,7/4*2*14</t>
  </si>
  <si>
    <t>Tubulão para pilares metálicos</t>
  </si>
  <si>
    <t>Será medido pelo volume escavado até a cota prevista (m³)
O item remunera o fornecimento de mão de obra, ferramentas e equipamentos necessários para a execução dos serviços de escavação do tubulão a céu aberto.
Remunera também a locação do tubulão, o alargamento da base, esgotamento caso seja encontrado quantidade de água que impeça a continuidade da escavação</t>
  </si>
  <si>
    <t xml:space="preserve"> </t>
  </si>
  <si>
    <t>040000</t>
  </si>
  <si>
    <t>SONDAGEM, FUNDAÇÕES, MUROS E CONTENÇÕES</t>
  </si>
  <si>
    <t>040001</t>
  </si>
  <si>
    <t>KG</t>
  </si>
  <si>
    <t>33,8*35</t>
  </si>
  <si>
    <t>Fundação</t>
  </si>
  <si>
    <t>Será medido pelo peso nominal das bitolas constantes no projeto de armadura (kg).
O item remunera o fornecimento de aço CA-50 ( A ou B ) com fyk igual 500 MPa, dobramento, transporte e colocação de armaduras de qualquer bitola e qualquer comprimento; estão incluídos no item os serviços e materiais secundários como arame, espaçadores, perdas decorrentes de desbitolamento, cortes e pontas de transpasse para emendas.</t>
  </si>
  <si>
    <t>040002</t>
  </si>
  <si>
    <t xml:space="preserve">Fôrma de madeira para fundação, com tábuas e sarrafos, 3 aproveitamentos e desforma </t>
  </si>
  <si>
    <t>28*0,4*4+18*0,4*4+21,62*0,4*4+(3,75+1,66)*0,4*2+15,4*0,4*6+(3,74+2,58)*0,4*2+1,24*0,4*2+4,7*0,4*2+1,82*0,4*2+4,22*0,4*2+0,7*0,4*4*14+15*0,4*4</t>
  </si>
  <si>
    <t>Será medido pelo desenvolvimento das áreas em contato com o concreto, não se descontando áreas de interseção até 0,20 m² (m²).
O item remunera o fornecimento dos materiais e a mão-de-obra para execução e instalação da forma, incluindo escoras, gravatas, desmoldante e desforma.</t>
  </si>
  <si>
    <t>040003</t>
  </si>
  <si>
    <t>Concreto armado para fundação (incluindo fornecimento, transporte, lançamento, forma e desforma)</t>
  </si>
  <si>
    <t>3,14*1,3*1,3*0,08</t>
  </si>
  <si>
    <t>Laje reservatório subterrâneo</t>
  </si>
  <si>
    <t>Será medido pelo volume calculado no projeto de formas, sendo que o volume da interseção dos diversos elementos estruturais deve ser computado uma só vez (m³).
O item remunera o fornecimento de betoneira, pedra britada números 1 e 2, cimento, areia e a mão-de-obra necessária para o preparo do concreto, com resistência mínima à compressão de 20,0 MPa. Remunera também o transporte, lançamento e adensamento. Está também incluido e remunerado 70Kg por m³ de concreto de armadura considerando o fornecimento de aço CA-50 ( A ou B ) com fyk igual 500 MPa, dobramento, transporte e colocação de armaduras de qualquer bitola e qualquer comprimento; estão incluídos no item os serviços e materiais secundários como arame, espaçadores, perdas decorrentes de desbitolamento, cortes e pontas de traspasse para emendas e também 8m² de forma por m³ de concreto considerando o fornecimento dos materiais e a mão-de-obra para execução e instalação da forma, incluindo escoras, gravatas, desmoldante e desforma.</t>
  </si>
  <si>
    <t>040004</t>
  </si>
  <si>
    <t>Concreto estrutural virado no local,controle "A", consistência para vibração, brita 1, FCK=20 MPA e lançamento em fundação</t>
  </si>
  <si>
    <t>M³</t>
  </si>
  <si>
    <t>28*0,2*0,4*2+18*0,2*0,4*2+(18,6+3,02)*0,2*0,4*2+(4,46+2,25+2,41+2,25+2,41+0,2)*0,2*0,4+0,4*0,2*0,4*2+15,4*0,2*0,4*2+1,1*0,2*0,4*2+(3,75+1,66)*0,2*0,4+(2,58+3,74)*0,2*0,4+1,24*0,2*0,4+4,7*0,2*0,4+(2,11*2+0,18*3)*0,2*0,4+1,82*0,2*0,4+10,77+14*0,7*0,7*0,8+15*0,4*0,4*0,4</t>
  </si>
  <si>
    <t>Será medido pelo volume calculado no projeto de formas, sendo que o volume da interseção dos diversos elementos estruturais deve ser computado uma só vez (m³).
O item remunera o fornecimento de betoneira, pedra britada número 1, cimento, areia e a mão-de-obra necessária para o preparo do concreto, com resistência mínima à compressão de 20,0 MPa. Remunera também o transporte, lançamento e adensamento.</t>
  </si>
  <si>
    <t>040005</t>
  </si>
  <si>
    <t>Lastro de concreto (contra-piso) não estrutural impermeabilizado, E=6 cm</t>
  </si>
  <si>
    <t>28*0,25*2+18*0,25*2+(18,6+3,02)*0,25*2+(4,46+2,25+2,41+2,25+2,41+0,2)*0,25+0,4*0,25*2+15,4*0,25*2+1,1*0,25*2+(3,75+1,66)*0,25+(2,58+3,74)*0,25+1,24*0,25+4,7*0,25+(2,11*2+0,18*3)*0,25+1,82*0,25+14*0,7*0,7+15*0,4*0,4+1,3*1,3*3,14</t>
  </si>
  <si>
    <t>Será medido pela área onde será executado, na espessura mínima de 6cm (m²).
O item remunera o fornecimento de cimento, areia, pedra britada nº 1, 2, e a mão-de-obra necessária para o apiloamento do terreno e execução do lastro.</t>
  </si>
  <si>
    <t>040300</t>
  </si>
  <si>
    <t>Sondagem a percurssão</t>
  </si>
  <si>
    <t>040301</t>
  </si>
  <si>
    <t>Mobilização e desmobilização por equipamentos de sondagem a percussão d= 2 1/2"</t>
  </si>
  <si>
    <t>Mobilização</t>
  </si>
  <si>
    <t>Será medido por unidade de transporte e instalação de equipamento de sondagem (un).
O item remunera o fornecimento e instalação de equipamentos necessários para execução de sondagem, a mobilização e desmobilização dos mesmos, independente da distância entre a empresa fornecedora e o local da sondagem.</t>
  </si>
  <si>
    <t>040302</t>
  </si>
  <si>
    <t>Sondagem a percurssão d=2 1/2" (profundidade mínima para medição 30m)</t>
  </si>
  <si>
    <t>M</t>
  </si>
  <si>
    <t>Mínmo de 3 furos de sondagem a serem executados no local de implantação da quadra.</t>
  </si>
  <si>
    <t>Será medido pelo comprimento total dos furos de sondagem executados, sendo a quantidade mínima para medição 30 metros (m).
O item remunera o fornecimento da mão-de-obra qualificada necessária para a execução de sondagem a percussão, remunera também as peças gráficas e relatórios pertinentes.</t>
  </si>
  <si>
    <t>050000</t>
  </si>
  <si>
    <t>SUPERESTRUTURA</t>
  </si>
  <si>
    <t>050005</t>
  </si>
  <si>
    <t>Concreto armado (incluindo fornecimento, transporte, lançamento, forma e desforma)</t>
  </si>
  <si>
    <t>0,15*0,15*1,5*16+22*0,15*0,15*0,5+0,18*0,2*6*3+0,2*0,2*4*3+0,15*0,15*10*0,5+5*0,15*0,15*1+1,3*1,3*0,08*3,14</t>
  </si>
  <si>
    <t>Pilares e pilaretes da superestrutura e tampa reservatório subterrâneo</t>
  </si>
  <si>
    <t>Será medido pelo volume calculado no projeto de formas, sendo que o volume da interseção dos diversos elementos estruturais deve ser computado uma só vez (m³).
O item remunera o fornecimento de betoneira, pedra britada números 1 e 2, cimento, areia e a mão-de-obra necessária para o preparo do concreto, com resistência mínima à compressão de 25,0 MPa. Remunera também o transporte, lançamento e adensamento. Está também incluido e remunerado 80Kg por m³ de concreto de armadura considerando o fornecimento de aço CA-50 ( A ou B ) com fyk igual 500 MPa, dobramento, transporte e colocação de armaduras de qualquer bitola e qualquer comprimento; estão incluídos no item os serviços e materiais secundários como arame, espaçadores, perdas decorrentes de desbitolamento, cortes e pontas de traspasse para emendas e também 15m² de forma de compensado plastificado por m³ de concreto considerando o fornecimento dos materiais e a mão-de-obra para execução e instalação da forma, incluindo escoras, gravatas, desmoldante e desforma.</t>
  </si>
  <si>
    <t>050009</t>
  </si>
  <si>
    <t>Laje pré-fabricada treliçada para piso, intereixo 50 cm e=25cm (capeamento 5 cm e elemento cerâmico 20 cm) sobrecarga mínima 300 Kgf / m²</t>
  </si>
  <si>
    <t>(4,46+2,25+2,41+2,4+2,46)*0,4+15,8*0,7+15,8*0,4+(2,11*2+0,2+0,36)*2,2+2,96*4,14+10,24*3,74-2,35*1,36-1,36*4,89+2,58*3,74</t>
  </si>
  <si>
    <t>Laje arquibancada, palco, instalações sanitárias, depósito e camarim</t>
  </si>
  <si>
    <t>Será medido pela área delimitada pelos eixos das paredes e/ou vigas (m²).
O item remunera o fornecimento de vigota pré-fabricada treliçada; lajota cerâmica; concreto com fck maior ou igual a 25MPa, para o capeamento; aço para armadura de distribuição; materiais  acessórios e a mão-de-obra necessária para a execução dos serviços: a estocagem das vigotas e lajotas cerâmicas conforme exigências e recomendações do fabricante; o transporte interno à obra; o içamento das vigotas e das lajotas cerâmicas; a montagem completa das vigotas treliçadas e das lajotas cerâmicas; resultando laje para piso; a execução e instalação da armadura de distribuição posicionada na capa, para o controle da fissuração; o escoramento até 3,00 m de altura e a retirada do mesmo.</t>
  </si>
  <si>
    <t>060000</t>
  </si>
  <si>
    <t>ALVENARIA</t>
  </si>
  <si>
    <t>060100</t>
  </si>
  <si>
    <t>Execução de:</t>
  </si>
  <si>
    <t>060107</t>
  </si>
  <si>
    <t xml:space="preserve">Alvenaria de vedação com bloco de concreto, 14x19x39 cm, espessura da parede 14 cm, juntas de 10mm com argamassa mista de cimento, cal hidratada e areia sem peneirar traço 1:0,5:8 </t>
  </si>
  <si>
    <t>(28-4,7)*2*1,5+18*1,5+18*3+21,62*0,5*2+(3,75+1,66)*0,5+15,8*0,5+0,4*0,5*2+15,8*0,5+15,8*1+2,58*3+4,7*3*3+3,74*2,5+(4,22+0,56)*0,3+1,82*3+1,1*1*2-1,6*2*1,5+8,24*0,5+4,78*1+2,02*1</t>
  </si>
  <si>
    <t>Alvenaria conforme consta  em projeto</t>
  </si>
  <si>
    <t>Será medido por área de superfície executada, descontando-se todos os vãos (m²).
O item remunera o fornecimento de materiais e mão-de-obra necessários para a execução de alvenaria de vedação a ser revestida, confeccionada em bloco vazado de concreto simples, com superfície áspera para garantir a aderência do revestimento, assentada com argamassa de cimento, cal hidratada e areia; dimensões padronizadas de 14 x 19 x 39 cm, e resistência mínima à compressão de acordo com a NBR 6136.</t>
  </si>
  <si>
    <t>070000</t>
  </si>
  <si>
    <t>COBERTURA E FORRO</t>
  </si>
  <si>
    <t>070100</t>
  </si>
  <si>
    <t xml:space="preserve">Fornecimento, transporte e colocação de telhas, tipo: </t>
  </si>
  <si>
    <t>070400</t>
  </si>
  <si>
    <t>Instalação de Calhas e rufos:</t>
  </si>
  <si>
    <t>Será medido por comprimento instalado (m).
Os itens remuneram o fornecimento e instalação de calhas ou rufos em chapa galvanizada nº 24, com desenvolvimento descrito no item, inclusive materiais acessórios para emendas, junção em outras peças, vedação e fixação.</t>
  </si>
  <si>
    <t>070403</t>
  </si>
  <si>
    <t>Calha de chapa galvanizada, nº 24 desenvolvimento 60 cm</t>
  </si>
  <si>
    <t>28*2</t>
  </si>
  <si>
    <t>Nas duas águas da cobertura</t>
  </si>
  <si>
    <t>070500</t>
  </si>
  <si>
    <t>Condutor de água pluvial e buzinotes</t>
  </si>
  <si>
    <t>Será medido por comprimento instalado (m).
O item remunera o fornecimento de materiais e mão de obra para instalação de tubo na cor branca (condutores) verticais e executadas com PVC reforçado com  as juntas com bolsa e anel de borracha, inclusive materiais acessórios para emendas, suportes, junção em outras peças, vedação e fixação.</t>
  </si>
  <si>
    <t>070502</t>
  </si>
  <si>
    <t>Condutor de água (tubo de PVC branco, com conexões, ponta bolsa e virola, diâmetro da seção 100mm)</t>
  </si>
  <si>
    <t>8*6</t>
  </si>
  <si>
    <t>8 descidas de água pluvial da cobertura</t>
  </si>
  <si>
    <t>080000</t>
  </si>
  <si>
    <t>INSTALAÇÕES HIDRÁULICAS</t>
  </si>
  <si>
    <t>080100</t>
  </si>
  <si>
    <t>Fonecimento e instalação de:</t>
  </si>
  <si>
    <t>080101</t>
  </si>
  <si>
    <t>Torneira de pressão para uso geral, amarela, p/ jardim</t>
  </si>
  <si>
    <t>Será medido por unidade de torneira instalada (un).
O item remunera o fornecimento e instalação de torneira curta com rosca, para uso geral, em latão fundido sem acabamento de 1/2" ou 3/4"; inclusive materiais acessórios necessários à  instalação e ligação à rede de água.</t>
  </si>
  <si>
    <t>080105</t>
  </si>
  <si>
    <t>Torneira de boia para Caixa d'água Ø 32mm.</t>
  </si>
  <si>
    <t>Reservatório superior</t>
  </si>
  <si>
    <t>Será medido por unidade de torneira instalada (un).
O item remunera o fornecimento e a instalação da torneira de bóia, com diâmetro nominal de 1", inclusive material de vedação.</t>
  </si>
  <si>
    <t>080200</t>
  </si>
  <si>
    <t>Fornecimento e instalação de:</t>
  </si>
  <si>
    <t>080201</t>
  </si>
  <si>
    <t>Válvula de descarga metálica com registro interno e canopla,D: 32mm (1 1/4") ou 40mm (1 1/2)</t>
  </si>
  <si>
    <t>Instlalação sanitária</t>
  </si>
  <si>
    <t>Será medido por unidade de válvula de descarga instalada (un).
O item remunera o fornecimento e instalação da válvula de descarga, com registro próprio, em latão ou bronze, com acabamento cromado liso, diâmetro nominal de 1 1/4" ou 1 1/2",  inclusive materiais acessórios de vedação e o tubo de descida.</t>
  </si>
  <si>
    <t>080207</t>
  </si>
  <si>
    <t>Lavatório de louça, sem coluna completa para fixação direta.</t>
  </si>
  <si>
    <t>Instalação sanitária PNE</t>
  </si>
  <si>
    <t>Será medido por unidade instalada (un).
O item remunera o fornecimento e a instalação do lavatório constituído por: lavatório de louça sem coluna; torneira de mesa para lavatório acabamento em latão cromado de 1/2", sifão cromado de 1" x 1 1/2"; tubo de ligação cromado com canopla; válvula metálica de 1" para ligação ao sifão, um par de parafusos com bucha para fixação do lavatório, materiais acessórios necessários para sua instalação e ligação à rede de esgoto.</t>
  </si>
  <si>
    <t>080210</t>
  </si>
  <si>
    <t>Vaso sanitário convencional branca.</t>
  </si>
  <si>
    <t>Será medido por unidade instalada (un).
O item remunera o fornecimento da bacia sifonada de louça conforme as normas vigentes NBR 15097 e NBR 15099. Remunera também: bolsa de borracha; anel de borracha de expansão de 4"; tubo de ligação com canopla, parafusos niquelados; massa de vidro para fixação e assentamento da base; materiais acessórios e a mão-de-obra necessária para a instalação e ligação às redes de água e esgoto.</t>
  </si>
  <si>
    <t>080400</t>
  </si>
  <si>
    <t>Fornecimento e instalação de registro de gaveta com e sem acabamento:</t>
  </si>
  <si>
    <t>Será medido por unidade de registro instalado (un).
O item remunera o fornecimento e instalação de registro de gaveta em latão fundido, diâmetro e acabamento como especificado, inclusive materiais acessórios e de vedação.</t>
  </si>
  <si>
    <t>080406</t>
  </si>
  <si>
    <t>Com canopla diâmetro 20mm (3/4") - (acabamento cromado)</t>
  </si>
  <si>
    <t>Bebedouro</t>
  </si>
  <si>
    <t>080409</t>
  </si>
  <si>
    <t>Com canopla diâmetro 40mm (1 1/2") - (acabamento cromado)</t>
  </si>
  <si>
    <t xml:space="preserve">Instlalação sanitária </t>
  </si>
  <si>
    <t>080500</t>
  </si>
  <si>
    <t>Serviços de fixação de:</t>
  </si>
  <si>
    <t>080600</t>
  </si>
  <si>
    <t>Fornecimento, transporte e instalação de:</t>
  </si>
  <si>
    <t>080601</t>
  </si>
  <si>
    <t>Conjunto elevatório motor-bomba (bomba centrífuga) de 3/4 HP</t>
  </si>
  <si>
    <t>Eletrobomba reservatório subterrâneo</t>
  </si>
  <si>
    <t xml:space="preserve">Será medido por unidade de conjunto motor-bomba instalado e testado de acordo com a vazão exigida em projeto (un).
O item remunera o fornecimento e instalação de conjunto motor-bomba centrífuga com multiestágio trifásico, potência de 13/4HP, para vazões de no mínimo 10,8 m³/h com altura manométrica mínima de 20m, remunera também materiais complementares e acessórios como chumbadores e a mão-de-obra necessária para a fixação, instalação completa e realização dos testes de funcionamento.
</t>
  </si>
  <si>
    <t>080700</t>
  </si>
  <si>
    <t>Fornecimento, transporte e instalação da rede de água fria em tubo em PVC:</t>
  </si>
  <si>
    <t>Será medido por comprimento (m):
O item remunera o fornecimento e instalação de tubos de PVC rígido soldável  ou roscável de diâmetro especificado; para rede de água fria, inclusive conexões e materiais acessórios; abertura e fechamento de rasgos, para tubulações embutidas; ou escavação e reaterro apiloado de valas com profundidade média de 60 cm, para tubulações enterradas; ou fixação por grampos ou presilhas quando a tubulação for aparente.</t>
  </si>
  <si>
    <t>080705</t>
  </si>
  <si>
    <t>Tubo PVC soldável  25mm (com conexões), incluindo serviços de rasgo e enchimento de rasgo em alvenaria com argamassa para passagem de tubulação</t>
  </si>
  <si>
    <t>Alimentação instalação sanitária e bebedouro</t>
  </si>
  <si>
    <t>080707</t>
  </si>
  <si>
    <t>Tubo PVC soldável  40mm (com conexões), incluindo serviços de rasgo e enchimento de rasgo em alvenaria com argamassa para passagem de tubulação</t>
  </si>
  <si>
    <t>Alimentação instalação sanitária</t>
  </si>
  <si>
    <t>080800</t>
  </si>
  <si>
    <t>Fornecimento, transporte e instalação de reservatório d´água:</t>
  </si>
  <si>
    <t>Será medido por unidade de reservatório instalado (un).
O item remunera o fornecimento de reservatório com capacidade especificada destinado ao armazenamento de água, constituído por: corpo cilíndrico em polietileno ou fibra de vidro, acabamento interno liso para evitar o crescimento e proliferação de algas e fungos; tampa superior de encaixe ou alçapão para inspeção; furações para: entrada, saída e ladrão e a mão-de-obra necessária para o transporte interno, assentamento e instalação completa do reservatório.</t>
  </si>
  <si>
    <t>080801</t>
  </si>
  <si>
    <t xml:space="preserve">De polietileno cilindrico com tampa, capacidade 1.000 litros </t>
  </si>
  <si>
    <t>Instalaçao sanitária</t>
  </si>
  <si>
    <t>080805</t>
  </si>
  <si>
    <t xml:space="preserve">Em fibra de vidro cilíndrico com tampa, capacidade  10.000 litros </t>
  </si>
  <si>
    <t>Reservatório subterrâneo de água pluvial</t>
  </si>
  <si>
    <t>080903</t>
  </si>
  <si>
    <t>Dispenser toalheiro em ABS para folhas de papel</t>
  </si>
  <si>
    <t>Será medido por unidade de dispenser toalheiro instalado (un).
O item remunera o fornecimento e instalação do porta-papel de parede (dispenser toalheiro), em plástico ABS branco, com fecho de segurança, para papel com duas, ou três dobras,  inclusive material de fixação.</t>
  </si>
  <si>
    <t>081103</t>
  </si>
  <si>
    <t>Porta -papel de louça branca</t>
  </si>
  <si>
    <t>Será medido por unidade instalada (un).
O item remunera o fornecimento e a instalação de porta-papel de louça de 15 x 15 cm; cimento, areia, cimento branco, inclusive materiais acessórios necessários para a argamassa de assentamento e rejuntamento.</t>
  </si>
  <si>
    <t>081104</t>
  </si>
  <si>
    <t>Saboneteira de louça branca sem alça</t>
  </si>
  <si>
    <t>Será medido por unidade instalada (un).
O item remunera o fornecimento e a instalação de saboneteira de louça de 15 x 15 cm; cimento, areia, cimento branco, inclusive materiais acessórios necessários para a argamassa de assentamento e rejuntamento.</t>
  </si>
  <si>
    <t>081106</t>
  </si>
  <si>
    <t>Ralo Seco PVC quadrado 100 X 40mm com grelha branca</t>
  </si>
  <si>
    <t>Será medido por unidade de ralo instalado (un).
O item remunera o fornecimento e instalação de ralo seco em PVC rígido, de 100 x 40 mm, com grelha de PVC, inclusive materiais acessórios.</t>
  </si>
  <si>
    <t>081107</t>
  </si>
  <si>
    <t>Ducha higiênica com registro para controle do fluxo de água 1/2"</t>
  </si>
  <si>
    <t>Instalação sanitária</t>
  </si>
  <si>
    <t>Será medido por unidade instalada (un).
O item remunera o fornecimento e a instalação da ducha higiênica manual com registro para controle de fluxo de águas de 1/2" cromada, inclusive materiais acessórios necessários à instalação e ligação à rede de água.</t>
  </si>
  <si>
    <t>090000</t>
  </si>
  <si>
    <t>INSTALAÇÕES SANITÁRIAS</t>
  </si>
  <si>
    <t>090100</t>
  </si>
  <si>
    <t>090101</t>
  </si>
  <si>
    <t>Caixa de Inspeção ou passagem em alvenaria  60 X 60 X 60 cm, inclusive tampa em concreto, escavação, reaterro e bota-fora</t>
  </si>
  <si>
    <t>9 caixas drenagem pluvial, 1 caixas instalação sanitária</t>
  </si>
  <si>
    <t>Será medido por unidade de caixa executada (un).
O item remunera o fornecimento de materiais e mão-de-obra necessários para a execução do caixa de inspenção com dimensões descritas, constituído por: alvenaria de tijolo comum com revestimento em argamassa: fundo de concreto e cinta de amarração superior para apoio do tampão em concreto; remunera também os serviços de escavação, escoramento da vala,  reaterro e disposição das sobras e impermeabilização interna através de pintura de proteção asfaltica em duas demãos.</t>
  </si>
  <si>
    <t>090300</t>
  </si>
  <si>
    <t>Fornecimento,transporte e instalação de tubulação em PVC esgoto diâmetros descritos:</t>
  </si>
  <si>
    <t>Será medido por comprimento de tubulação executada (m).
Os itens a seguir remunera o fornecimento e instalação de tubos de PVC rígido, diâmetro nominal de especificado com ponta e bolsa e anel de borracha; para esgoto domiciliar, inclusive conexões e materiais acessórios; abertura e fechamento de rasgos, para tubulações embutidas; ou escavação e reaterro apiloado de valas com profundidade média de 60 cm, para tubulações enterradas; ou fixação por grampos ou presilhas quando a tubulação for aparente.</t>
  </si>
  <si>
    <t>090301</t>
  </si>
  <si>
    <t>Diâmetro de 40 mm</t>
  </si>
  <si>
    <t>Esgoto bebedouro e Instalações sanitárias</t>
  </si>
  <si>
    <t>090304</t>
  </si>
  <si>
    <t>Diâmetro de 100 mm</t>
  </si>
  <si>
    <t>Esgoto e drenagem água pluvial</t>
  </si>
  <si>
    <t>090305</t>
  </si>
  <si>
    <t>Diâmetro de 150 mm</t>
  </si>
  <si>
    <t>Extravassor do reservatório subterrâneo</t>
  </si>
  <si>
    <t>090400</t>
  </si>
  <si>
    <t>Outros:</t>
  </si>
  <si>
    <t>090500</t>
  </si>
  <si>
    <t>Fornecimento e instalação de caixa sifonada:</t>
  </si>
  <si>
    <t>090501</t>
  </si>
  <si>
    <t>Em PVC, com grelha quadrada/redonda,150x150x75mm</t>
  </si>
  <si>
    <t>Será medido por unidade caixa instalada (un).
O item remunera o fornecimento e instalação da caixa sifonada, em PVC rígido, de 150 x 150 x 75 mm, inclusive grelha metálica e o material necessário para sua ligação à rede de esgoto.</t>
  </si>
  <si>
    <t>INSTALAÇÃO ELÉTRICA</t>
  </si>
  <si>
    <t>100100</t>
  </si>
  <si>
    <t>Fornecimento e instalação de globo tipo drops:</t>
  </si>
  <si>
    <t>100300</t>
  </si>
  <si>
    <t>Fornecimento, transporte e instalação luminária em de calha comercial completa</t>
  </si>
  <si>
    <t>Será medido por unidade de luminária instalada (un).
O item remunera o fornecimento de luminária de sobrepor com corpo em chapa de aço pintada com ou sem refletor, conforme especificações do item com soquetes para lâmpada fluorescente de 18/20/32/40 W, inclusive materiais acessórios e a mão-de-obra necessária para a instalação da luminária; inclusive o fornecimento de lâmpada e reator e teste de funcionamento.</t>
  </si>
  <si>
    <t>100302</t>
  </si>
  <si>
    <t>Luminária fluorescente completa com 2 lâmpadas de 20W ou 16W, tipo calha de sobrepor</t>
  </si>
  <si>
    <t xml:space="preserve">Instalação sanitária,depósito </t>
  </si>
  <si>
    <t>100400</t>
  </si>
  <si>
    <t>Fornecimento e instalação interruptor e tomadas, inclusive placa:</t>
  </si>
  <si>
    <t>100401</t>
  </si>
  <si>
    <t>Tomada universal 2 P+T</t>
  </si>
  <si>
    <t>Bebedoruos, palco,depósito, instalação sanitária</t>
  </si>
  <si>
    <t>Será medido por unidade de tomada instalada (un).
O item remunera o fornecimento e instalação de tomada com dois pólos e um terra de 10A para 250V; com placa, haste, contatos de prata e componentes de função elétrica em liga de cobre, conforme ABNT NBR 14136. Remunera também o fornecimento e instalação de placa espelho.</t>
  </si>
  <si>
    <t>100403</t>
  </si>
  <si>
    <t xml:space="preserve">01 tecla simples 10A - 250V </t>
  </si>
  <si>
    <t>Luminárias e conjunto motobomba</t>
  </si>
  <si>
    <t>Será medido por unidade de interruptor instalado (un).
O item remunera o fornecimento e instalação de interruptor, simples de embutir, com uma tecla fosforescente, com contatos de prata, a prova de faísca, de funcionamento silencioso; remunera também o espelho correspondente.</t>
  </si>
  <si>
    <t>100500</t>
  </si>
  <si>
    <t>Fornecimento e instalação de disjuntor automático:</t>
  </si>
  <si>
    <t>Será medido por unidade de disjuntor instalado (un).
O item remunera o fornecimento de disjuntor automático, linha residencial, com proteção termomagnética, padrão ( “bolt-on” ) NEMA, polos e correntes variáveis conforme o solicitado  e tensão de 127 / 220 V, conforme norma NBR 5361 e selo de conformidade do INMETRO, remunera também materiais acessórios e a mão-de-obra necessária para a instalação do disjuntor por meio de parafusos em suporte apropriado; não remunera o fornecimento do suporte.</t>
  </si>
  <si>
    <t>100501</t>
  </si>
  <si>
    <t>Monopolar de 10  a 32 A</t>
  </si>
  <si>
    <t>QDC</t>
  </si>
  <si>
    <t>100503</t>
  </si>
  <si>
    <t>Bipolar de 10 a 50 A</t>
  </si>
  <si>
    <t>100507</t>
  </si>
  <si>
    <t>Disjuntor de proteção diferencial residual (DR), bipolar, tipo DIN, corrente nominal de 25a, alta sensibilidade, corrente diferencial residual nominal com atuação de 30ma</t>
  </si>
  <si>
    <t>100600</t>
  </si>
  <si>
    <t>Fornecimento, transporte e instalação de cabos:</t>
  </si>
  <si>
    <t>Será medido por comprimento de cabo instalado (m).
O item remunera o fornecimento de cordoalha de cobre recozido, de diâmetro especificado confeccionada em malha de fios de cobre trançada, isenta de falhas, emendas, oxidações,  sujeiras, com revestimento em EPR para isolação de 90ºC e nível de isolamento até 1,0 kV e a mão-de-obra necessária para a instalação do cabo.</t>
  </si>
  <si>
    <t>100602</t>
  </si>
  <si>
    <t>(5*2*2+22*2+5*3*2+10*3*3+25*3)</t>
  </si>
  <si>
    <t>Luminárias e tomadas</t>
  </si>
  <si>
    <t>100603</t>
  </si>
  <si>
    <t>(28*2*2+7*2+25*2+56*2)</t>
  </si>
  <si>
    <t xml:space="preserve">Refletores e alimentação eletrobomba </t>
  </si>
  <si>
    <t>100700</t>
  </si>
  <si>
    <t>Fornecimento, transporte e instalação de cabos Sintenax:</t>
  </si>
  <si>
    <t>Será medido por comprimento de cabo instalado (m).
O item remunera o fornecimento de cordoalha de cobre recozido, de diâmetro especificado confeccionada em malha de fios de cobre trançada, isenta de falhas, emendas, oxidações,  sujeiras, com revestimento SINTENAX e nível de isolamento a partir de 1,0 kV e a mão-de-obra necessária para a instalação do cabo.</t>
  </si>
  <si>
    <t>100701</t>
  </si>
  <si>
    <t>45*3</t>
  </si>
  <si>
    <t>Entrada de energia ao QDC</t>
  </si>
  <si>
    <t>100707</t>
  </si>
  <si>
    <t xml:space="preserve">Cobre nú # 10mm² para aterramento </t>
  </si>
  <si>
    <t>Aterramento QDC</t>
  </si>
  <si>
    <t>Será medido por comprimento de cabo instalado (m).
O item remunera o fornecimento de cordoalha de cobre recozido, de 10,0 mm², confeccionada em malha de fios de cobre eletrolítico nu, têmpera mole isenta de falhas, emendas, oxidações, sujeiras, encordoamento classe 2 na bitola especificada e a mão-de-obra necessária para a instalação do cabo.</t>
  </si>
  <si>
    <t>100900</t>
  </si>
  <si>
    <t>Fornecimento e colocação de eletroduto em PVC roscável,com conexões:</t>
  </si>
  <si>
    <t>Será medido pelo comprimento de tubulação instalada (m).
O item remunera o fornecimento e instalação de tubos, luvas, curvas e buchas em cloreto de polivinil (PVC) de diâmetro especificado, rígido, tipo pesado, com rosca, cor preta e braçadeiras em "U" para instalações de telefonia, embutidas em lajes, paredes ou pisos, aparentes, ou enterradas; remunera também o fornecimento de materiais acessórios e a mão-de-obra necessária para a execução dos serviços: abertura e fechamento de rasgos em paredes, ou escavação e reaterro apiloado de valas com profundidade média de 0,60 m nas instalações enterradas, ou fixação por meio de braçadeiras quando a tubulação for aparente e a instalação de arame galvanizado para servir de guia à enfiação, inclusive nas tubulações secas.</t>
  </si>
  <si>
    <t>100901</t>
  </si>
  <si>
    <t>Diâmetro 20mm (3/4")</t>
  </si>
  <si>
    <t>28*2+7+25+56</t>
  </si>
  <si>
    <t>Circuitos dos refletores e alimentação eletrobomba</t>
  </si>
  <si>
    <t>100904</t>
  </si>
  <si>
    <t>Diâmetro 40mm (1 1/2")</t>
  </si>
  <si>
    <t>101000</t>
  </si>
  <si>
    <t>Fornecimento e colocação de mangueira PVC flexível corrugado:</t>
  </si>
  <si>
    <t>Será medido pelo comprimento de eletroduto instalado (m).
O item remunera o fornecimento e instalação de eletroduto em PVC corrugado flexível, tipo leve, diâmetro conforme especificado, espessura da parede de 0,3 mm, cor amarela, para instalações elétricas e de telefonia, somente quando embutidas em paredes de alvenaria; remunera também o fornecimento de materiais acessórios e a mão-de-obra necessária para a execução dos serviços: abertura e fechamento de rasgos em paredes e a instalação de arame galvanizado para servir de guia à enfiação, inclusive nas tubulações secas.</t>
  </si>
  <si>
    <t>101002</t>
  </si>
  <si>
    <t>Diâmetro 25mm (3/4")</t>
  </si>
  <si>
    <t>Circuitos internos a quadra</t>
  </si>
  <si>
    <t>101202</t>
  </si>
  <si>
    <t>Caixa de passagem 4"x 2" sem placa</t>
  </si>
  <si>
    <t>Será medido por unidade de caixa instalada (un).
O item remunera o fornecimento e instalação de caixa estampada de 4" x 2", em chapa de aço nº 18, esmaltada à quente interna e externamente, com olhais para fixação dos eletrodutos e orelhas para fixação de espelho.</t>
  </si>
  <si>
    <t>101204</t>
  </si>
  <si>
    <t>Caixa octogonal p/ teto (laje maciça ou pré fabricada)</t>
  </si>
  <si>
    <t>Será medido por unidade de caixa instalada (un).
O item remunera o fornecimento e instalação de caixa estampada octogonal com fundo móvel de 4 "x 4", em chapa de aço nº 18, esmaltada à quente interna e externamente, com olhais para fixação dos eletrodutos e orelhas para fixação de espelho.</t>
  </si>
  <si>
    <t>101206</t>
  </si>
  <si>
    <t>Projetor externo para Lâmpada a vapor de mercúrio 250 W, com ângulo regulável, com alojamento para reator.</t>
  </si>
  <si>
    <t>Será medido por unidade de projetor instalado (un).
O item remunera o fornecimento e instalação completa de projetor retangular hermético, constituído por: corpo e aro em alumínio fundido, com aletas para dissipação de calor; refletor interno em chapa de alumínio estampado refletal liso, stucco ou escamado, acabamento anodizado; visor plano, em cristal temperado, à prova de choque térmico, fixado ao corpo por meio de aro e junta vedadora; suporte para fixação, tipo "U", em aço galvanizado a fogo movimentos horizontal e vertical; soquetes para lâmpadas: de vapor metálico de 400 W, ou vapor de sódio de alta pressão de 250 / 400 W, ou vapor de mercúrio de 250 / 500 W, ou mista de 250 / 500 W, conforme o fabricante; remunera também o fornecimento de lâmpada e reator.</t>
  </si>
  <si>
    <t>101400</t>
  </si>
  <si>
    <t>Quadro de distribuição PVC ou chapa de aço de embutir ou sobrepor</t>
  </si>
  <si>
    <t>Será medido por unidade de quadro instalado (un).
O item remunera o fornecimento do quadro em chapa de aço ou PVC completo, barramento, inclusive suporte para fixação de disjuntores padrão ( “bolt-on” ) NEMA, por meio de parafusos; ou trilho tipo DIN para a fixação de mini-disjuntores padrão DIN, por meio de trava ajustável; remunera também o fornecimento de materiais acessórios e a mão-de-obra necessária para a instalação completa do quadro; não remunera o fornecimento dos disjuntores.</t>
  </si>
  <si>
    <t>101404</t>
  </si>
  <si>
    <t>120000</t>
  </si>
  <si>
    <t>ESQUADRIAS METÁLICAS</t>
  </si>
  <si>
    <t>120100</t>
  </si>
  <si>
    <t>120101</t>
  </si>
  <si>
    <t>Passa prato / Porta / portão de ferro, completo</t>
  </si>
  <si>
    <t>0,8*2,1+1*2,1*2</t>
  </si>
  <si>
    <t>Instalação sanitária e depósito</t>
  </si>
  <si>
    <t>Será medido por área de passa prato / porta / portão instalado (m²).
O item remunera o fornecimento da passa pratro, porta ou portão de abrir ou correr, sob medida, com uma ou duas folhas, constituído por: folha da porta em chapa de ferro nº 14 ( MSG ), numa face, com ou sem abertura; requadro para a estrutura da folha da porta, em perfil de chapa de ferro nº 14 MSG, tipo tubular; batentes em perfil de chapa dobrada em chapa de ferro nº 12 ( MSG ); jogo completo de ferragens, incluindo dobradiças, fechaduras, maçanetas, puxadores e trincos, compatíveis com as dimensões da porta; inclusive cimento, areia, materiais acessórios e a mão-de-obra necessária para a instalação e fixação da porta e do batente. Remunera também materiais acessórios e mão de obra para a execução de duas demãos de zarcão e duas demãos de esmalte.</t>
  </si>
  <si>
    <t>120103</t>
  </si>
  <si>
    <t>Janela de ferro completa, colocação e acabamento basculante</t>
  </si>
  <si>
    <t>,8*1*4</t>
  </si>
  <si>
    <t>Depósito e instalação sanitária</t>
  </si>
  <si>
    <t>Será medido por área de janela instalada (m²).
O item remunera o fornecimento de janelas basculantes, sob medida, com uma ou duas folhas, constituído por chapa dobrada nº 18, com tratamento em fundo anticorrosivo, para pintura em esmalte sintético com a folha em vidro liso ou fantasia de 4mm, batentes em perfil de chapa dobrada em chapa de ferro nº 14 ( MSG ); jogo completo de ferragens, incluindo dobradiças, fechaduras, maçanetas, puxadores e trincos, compatíveis com as dimensões da janela; inclusive cimento, areia, materiais acessórios e a mão-de-obra necessária para a instalação e fixação da janela e do batente. Remunera também materiais acessórios e mão de obra para a execução de duas demãos de zarcão e duas demãos de esmalte, e instalação dos  vidros cristal 4mm.</t>
  </si>
  <si>
    <t>FERRAGENS</t>
  </si>
  <si>
    <t>Fornecimento e colocação de:</t>
  </si>
  <si>
    <t>130200</t>
  </si>
  <si>
    <t>Outros: (fornecimento e execução):</t>
  </si>
  <si>
    <t>130201</t>
  </si>
  <si>
    <t>Barra apoio deficiente tubo em aço inox 1 1/4"  L=100cm para parede</t>
  </si>
  <si>
    <t>Será medido por unidade instalada (un).
O item remunera o fornecimento de barra de apoio tipo reta, para pessoas com mobilidade reduzida, em tubo de aço inoxidável AISI 304, liga 18,8, diâmetro nominal de 1 1/4", com espessura de 3/32", comprimento de 1000 mm; com resistência mínima ao esforço, em qualquer sentido, de 1,5 kN; flanges nas extremidades e parafusos para fixação, em aço inoxidável;  tubo e flanges com acabamento escovado, ou polido fosco; acessórios e a mão-de-obra necessária.</t>
  </si>
  <si>
    <t>130202</t>
  </si>
  <si>
    <t>Barra apoio deficiente tubo em aço inox 1 1/4" L=80cm para apoio de lavatório</t>
  </si>
  <si>
    <t>Será medido por unidade instalada (un).
O item remunera o fornecimento de barra de apoio em lavatórios, para pessoas com mobilidade reduzida, em tubo de aço inoxidável AISI 304, liga 18,8, diâmetro nominal de 1 1/4", com espessura de 3/32", comprimento de 800 mm; com resistência mínima ao esforço, em qualquer sentido, de 1,5 kN; flanges nas extremidades e parafusos para fixação, em aço inoxidável;  tubo e flanges com acabamento escovado, ou polido fosco; acessórios e a mão-de-obra necessária.</t>
  </si>
  <si>
    <t>130204</t>
  </si>
  <si>
    <t>Corrimão duplo em tubo de aço galvanizado d = 1 1/2"- fixado em alvenaria</t>
  </si>
  <si>
    <t>3,81+2,43+1,56*8+1,7</t>
  </si>
  <si>
    <t>Será medido pelo comprimento, aferido no desenvolvimento, de corrimão instalado (m).
O item remunera o fornecimento de Corrimão tubular duplo constituído por: tubo de aço galvanizado com diâmetro de 1 1/2", espessura de 2,25 mm; suporte em chapa de ferro galvanizado, com espessura de 1/8"; fixação por meio montate em tubo de ferro galvanizado,de 2” de diâmetro e espessura de 2,5mm, com parafusos auto-atarrachantes, e através de chumbador metálico com rosca e porca com diâmetro de 1/4 “de polegada em pisos de concreto revestidos ou não; sinalização tátil por meio de anel em aço inoxidável com textura contrastante à textura do corrimão, instalado 1,00 m antes das extremidades do corrimão, conforme determina NBR 9050; materiais acessórios e a mão-de-obra necessária para o chumbamento das grapas com roscas, ou soldagem do corrimão. O item remunera também o fornecimento de materiais e mão-de-obra necessários para: aplicação em uma demão de galvanização a frio, nos pontos de solda e / ou corte dos componentes metálicos, conforme recomendações do fabricante.</t>
  </si>
  <si>
    <t>130209</t>
  </si>
  <si>
    <t>Guarda-corpo em aço galvanizado  d = 2" e corrimão duplo de tubo de aço galvanizado de d=1 1/2" (usado em rampas)</t>
  </si>
  <si>
    <t>2,35+3,89+1,6*4</t>
  </si>
  <si>
    <t>Será medido pelo comprimento de corrimão com guarda-corpo, instalado (m).
O item remunera o fornecimento  de guarda-corpo constituído de tubo de aço galvanizado com 2” de diâmetro e montantes verticais em tubos de aço galvanizado com 2” de diâmetro espaçados em no máximo 90cm entre eles e altura final para ambientes internos de 1,10m e ambietes externos de 1,30m..
Base fixada no piso através de parafusos ou chumbadores, um corrimão duplo ( 22cm de distância entre eles) em tubo de aço galvanizado com diâmetro de 1 1/2” , com resistência à carga mínima de 900 N, aplicada em qualquer ponto deles, verticalmente de cima para baixo e horizontalmente em ambos os sentidos, conforme determina a norma NBR 9077 / 1993, fechamento vertical em tubos de aço de 1”; com altura de 0,80 m para ambientes internos e 1,00m para áreas externas, inclusive acessórios e a mão-de-obra necessária para a instalação completa do guarda-corpo com corrimão duplo. O item remunera também o fornecimento de materiais e mão-de-obra necessários para: aplicação em uma demão de galvanização a frio, nos pontos de solda e / ou corte dos componentes metálicos, conforme recomendações do fabricante.</t>
  </si>
  <si>
    <t>REVESTIMENTO</t>
  </si>
  <si>
    <t>Emboço com argamassa 1:6 cimento e areia lavada média peneirada, para paredes revestidas com tinta, e = 20mm</t>
  </si>
  <si>
    <t>(1,82*3*2+2,11*3*2)*2</t>
  </si>
  <si>
    <t>Será medido pela área revestida com reboco, não se descontando vãos de até 2,00 m² e não se considerando espaletas. Os vãos acima de 2,00 m² deverão ser deduzidos na totalidade e as espaletas desenvolvidas (m²).
O item remunera o fornecimento de cimento, areia e a mão-de-obra necessária para a execução do emboço.</t>
  </si>
  <si>
    <t>140102</t>
  </si>
  <si>
    <t>Reboco com argamassa 1:2:8 cimento, cal e areia</t>
  </si>
  <si>
    <t>(28-4,7-1,6)*1,5*4+18*3+18*1,5*2+21,62*4*0,5+(3,75+1,66)*0,5*2+2,58*3+2,58*2,5*2+4,5*4*3+3,74*2,35*2+1,24*2,5+8,24*0,52+4,7*2*3+4,78*3*3+1,82*4+4,78*1,82+3,74*2,58-1,6*1,5+4,78*1+2,02*1-(1,82*3*2+2,11*3*2)*2</t>
  </si>
  <si>
    <t>Será medido pela área revestida com reboco, não se descontando vãos de até 2,00 m² e não se considerando espaletas. Os vãos acima de 2,00 m² deverão ser deduzidos na totalidade e as espaletas desenvolvidas (m²).
O item remunera o fornecimento de cimento, cal hidratada, areia e a mão-de-obra necessária para a execução do reboco.</t>
  </si>
  <si>
    <t>140104</t>
  </si>
  <si>
    <t>Chapisco com argamassa 1:3 cimento e areia, a colher</t>
  </si>
  <si>
    <t>(28-4,7-1,6)*1,5*4+18*3+18*1,5*2+21,62*4*0,5+(3,75+1,66)*0,5*2+2,58*3+2,58*2,5*2+4,5*4*3+3,74*2,35*2+1,24*2,5+8,24*0,52+4,7*2*3+4,78*3*3+1,82*4+4,78*1,82+3,74*2,58-1,6*1,5+4,78*1+2,02*1</t>
  </si>
  <si>
    <t>Será medido pela área revestida com chapisco, não se descontando vãos de até 2,00 m² e não se considerando espaletas. Os vãos acima de 2,00 m² deverão ser deduzidos na totalidade e as espaletas desenvolvidas (m²).
O item remunera o fornecimento de cimento, areia e a mão-de-obra necessária para a execução do chapisco.</t>
  </si>
  <si>
    <t>140107</t>
  </si>
  <si>
    <t>Azulejo extra assentado internamente com argamassa pré-fabridada de cimento colante, inclusive c/ rejuntamento interno ou externo</t>
  </si>
  <si>
    <t>Será medido pela área de revestimento com placa cerâmica, descontando-se toda e qualquer interferência, acrescentando-se as áreas desenvolvidas por espaletas ou dobras (m²).
O item remunera o fornecimento de placa cerâmica esmaltada, de primeira qualidade ( classe A, ou classe extra ), conforme anexo A da NBR 13818, indicada para revestimentos internos, com as características:
A) Dimensões: 15 x 15 cm, 20 x 20 cm ou 25 x 25 cm;
B) Alta absorção de água: &gt; 10%, grupo BIII ( poroso );
C) Resistência química: classe B ( média resistência química a produtos domésticos e de piscinas );
D) Resistência ao manchamento: classe de limpabilidade 5;
E) Carga de ruptura &gt; 200 N;
F) Resistente ao choque térmico;
Remunera também o fornecimento de argamassa colante industrializada, e a mão-de-obra necessária para a execução dos serviços: limpeza e preparo da superfície de assentamento, preparo e aplicação da argamassa colante industrializada e o assentamento das peças conforme exigências das normas NBR 8214, NBR 13754, NBR 13816, NBR 13817, NBR 13818 e NBR 14081, e recomendações dos fabricantes. Remunera também os serviços de regularização da superfície e de rejuntamento.</t>
  </si>
  <si>
    <t>PISOS E RODAPÉS</t>
  </si>
  <si>
    <t>Fornecimento e assentamento de pisos, em:</t>
  </si>
  <si>
    <t>150104</t>
  </si>
  <si>
    <t>Revestimento com cerâmica aplicado em piso, acabamento esmaltado, ambiente interno, padrão extra, cor branca, dimensão da peça até 2.025cm², PEI V, assentamento com argamassa industrializada, inclusive rejuntamento</t>
  </si>
  <si>
    <t>2,11*1,82*2</t>
  </si>
  <si>
    <t>Será medido pela área de piso revestida com placa cerâmica, descontando-se toda e qualquer interferência, acrescentando-se as áreas desenvolvidas por espaletas ou dobras (m²).
O item remunera o fornecimento de placa cerâmica esmaltada de primeira qualidade ( classe A, ou classe extra ), conforme anexo A da NBR 13818, indicada para pisos internos sujeitos a lavagem freqüente, com as características:
A) Dimensões: Até 2.025 cm²
B) Média absorção de água: 3%&lt; Abs &lt; 6%, grupo BIIa ( semigrés ) ;
C) Resistência química: classe A ( alta resistência química a produtos domésticos e de piscinas );
D) Resistência ao manchamento: classe de limpabilidade 5;
E) Carga de ruptura &gt; 1.000 N;
F) Resistência à abrasão superficial classe V (PEI-5);
G) Resistência ao risco (escala Mohs): &gt; 5;
H) Resistente a gretagem;
I) Resistente ao choque térmico;
J) Coeficiente de atrito: &gt; 0,40 ( classe 2 );
Remunera também o fornecimento de argamassa colante industrializada tipo AC-II, e a mão-deobra necessária para a execução dos serviços: limpeza e preparo da superfície de assentamento, preparo e aplicação da argamassa colante industrializada e o assentamento das peças conforme exigências das normas NBR 9817, NBR 13753, NBR 13816, NBR 13817, NBR 13818 e NBR 14081, e recomendações dos fabricantes. Remunera também o rejuntamento.</t>
  </si>
  <si>
    <t>150115</t>
  </si>
  <si>
    <t>Placa cimentícia 40 x 40 cm, e = 3,5 cm, de alta resistência, podotátil direcional ou alerta, assentada com argamassa de cimento e areia</t>
  </si>
  <si>
    <t>31*2*0,4+21*2*0,4+1,5*8*0,4+1,24*0,4+2,5*0,4+0,6*0,4*2+1,36*0,4</t>
  </si>
  <si>
    <t>Passeio lateral, palco e bebedouros</t>
  </si>
  <si>
    <t>Será medido pela área revestida com ladrilho, descontando-se toda e qualquer interferência, acrescentando-se as áreas desenvolvidas por espaletas ou dobras (m²).
O item remunera o fornecimento de ladrilho hidráulico podo tátil, para portadores de deficiência visual, de 40 x 40 cm, com espessura média de 3,5 cm, em várias cores, cimento, cal hidratada, areia, materiais acessórios, e a mão-de-obra necessária para os serviços: preparo e aplicação da argamassa mista de assentamento; assentamento de ladrilho hidráulico, conforme paginação prevista em projeto, sobre superfície regularizada, conforme exigências das normas NBR 9457 e NBR 9050 e recomendações dos fabricantes. Não remunera os serviços de regularização da superfície.</t>
  </si>
  <si>
    <t>150300</t>
  </si>
  <si>
    <t>Contra- piso e regularização:</t>
  </si>
  <si>
    <t>150301</t>
  </si>
  <si>
    <t>1,82*2,11*2+0,64*0,36*2</t>
  </si>
  <si>
    <t>Instalaçao sanitária e sóculo</t>
  </si>
  <si>
    <t>Será medido pela área onde será executado, na espessura mínima de 6cm (m²).
O item remunera o fornecimento de cimento, areia, pedra britada nº 1, 2 e a mão-de-obra necessária para o apiloamento do terreno e execução do lastro.</t>
  </si>
  <si>
    <t>150405</t>
  </si>
  <si>
    <t>Passeio de concreto e= 8 cm, fck 15 Mpa, c/ preparo p/ terreno, incluindo preparo de caixa, sem revestimento com argamassa de cimento e areia</t>
  </si>
  <si>
    <t>31*2*1,5+18*1,5*2+1,2*15,8+9*1,78+(28-1,82)*2,3-15,8*1,1+2,04*16+(2,35+1,36+1,36+3,89)*1,36</t>
  </si>
  <si>
    <t>Perímetro externo e área interna de circulação da quadra</t>
  </si>
  <si>
    <t>Será medido pela área de piso concretado (m²).
O item remunera o fornecimento de cimento; areia; pedra britada nº 1; ripa de Cupiúba  ou Paraju; remunera também o fornecimento de materiais acessórios e a mão de obra necessária para o preparo do concreto, preparo da caixa, lançamento e a execução do passeio com acabamento desempenado, em concreto preparado no local.</t>
  </si>
  <si>
    <t>PINTURA</t>
  </si>
  <si>
    <t>Pintura:</t>
  </si>
  <si>
    <t>Tinta acrílica em parede externa, sem emassamento (duas demãos)</t>
  </si>
  <si>
    <t>1,82*2,11*2+3,74*2,58</t>
  </si>
  <si>
    <t>Laje de cobertura</t>
  </si>
  <si>
    <t>Será medido pela área de superfície preparada e pintada, não se descontando vãos de até 2,00 m² e não se considerando espaletas, filetes ou molduras. Os vãos acima de 2,00 m² deverão ser deduzidos na totalidade e as espaletas, filetes ou molduras desenvolvidas (m²).
O item remunera o fornecimento de selador de tinta para pintura acrílica; tinta à base de emulsão 100% acrílica, solúvel em água, acabamento fosco acetinado, materiais acessórios e a mão-de-obra necessária para a execução dos serviços de: limpeza da superfície, lixamento, remoção do pó e aplicação do selador, conforme recomendações do fabricante; aplicação da tinta acrílica, em duas demãos conforme especificações do fabricante, sobre superfície revestida com massa ou não.</t>
  </si>
  <si>
    <t>Pintura texturizada com desempenadeira de aço, lixamento do emboço e fundo selador</t>
  </si>
  <si>
    <t>(28-4,7-1,6)*1,5*4+18*3+18*1,5*2+21,62*4*0,5+(3,75+1,66)*0,5*2+2,58*3+2,58*2,5*2+4,5*4*3+3,74*2,35*2+1,24*2,5+8,24*0,52+4,7*2*3+4,78*3*3+1,82*4+4,78*1,82+3,74*2,58-1,6*1,5+4,78*1+2,02*1-(1,82*3*2+2,11*3*2)*2-(1,82*2,11*2+3,74*2,58)</t>
  </si>
  <si>
    <t>Será medido pela área de superfície preparada e pintada, deduzindo-se toda e qualquer interferência (m²).
O item remunera o fornecimento de selador de tinta para pintura com textura acrílica; revestimento texturizado 100% acrílico, sem agregados minerais, para uso interno ou externo, materiais acessórios; e a mão-de-obra necessária para os serviços de: limpeza, lixamento e remoção do pó; aplicação do revestimento texturizado acrílico, em uma demão, sem diluição do produto, conforme recomendações do fabricante.</t>
  </si>
  <si>
    <t>BANCADAS, PRATELEIRAS E DIVISÓRIAS</t>
  </si>
  <si>
    <t>Execução  de:</t>
  </si>
  <si>
    <t>180110</t>
  </si>
  <si>
    <t>Soleira ou peitoril de granito cinza andorinha e=2cm</t>
  </si>
  <si>
    <t>1*,2*2</t>
  </si>
  <si>
    <t xml:space="preserve">Será medido pela área da peça em granito a ser instalada (m²).
O item remunera o fornecimento de granito cinza andorinha com acabamento polido ou jateado na espessura de 2,0 cm; areia, cimento, cimento branco ou rejunte, materiais acessórios e a mão-de-obra necessária para o assentamento e rejuntamento do granito em soleiras e / ou peitoris, com largura até 20 cm; não remunera o preparo prévio da superfície. </t>
  </si>
  <si>
    <t>QUADRA</t>
  </si>
  <si>
    <t xml:space="preserve">Pintura com tinta a base epox em piso de quadra esportiva concreto 2 demãos </t>
  </si>
  <si>
    <t>(18,6+3,02)*(11,2+1,2+1,2)</t>
  </si>
  <si>
    <t>Áre de jogos da quadra</t>
  </si>
  <si>
    <t>Será medido pela área de superfície pintada, deduzindo-se toda e qualquer interferência (m²).
O item remunera o fornecimento de tinta à base epox, com alta resistência à abrasão, acabamento microtexturizado, lavável, resistente a água, alcalinidade, maresia e intempéries, materiais acessórios e a mão-de-obra necessária para a execução dos serviços de: limpeza da superfície, conforme recomendações do fabricante; aplicação da tinta epox, conforme especificações do fabricante; não remunera o preparo de base, quando necessário.</t>
  </si>
  <si>
    <t>Demarcação de quadra (tinta acrílica em piso para faixas de demarcação, com faixas de 5 cm e 8 cm de largura, aplicada com trincha)</t>
  </si>
  <si>
    <t>Será medido por comprimento de faixa de sinalização pintada (m).
O item remunera o fornecimento de tinta acrílica fosca de grande desempenho para pisos, várias cores, conforme especificações do fabricante, que confere um acabamento microtexturizado e antiderrapante com refletorização, materiais acessórios e a mão-de-obra necessária para o preparo de pavimento de concreto e a aplicação da tinta em faixas com até 8 cm de largura.</t>
  </si>
  <si>
    <t>Alambrados e portão</t>
  </si>
  <si>
    <t>O item remunera a execução de alambrado tubular em quadro para fechamento em geral, com altura determinada aferida na projeção vertical, não sendo considerada a altura do chumbamento em mureta, em (m)
 Constituído por:
A) Fornecimento e instalação de montantes verticais, em tubos de aço carbono SAE 1008 / 1010, galvanizados de acordo com norma ASTM A 513, com diâmetro externo de 2" e espessura de 2,25 mm, chumbados diretamente sobre mureta na profundidade média de 0,50 m e com espaçamento máximo de 2,40 m entre colunas;
B) Fornecimento e instalação de travamentos horizontais soldados aos montantes verticais, nas partes superior e inferior do alambrado, em tubos de aço carbono SAE 1008 / 1010, galvanizados de acordo com norma ASTM A 513, com diâmetro externo de 2" e espessura de 2,65 mm;
C) Fornecimento e instalação de tela, com malha ciclônica tipo "Q" conforme NBR / ABNT 10119 de 2" (50 x 50 mm) fio BWG 10 (3,40 mm), fabricada em fio de aço doce de acordo om a NBR / ABNT 5589 , com acabamento lateral de pontas dobradas, fixada por meio de cabos tensores e arames de amarração e de arame em fio de aço doce recozido e zincado bitola BWG 14 (2,11 mm) utilizado para amarração da tela aos montantes verticais e travamentos.
D) Remunera também o fornecimento de materiais e mão-de-obra necessária para: aplicação em uma demão de galvanização a frio, nos pontos de solda e / ou corte dos elementos que compõem o alambrado.
E) Não remunera os serviços de execução de base para fixação dos montantes.</t>
  </si>
  <si>
    <t>200201</t>
  </si>
  <si>
    <t>Alambrado para quadra esportiva com tela de arame galvanizado, fixada em quadros de tubos de aço galvanizado, h=1m</t>
  </si>
  <si>
    <t>Fechamento fundo do palco</t>
  </si>
  <si>
    <t>200202</t>
  </si>
  <si>
    <t>(28-4,7)*2+18+21,62*2-3,9-4,5+3,75+1,66</t>
  </si>
  <si>
    <t>Conforme projeto fechamento lateral e área de jogos</t>
  </si>
  <si>
    <t>200204</t>
  </si>
  <si>
    <t>Portão em tubo galvanizado de 1 1/2" com tela 2" fio 12 # 1/2" inclusive cadeado</t>
  </si>
  <si>
    <t>1,5*3,5*3+3*1,3*2,5+4,05*2,5*2</t>
  </si>
  <si>
    <t>Será medido por área de portão instalado (m²).
O item remunera o fornecimento e instalação de portão pivotante de uma ou duas folhas com altura até 2,50 m, constituído por: perfil tubular de aço carbono SAE 1008 / 1010 galvanizado
norma ASTM A 513, com diâmetro externo de 1 1/2" e espessura de 2,25 mm; requadro interno em barra chata de aço carbono SAE 1008 / 1012, de 3/4" x 3/16"; tela de 2" fio 12 #  1/2" , com acabamento de pontas dobradas; batentes; colunas; trinco e ferrolho com porta-cadeado. O item remunera também o fornecimento de materiais e mão-de-obra necessários para: aplicação em uma demão de galvanização a frio, nos pontos de solda e / ou corte dos elementos que compõem o portão, aplicação de zarcão e esmalte em duas demãos cada.</t>
  </si>
  <si>
    <t>200300</t>
  </si>
  <si>
    <t>Outros</t>
  </si>
  <si>
    <t>200301</t>
  </si>
  <si>
    <t xml:space="preserve">Equipamentos esportivos (volley, futsal, basquete) todos juntos </t>
  </si>
  <si>
    <t>CJ</t>
  </si>
  <si>
    <t>Será medido por conjunto de equipamentos  (cj).
O item remunera o fornecimento de equipamentos esportivos composto de:
A) Trave completa com rede, todos os materiais, equipamentos e mão-de-obra necessária para a execução dos serviços: execução de esperas para a fixação da trave, em tubo de PVC, com tampas removíveis em ferro galvanizado inclusive tubo dreno; fornecimento e instalação de trave removível, nas dimensões oficiais de 3 x 2 x 1 m, em tubo de aço galvanizado, providos de ganchos especiais para a fixação da rede, com acabamento em esmalte, fornecimento e instalação de rede para a trave em náilon, com malha de 10 x 10 cm, fio com espessura de 2 mm.
B) Tabela completa, com suporte para basquete com a sua respectiva rede, todos os materiais, equipamentos e mão-de-obra necessária para a execução de esperas para fixação do tubo de sustentação da tabela em tubo de PVC, com tampas removíveis em ferro galvanizado inclusive tubo dreno, fornecimento e instalação de tabela removível para basquete nas dimensões de 180 cm de comprimento por 120 cm de altura, e ter seu centro geométrico a 328 cm do piso acabado. A tabela é fixada ao poste de sustentação, o qual é encaixado nas esperas de PVC no piso, o suporte e tabela em aro duplo em aço, com diâmetro de 9,5 mm , com pintura a óleo sobre fundo antioxidante; cesto em malha de náilon, fio 2; pintura do fundo e das faixas da tabela à base de estireno butadieno.
C) Par de postes oficial completo com rede para voleibol, todos os materiais, equipamentos e mão-de-obra necessária para a execução dos serviços de esperas para a fixação dos postes, em tubo de PVC, com tampas removíveis em ferro galvanizado, inclusive tubo dreno; fornecimento e instalação de par de postes removíveis para voleibol, em tubo de aço galvanizado, diâmetro de 3", providos de ganchos especiais para a fixação da rede, roldana e carretilha, com acabamento em esmalte, fornecimento e instalação de rede para voleibol de  náilon, com malha de 10 x 10 cm, fio com espessura de 2 mm, com acabamento nos quatro lados em lona.</t>
  </si>
  <si>
    <t>200302</t>
  </si>
  <si>
    <t>Colchão de brita (lastro de brita 3 e 4 apiloado manualmente com maço de 30kg)</t>
  </si>
  <si>
    <t>(18,6+3,02)*(11,2+1,2+1,2)*0,05</t>
  </si>
  <si>
    <t xml:space="preserve">Área de jogos </t>
  </si>
  <si>
    <t>Será medido pelo volume acabado, na espessura mínima de 5 cm (m³):
O item remunera o fornecimento de pedra britada em números médios e a mão-de-obra necessária para o apiloamento do terreno e execução do lastro. Remunera também  o fornecimento de lona plástica preta e a mão-de-obra necessária para a aplicação da lona na área do piso coberto pelo colchão de brita.</t>
  </si>
  <si>
    <t>200304</t>
  </si>
  <si>
    <t>Armadura de tela de aço CA 60B (tela de aço CA 60 soldada com trama de 100x100mm D=4,20mm do fio e arrame recozido) OBS: 2,20KG/M2</t>
  </si>
  <si>
    <t>(18,6+3,02)*(11,2+1,2+1,2)*2,2</t>
  </si>
  <si>
    <t>Laje de piso da quadra</t>
  </si>
  <si>
    <t>Será medido pelo peso nominal das telas constantes no projeto de armadura (kg).
O item remunera o fornecimento de tela soldada em aço CA-60B com trama 100 x 100mm tipo Q138, transporte e colocação; estão incluídos no item os serviços e materiais secundários como arame, espaçadores, emendas e perdas por desbitolamento, cortes e pontas de traspasse para emendas.</t>
  </si>
  <si>
    <t>200305</t>
  </si>
  <si>
    <t>Concreto fck=25Mpa, e=8cm lançado em piso de quadra, executado em etapa única, para polimento mecânico, inclusive com juntas ou cortes em placas não maiores que 4,0 m2 e polimento mecânico superficial</t>
  </si>
  <si>
    <t>(18,6+3,02)*(11,2+1,2+1,2)*0,08</t>
  </si>
  <si>
    <t>Laje de piso da quada</t>
  </si>
  <si>
    <t>Será medido pelo volume calculado no projeto de formas, sendo que o volume da interseção dos diversos elementos estruturais deve ser computado uma só vez (m³).
O item remunera o fornecimento e lançamento de concreto usinado com resistência mínima à compressão de 25 Mpa, o adensamento através de vibradores de imersão e réguas vibradoras e o desempeno utilizando desempenadeiras mecânicas, o requadro em forma de juntas serradas e de construção, remunera também a aspersão contínua de água nas horas subseqüentes à concretagem e durante os 14 dias seguintes e o corte das juntas de dilatação que será executado com serra mecânica provida de disco diamantado com a profundidade do corte de no máximo 3 cm e o fornecimento e instalação de formas e barras de tranferência.</t>
  </si>
  <si>
    <t>200308</t>
  </si>
  <si>
    <t>Tela de nylon (malha 10 X 10 cm)</t>
  </si>
  <si>
    <t>18*28+4,78*2,22</t>
  </si>
  <si>
    <t>Proteção reservatório superior e sob toda a área de projeção de cobertura para proteger refletores e telhas</t>
  </si>
  <si>
    <t>Será medido pela área instalada (m²).
O item remunera o fornecimento e instalação de tela de náilon, com malha de 10 x 10 cm, fio com espessura de 2 mm na cor verde. remunera também acessórios para instalação.</t>
  </si>
  <si>
    <t>200403</t>
  </si>
  <si>
    <t xml:space="preserve">Estrutura de aço para cobertura em arco, espaçamento entre arcos de 6,0 m, vão de 30,0 m, em aço  A 36, inclusive montagem </t>
  </si>
  <si>
    <t>18*28</t>
  </si>
  <si>
    <t>Será medido pela projeção horizontal da cobertura em arco com 5m entre arcos e vão de 20 m (m²).
O item remunera o fornecimento de estrutura metálica em aço ASTM-A36 de todos elementos necessários para estrutura da cobertura como pilares, vigas de apoio, terças etc., incluindo chapas de ligação, soldas, parafusos galvanizados, chumbadores, perdas e acessórios, beneficiamento e pré-montagem de partes da estrutura em fábrica ou canteiro, transporte e descarregamento, traslado interno à obra, montagem e instalação completa se todos elementos necessários ,  remunera também o preparo da superfície das peças por meio da utilização de Zarcão e a execução de serviços como a limpeza da superfície,  lixamento final, remoção do pó e a aplicação em duas demãos de esmalte.</t>
  </si>
  <si>
    <t>200404</t>
  </si>
  <si>
    <t>Cobertura em telhas de aço galvanizado, perfil ondulado, esp.  0,5 mm</t>
  </si>
  <si>
    <t>18*28*1,034+28*2*2+18*3,1*2</t>
  </si>
  <si>
    <t>área de projeção da quadra mais empenas mais saias</t>
  </si>
  <si>
    <t>Será medido pela área, de projeção horizontal, da cobertura executada (m²).
O item remunera o fornecimento e instalação das telhas em chapa de aço galvanizado, perfil ondulado, com no mínimo 0,5mm de espessura, em qualquer comprimento, materiais acessórios para a fixação das telhas, em estrutura, de apoio, metálica, ou de madeira, costura, fechamento e vedação entre as telhas e a mão-de-obra necessária para o transporte interno à obra, içamento e a montagem completa das telhas, em coberturas com curvatura.</t>
  </si>
  <si>
    <t>230000</t>
  </si>
  <si>
    <t>LIMPEZA</t>
  </si>
  <si>
    <t>230100</t>
  </si>
  <si>
    <t>Limpeza:</t>
  </si>
  <si>
    <t>230101</t>
  </si>
  <si>
    <t>Limpeza Geral da edificação</t>
  </si>
  <si>
    <t>Será medido pela área, na projeção horizontal, de obra limpa (m²).
O item remunera o fornecimento do material e a mão-de-obra necessários para a limpeza geral de pisos, paredes, vidros, áreas externas, bancadas, louças, metais, etc., removendo-se  materiais  excedentes e resíduos de sujeiras, deixando a obra pronta para a utilização.</t>
  </si>
  <si>
    <t>230201</t>
  </si>
  <si>
    <t>Transporte e carga manual de material a granel (ou demolição) até a caçamba em até 100m</t>
  </si>
  <si>
    <t>240000</t>
  </si>
  <si>
    <t>LEVANTAMENTOS, E PROJETOS</t>
  </si>
  <si>
    <t>240100</t>
  </si>
  <si>
    <t>Levantamento planialtimétrico e cadastral, urbano, suburbano e rural</t>
  </si>
  <si>
    <t>Será medido por área de levantamento planialtimétrico e cadastral executado (un).
O item remunera o fornecimento da mão-de-obra qualificada necessária para a execução de levantamento planialtimétrico e cadastral em áreas urbanas e suburbanas até 2.000m², destinado à regularização, projetos viários e de infra-estrutura e urbanização, compreendendo: o detalhamento de divisas de gleba principal, sistema viário, quadras, áreas livres e institucionais, lotes, edificações, postes de rede pública de eletrificação, tampões com as respectivas identificações, guias, sarjetas, muro de arrimo, taludes e a elaboração das peças gráficas pertinentes. De acordo com a norma NBR 13.133/94 e lei federal 10.267/01, também remunera o fornecimento de projeto planialtimétrico, contendo todas as informações e detalhes levantados de acordo com o padrão da Secretaria Estadual de Educação (SEE MG), inclusive respectivo memorial descritivo. O projeto deverá ser constituído por: peças gráficas no formato A1 e devem seguir as seguintes premissas:
Os produtos gráficos deverão ser desenvolvidos por meio do software "AUTOCAD" versão 2000 ou posterior e apresentados da seguinte forma:
- Apresentações parciais na forma de projeto básico, em papel sulfite, para ajustes e liberação pela Diretoria de Rede Física das Regionais, para a execução do projeto executivo;
- A entrega do projeto final, devidamente aprovado pela Diretoria de Rede Física das Regionais, deverá ser constituída por: duas cópias plotadas em papel sulfite; uma cópia do arquivo eletrônico com extensão "dwg" em "compact disc" (CD Rom).
-  A entrega do memorial descritivo em formato "doc" ou "docx" no mesmo DR Rom dos arquivos de projeto.</t>
  </si>
  <si>
    <t>240101</t>
  </si>
  <si>
    <t>Levantamento planialtimétrico e cadastral, urbano, suburbano e rural em terreno até 2.000 m²</t>
  </si>
  <si>
    <t>240200</t>
  </si>
  <si>
    <t>Projetos</t>
  </si>
  <si>
    <t>Será medido por unidade de desenho fornecido e aprovado pela fiscalização ou terceiros conforme o caso (un).
O item remunera o fornecimento de projeto, contendo todas as informações e detalhes construtivos, para a execução completa da obra de acordo com o padrão da Secretaria Estadual de Educação (SEE MG), inclusive a concessão dos direitos autorais referentes ao projeto para a Caixa Escolar. O projeto deverá ser constituído por: peças gráficas no formato A1; relatórios contendo as premissas de projeto; especificações técnicas; memoriais descritivos, listas de quantidade e memórias de cálculo pertinentes. Apresentados conforme relação abaixo:
A) Os produtos gráficos deverão ser desenvolvidos por meio do software "AUTOCAD" versão 2000 ou posterior e apresentados da seguinte forma:
- Apresentações parciais na forma de projeto básico, em papel sulfite, para ajustes e liberação pela Diretoria de Rede Física das Regionais, para a execução do projeto executivo;
- A entrega do projeto executivo de arquitetura, devidamente aprovado pela Diretoria de Rede Física das Regionais, deverá ser constituída por: duas cópias plotadas em papel sulfite; uma cópia do arquivo eletrônico com extensão "dwg" em "compact disc" (CD Rom).
B) Os relatórios, as especificações técnicas, os memoriais descritivos, lista de quantidades e as memórias de cálculo pertinentes contendo as premissas de projeto deverão ser desenvolvidas por meio dos softwares "WINWORD", ou "EXCEL" e apresentados da seguinte forma:
- Duas cópias completas no formato A4, em papel sulfite, encadernadas;
- Os arquivos eletrônicos com extensão "doc" ou "xls",em "compact disc" (CD Rom ).</t>
  </si>
  <si>
    <t>240201</t>
  </si>
  <si>
    <t>Projeto executivo de arquitetura em formato A1</t>
  </si>
  <si>
    <t>240202</t>
  </si>
  <si>
    <t>Projeto executivo de instalações hidrosanitárias em formato A1</t>
  </si>
  <si>
    <t>240203</t>
  </si>
  <si>
    <t>Projeto executivo de instalações elétricas em formato A1</t>
  </si>
  <si>
    <t>240206</t>
  </si>
  <si>
    <t>Projeto executivo e estrutural de estrutura de concreto</t>
  </si>
  <si>
    <t>240207</t>
  </si>
  <si>
    <t>Projeto executivo e estrutural de estrutura metálica</t>
  </si>
  <si>
    <t>240209</t>
  </si>
  <si>
    <t xml:space="preserve">Projeto executivo de drenagem pluvial </t>
  </si>
  <si>
    <t>260000</t>
  </si>
  <si>
    <t>OUTROS</t>
  </si>
  <si>
    <t>SETOP 
ED-50734</t>
  </si>
  <si>
    <t>Friso de alumínio anodizado natural 3/8”(uso interno)</t>
  </si>
  <si>
    <t>4,26+0,36+2,18</t>
  </si>
  <si>
    <t>Alvenaria de fechamento superior na laje de cobertura das instalações sanitárias</t>
  </si>
  <si>
    <t>TOTAL CUSTO =</t>
  </si>
  <si>
    <t>BDI PROJETO =</t>
  </si>
  <si>
    <t xml:space="preserve">BDI OBRA = </t>
  </si>
  <si>
    <t xml:space="preserve">TOTAL GERAL = </t>
  </si>
  <si>
    <t xml:space="preserve">QUANDO DA CELEBRAÇÃO DO CONTRATO ASSEGURAR QUE A EMPRESA TENHA EM SEU PODER CÓPIA DO CADERNO DE ESPECIFICAÇÕES                  </t>
  </si>
  <si>
    <t>BASE                                                                                           SETOP, SIDECAP, PINI, ORSE,SINAPI  JUN/22</t>
  </si>
  <si>
    <t>REV00   MAI/23</t>
  </si>
  <si>
    <t>Data da elaboração:</t>
  </si>
  <si>
    <t>CRONOGRAMA FÍSICO-FINANCEIRO</t>
  </si>
  <si>
    <t>VALOR</t>
  </si>
  <si>
    <t>VALOR + BDI</t>
  </si>
  <si>
    <t>% INC.</t>
  </si>
  <si>
    <t>30 DIAS</t>
  </si>
  <si>
    <t>60 DIAS</t>
  </si>
  <si>
    <t>90 DIAS</t>
  </si>
  <si>
    <t>120 DIAS</t>
  </si>
  <si>
    <t>150 DIAS</t>
  </si>
  <si>
    <t>180 DIAS</t>
  </si>
  <si>
    <t>210 DIAS</t>
  </si>
  <si>
    <t>240 DIAS</t>
  </si>
  <si>
    <t>270 DIAS</t>
  </si>
  <si>
    <t>300 DIAS</t>
  </si>
  <si>
    <t>330 DIAS</t>
  </si>
  <si>
    <t>%</t>
  </si>
  <si>
    <t>TOTAL MENSAL</t>
  </si>
  <si>
    <t>TOTAL ACUMULADO</t>
  </si>
  <si>
    <t>MACROETAPA</t>
  </si>
  <si>
    <t>DURAÇÃO
EM DIAS</t>
  </si>
  <si>
    <t>DESEMBOLSO
DA ATIVIDADE</t>
  </si>
  <si>
    <t xml:space="preserve">ESCOLA: CENTRO MUNICIPAL DE EDUCAÇÃO INFANTIL DR. JOSÉ MONTEIRO DA CUNHA MAGALHÃES                                                                                                                                                   </t>
  </si>
  <si>
    <r>
      <t>Armadura de aço, CA 50, corte e dobra no canteiro</t>
    </r>
    <r>
      <rPr>
        <sz val="12"/>
        <rFont val="Calibri"/>
        <family val="2"/>
      </rPr>
      <t xml:space="preserve">                                                                                                                    </t>
    </r>
  </si>
  <si>
    <r>
      <t>Isolado de PVC seção 2,5 mm</t>
    </r>
    <r>
      <rPr>
        <b/>
        <vertAlign val="superscript"/>
        <sz val="12"/>
        <rFont val="Calibri"/>
        <family val="2"/>
      </rPr>
      <t xml:space="preserve">2 </t>
    </r>
  </si>
  <si>
    <r>
      <t>Isolado de PVC seção 4,0 mm</t>
    </r>
    <r>
      <rPr>
        <b/>
        <vertAlign val="superscript"/>
        <sz val="12"/>
        <rFont val="Calibri"/>
        <family val="2"/>
      </rPr>
      <t>2</t>
    </r>
  </si>
  <si>
    <r>
      <t>Isolado em PVC seção 10 mm</t>
    </r>
    <r>
      <rPr>
        <b/>
        <vertAlign val="superscript"/>
        <sz val="12"/>
        <rFont val="Calibri"/>
        <family val="2"/>
      </rPr>
      <t>2</t>
    </r>
  </si>
  <si>
    <r>
      <t>Quadro de distribuição de luz em</t>
    </r>
    <r>
      <rPr>
        <b/>
        <u/>
        <sz val="12"/>
        <rFont val="Calibri"/>
        <family val="2"/>
      </rPr>
      <t xml:space="preserve"> </t>
    </r>
    <r>
      <rPr>
        <b/>
        <i/>
        <sz val="12"/>
        <rFont val="Calibri"/>
        <family val="2"/>
      </rPr>
      <t>chapa de aço de sobrepor ou embutir, até 20 divisões modulares</t>
    </r>
  </si>
  <si>
    <r>
      <t>Alambrado para quadra esportiva com tela de arame galvanizado</t>
    </r>
    <r>
      <rPr>
        <b/>
        <i/>
        <u/>
        <sz val="12"/>
        <rFont val="Calibri"/>
        <family val="2"/>
      </rPr>
      <t xml:space="preserve"> </t>
    </r>
    <r>
      <rPr>
        <b/>
        <sz val="12"/>
        <rFont val="Calibri"/>
        <family val="2"/>
      </rPr>
      <t>, fixada em quadros de tubos de aço galvanizado, h=2m</t>
    </r>
  </si>
  <si>
    <r>
      <t>M</t>
    </r>
    <r>
      <rPr>
        <vertAlign val="superscript"/>
        <sz val="12"/>
        <rFont val="Calibri"/>
        <family val="2"/>
      </rPr>
      <t>2</t>
    </r>
  </si>
  <si>
    <r>
      <t>M</t>
    </r>
    <r>
      <rPr>
        <vertAlign val="superscript"/>
        <sz val="12"/>
        <rFont val="Calibri"/>
        <family val="2"/>
      </rPr>
      <t>3</t>
    </r>
  </si>
  <si>
    <t>V. CONTRATADO</t>
  </si>
  <si>
    <t>V. EXECUTADO (1ª empresa)</t>
  </si>
  <si>
    <t xml:space="preserve">A SER EXECUTADO </t>
  </si>
  <si>
    <t>PREÇO UNIT.</t>
  </si>
  <si>
    <t>V. CONVÊNIO</t>
  </si>
  <si>
    <t>UN.</t>
  </si>
  <si>
    <t>V. A SER EXCUTAR/ATUALIZADO</t>
  </si>
  <si>
    <t>TOTAL GERAL</t>
  </si>
  <si>
    <r>
      <t>TOTAL OBRA</t>
    </r>
    <r>
      <rPr>
        <b/>
        <sz val="12"/>
        <rFont val="Calibri"/>
        <family val="2"/>
      </rPr>
      <t xml:space="preserve"> (valor executado + valor a ser executado atualizado)</t>
    </r>
  </si>
  <si>
    <r>
      <t>Alambrado para quadra esportiva com tela de arame galvanizado</t>
    </r>
    <r>
      <rPr>
        <b/>
        <i/>
        <u/>
        <sz val="12"/>
        <rFont val="Calibri"/>
        <family val="2"/>
      </rPr>
      <t xml:space="preserve"> </t>
    </r>
    <r>
      <rPr>
        <b/>
        <sz val="12"/>
        <rFont val="Calibri"/>
        <family val="2"/>
      </rPr>
      <t>, fixada em quadros de tubos de aço galvanizado, h=2m</t>
    </r>
  </si>
  <si>
    <t>-</t>
  </si>
  <si>
    <t xml:space="preserve">ESCOLA: CENTRO MUNICIPAL DE EDUCAÇÃO INFANTIL DR. JOSÉ MONTEIRO DA CUNHA MAGALHÃES                                                                                                                                            </t>
  </si>
  <si>
    <t>TERMO DE CONVÊNIO Nº: 1261001375/2021</t>
  </si>
  <si>
    <t>SERVIÇOS: CONSTRUÇÃO DE QUADRA POLIESPORTIVA</t>
  </si>
  <si>
    <t>BASE: SETOP, SIDECAP, PINI, ORSE, SINAPI - JUN/22</t>
  </si>
  <si>
    <t>REV00 MAI/23</t>
  </si>
  <si>
    <r>
      <t xml:space="preserve">Nome do técnico responsável pela elaboração da planilha: </t>
    </r>
    <r>
      <rPr>
        <sz val="12"/>
        <rFont val="Calibri"/>
        <family val="2"/>
      </rPr>
      <t xml:space="preserve">Lúcio Mendes                     </t>
    </r>
    <r>
      <rPr>
        <b/>
        <sz val="12"/>
        <rFont val="Calibri"/>
        <family val="2"/>
      </rPr>
      <t xml:space="preserve">              </t>
    </r>
  </si>
  <si>
    <r>
      <t xml:space="preserve">Nome do representante legal: </t>
    </r>
    <r>
      <rPr>
        <sz val="12"/>
        <rFont val="Calibri"/>
        <family val="2"/>
      </rPr>
      <t xml:space="preserve">Epaminondas Pires de Miranda        </t>
    </r>
    <r>
      <rPr>
        <b/>
        <sz val="12"/>
        <rFont val="Calibri"/>
        <family val="2"/>
      </rPr>
      <t xml:space="preserve">            </t>
    </r>
  </si>
  <si>
    <r>
      <t>CREA/CAU/CFT:</t>
    </r>
    <r>
      <rPr>
        <sz val="12"/>
        <rFont val="Calibri"/>
        <family val="2"/>
      </rPr>
      <t xml:space="preserve"> 92.287/D</t>
    </r>
  </si>
  <si>
    <t xml:space="preserve">MUNICÍPIO:  DISTRITO DE PEDRO LESSA, SERRO/MG                                                                                                                                                       </t>
  </si>
  <si>
    <t>EXECUTADO</t>
  </si>
  <si>
    <r>
      <t xml:space="preserve">Nome do técnico responsável pela elaboração da planilha: </t>
    </r>
    <r>
      <rPr>
        <sz val="12"/>
        <rFont val="Calibri"/>
        <family val="2"/>
      </rPr>
      <t xml:space="preserve">Lúcio Mendes         </t>
    </r>
    <r>
      <rPr>
        <b/>
        <sz val="12"/>
        <rFont val="Calibri"/>
        <family val="2"/>
      </rPr>
      <t xml:space="preserve">                          </t>
    </r>
  </si>
  <si>
    <r>
      <t xml:space="preserve">Nome do representante legal: </t>
    </r>
    <r>
      <rPr>
        <sz val="12"/>
        <rFont val="Calibri"/>
        <family val="2"/>
      </rPr>
      <t xml:space="preserve">Epaminondas Pires de Miranda     </t>
    </r>
    <r>
      <rPr>
        <b/>
        <sz val="12"/>
        <rFont val="Calibri"/>
        <family val="2"/>
      </rPr>
      <t xml:space="preserve">                               </t>
    </r>
  </si>
  <si>
    <r>
      <t xml:space="preserve">CREA/CAU/CFT: </t>
    </r>
    <r>
      <rPr>
        <sz val="12"/>
        <rFont val="Calibri"/>
        <family val="2"/>
      </rPr>
      <t>92.287/D</t>
    </r>
  </si>
  <si>
    <t xml:space="preserve">ESCOLA: CENTRO MUNICIPAL DE EDUCAÇÃO INFANTIL DR. JOSÉ MONTEIRO DA CUNHA MAGALHÃES                                                                                                                                 </t>
  </si>
  <si>
    <t xml:space="preserve">MUNICÍPIO:  DISTRITO DE PEDRO LESSA, SERRO/MG                                                                                                                                                  </t>
  </si>
  <si>
    <t>28*18 - 504,00</t>
  </si>
  <si>
    <t>1,00 - 1,00</t>
  </si>
  <si>
    <t>31*21+3*3 - 660,00</t>
  </si>
  <si>
    <t>3,3*3,3 - 10,89</t>
  </si>
  <si>
    <t>(31*1,5*2*0,05+18*2*0,05+(2,35+1,36)*1,36*0,25+3,89*1,36*0,44) - 10,04</t>
  </si>
  <si>
    <t>(28*0,25*0,46*2+18*0,25*0,46*2+(18,6+3,02)*0,25*0,46*2+(4,46+2,25+2,41+2,25+2,41+0,2)*0,25*0,46+0,4*0,25*0,46*2+15,4*0,25*0,46*2+1,1*0,25*0,4*2+(3,75+1,66)*0,25*0,46+(2,58+3,74)*0,25*0,46+1,24*0,25*0,46+4,7*0,25*0,46+(2,11*2+0,18*3)*0,25*0,46+1,82*0,25*0,46+0,75*0,75*0,8*14+0,45*0,45*0,46*15) - 31,5</t>
  </si>
  <si>
    <t>3,14*1,3*1,3*1,7 - 9,02</t>
  </si>
  <si>
    <t>(28*0,05*0,4*2+18*0,05*0,4*2+(18,6+3,02)*0,05*0,4*2+(4,46+2,25+2,41+2,25+2,41+0,2)*0,05*0,4+0,4*0,05*0,4*2+15,4*0,05*0,4*2+1,1*0,05*0,4*2+(3,75+1,66)*0,05*0,4+(2,58+3,74)*0,05*0,4+1,24*0,05*0,4+4,7*0,05*0,4+(2,11*2+0,18*3)*0,05*0,4+1,82*0,05*0,4+14*0,05*0,05*0,7+15*0,05*0,05*0,4) - 4,18</t>
  </si>
  <si>
    <t>3,14*0,7*0,7/4*2*14 - 10,77</t>
  </si>
  <si>
    <t>33,8*35 - 1086,60</t>
  </si>
  <si>
    <t>(28*0,4*4+18*0,4*4+21,62*0,4*4+(3,75+1,66)*0,4*2+15,4*0,4*6+(3,74+2,58)*0,4*2+1,24*0,4*2+4,7*0,4*2+1,82*0,4*2+4,22*0,4*2+0,7*0,4*4*14+15*0,4*4)-157,88</t>
  </si>
  <si>
    <t>3,14*1,3*1,3*0,08-0,42</t>
  </si>
  <si>
    <t>(28*0,2*0,4*2+18*0,2*0,4*2+(18,6+3,02)*0,2*0,4*2+(4,46+2,25+2,41+2,25+2,41+0,2)*0,2*0,4+0,4*0,2*0,4*2+15,4*0,2*0,4*2+1,1*0,2*0,4*2+(3,75+1,66)*0,2*0,4+(2,58+3,74)*0,2*0,4+1,24*0,2*0,4+4,7*0,2*0,4+(2,11*2+0,18*3)*0,2*0,4+1,82*0,2*0,4+10,77+14*0,7*0,7*0,8+15*0,4*0,4*0,4)-33,80</t>
  </si>
  <si>
    <t>51,00 - 51,00</t>
  </si>
  <si>
    <t>(0,15*0,15*1,5*16+22*0,15*0,15*0,5+0,18*0,2*6*3+0,2*0,2*4*3+0,15*0,15*10*0,5+5*0,15*0,15*1+1,3*1,3*0,08*3,14)-1,95</t>
  </si>
  <si>
    <t>((28-4,7)*2*1,5+18*1,5+18*3+21,62*0,5*2+(3,75+1,66)*0,5+15,8*0,5+0,4*0,5*2+15,8*0,5+15,8*1+2,58*3+4,7*3*3+3,74*2,5+(4,22+0,56)*0,3+1,82*3+1,1*1*2-1,6*2*1,5+8,24*0,5+4,78*1+2,02*1)-231,05</t>
  </si>
  <si>
    <t>((28-4,7-1,6)*1,5*4+18*3+18*1,5*2+21,62*4*0,5+(3,75+1,66)*0,5*2+2,58*3+2,58*2,5*2+4,5*4*3+3,74*2,35*2+1,24*2,5+8,24*0,52+4,7*2*3+4,78*3*3+1,82*4+4,78*1,82+3,74*2,58-1,6*1,5+4,78*1+2,02*1)-23,96</t>
  </si>
  <si>
    <t>18*28 -504,00</t>
  </si>
  <si>
    <t>2,00 - 2,00</t>
  </si>
  <si>
    <t>A EXECUTAR
(ATUALIZADO)</t>
  </si>
  <si>
    <t>EXECUTADO + A EXECUTAR</t>
  </si>
  <si>
    <r>
      <t>NOME DO TÉCNICO RESPONSÁVEL PELA ELABORAÇÃO DA PLANILHA: LÚCIO MENDES</t>
    </r>
    <r>
      <rPr>
        <b/>
        <sz val="10"/>
        <rFont val="Calibri"/>
        <family val="2"/>
      </rPr>
      <t xml:space="preserve">                          </t>
    </r>
  </si>
  <si>
    <r>
      <t>NOME DO REPRESENTANTE LEGAL: EPAMINONDAS PIRES DE MIRANDA</t>
    </r>
    <r>
      <rPr>
        <b/>
        <sz val="10"/>
        <rFont val="Calibri"/>
        <family val="2"/>
      </rPr>
      <t xml:space="preserve">                      </t>
    </r>
  </si>
  <si>
    <t>CREA/CAU/CFT: 92.287/D</t>
  </si>
  <si>
    <t>DATA DE ELABORAÇÃO: 05/02/2025</t>
  </si>
  <si>
    <t>ENDEREÇO: RUA GERALDO AUGUSTO DE ALMEIDA, S/N, DISTRITO DE PEDRO LESSA - SERRO/MG</t>
  </si>
  <si>
    <t>% EXECUTADO</t>
  </si>
  <si>
    <t xml:space="preserve">A EXECUTAR </t>
  </si>
  <si>
    <t>DATA DE ELABORAÇÃO: 18/02/2025</t>
  </si>
  <si>
    <t>A EXECUTAR</t>
  </si>
  <si>
    <t>BASE:  SETOP, SINAPI, PINI, ORSE, SUDECAP- JUN/2022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</si>
</sst>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quot;R$&quot;* #,##0.00_-;\-&quot;R$&quot;* #,##0.00_-;_-&quot;R$&quot;* &quot;-&quot;??_-;_-@_-"/>
    <numFmt numFmtId="165" formatCode="_(* #,##0.00_);_(* \(#,##0.00\);_(* \-??_);_(@_)"/>
    <numFmt numFmtId="166" formatCode="#,##0.00\ ;&quot; (&quot;#,##0.00\);&quot; -&quot;#\ ;@\ "/>
    <numFmt numFmtId="167" formatCode="0.00_);\(0.00\)"/>
    <numFmt numFmtId="168" formatCode="dd/mm/yy;@"/>
  </numFmts>
  <fonts count="32" x14ac:knownFonts="1">
    <font>
      <sz val="11"/>
      <color indexed="8"/>
      <name val="Calibri"/>
      <family val="2"/>
    </font>
    <font>
      <b/>
      <sz val="9"/>
      <name val="Arial"/>
      <family val="2"/>
    </font>
    <font>
      <b/>
      <sz val="10"/>
      <name val="Arial"/>
      <family val="2"/>
    </font>
    <font>
      <sz val="11"/>
      <name val="Calibri"/>
      <family val="2"/>
    </font>
    <font>
      <b/>
      <sz val="11"/>
      <name val="Calibri"/>
      <family val="2"/>
    </font>
    <font>
      <b/>
      <sz val="12"/>
      <name val="Calibri"/>
      <family val="2"/>
    </font>
    <font>
      <sz val="10"/>
      <name val="Arial"/>
      <family val="2"/>
    </font>
    <font>
      <sz val="11"/>
      <color indexed="8"/>
      <name val="Calibri"/>
      <family val="2"/>
    </font>
    <font>
      <sz val="12"/>
      <name val="Calibri"/>
      <family val="2"/>
    </font>
    <font>
      <b/>
      <u/>
      <sz val="12"/>
      <name val="Calibri"/>
      <family val="2"/>
    </font>
    <font>
      <b/>
      <vertAlign val="superscript"/>
      <sz val="12"/>
      <name val="Calibri"/>
      <family val="2"/>
    </font>
    <font>
      <b/>
      <i/>
      <sz val="12"/>
      <name val="Calibri"/>
      <family val="2"/>
    </font>
    <font>
      <b/>
      <i/>
      <u/>
      <sz val="12"/>
      <name val="Calibri"/>
      <family val="2"/>
    </font>
    <font>
      <vertAlign val="superscript"/>
      <sz val="12"/>
      <name val="Calibri"/>
      <family val="2"/>
    </font>
    <font>
      <sz val="12"/>
      <color indexed="8"/>
      <name val="Calibri"/>
      <family val="2"/>
    </font>
    <font>
      <sz val="12"/>
      <color indexed="53"/>
      <name val="Calibri"/>
      <family val="2"/>
    </font>
    <font>
      <b/>
      <sz val="11"/>
      <color indexed="8"/>
      <name val="Calibri"/>
      <family val="2"/>
    </font>
    <font>
      <b/>
      <sz val="12"/>
      <name val="Calibri"/>
      <family val="2"/>
      <scheme val="minor"/>
    </font>
    <font>
      <sz val="12"/>
      <name val="Calibri"/>
      <family val="2"/>
      <scheme val="minor"/>
    </font>
    <font>
      <b/>
      <sz val="12"/>
      <color indexed="8"/>
      <name val="Calibri"/>
      <family val="2"/>
      <scheme val="minor"/>
    </font>
    <font>
      <b/>
      <u/>
      <sz val="12"/>
      <name val="Calibri"/>
      <family val="2"/>
      <scheme val="minor"/>
    </font>
    <font>
      <b/>
      <sz val="12"/>
      <color indexed="10"/>
      <name val="Calibri"/>
      <family val="2"/>
      <scheme val="minor"/>
    </font>
    <font>
      <sz val="12"/>
      <color indexed="8"/>
      <name val="Calibri"/>
      <family val="2"/>
      <scheme val="minor"/>
    </font>
    <font>
      <sz val="12"/>
      <color indexed="53"/>
      <name val="Calibri"/>
      <family val="2"/>
      <scheme val="minor"/>
    </font>
    <font>
      <b/>
      <sz val="12"/>
      <color theme="1"/>
      <name val="Calibri"/>
      <family val="2"/>
      <scheme val="minor"/>
    </font>
    <font>
      <sz val="11"/>
      <color indexed="8"/>
      <name val="Calibri"/>
      <family val="2"/>
      <scheme val="minor"/>
    </font>
    <font>
      <b/>
      <sz val="10"/>
      <name val="Calibri"/>
      <family val="2"/>
      <scheme val="minor"/>
    </font>
    <font>
      <sz val="10"/>
      <name val="Calibri"/>
      <family val="2"/>
      <scheme val="minor"/>
    </font>
    <font>
      <sz val="10"/>
      <color indexed="8"/>
      <name val="Calibri"/>
      <family val="2"/>
      <scheme val="minor"/>
    </font>
    <font>
      <b/>
      <sz val="10"/>
      <name val="Calibri"/>
      <family val="2"/>
    </font>
    <font>
      <b/>
      <sz val="10"/>
      <color indexed="8"/>
      <name val="Calibri"/>
      <family val="2"/>
      <scheme val="minor"/>
    </font>
    <font>
      <sz val="8"/>
      <name val="Calibri"/>
      <family val="2"/>
    </font>
  </fonts>
  <fills count="10">
    <fill>
      <patternFill patternType="none"/>
    </fill>
    <fill>
      <patternFill patternType="gray125"/>
    </fill>
    <fill>
      <patternFill patternType="solid">
        <fgColor indexed="55"/>
        <bgColor indexed="22"/>
      </patternFill>
    </fill>
    <fill>
      <patternFill patternType="solid">
        <fgColor indexed="22"/>
        <bgColor indexed="55"/>
      </patternFill>
    </fill>
    <fill>
      <patternFill patternType="solid">
        <fgColor theme="0"/>
        <bgColor indexed="64"/>
      </patternFill>
    </fill>
    <fill>
      <patternFill patternType="solid">
        <fgColor theme="2"/>
        <bgColor indexed="26"/>
      </patternFill>
    </fill>
    <fill>
      <patternFill patternType="solid">
        <fgColor theme="2"/>
        <bgColor indexed="64"/>
      </patternFill>
    </fill>
    <fill>
      <patternFill patternType="solid">
        <fgColor theme="0"/>
        <bgColor indexed="26"/>
      </patternFill>
    </fill>
    <fill>
      <patternFill patternType="solid">
        <fgColor theme="2"/>
        <bgColor indexed="55"/>
      </patternFill>
    </fill>
    <fill>
      <patternFill patternType="solid">
        <fgColor theme="0" tint="-0.249977111117893"/>
        <bgColor indexed="64"/>
      </patternFill>
    </fill>
  </fills>
  <borders count="106">
    <border>
      <left/>
      <right/>
      <top/>
      <bottom/>
      <diagonal/>
    </border>
    <border>
      <left style="thin">
        <color indexed="8"/>
      </left>
      <right style="thin">
        <color indexed="8"/>
      </right>
      <top style="thin">
        <color indexed="8"/>
      </top>
      <bottom style="thin">
        <color indexed="8"/>
      </bottom>
      <diagonal/>
    </border>
    <border>
      <left style="medium">
        <color indexed="8"/>
      </left>
      <right style="thin">
        <color indexed="8"/>
      </right>
      <top style="thin">
        <color indexed="8"/>
      </top>
      <bottom style="thin">
        <color indexed="8"/>
      </bottom>
      <diagonal/>
    </border>
    <border>
      <left/>
      <right style="medium">
        <color indexed="8"/>
      </right>
      <top/>
      <bottom/>
      <diagonal/>
    </border>
    <border>
      <left style="medium">
        <color indexed="8"/>
      </left>
      <right style="thin">
        <color indexed="8"/>
      </right>
      <top style="thin">
        <color indexed="8"/>
      </top>
      <bottom/>
      <diagonal/>
    </border>
    <border>
      <left style="thin">
        <color indexed="8"/>
      </left>
      <right style="thin">
        <color indexed="8"/>
      </right>
      <top style="thin">
        <color indexed="8"/>
      </top>
      <bottom/>
      <diagonal/>
    </border>
    <border>
      <left style="medium">
        <color indexed="8"/>
      </left>
      <right style="thin">
        <color indexed="8"/>
      </right>
      <top/>
      <bottom/>
      <diagonal/>
    </border>
    <border>
      <left style="thin">
        <color indexed="8"/>
      </left>
      <right style="thin">
        <color indexed="8"/>
      </right>
      <top/>
      <bottom/>
      <diagonal/>
    </border>
    <border>
      <left style="thin">
        <color indexed="8"/>
      </left>
      <right/>
      <top/>
      <bottom/>
      <diagonal/>
    </border>
    <border>
      <left style="medium">
        <color indexed="8"/>
      </left>
      <right style="thin">
        <color indexed="8"/>
      </right>
      <top/>
      <bottom style="thin">
        <color indexed="8"/>
      </bottom>
      <diagonal/>
    </border>
    <border>
      <left/>
      <right style="thin">
        <color indexed="8"/>
      </right>
      <top/>
      <bottom style="thin">
        <color indexed="8"/>
      </bottom>
      <diagonal/>
    </border>
    <border>
      <left style="thin">
        <color indexed="8"/>
      </left>
      <right style="thin">
        <color indexed="8"/>
      </right>
      <top/>
      <bottom style="thin">
        <color indexed="8"/>
      </bottom>
      <diagonal/>
    </border>
    <border>
      <left style="medium">
        <color indexed="8"/>
      </left>
      <right/>
      <top style="thin">
        <color indexed="8"/>
      </top>
      <bottom/>
      <diagonal/>
    </border>
    <border>
      <left style="thin">
        <color indexed="8"/>
      </left>
      <right/>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8"/>
      </left>
      <right/>
      <top style="medium">
        <color indexed="8"/>
      </top>
      <bottom style="medium">
        <color indexed="8"/>
      </bottom>
      <diagonal/>
    </border>
    <border>
      <left/>
      <right/>
      <top style="medium">
        <color indexed="8"/>
      </top>
      <bottom style="thin">
        <color indexed="8"/>
      </bottom>
      <diagonal/>
    </border>
    <border>
      <left/>
      <right style="thin">
        <color indexed="8"/>
      </right>
      <top style="thin">
        <color indexed="8"/>
      </top>
      <bottom style="thin">
        <color indexed="8"/>
      </bottom>
      <diagonal/>
    </border>
    <border>
      <left/>
      <right style="thin">
        <color indexed="8"/>
      </right>
      <top/>
      <bottom/>
      <diagonal/>
    </border>
    <border>
      <left style="medium">
        <color indexed="8"/>
      </left>
      <right/>
      <top/>
      <bottom/>
      <diagonal/>
    </border>
    <border>
      <left/>
      <right style="thin">
        <color indexed="8"/>
      </right>
      <top style="thin">
        <color indexed="8"/>
      </top>
      <bottom/>
      <diagonal/>
    </border>
    <border>
      <left/>
      <right/>
      <top style="thin">
        <color indexed="8"/>
      </top>
      <bottom style="thin">
        <color indexed="8"/>
      </bottom>
      <diagonal/>
    </border>
    <border>
      <left/>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8"/>
      </right>
      <top/>
      <bottom/>
      <diagonal/>
    </border>
    <border>
      <left style="thin">
        <color indexed="8"/>
      </left>
      <right/>
      <top style="thin">
        <color indexed="8"/>
      </top>
      <bottom/>
      <diagonal/>
    </border>
    <border>
      <left style="thin">
        <color indexed="8"/>
      </left>
      <right style="thin">
        <color indexed="64"/>
      </right>
      <top/>
      <bottom/>
      <diagonal/>
    </border>
    <border>
      <left style="thin">
        <color indexed="8"/>
      </left>
      <right/>
      <top style="thin">
        <color indexed="8"/>
      </top>
      <bottom style="thin">
        <color indexed="8"/>
      </bottom>
      <diagonal/>
    </border>
    <border>
      <left/>
      <right style="thin">
        <color indexed="64"/>
      </right>
      <top style="thin">
        <color indexed="8"/>
      </top>
      <bottom style="thin">
        <color indexed="8"/>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8"/>
      </bottom>
      <diagonal/>
    </border>
    <border>
      <left style="thin">
        <color indexed="8"/>
      </left>
      <right style="thin">
        <color indexed="64"/>
      </right>
      <top style="thin">
        <color indexed="8"/>
      </top>
      <bottom/>
      <diagonal/>
    </border>
    <border>
      <left style="thin">
        <color indexed="8"/>
      </left>
      <right style="thin">
        <color indexed="64"/>
      </right>
      <top/>
      <bottom style="thin">
        <color indexed="8"/>
      </bottom>
      <diagonal/>
    </border>
    <border>
      <left style="thin">
        <color indexed="64"/>
      </left>
      <right style="thin">
        <color indexed="64"/>
      </right>
      <top style="thin">
        <color indexed="8"/>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8"/>
      </left>
      <right style="thin">
        <color indexed="64"/>
      </right>
      <top style="thin">
        <color indexed="64"/>
      </top>
      <bottom/>
      <diagonal/>
    </border>
    <border>
      <left/>
      <right/>
      <top/>
      <bottom style="medium">
        <color indexed="64"/>
      </bottom>
      <diagonal/>
    </border>
    <border>
      <left/>
      <right style="thin">
        <color indexed="64"/>
      </right>
      <top style="thin">
        <color indexed="8"/>
      </top>
      <bottom style="medium">
        <color indexed="64"/>
      </bottom>
      <diagonal/>
    </border>
    <border>
      <left/>
      <right style="thin">
        <color indexed="8"/>
      </right>
      <top style="thin">
        <color indexed="8"/>
      </top>
      <bottom style="medium">
        <color indexed="64"/>
      </bottom>
      <diagonal/>
    </border>
    <border>
      <left style="thin">
        <color indexed="8"/>
      </left>
      <right/>
      <top/>
      <bottom style="medium">
        <color indexed="64"/>
      </bottom>
      <diagonal/>
    </border>
    <border>
      <left/>
      <right/>
      <top/>
      <bottom style="thin">
        <color indexed="64"/>
      </bottom>
      <diagonal/>
    </border>
    <border>
      <left/>
      <right style="medium">
        <color indexed="64"/>
      </right>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thin">
        <color indexed="8"/>
      </top>
      <bottom style="medium">
        <color indexed="64"/>
      </bottom>
      <diagonal/>
    </border>
    <border>
      <left style="medium">
        <color indexed="8"/>
      </left>
      <right/>
      <top style="medium">
        <color indexed="64"/>
      </top>
      <bottom style="medium">
        <color indexed="8"/>
      </bottom>
      <diagonal/>
    </border>
    <border>
      <left style="thin">
        <color indexed="8"/>
      </left>
      <right/>
      <top style="thin">
        <color indexed="8"/>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thin">
        <color indexed="64"/>
      </left>
      <right/>
      <top style="thin">
        <color indexed="8"/>
      </top>
      <bottom style="thin">
        <color indexed="8"/>
      </bottom>
      <diagonal/>
    </border>
    <border>
      <left style="thin">
        <color indexed="64"/>
      </left>
      <right/>
      <top/>
      <bottom style="thin">
        <color indexed="64"/>
      </bottom>
      <diagonal/>
    </border>
    <border>
      <left/>
      <right style="thin">
        <color indexed="64"/>
      </right>
      <top/>
      <bottom style="thin">
        <color indexed="64"/>
      </bottom>
      <diagonal/>
    </border>
    <border>
      <left/>
      <right style="medium">
        <color indexed="8"/>
      </right>
      <top/>
      <bottom style="thin">
        <color indexed="8"/>
      </bottom>
      <diagonal/>
    </border>
    <border>
      <left style="thin">
        <color indexed="8"/>
      </left>
      <right style="medium">
        <color indexed="8"/>
      </right>
      <top style="thin">
        <color indexed="8"/>
      </top>
      <bottom style="thin">
        <color indexed="8"/>
      </bottom>
      <diagonal/>
    </border>
    <border>
      <left style="medium">
        <color indexed="64"/>
      </left>
      <right/>
      <top style="medium">
        <color indexed="64"/>
      </top>
      <bottom style="medium">
        <color indexed="64"/>
      </bottom>
      <diagonal/>
    </border>
    <border>
      <left style="medium">
        <color indexed="8"/>
      </left>
      <right/>
      <top style="thin">
        <color indexed="64"/>
      </top>
      <bottom style="thin">
        <color indexed="8"/>
      </bottom>
      <diagonal/>
    </border>
    <border>
      <left style="thin">
        <color indexed="8"/>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8"/>
      </left>
      <right style="medium">
        <color indexed="8"/>
      </right>
      <top style="medium">
        <color indexed="8"/>
      </top>
      <bottom style="medium">
        <color indexed="8"/>
      </bottom>
      <diagonal/>
    </border>
    <border>
      <left style="medium">
        <color indexed="8"/>
      </left>
      <right/>
      <top style="medium">
        <color indexed="8"/>
      </top>
      <bottom style="thin">
        <color indexed="8"/>
      </bottom>
      <diagonal/>
    </border>
    <border>
      <left/>
      <right style="medium">
        <color indexed="8"/>
      </right>
      <top style="medium">
        <color indexed="8"/>
      </top>
      <bottom style="thin">
        <color indexed="8"/>
      </bottom>
      <diagonal/>
    </border>
    <border>
      <left style="medium">
        <color indexed="8"/>
      </left>
      <right/>
      <top style="thin">
        <color indexed="8"/>
      </top>
      <bottom style="thin">
        <color indexed="8"/>
      </bottom>
      <diagonal/>
    </border>
    <border>
      <left/>
      <right style="medium">
        <color indexed="8"/>
      </right>
      <top style="thin">
        <color indexed="8"/>
      </top>
      <bottom style="thin">
        <color indexed="8"/>
      </bottom>
      <diagonal/>
    </border>
    <border>
      <left/>
      <right/>
      <top/>
      <bottom style="medium">
        <color indexed="8"/>
      </bottom>
      <diagonal/>
    </border>
    <border>
      <left style="thin">
        <color theme="2"/>
      </left>
      <right style="thin">
        <color indexed="64"/>
      </right>
      <top style="thin">
        <color indexed="8"/>
      </top>
      <bottom style="medium">
        <color indexed="64"/>
      </bottom>
      <diagonal/>
    </border>
    <border>
      <left style="thin">
        <color theme="2"/>
      </left>
      <right style="thin">
        <color indexed="64"/>
      </right>
      <top style="thin">
        <color indexed="8"/>
      </top>
      <bottom style="thin">
        <color indexed="8"/>
      </bottom>
      <diagonal/>
    </border>
    <border>
      <left style="thin">
        <color theme="2"/>
      </left>
      <right style="thin">
        <color indexed="8"/>
      </right>
      <top style="thin">
        <color indexed="8"/>
      </top>
      <bottom style="thin">
        <color indexed="8"/>
      </bottom>
      <diagonal/>
    </border>
    <border>
      <left/>
      <right style="thin">
        <color theme="0"/>
      </right>
      <top style="thin">
        <color indexed="64"/>
      </top>
      <bottom style="medium">
        <color indexed="64"/>
      </bottom>
      <diagonal/>
    </border>
    <border>
      <left/>
      <right style="thin">
        <color theme="2"/>
      </right>
      <top style="thin">
        <color indexed="64"/>
      </top>
      <bottom style="medium">
        <color indexed="64"/>
      </bottom>
      <diagonal/>
    </border>
    <border>
      <left style="thin">
        <color theme="2"/>
      </left>
      <right/>
      <top style="thin">
        <color indexed="8"/>
      </top>
      <bottom style="thin">
        <color indexed="8"/>
      </bottom>
      <diagonal/>
    </border>
    <border>
      <left/>
      <right style="thin">
        <color theme="2"/>
      </right>
      <top style="thin">
        <color indexed="8"/>
      </top>
      <bottom style="thin">
        <color indexed="8"/>
      </bottom>
      <diagonal/>
    </border>
    <border>
      <left style="thin">
        <color indexed="8"/>
      </left>
      <right style="thin">
        <color theme="2"/>
      </right>
      <top style="thin">
        <color indexed="8"/>
      </top>
      <bottom style="thin">
        <color indexed="8"/>
      </bottom>
      <diagonal/>
    </border>
    <border>
      <left/>
      <right/>
      <top style="thin">
        <color indexed="8"/>
      </top>
      <bottom style="thin">
        <color indexed="64"/>
      </bottom>
      <diagonal/>
    </border>
    <border>
      <left style="thin">
        <color indexed="8"/>
      </left>
      <right/>
      <top style="thin">
        <color indexed="8"/>
      </top>
      <bottom style="thin">
        <color indexed="64"/>
      </bottom>
      <diagonal/>
    </border>
    <border>
      <left style="thin">
        <color indexed="8"/>
      </left>
      <right/>
      <top style="thin">
        <color indexed="64"/>
      </top>
      <bottom style="thin">
        <color indexed="8"/>
      </bottom>
      <diagonal/>
    </border>
    <border>
      <left/>
      <right/>
      <top style="thin">
        <color indexed="64"/>
      </top>
      <bottom style="thin">
        <color indexed="8"/>
      </bottom>
      <diagonal/>
    </border>
    <border>
      <left/>
      <right/>
      <top style="thin">
        <color indexed="8"/>
      </top>
      <bottom/>
      <diagonal/>
    </border>
    <border>
      <left style="thin">
        <color indexed="64"/>
      </left>
      <right/>
      <top style="thin">
        <color indexed="64"/>
      </top>
      <bottom/>
      <diagonal/>
    </border>
    <border>
      <left style="medium">
        <color indexed="64"/>
      </left>
      <right/>
      <top style="medium">
        <color indexed="64"/>
      </top>
      <bottom/>
      <diagonal/>
    </border>
    <border>
      <left/>
      <right/>
      <top style="medium">
        <color indexed="64"/>
      </top>
      <bottom/>
      <diagonal/>
    </border>
    <border>
      <left style="medium">
        <color indexed="64"/>
      </left>
      <right/>
      <top style="thin">
        <color indexed="64"/>
      </top>
      <bottom style="thin">
        <color indexed="8"/>
      </bottom>
      <diagonal/>
    </border>
    <border>
      <left style="medium">
        <color indexed="64"/>
      </left>
      <right style="thin">
        <color indexed="8"/>
      </right>
      <top style="thin">
        <color indexed="8"/>
      </top>
      <bottom/>
      <diagonal/>
    </border>
    <border>
      <left/>
      <right style="medium">
        <color indexed="64"/>
      </right>
      <top/>
      <bottom style="thin">
        <color indexed="8"/>
      </bottom>
      <diagonal/>
    </border>
    <border>
      <left style="medium">
        <color indexed="64"/>
      </left>
      <right style="thin">
        <color indexed="8"/>
      </right>
      <top/>
      <bottom style="thin">
        <color indexed="8"/>
      </bottom>
      <diagonal/>
    </border>
    <border>
      <left style="thin">
        <color indexed="8"/>
      </left>
      <right style="medium">
        <color indexed="64"/>
      </right>
      <top style="thin">
        <color indexed="8"/>
      </top>
      <bottom style="thin">
        <color indexed="8"/>
      </bottom>
      <diagonal/>
    </border>
    <border>
      <left style="medium">
        <color indexed="64"/>
      </left>
      <right style="thin">
        <color indexed="8"/>
      </right>
      <top style="thin">
        <color indexed="8"/>
      </top>
      <bottom style="thin">
        <color indexed="8"/>
      </bottom>
      <diagonal/>
    </border>
    <border>
      <left/>
      <right style="medium">
        <color indexed="64"/>
      </right>
      <top/>
      <bottom/>
      <diagonal/>
    </border>
    <border>
      <left style="medium">
        <color indexed="64"/>
      </left>
      <right style="thin">
        <color indexed="8"/>
      </right>
      <top/>
      <bottom/>
      <diagonal/>
    </border>
    <border>
      <left style="medium">
        <color indexed="64"/>
      </left>
      <right/>
      <top style="thin">
        <color indexed="8"/>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8"/>
      </bottom>
      <diagonal/>
    </border>
    <border>
      <left style="medium">
        <color indexed="64"/>
      </left>
      <right/>
      <top style="medium">
        <color indexed="8"/>
      </top>
      <bottom style="medium">
        <color indexed="8"/>
      </bottom>
      <diagonal/>
    </border>
    <border>
      <left style="medium">
        <color indexed="64"/>
      </left>
      <right/>
      <top style="medium">
        <color indexed="8"/>
      </top>
      <bottom style="medium">
        <color indexed="64"/>
      </bottom>
      <diagonal/>
    </border>
    <border>
      <left style="medium">
        <color indexed="8"/>
      </left>
      <right/>
      <top style="medium">
        <color indexed="8"/>
      </top>
      <bottom style="medium">
        <color indexed="64"/>
      </bottom>
      <diagonal/>
    </border>
    <border>
      <left/>
      <right/>
      <top style="medium">
        <color indexed="8"/>
      </top>
      <bottom style="medium">
        <color indexed="64"/>
      </bottom>
      <diagonal/>
    </border>
    <border>
      <left/>
      <right style="medium">
        <color indexed="64"/>
      </right>
      <top style="medium">
        <color indexed="64"/>
      </top>
      <bottom style="thin">
        <color indexed="64"/>
      </bottom>
      <diagonal/>
    </border>
  </borders>
  <cellStyleXfs count="4">
    <xf numFmtId="0" fontId="0" fillId="0" borderId="0"/>
    <xf numFmtId="164" fontId="6" fillId="0" borderId="0" applyFill="0" applyBorder="0" applyAlignment="0" applyProtection="0"/>
    <xf numFmtId="9" fontId="7" fillId="0" borderId="0" applyFill="0" applyBorder="0" applyAlignment="0" applyProtection="0"/>
    <xf numFmtId="165" fontId="7" fillId="0" borderId="0" applyFill="0" applyBorder="0" applyAlignment="0" applyProtection="0"/>
  </cellStyleXfs>
  <cellXfs count="428">
    <xf numFmtId="0" fontId="0" fillId="0" borderId="0" xfId="0"/>
    <xf numFmtId="1" fontId="3" fillId="0" borderId="1" xfId="2" applyNumberFormat="1" applyFont="1" applyFill="1" applyBorder="1" applyAlignment="1" applyProtection="1">
      <alignment horizontal="center" vertical="center"/>
    </xf>
    <xf numFmtId="4" fontId="3" fillId="0" borderId="1" xfId="2" applyNumberFormat="1" applyFont="1" applyFill="1" applyBorder="1" applyAlignment="1" applyProtection="1">
      <alignment horizontal="center" vertical="center"/>
    </xf>
    <xf numFmtId="49" fontId="17" fillId="4" borderId="2" xfId="0" applyNumberFormat="1" applyFont="1" applyFill="1" applyBorder="1" applyAlignment="1" applyProtection="1">
      <alignment horizontal="center" vertical="center" wrapText="1"/>
      <protection locked="0"/>
    </xf>
    <xf numFmtId="0" fontId="17" fillId="4" borderId="0" xfId="0" applyFont="1" applyFill="1" applyAlignment="1" applyProtection="1">
      <alignment horizontal="center" vertical="center" wrapText="1"/>
      <protection locked="0"/>
    </xf>
    <xf numFmtId="0" fontId="17" fillId="4" borderId="3" xfId="0" applyFont="1" applyFill="1" applyBorder="1" applyAlignment="1" applyProtection="1">
      <alignment vertical="center" wrapText="1"/>
      <protection locked="0"/>
    </xf>
    <xf numFmtId="49" fontId="17" fillId="4" borderId="4" xfId="0" applyNumberFormat="1" applyFont="1" applyFill="1" applyBorder="1" applyAlignment="1" applyProtection="1">
      <alignment horizontal="center" vertical="center" wrapText="1"/>
      <protection locked="0"/>
    </xf>
    <xf numFmtId="0" fontId="17" fillId="4" borderId="5" xfId="0" applyFont="1" applyFill="1" applyBorder="1" applyAlignment="1" applyProtection="1">
      <alignment horizontal="justify" vertical="center" wrapText="1"/>
      <protection locked="0"/>
    </xf>
    <xf numFmtId="2" fontId="17" fillId="4" borderId="0" xfId="0" applyNumberFormat="1" applyFont="1" applyFill="1" applyAlignment="1" applyProtection="1">
      <alignment horizontal="center" vertical="center" wrapText="1"/>
      <protection locked="0"/>
    </xf>
    <xf numFmtId="166" fontId="17" fillId="4" borderId="0" xfId="0" applyNumberFormat="1" applyFont="1" applyFill="1" applyAlignment="1" applyProtection="1">
      <alignment horizontal="center" vertical="center" wrapText="1"/>
      <protection locked="0"/>
    </xf>
    <xf numFmtId="0" fontId="17" fillId="4" borderId="3" xfId="2" applyNumberFormat="1" applyFont="1" applyFill="1" applyBorder="1" applyAlignment="1" applyProtection="1">
      <alignment vertical="center" wrapText="1"/>
      <protection locked="0"/>
    </xf>
    <xf numFmtId="49" fontId="17" fillId="4" borderId="6" xfId="0" applyNumberFormat="1" applyFont="1" applyFill="1" applyBorder="1" applyAlignment="1" applyProtection="1">
      <alignment horizontal="center" vertical="center" wrapText="1"/>
      <protection locked="0"/>
    </xf>
    <xf numFmtId="0" fontId="18" fillId="4" borderId="7" xfId="0" applyFont="1" applyFill="1" applyBorder="1" applyAlignment="1" applyProtection="1">
      <alignment horizontal="justify" vertical="center" wrapText="1"/>
      <protection locked="0"/>
    </xf>
    <xf numFmtId="0" fontId="17" fillId="4" borderId="7" xfId="0" applyFont="1" applyFill="1" applyBorder="1" applyAlignment="1">
      <alignment horizontal="justify" vertical="center" wrapText="1"/>
    </xf>
    <xf numFmtId="0" fontId="18" fillId="4" borderId="0" xfId="0" applyFont="1" applyFill="1" applyAlignment="1" applyProtection="1">
      <alignment horizontal="justify" vertical="center" wrapText="1"/>
      <protection locked="0"/>
    </xf>
    <xf numFmtId="2" fontId="17" fillId="4" borderId="8" xfId="0" applyNumberFormat="1" applyFont="1" applyFill="1" applyBorder="1" applyAlignment="1" applyProtection="1">
      <alignment vertical="center" wrapText="1"/>
      <protection locked="0"/>
    </xf>
    <xf numFmtId="2" fontId="17" fillId="4" borderId="0" xfId="0" applyNumberFormat="1" applyFont="1" applyFill="1" applyAlignment="1" applyProtection="1">
      <alignment vertical="center" wrapText="1"/>
      <protection locked="0"/>
    </xf>
    <xf numFmtId="0" fontId="17" fillId="4" borderId="7" xfId="0" applyFont="1" applyFill="1" applyBorder="1" applyAlignment="1" applyProtection="1">
      <alignment horizontal="justify" vertical="center" wrapText="1"/>
      <protection locked="0"/>
    </xf>
    <xf numFmtId="0" fontId="17" fillId="4" borderId="8" xfId="0" applyFont="1" applyFill="1" applyBorder="1" applyAlignment="1" applyProtection="1">
      <alignment vertical="center" wrapText="1"/>
      <protection locked="0"/>
    </xf>
    <xf numFmtId="0" fontId="17" fillId="4" borderId="0" xfId="0" applyFont="1" applyFill="1" applyAlignment="1" applyProtection="1">
      <alignment vertical="center" wrapText="1"/>
      <protection locked="0"/>
    </xf>
    <xf numFmtId="0" fontId="17" fillId="4" borderId="0" xfId="0" applyFont="1" applyFill="1" applyAlignment="1" applyProtection="1">
      <alignment horizontal="justify" vertical="center" wrapText="1"/>
      <protection locked="0"/>
    </xf>
    <xf numFmtId="2" fontId="19" fillId="4" borderId="0" xfId="0" applyNumberFormat="1" applyFont="1" applyFill="1" applyAlignment="1" applyProtection="1">
      <alignment horizontal="center" vertical="center" wrapText="1"/>
      <protection locked="0"/>
    </xf>
    <xf numFmtId="0" fontId="20" fillId="4" borderId="7" xfId="0" applyFont="1" applyFill="1" applyBorder="1" applyAlignment="1" applyProtection="1">
      <alignment horizontal="justify" vertical="center" wrapText="1"/>
      <protection locked="0"/>
    </xf>
    <xf numFmtId="49" fontId="17" fillId="4" borderId="9" xfId="0" applyNumberFormat="1" applyFont="1" applyFill="1" applyBorder="1" applyAlignment="1" applyProtection="1">
      <alignment horizontal="center" vertical="center" wrapText="1"/>
      <protection locked="0"/>
    </xf>
    <xf numFmtId="0" fontId="17" fillId="4" borderId="10" xfId="0" applyFont="1" applyFill="1" applyBorder="1" applyAlignment="1" applyProtection="1">
      <alignment horizontal="justify" vertical="center" wrapText="1"/>
      <protection locked="0"/>
    </xf>
    <xf numFmtId="0" fontId="17" fillId="4" borderId="11" xfId="0" applyFont="1" applyFill="1" applyBorder="1" applyAlignment="1" applyProtection="1">
      <alignment horizontal="justify" vertical="center" wrapText="1"/>
      <protection locked="0"/>
    </xf>
    <xf numFmtId="0" fontId="20" fillId="4" borderId="5" xfId="0" applyFont="1" applyFill="1" applyBorder="1" applyAlignment="1" applyProtection="1">
      <alignment horizontal="justify" vertical="center" wrapText="1"/>
      <protection locked="0"/>
    </xf>
    <xf numFmtId="0" fontId="18" fillId="4" borderId="7" xfId="0" applyFont="1" applyFill="1" applyBorder="1" applyAlignment="1">
      <alignment horizontal="justify" vertical="center" wrapText="1"/>
    </xf>
    <xf numFmtId="49" fontId="17" fillId="4" borderId="6" xfId="0" applyNumberFormat="1" applyFont="1" applyFill="1" applyBorder="1" applyAlignment="1">
      <alignment horizontal="center" vertical="center" wrapText="1"/>
    </xf>
    <xf numFmtId="49" fontId="17" fillId="4" borderId="7" xfId="0" applyNumberFormat="1" applyFont="1" applyFill="1" applyBorder="1" applyAlignment="1" applyProtection="1">
      <alignment horizontal="justify" vertical="center" wrapText="1"/>
      <protection locked="0"/>
    </xf>
    <xf numFmtId="49" fontId="18" fillId="4" borderId="7" xfId="0" applyNumberFormat="1" applyFont="1" applyFill="1" applyBorder="1" applyAlignment="1" applyProtection="1">
      <alignment horizontal="justify" vertical="center" wrapText="1"/>
      <protection locked="0"/>
    </xf>
    <xf numFmtId="1" fontId="17" fillId="4" borderId="2" xfId="0" applyNumberFormat="1" applyFont="1" applyFill="1" applyBorder="1" applyAlignment="1" applyProtection="1">
      <alignment horizontal="center" vertical="center" wrapText="1"/>
      <protection locked="0"/>
    </xf>
    <xf numFmtId="0" fontId="17" fillId="4" borderId="7" xfId="0" applyFont="1" applyFill="1" applyBorder="1" applyAlignment="1" applyProtection="1">
      <alignment horizontal="center" vertical="center" wrapText="1"/>
      <protection locked="0"/>
    </xf>
    <xf numFmtId="1" fontId="17" fillId="4" borderId="4" xfId="0" applyNumberFormat="1" applyFont="1" applyFill="1" applyBorder="1" applyAlignment="1" applyProtection="1">
      <alignment horizontal="center" vertical="center" wrapText="1"/>
      <protection locked="0"/>
    </xf>
    <xf numFmtId="1" fontId="17" fillId="4" borderId="6" xfId="0" applyNumberFormat="1" applyFont="1" applyFill="1" applyBorder="1" applyAlignment="1" applyProtection="1">
      <alignment horizontal="center" vertical="center" wrapText="1"/>
      <protection locked="0"/>
    </xf>
    <xf numFmtId="1" fontId="17" fillId="4" borderId="9" xfId="0" applyNumberFormat="1" applyFont="1" applyFill="1" applyBorder="1" applyAlignment="1" applyProtection="1">
      <alignment horizontal="center" vertical="center" wrapText="1"/>
      <protection locked="0"/>
    </xf>
    <xf numFmtId="0" fontId="17" fillId="4" borderId="11" xfId="0" applyFont="1" applyFill="1" applyBorder="1" applyAlignment="1" applyProtection="1">
      <alignment horizontal="justify" vertical="center" wrapText="1" shrinkToFit="1"/>
      <protection locked="0"/>
    </xf>
    <xf numFmtId="49" fontId="17" fillId="4" borderId="12" xfId="0" applyNumberFormat="1" applyFont="1" applyFill="1" applyBorder="1" applyAlignment="1" applyProtection="1">
      <alignment horizontal="center" vertical="center" wrapText="1"/>
      <protection locked="0"/>
    </xf>
    <xf numFmtId="0" fontId="17" fillId="4" borderId="7" xfId="0" applyFont="1" applyFill="1" applyBorder="1" applyAlignment="1" applyProtection="1">
      <alignment horizontal="justify" vertical="center" wrapText="1" shrinkToFit="1"/>
      <protection locked="0"/>
    </xf>
    <xf numFmtId="0" fontId="18" fillId="4" borderId="7" xfId="0" applyFont="1" applyFill="1" applyBorder="1" applyAlignment="1" applyProtection="1">
      <alignment horizontal="justify" vertical="center" wrapText="1" shrinkToFit="1"/>
      <protection locked="0"/>
    </xf>
    <xf numFmtId="0" fontId="20" fillId="4" borderId="7" xfId="0" applyFont="1" applyFill="1" applyBorder="1" applyAlignment="1" applyProtection="1">
      <alignment horizontal="justify" vertical="center" wrapText="1" shrinkToFit="1"/>
      <protection locked="0"/>
    </xf>
    <xf numFmtId="0" fontId="17" fillId="4" borderId="0" xfId="0" applyFont="1" applyFill="1" applyAlignment="1" applyProtection="1">
      <alignment horizontal="center"/>
      <protection locked="0"/>
    </xf>
    <xf numFmtId="166" fontId="17" fillId="4" borderId="3" xfId="0" applyNumberFormat="1" applyFont="1" applyFill="1" applyBorder="1" applyProtection="1">
      <protection locked="0"/>
    </xf>
    <xf numFmtId="0" fontId="17" fillId="4" borderId="8" xfId="0" applyFont="1" applyFill="1" applyBorder="1" applyAlignment="1" applyProtection="1">
      <alignment horizontal="center" vertical="center" wrapText="1"/>
      <protection locked="0"/>
    </xf>
    <xf numFmtId="0" fontId="17" fillId="4" borderId="13" xfId="0" applyFont="1" applyFill="1" applyBorder="1" applyAlignment="1" applyProtection="1">
      <alignment horizontal="center" vertical="center" wrapText="1"/>
      <protection locked="0"/>
    </xf>
    <xf numFmtId="0" fontId="21" fillId="4" borderId="14" xfId="0" applyFont="1" applyFill="1" applyBorder="1" applyAlignment="1">
      <alignment horizontal="center"/>
    </xf>
    <xf numFmtId="0" fontId="19" fillId="4" borderId="14" xfId="0" applyFont="1" applyFill="1" applyBorder="1" applyAlignment="1">
      <alignment horizontal="center"/>
    </xf>
    <xf numFmtId="0" fontId="17" fillId="4" borderId="15" xfId="0" applyFont="1" applyFill="1" applyBorder="1"/>
    <xf numFmtId="0" fontId="17" fillId="4" borderId="0" xfId="0" applyFont="1" applyFill="1" applyAlignment="1">
      <alignment horizontal="justify" vertical="top" wrapText="1"/>
    </xf>
    <xf numFmtId="0" fontId="21" fillId="4" borderId="0" xfId="0" applyFont="1" applyFill="1" applyAlignment="1">
      <alignment horizontal="center"/>
    </xf>
    <xf numFmtId="0" fontId="19" fillId="4" borderId="0" xfId="0" applyFont="1" applyFill="1" applyAlignment="1">
      <alignment horizontal="center"/>
    </xf>
    <xf numFmtId="0" fontId="17" fillId="4" borderId="0" xfId="0" applyFont="1" applyFill="1"/>
    <xf numFmtId="0" fontId="22" fillId="4" borderId="0" xfId="0" applyFont="1" applyFill="1" applyAlignment="1">
      <alignment horizontal="center"/>
    </xf>
    <xf numFmtId="0" fontId="18" fillId="4" borderId="0" xfId="0" applyFont="1" applyFill="1"/>
    <xf numFmtId="0" fontId="17" fillId="4" borderId="16" xfId="0" applyFont="1" applyFill="1" applyBorder="1" applyAlignment="1" applyProtection="1">
      <alignment horizontal="center" vertical="center"/>
      <protection locked="0"/>
    </xf>
    <xf numFmtId="0" fontId="17" fillId="4" borderId="17" xfId="0" applyFont="1" applyFill="1" applyBorder="1" applyAlignment="1" applyProtection="1">
      <alignment vertical="center"/>
      <protection locked="0"/>
    </xf>
    <xf numFmtId="49" fontId="17" fillId="4" borderId="17" xfId="0" applyNumberFormat="1" applyFont="1" applyFill="1" applyBorder="1" applyAlignment="1" applyProtection="1">
      <alignment horizontal="center" vertical="center"/>
      <protection locked="0"/>
    </xf>
    <xf numFmtId="0" fontId="17" fillId="4" borderId="1" xfId="0" applyFont="1" applyFill="1" applyBorder="1" applyAlignment="1" applyProtection="1">
      <alignment horizontal="justify" vertical="center" wrapText="1"/>
      <protection locked="0"/>
    </xf>
    <xf numFmtId="0" fontId="18" fillId="4" borderId="5" xfId="0" applyFont="1" applyFill="1" applyBorder="1" applyAlignment="1" applyProtection="1">
      <alignment horizontal="center" vertical="center" wrapText="1"/>
      <protection locked="0"/>
    </xf>
    <xf numFmtId="4" fontId="18" fillId="4" borderId="5" xfId="0" applyNumberFormat="1" applyFont="1" applyFill="1" applyBorder="1" applyAlignment="1" applyProtection="1">
      <alignment horizontal="center" vertical="center" wrapText="1"/>
      <protection locked="0"/>
    </xf>
    <xf numFmtId="4" fontId="18" fillId="4" borderId="5" xfId="3" applyNumberFormat="1" applyFont="1" applyFill="1" applyBorder="1" applyAlignment="1" applyProtection="1">
      <alignment horizontal="center" vertical="center" wrapText="1"/>
      <protection locked="0"/>
    </xf>
    <xf numFmtId="166" fontId="18" fillId="4" borderId="5" xfId="0" applyNumberFormat="1" applyFont="1" applyFill="1" applyBorder="1" applyAlignment="1" applyProtection="1">
      <alignment horizontal="center" vertical="center" wrapText="1"/>
      <protection locked="0"/>
    </xf>
    <xf numFmtId="0" fontId="17" fillId="4" borderId="0" xfId="0" applyFont="1" applyFill="1" applyAlignment="1">
      <alignment vertical="center" wrapText="1"/>
    </xf>
    <xf numFmtId="0" fontId="18" fillId="4" borderId="7" xfId="0" applyFont="1" applyFill="1" applyBorder="1" applyAlignment="1" applyProtection="1">
      <alignment horizontal="center" vertical="center" wrapText="1"/>
      <protection locked="0"/>
    </xf>
    <xf numFmtId="4" fontId="18" fillId="4" borderId="7" xfId="0" applyNumberFormat="1" applyFont="1" applyFill="1" applyBorder="1" applyAlignment="1" applyProtection="1">
      <alignment horizontal="center" vertical="center" wrapText="1"/>
      <protection locked="0"/>
    </xf>
    <xf numFmtId="166" fontId="18" fillId="4" borderId="7" xfId="0" applyNumberFormat="1" applyFont="1" applyFill="1" applyBorder="1" applyAlignment="1" applyProtection="1">
      <alignment horizontal="center" vertical="center" wrapText="1"/>
      <protection locked="0"/>
    </xf>
    <xf numFmtId="166" fontId="17" fillId="4" borderId="18" xfId="0" applyNumberFormat="1" applyFont="1" applyFill="1" applyBorder="1" applyAlignment="1" applyProtection="1">
      <alignment horizontal="center" vertical="center" wrapText="1"/>
      <protection locked="0"/>
    </xf>
    <xf numFmtId="2" fontId="18" fillId="4" borderId="7" xfId="0" applyNumberFormat="1" applyFont="1" applyFill="1" applyBorder="1" applyAlignment="1" applyProtection="1">
      <alignment horizontal="center" vertical="center" wrapText="1"/>
      <protection locked="0"/>
    </xf>
    <xf numFmtId="167" fontId="18" fillId="4" borderId="7" xfId="0" applyNumberFormat="1" applyFont="1" applyFill="1" applyBorder="1" applyAlignment="1" applyProtection="1">
      <alignment horizontal="center" vertical="center" wrapText="1"/>
      <protection locked="0"/>
    </xf>
    <xf numFmtId="166" fontId="18" fillId="4" borderId="19" xfId="0" applyNumberFormat="1" applyFont="1" applyFill="1" applyBorder="1" applyAlignment="1" applyProtection="1">
      <alignment horizontal="center" vertical="center" wrapText="1"/>
      <protection locked="0"/>
    </xf>
    <xf numFmtId="0" fontId="18" fillId="4" borderId="8" xfId="0" applyFont="1" applyFill="1" applyBorder="1" applyAlignment="1" applyProtection="1">
      <alignment horizontal="center" vertical="center" wrapText="1"/>
      <protection locked="0"/>
    </xf>
    <xf numFmtId="0" fontId="17" fillId="4" borderId="5" xfId="0" applyFont="1" applyFill="1" applyBorder="1" applyAlignment="1" applyProtection="1">
      <alignment horizontal="center" vertical="center" wrapText="1"/>
      <protection locked="0"/>
    </xf>
    <xf numFmtId="2" fontId="18" fillId="4" borderId="5" xfId="0" applyNumberFormat="1" applyFont="1" applyFill="1" applyBorder="1" applyAlignment="1" applyProtection="1">
      <alignment horizontal="center" vertical="center" wrapText="1"/>
      <protection locked="0"/>
    </xf>
    <xf numFmtId="4" fontId="18" fillId="4" borderId="7" xfId="3" applyNumberFormat="1" applyFont="1" applyFill="1" applyBorder="1" applyAlignment="1" applyProtection="1">
      <alignment horizontal="center" vertical="center" wrapText="1"/>
      <protection locked="0"/>
    </xf>
    <xf numFmtId="0" fontId="18" fillId="4" borderId="0" xfId="0" applyFont="1" applyFill="1" applyAlignment="1">
      <alignment vertical="center" wrapText="1"/>
    </xf>
    <xf numFmtId="0" fontId="18" fillId="4" borderId="7" xfId="0" applyFont="1" applyFill="1" applyBorder="1" applyAlignment="1">
      <alignment horizontal="center" vertical="center" wrapText="1"/>
    </xf>
    <xf numFmtId="2" fontId="23" fillId="4" borderId="7" xfId="0" applyNumberFormat="1" applyFont="1" applyFill="1" applyBorder="1" applyAlignment="1" applyProtection="1">
      <alignment horizontal="center" vertical="center" wrapText="1"/>
      <protection locked="0"/>
    </xf>
    <xf numFmtId="4" fontId="18" fillId="4" borderId="19" xfId="0" applyNumberFormat="1" applyFont="1" applyFill="1" applyBorder="1" applyAlignment="1" applyProtection="1">
      <alignment horizontal="center" vertical="center" wrapText="1"/>
      <protection locked="0"/>
    </xf>
    <xf numFmtId="0" fontId="18" fillId="4" borderId="19" xfId="0" applyFont="1" applyFill="1" applyBorder="1" applyAlignment="1" applyProtection="1">
      <alignment horizontal="center" vertical="center" wrapText="1"/>
      <protection locked="0"/>
    </xf>
    <xf numFmtId="0" fontId="18" fillId="4" borderId="6" xfId="0" applyFont="1" applyFill="1" applyBorder="1" applyAlignment="1" applyProtection="1">
      <alignment horizontal="center" vertical="center" wrapText="1"/>
      <protection locked="0"/>
    </xf>
    <xf numFmtId="49" fontId="18" fillId="4" borderId="9" xfId="0" applyNumberFormat="1" applyFont="1" applyFill="1" applyBorder="1" applyAlignment="1" applyProtection="1">
      <alignment vertical="center" wrapText="1"/>
      <protection locked="0"/>
    </xf>
    <xf numFmtId="0" fontId="18" fillId="4" borderId="11" xfId="0" applyFont="1" applyFill="1" applyBorder="1" applyAlignment="1" applyProtection="1">
      <alignment horizontal="justify" vertical="center" wrapText="1"/>
      <protection locked="0"/>
    </xf>
    <xf numFmtId="49" fontId="18" fillId="4" borderId="20" xfId="0" applyNumberFormat="1" applyFont="1" applyFill="1" applyBorder="1" applyAlignment="1" applyProtection="1">
      <alignment horizontal="center" vertical="center" wrapText="1"/>
      <protection locked="0"/>
    </xf>
    <xf numFmtId="0" fontId="17" fillId="4" borderId="21" xfId="0" applyFont="1" applyFill="1" applyBorder="1" applyAlignment="1" applyProtection="1">
      <alignment horizontal="justify" vertical="center" wrapText="1"/>
      <protection locked="0"/>
    </xf>
    <xf numFmtId="10" fontId="17" fillId="4" borderId="1" xfId="0" applyNumberFormat="1" applyFont="1" applyFill="1" applyBorder="1" applyAlignment="1" applyProtection="1">
      <alignment horizontal="right" vertical="center" wrapText="1"/>
      <protection locked="0"/>
    </xf>
    <xf numFmtId="166" fontId="17" fillId="4" borderId="22" xfId="0" applyNumberFormat="1" applyFont="1" applyFill="1" applyBorder="1" applyAlignment="1" applyProtection="1">
      <alignment horizontal="center" vertical="center" wrapText="1"/>
      <protection locked="0"/>
    </xf>
    <xf numFmtId="0" fontId="22" fillId="4" borderId="0" xfId="0" applyFont="1" applyFill="1"/>
    <xf numFmtId="0" fontId="19" fillId="4" borderId="0" xfId="0" applyFont="1" applyFill="1"/>
    <xf numFmtId="4" fontId="18" fillId="4" borderId="14" xfId="3" applyNumberFormat="1" applyFont="1" applyFill="1" applyBorder="1" applyAlignment="1" applyProtection="1">
      <alignment horizontal="center" vertical="center"/>
    </xf>
    <xf numFmtId="0" fontId="18" fillId="4" borderId="14" xfId="0" applyFont="1" applyFill="1" applyBorder="1" applyAlignment="1">
      <alignment horizontal="center" vertical="center"/>
    </xf>
    <xf numFmtId="49" fontId="22" fillId="4" borderId="0" xfId="0" applyNumberFormat="1" applyFont="1" applyFill="1"/>
    <xf numFmtId="0" fontId="18" fillId="4" borderId="0" xfId="0" applyFont="1" applyFill="1" applyAlignment="1">
      <alignment vertical="center"/>
    </xf>
    <xf numFmtId="0" fontId="18" fillId="4" borderId="0" xfId="0" applyFont="1" applyFill="1" applyAlignment="1">
      <alignment horizontal="center" vertical="center"/>
    </xf>
    <xf numFmtId="4" fontId="18" fillId="4" borderId="0" xfId="3" applyNumberFormat="1" applyFont="1" applyFill="1" applyBorder="1" applyAlignment="1" applyProtection="1">
      <alignment horizontal="center" vertical="center"/>
    </xf>
    <xf numFmtId="0" fontId="22" fillId="4" borderId="0" xfId="0" applyFont="1" applyFill="1" applyAlignment="1">
      <alignment horizontal="justify" wrapText="1"/>
    </xf>
    <xf numFmtId="0" fontId="22" fillId="4" borderId="0" xfId="0" applyFont="1" applyFill="1" applyAlignment="1">
      <alignment vertical="center"/>
    </xf>
    <xf numFmtId="4" fontId="22" fillId="4" borderId="0" xfId="0" applyNumberFormat="1" applyFont="1" applyFill="1" applyAlignment="1">
      <alignment vertical="center"/>
    </xf>
    <xf numFmtId="0" fontId="18" fillId="4" borderId="23" xfId="0" applyFont="1" applyFill="1" applyBorder="1"/>
    <xf numFmtId="0" fontId="17" fillId="4" borderId="24" xfId="0" applyFont="1" applyFill="1" applyBorder="1" applyAlignment="1" applyProtection="1">
      <alignment horizontal="center" vertical="center" wrapText="1"/>
      <protection locked="0"/>
    </xf>
    <xf numFmtId="4" fontId="17" fillId="4" borderId="24" xfId="3" applyNumberFormat="1" applyFont="1" applyFill="1" applyBorder="1" applyAlignment="1" applyProtection="1">
      <alignment horizontal="center" vertical="center" wrapText="1"/>
      <protection locked="0"/>
    </xf>
    <xf numFmtId="2" fontId="18" fillId="4" borderId="25" xfId="0" applyNumberFormat="1" applyFont="1" applyFill="1" applyBorder="1" applyAlignment="1" applyProtection="1">
      <alignment horizontal="center" vertical="center" wrapText="1"/>
      <protection locked="0"/>
    </xf>
    <xf numFmtId="0" fontId="8" fillId="5" borderId="5" xfId="0" applyFont="1" applyFill="1" applyBorder="1" applyAlignment="1" applyProtection="1">
      <alignment horizontal="center" vertical="center" wrapText="1"/>
      <protection locked="0"/>
    </xf>
    <xf numFmtId="4" fontId="8" fillId="5" borderId="5" xfId="0" applyNumberFormat="1" applyFont="1" applyFill="1" applyBorder="1" applyAlignment="1" applyProtection="1">
      <alignment horizontal="center" vertical="center" wrapText="1"/>
      <protection locked="0"/>
    </xf>
    <xf numFmtId="4" fontId="8" fillId="5" borderId="5" xfId="3" applyNumberFormat="1" applyFont="1" applyFill="1" applyBorder="1" applyAlignment="1" applyProtection="1">
      <alignment horizontal="center" vertical="center" wrapText="1"/>
      <protection locked="0"/>
    </xf>
    <xf numFmtId="166" fontId="8" fillId="5" borderId="26" xfId="0" applyNumberFormat="1" applyFont="1" applyFill="1" applyBorder="1" applyAlignment="1" applyProtection="1">
      <alignment horizontal="center" vertical="center" wrapText="1"/>
      <protection locked="0"/>
    </xf>
    <xf numFmtId="0" fontId="8" fillId="5" borderId="7" xfId="0" applyFont="1" applyFill="1" applyBorder="1" applyAlignment="1" applyProtection="1">
      <alignment horizontal="center" vertical="center" wrapText="1"/>
      <protection locked="0"/>
    </xf>
    <xf numFmtId="4" fontId="8" fillId="5" borderId="7" xfId="0" applyNumberFormat="1" applyFont="1" applyFill="1" applyBorder="1" applyAlignment="1" applyProtection="1">
      <alignment horizontal="center" vertical="center" wrapText="1"/>
      <protection locked="0"/>
    </xf>
    <xf numFmtId="166" fontId="8" fillId="5" borderId="8" xfId="0" applyNumberFormat="1" applyFont="1" applyFill="1" applyBorder="1" applyAlignment="1" applyProtection="1">
      <alignment horizontal="center" vertical="center" wrapText="1"/>
      <protection locked="0"/>
    </xf>
    <xf numFmtId="166" fontId="5" fillId="5" borderId="22" xfId="0" applyNumberFormat="1" applyFont="1" applyFill="1" applyBorder="1" applyAlignment="1" applyProtection="1">
      <alignment horizontal="center" vertical="center" wrapText="1"/>
      <protection locked="0"/>
    </xf>
    <xf numFmtId="2" fontId="8" fillId="5" borderId="7" xfId="0" applyNumberFormat="1" applyFont="1" applyFill="1" applyBorder="1" applyAlignment="1" applyProtection="1">
      <alignment horizontal="center" vertical="center" wrapText="1"/>
      <protection locked="0"/>
    </xf>
    <xf numFmtId="167" fontId="8" fillId="5" borderId="7" xfId="0" applyNumberFormat="1" applyFont="1" applyFill="1" applyBorder="1" applyAlignment="1" applyProtection="1">
      <alignment horizontal="center" vertical="center" wrapText="1"/>
      <protection locked="0"/>
    </xf>
    <xf numFmtId="166" fontId="8" fillId="5" borderId="27" xfId="0" applyNumberFormat="1" applyFont="1" applyFill="1" applyBorder="1" applyAlignment="1" applyProtection="1">
      <alignment horizontal="center" vertical="center" wrapText="1"/>
      <protection locked="0"/>
    </xf>
    <xf numFmtId="0" fontId="8" fillId="5" borderId="8" xfId="0" applyFont="1" applyFill="1" applyBorder="1" applyAlignment="1" applyProtection="1">
      <alignment horizontal="center" vertical="center" wrapText="1"/>
      <protection locked="0"/>
    </xf>
    <xf numFmtId="0" fontId="5" fillId="5" borderId="7" xfId="0" applyFont="1" applyFill="1" applyBorder="1" applyAlignment="1" applyProtection="1">
      <alignment horizontal="center" vertical="center" wrapText="1"/>
      <protection locked="0"/>
    </xf>
    <xf numFmtId="0" fontId="5" fillId="5" borderId="5" xfId="0" applyFont="1" applyFill="1" applyBorder="1" applyAlignment="1" applyProtection="1">
      <alignment horizontal="center" vertical="center" wrapText="1"/>
      <protection locked="0"/>
    </xf>
    <xf numFmtId="2" fontId="8" fillId="5" borderId="5" xfId="0" applyNumberFormat="1" applyFont="1" applyFill="1" applyBorder="1" applyAlignment="1" applyProtection="1">
      <alignment horizontal="center" vertical="center" wrapText="1"/>
      <protection locked="0"/>
    </xf>
    <xf numFmtId="4" fontId="8" fillId="5" borderId="7" xfId="3" applyNumberFormat="1" applyFont="1" applyFill="1" applyBorder="1" applyAlignment="1" applyProtection="1">
      <alignment horizontal="center" vertical="center" wrapText="1"/>
      <protection locked="0"/>
    </xf>
    <xf numFmtId="0" fontId="8" fillId="5" borderId="7" xfId="0" applyFont="1" applyFill="1" applyBorder="1" applyAlignment="1">
      <alignment horizontal="center" vertical="center" wrapText="1"/>
    </xf>
    <xf numFmtId="2" fontId="15" fillId="5" borderId="7" xfId="0" applyNumberFormat="1" applyFont="1" applyFill="1" applyBorder="1" applyAlignment="1" applyProtection="1">
      <alignment horizontal="center" vertical="center" wrapText="1"/>
      <protection locked="0"/>
    </xf>
    <xf numFmtId="4" fontId="8" fillId="5" borderId="19" xfId="0" applyNumberFormat="1" applyFont="1" applyFill="1" applyBorder="1" applyAlignment="1" applyProtection="1">
      <alignment horizontal="center" vertical="center" wrapText="1"/>
      <protection locked="0"/>
    </xf>
    <xf numFmtId="0" fontId="8" fillId="5" borderId="19" xfId="0" applyFont="1" applyFill="1" applyBorder="1" applyAlignment="1" applyProtection="1">
      <alignment horizontal="center" vertical="center" wrapText="1"/>
      <protection locked="0"/>
    </xf>
    <xf numFmtId="10" fontId="5" fillId="5" borderId="28" xfId="0" applyNumberFormat="1" applyFont="1" applyFill="1" applyBorder="1" applyAlignment="1" applyProtection="1">
      <alignment horizontal="right" vertical="center" wrapText="1"/>
      <protection locked="0"/>
    </xf>
    <xf numFmtId="4" fontId="18" fillId="6" borderId="5" xfId="0" applyNumberFormat="1" applyFont="1" applyFill="1" applyBorder="1" applyAlignment="1" applyProtection="1">
      <alignment horizontal="center" vertical="center" wrapText="1"/>
      <protection locked="0"/>
    </xf>
    <xf numFmtId="167" fontId="18" fillId="6" borderId="7" xfId="0" applyNumberFormat="1" applyFont="1" applyFill="1" applyBorder="1" applyAlignment="1" applyProtection="1">
      <alignment horizontal="center" vertical="center" wrapText="1"/>
      <protection locked="0"/>
    </xf>
    <xf numFmtId="2" fontId="18" fillId="6" borderId="19" xfId="0" applyNumberFormat="1" applyFont="1" applyFill="1" applyBorder="1" applyAlignment="1" applyProtection="1">
      <alignment horizontal="center" vertical="center" wrapText="1"/>
      <protection locked="0"/>
    </xf>
    <xf numFmtId="4" fontId="18" fillId="6" borderId="7" xfId="0" applyNumberFormat="1" applyFont="1" applyFill="1" applyBorder="1" applyAlignment="1" applyProtection="1">
      <alignment horizontal="center" vertical="center" wrapText="1"/>
      <protection locked="0"/>
    </xf>
    <xf numFmtId="0" fontId="17" fillId="6" borderId="7" xfId="0" applyFont="1" applyFill="1" applyBorder="1" applyAlignment="1" applyProtection="1">
      <alignment horizontal="center" vertical="center" wrapText="1"/>
      <protection locked="0"/>
    </xf>
    <xf numFmtId="2" fontId="18" fillId="6" borderId="7" xfId="0" applyNumberFormat="1" applyFont="1" applyFill="1" applyBorder="1" applyAlignment="1" applyProtection="1">
      <alignment horizontal="center" vertical="center" wrapText="1"/>
      <protection locked="0"/>
    </xf>
    <xf numFmtId="0" fontId="18" fillId="6" borderId="5" xfId="0" applyFont="1" applyFill="1" applyBorder="1" applyAlignment="1" applyProtection="1">
      <alignment horizontal="center" vertical="center" wrapText="1"/>
      <protection locked="0"/>
    </xf>
    <xf numFmtId="2" fontId="18" fillId="6" borderId="5" xfId="0" applyNumberFormat="1" applyFont="1" applyFill="1" applyBorder="1" applyAlignment="1" applyProtection="1">
      <alignment horizontal="center" vertical="center" wrapText="1"/>
      <protection locked="0"/>
    </xf>
    <xf numFmtId="2" fontId="23" fillId="6" borderId="7" xfId="0" applyNumberFormat="1" applyFont="1" applyFill="1" applyBorder="1" applyAlignment="1" applyProtection="1">
      <alignment horizontal="center" vertical="center" wrapText="1"/>
      <protection locked="0"/>
    </xf>
    <xf numFmtId="4" fontId="18" fillId="6" borderId="5" xfId="3" applyNumberFormat="1" applyFont="1" applyFill="1" applyBorder="1" applyAlignment="1" applyProtection="1">
      <alignment horizontal="center" vertical="center" wrapText="1"/>
      <protection locked="0"/>
    </xf>
    <xf numFmtId="166" fontId="18" fillId="6" borderId="7" xfId="0" applyNumberFormat="1" applyFont="1" applyFill="1" applyBorder="1" applyAlignment="1" applyProtection="1">
      <alignment horizontal="center" vertical="center" wrapText="1"/>
      <protection locked="0"/>
    </xf>
    <xf numFmtId="166" fontId="17" fillId="6" borderId="18" xfId="0" applyNumberFormat="1" applyFont="1" applyFill="1" applyBorder="1" applyAlignment="1" applyProtection="1">
      <alignment horizontal="center" vertical="center" wrapText="1"/>
      <protection locked="0"/>
    </xf>
    <xf numFmtId="166" fontId="18" fillId="6" borderId="19" xfId="0" applyNumberFormat="1" applyFont="1" applyFill="1" applyBorder="1" applyAlignment="1" applyProtection="1">
      <alignment horizontal="center" vertical="center" wrapText="1"/>
      <protection locked="0"/>
    </xf>
    <xf numFmtId="2" fontId="22" fillId="6" borderId="25" xfId="0" applyNumberFormat="1" applyFont="1" applyFill="1" applyBorder="1" applyAlignment="1" applyProtection="1">
      <alignment horizontal="center" vertical="center" wrapText="1"/>
      <protection locked="0"/>
    </xf>
    <xf numFmtId="4" fontId="18" fillId="6" borderId="7" xfId="3" applyNumberFormat="1" applyFont="1" applyFill="1" applyBorder="1" applyAlignment="1" applyProtection="1">
      <alignment horizontal="center" vertical="center" wrapText="1"/>
      <protection locked="0"/>
    </xf>
    <xf numFmtId="4" fontId="18" fillId="6" borderId="19" xfId="0" applyNumberFormat="1" applyFont="1" applyFill="1" applyBorder="1" applyAlignment="1" applyProtection="1">
      <alignment horizontal="center" vertical="center" wrapText="1"/>
      <protection locked="0"/>
    </xf>
    <xf numFmtId="166" fontId="5" fillId="5" borderId="29" xfId="0" applyNumberFormat="1" applyFont="1" applyFill="1" applyBorder="1" applyAlignment="1" applyProtection="1">
      <alignment horizontal="center" vertical="center" wrapText="1"/>
      <protection locked="0"/>
    </xf>
    <xf numFmtId="0" fontId="17" fillId="6" borderId="24" xfId="0" applyFont="1" applyFill="1" applyBorder="1" applyAlignment="1" applyProtection="1">
      <alignment horizontal="center" vertical="center" wrapText="1"/>
      <protection locked="0"/>
    </xf>
    <xf numFmtId="4" fontId="17" fillId="6" borderId="24" xfId="3" applyNumberFormat="1" applyFont="1" applyFill="1" applyBorder="1" applyAlignment="1" applyProtection="1">
      <alignment horizontal="center" vertical="center" wrapText="1"/>
      <protection locked="0"/>
    </xf>
    <xf numFmtId="4" fontId="8" fillId="7" borderId="5" xfId="3" applyNumberFormat="1" applyFont="1" applyFill="1" applyBorder="1" applyAlignment="1" applyProtection="1">
      <alignment horizontal="center" vertical="center" wrapText="1"/>
      <protection locked="0"/>
    </xf>
    <xf numFmtId="166" fontId="8" fillId="7" borderId="26" xfId="0" applyNumberFormat="1" applyFont="1" applyFill="1" applyBorder="1" applyAlignment="1" applyProtection="1">
      <alignment horizontal="center" vertical="center" wrapText="1"/>
      <protection locked="0"/>
    </xf>
    <xf numFmtId="166" fontId="18" fillId="6" borderId="26" xfId="0" applyNumberFormat="1" applyFont="1" applyFill="1" applyBorder="1" applyAlignment="1" applyProtection="1">
      <alignment horizontal="center" vertical="center" wrapText="1"/>
      <protection locked="0"/>
    </xf>
    <xf numFmtId="166" fontId="18" fillId="6" borderId="8" xfId="0" applyNumberFormat="1" applyFont="1" applyFill="1" applyBorder="1" applyAlignment="1" applyProtection="1">
      <alignment horizontal="center" vertical="center" wrapText="1"/>
      <protection locked="0"/>
    </xf>
    <xf numFmtId="0" fontId="18" fillId="4" borderId="30" xfId="0" applyFont="1" applyFill="1" applyBorder="1" applyAlignment="1">
      <alignment horizontal="center" vertical="center"/>
    </xf>
    <xf numFmtId="4" fontId="18" fillId="4" borderId="31" xfId="0" applyNumberFormat="1" applyFont="1" applyFill="1" applyBorder="1" applyAlignment="1">
      <alignment horizontal="center" vertical="center"/>
    </xf>
    <xf numFmtId="0" fontId="18" fillId="4" borderId="32" xfId="0" applyFont="1" applyFill="1" applyBorder="1" applyAlignment="1">
      <alignment horizontal="center" vertical="center"/>
    </xf>
    <xf numFmtId="4" fontId="18" fillId="4" borderId="33" xfId="0" applyNumberFormat="1" applyFont="1" applyFill="1" applyBorder="1" applyAlignment="1">
      <alignment horizontal="center" vertical="center"/>
    </xf>
    <xf numFmtId="4" fontId="18" fillId="4" borderId="34" xfId="0" applyNumberFormat="1" applyFont="1" applyFill="1" applyBorder="1" applyAlignment="1">
      <alignment horizontal="center" vertical="center"/>
    </xf>
    <xf numFmtId="0" fontId="18" fillId="4" borderId="33" xfId="0" applyFont="1" applyFill="1" applyBorder="1" applyAlignment="1">
      <alignment horizontal="center" vertical="center"/>
    </xf>
    <xf numFmtId="0" fontId="18" fillId="4" borderId="34" xfId="0" applyFont="1" applyFill="1" applyBorder="1" applyAlignment="1">
      <alignment horizontal="center" vertical="center"/>
    </xf>
    <xf numFmtId="4" fontId="18" fillId="4" borderId="35" xfId="0" applyNumberFormat="1" applyFont="1" applyFill="1" applyBorder="1" applyAlignment="1">
      <alignment horizontal="center" vertical="center"/>
    </xf>
    <xf numFmtId="4" fontId="18" fillId="4" borderId="27" xfId="0" applyNumberFormat="1" applyFont="1" applyFill="1" applyBorder="1" applyAlignment="1">
      <alignment horizontal="center" vertical="center"/>
    </xf>
    <xf numFmtId="4" fontId="18" fillId="4" borderId="36" xfId="0" applyNumberFormat="1" applyFont="1" applyFill="1" applyBorder="1" applyAlignment="1">
      <alignment horizontal="center" vertical="center"/>
    </xf>
    <xf numFmtId="0" fontId="18" fillId="4" borderId="37" xfId="0" applyFont="1" applyFill="1" applyBorder="1" applyAlignment="1">
      <alignment horizontal="center" vertical="center"/>
    </xf>
    <xf numFmtId="4" fontId="18" fillId="4" borderId="38" xfId="0" applyNumberFormat="1" applyFont="1" applyFill="1" applyBorder="1" applyAlignment="1">
      <alignment horizontal="center" vertical="center"/>
    </xf>
    <xf numFmtId="4" fontId="18" fillId="4" borderId="32" xfId="0" applyNumberFormat="1" applyFont="1" applyFill="1" applyBorder="1" applyAlignment="1">
      <alignment horizontal="center" vertical="center"/>
    </xf>
    <xf numFmtId="4" fontId="18" fillId="4" borderId="39" xfId="0" applyNumberFormat="1" applyFont="1" applyFill="1" applyBorder="1" applyAlignment="1">
      <alignment horizontal="center" vertical="center"/>
    </xf>
    <xf numFmtId="4" fontId="18" fillId="4" borderId="40" xfId="0" applyNumberFormat="1" applyFont="1" applyFill="1" applyBorder="1" applyAlignment="1">
      <alignment horizontal="center" vertical="center"/>
    </xf>
    <xf numFmtId="0" fontId="17" fillId="4" borderId="41" xfId="0" applyFont="1" applyFill="1" applyBorder="1" applyAlignment="1" applyProtection="1">
      <alignment horizontal="justify" vertical="center" wrapText="1"/>
      <protection locked="0"/>
    </xf>
    <xf numFmtId="166" fontId="5" fillId="5" borderId="42" xfId="0" applyNumberFormat="1" applyFont="1" applyFill="1" applyBorder="1" applyAlignment="1" applyProtection="1">
      <alignment horizontal="center" vertical="center" wrapText="1"/>
      <protection locked="0"/>
    </xf>
    <xf numFmtId="166" fontId="17" fillId="4" borderId="43" xfId="0" applyNumberFormat="1" applyFont="1" applyFill="1" applyBorder="1" applyAlignment="1" applyProtection="1">
      <alignment horizontal="center" vertical="center" wrapText="1"/>
      <protection locked="0"/>
    </xf>
    <xf numFmtId="0" fontId="17" fillId="4" borderId="44" xfId="0" applyFont="1" applyFill="1" applyBorder="1" applyAlignment="1" applyProtection="1">
      <alignment horizontal="center" vertical="center" wrapText="1"/>
      <protection locked="0"/>
    </xf>
    <xf numFmtId="0" fontId="17" fillId="4" borderId="41" xfId="0" applyFont="1" applyFill="1" applyBorder="1" applyAlignment="1" applyProtection="1">
      <alignment horizontal="center"/>
      <protection locked="0"/>
    </xf>
    <xf numFmtId="4" fontId="17" fillId="4" borderId="8" xfId="0" applyNumberFormat="1" applyFont="1" applyFill="1" applyBorder="1" applyAlignment="1" applyProtection="1">
      <alignment horizontal="center" vertical="center" wrapText="1"/>
      <protection locked="0"/>
    </xf>
    <xf numFmtId="2" fontId="17" fillId="4" borderId="8" xfId="0" applyNumberFormat="1" applyFont="1" applyFill="1" applyBorder="1" applyAlignment="1" applyProtection="1">
      <alignment horizontal="center" vertical="center" wrapText="1"/>
      <protection locked="0"/>
    </xf>
    <xf numFmtId="0" fontId="18" fillId="4" borderId="45" xfId="0" applyFont="1" applyFill="1" applyBorder="1"/>
    <xf numFmtId="0" fontId="18" fillId="4" borderId="46" xfId="0" applyFont="1" applyFill="1" applyBorder="1"/>
    <xf numFmtId="4" fontId="17" fillId="6" borderId="39" xfId="3" applyNumberFormat="1" applyFont="1" applyFill="1" applyBorder="1" applyAlignment="1" applyProtection="1">
      <alignment horizontal="center" vertical="center"/>
      <protection locked="0"/>
    </xf>
    <xf numFmtId="4" fontId="17" fillId="4" borderId="39" xfId="3" applyNumberFormat="1" applyFont="1" applyFill="1" applyBorder="1" applyAlignment="1" applyProtection="1">
      <alignment horizontal="center" vertical="center"/>
      <protection locked="0"/>
    </xf>
    <xf numFmtId="0" fontId="18" fillId="4" borderId="47" xfId="0" applyFont="1" applyFill="1" applyBorder="1" applyAlignment="1" applyProtection="1">
      <alignment horizontal="center" vertical="center" wrapText="1"/>
      <protection locked="0"/>
    </xf>
    <xf numFmtId="0" fontId="18" fillId="4" borderId="47" xfId="0" applyFont="1" applyFill="1" applyBorder="1"/>
    <xf numFmtId="0" fontId="22" fillId="4" borderId="47" xfId="0" applyFont="1" applyFill="1" applyBorder="1"/>
    <xf numFmtId="0" fontId="17" fillId="4" borderId="47" xfId="0" applyFont="1" applyFill="1" applyBorder="1" applyAlignment="1" applyProtection="1">
      <alignment horizontal="center" vertical="center" wrapText="1"/>
      <protection locked="0"/>
    </xf>
    <xf numFmtId="0" fontId="18" fillId="4" borderId="48" xfId="0" applyFont="1" applyFill="1" applyBorder="1" applyAlignment="1" applyProtection="1">
      <alignment horizontal="center" vertical="center" wrapText="1"/>
      <protection locked="0"/>
    </xf>
    <xf numFmtId="0" fontId="19" fillId="4" borderId="47" xfId="0" applyFont="1" applyFill="1" applyBorder="1"/>
    <xf numFmtId="0" fontId="17" fillId="4" borderId="47" xfId="0" applyFont="1" applyFill="1" applyBorder="1" applyAlignment="1" applyProtection="1">
      <alignment horizontal="right" vertical="center" wrapText="1"/>
      <protection locked="0"/>
    </xf>
    <xf numFmtId="0" fontId="17" fillId="4" borderId="47" xfId="0" applyFont="1" applyFill="1" applyBorder="1"/>
    <xf numFmtId="0" fontId="19" fillId="4" borderId="47" xfId="0" applyFont="1" applyFill="1" applyBorder="1" applyAlignment="1">
      <alignment horizontal="center"/>
    </xf>
    <xf numFmtId="0" fontId="17" fillId="4" borderId="48" xfId="0" applyFont="1" applyFill="1" applyBorder="1"/>
    <xf numFmtId="2" fontId="14" fillId="5" borderId="25" xfId="0" applyNumberFormat="1" applyFont="1" applyFill="1" applyBorder="1" applyAlignment="1" applyProtection="1">
      <alignment horizontal="center" vertical="center" wrapText="1"/>
      <protection locked="0"/>
    </xf>
    <xf numFmtId="0" fontId="17" fillId="4" borderId="49" xfId="0" applyFont="1" applyFill="1" applyBorder="1" applyAlignment="1" applyProtection="1">
      <alignment horizontal="center" vertical="center"/>
      <protection locked="0"/>
    </xf>
    <xf numFmtId="0" fontId="0" fillId="4" borderId="0" xfId="0" applyFill="1"/>
    <xf numFmtId="166" fontId="5" fillId="7" borderId="50" xfId="0" applyNumberFormat="1" applyFont="1" applyFill="1" applyBorder="1" applyAlignment="1" applyProtection="1">
      <alignment horizontal="center" vertical="center" wrapText="1"/>
      <protection locked="0"/>
    </xf>
    <xf numFmtId="166" fontId="5" fillId="5" borderId="72" xfId="0" applyNumberFormat="1" applyFont="1" applyFill="1" applyBorder="1" applyAlignment="1" applyProtection="1">
      <alignment horizontal="center" vertical="center" wrapText="1"/>
      <protection locked="0"/>
    </xf>
    <xf numFmtId="166" fontId="5" fillId="5" borderId="73" xfId="0" applyNumberFormat="1" applyFont="1" applyFill="1" applyBorder="1" applyAlignment="1" applyProtection="1">
      <alignment horizontal="center" vertical="center" wrapText="1"/>
      <protection locked="0"/>
    </xf>
    <xf numFmtId="166" fontId="5" fillId="5" borderId="74" xfId="0" applyNumberFormat="1" applyFont="1" applyFill="1" applyBorder="1" applyAlignment="1" applyProtection="1">
      <alignment horizontal="center" vertical="center" wrapText="1"/>
      <protection locked="0"/>
    </xf>
    <xf numFmtId="168" fontId="18" fillId="4" borderId="48" xfId="0" applyNumberFormat="1" applyFont="1" applyFill="1" applyBorder="1" applyAlignment="1" applyProtection="1">
      <alignment horizontal="center" vertical="center" wrapText="1"/>
      <protection locked="0"/>
    </xf>
    <xf numFmtId="49" fontId="17" fillId="6" borderId="28" xfId="0" applyNumberFormat="1" applyFont="1" applyFill="1" applyBorder="1" applyAlignment="1" applyProtection="1">
      <alignment horizontal="center" vertical="center"/>
      <protection locked="0"/>
    </xf>
    <xf numFmtId="9" fontId="17" fillId="6" borderId="1" xfId="0" applyNumberFormat="1" applyFont="1" applyFill="1" applyBorder="1" applyAlignment="1" applyProtection="1">
      <alignment horizontal="center" vertical="center"/>
      <protection locked="0"/>
    </xf>
    <xf numFmtId="4" fontId="17" fillId="6" borderId="18" xfId="3" applyNumberFormat="1" applyFont="1" applyFill="1" applyBorder="1" applyAlignment="1" applyProtection="1">
      <alignment horizontal="center" vertical="center"/>
      <protection locked="0"/>
    </xf>
    <xf numFmtId="0" fontId="17" fillId="6" borderId="1" xfId="0" applyFont="1" applyFill="1" applyBorder="1" applyAlignment="1" applyProtection="1">
      <alignment horizontal="center" vertical="center" wrapText="1"/>
      <protection locked="0"/>
    </xf>
    <xf numFmtId="4" fontId="17" fillId="6" borderId="1" xfId="3" applyNumberFormat="1" applyFont="1" applyFill="1" applyBorder="1" applyAlignment="1" applyProtection="1">
      <alignment horizontal="center" vertical="center" wrapText="1"/>
      <protection locked="0"/>
    </xf>
    <xf numFmtId="4" fontId="3" fillId="0" borderId="28" xfId="2" applyNumberFormat="1" applyFont="1" applyFill="1" applyBorder="1" applyAlignment="1" applyProtection="1">
      <alignment horizontal="center" vertical="center"/>
    </xf>
    <xf numFmtId="164" fontId="6" fillId="0" borderId="24" xfId="1" applyBorder="1" applyAlignment="1">
      <alignment horizontal="center" vertical="center"/>
    </xf>
    <xf numFmtId="164" fontId="6" fillId="0" borderId="32" xfId="1" applyBorder="1" applyAlignment="1">
      <alignment horizontal="center" vertical="center"/>
    </xf>
    <xf numFmtId="4" fontId="8" fillId="7" borderId="7" xfId="0" applyNumberFormat="1" applyFont="1" applyFill="1" applyBorder="1" applyAlignment="1" applyProtection="1">
      <alignment horizontal="center" vertical="center" wrapText="1"/>
      <protection locked="0"/>
    </xf>
    <xf numFmtId="166" fontId="8" fillId="7" borderId="8" xfId="0" applyNumberFormat="1" applyFont="1" applyFill="1" applyBorder="1" applyAlignment="1" applyProtection="1">
      <alignment horizontal="center" vertical="center" wrapText="1"/>
      <protection locked="0"/>
    </xf>
    <xf numFmtId="166" fontId="5" fillId="7" borderId="22" xfId="0" applyNumberFormat="1" applyFont="1" applyFill="1" applyBorder="1" applyAlignment="1" applyProtection="1">
      <alignment horizontal="center" vertical="center" wrapText="1"/>
      <protection locked="0"/>
    </xf>
    <xf numFmtId="166" fontId="8" fillId="7" borderId="27" xfId="0" applyNumberFormat="1" applyFont="1" applyFill="1" applyBorder="1" applyAlignment="1" applyProtection="1">
      <alignment horizontal="center" vertical="center" wrapText="1"/>
      <protection locked="0"/>
    </xf>
    <xf numFmtId="2" fontId="8" fillId="7" borderId="7" xfId="0" applyNumberFormat="1" applyFont="1" applyFill="1" applyBorder="1" applyAlignment="1" applyProtection="1">
      <alignment horizontal="center" vertical="center" wrapText="1"/>
      <protection locked="0"/>
    </xf>
    <xf numFmtId="4" fontId="8" fillId="7" borderId="7" xfId="3" applyNumberFormat="1" applyFont="1" applyFill="1" applyBorder="1" applyAlignment="1" applyProtection="1">
      <alignment horizontal="center" vertical="center" wrapText="1"/>
      <protection locked="0"/>
    </xf>
    <xf numFmtId="4" fontId="8" fillId="7" borderId="19" xfId="0" applyNumberFormat="1" applyFont="1" applyFill="1" applyBorder="1" applyAlignment="1" applyProtection="1">
      <alignment horizontal="center" vertical="center" wrapText="1"/>
      <protection locked="0"/>
    </xf>
    <xf numFmtId="4" fontId="8" fillId="7" borderId="5" xfId="0" applyNumberFormat="1" applyFont="1" applyFill="1" applyBorder="1" applyAlignment="1" applyProtection="1">
      <alignment horizontal="center" vertical="center" wrapText="1"/>
      <protection locked="0"/>
    </xf>
    <xf numFmtId="0" fontId="8" fillId="7" borderId="5" xfId="0" applyFont="1" applyFill="1" applyBorder="1" applyAlignment="1" applyProtection="1">
      <alignment horizontal="center" vertical="center" wrapText="1"/>
      <protection locked="0"/>
    </xf>
    <xf numFmtId="167" fontId="8" fillId="7" borderId="7" xfId="0" applyNumberFormat="1" applyFont="1" applyFill="1" applyBorder="1" applyAlignment="1" applyProtection="1">
      <alignment horizontal="center" vertical="center" wrapText="1"/>
      <protection locked="0"/>
    </xf>
    <xf numFmtId="2" fontId="8" fillId="7" borderId="25" xfId="0" applyNumberFormat="1" applyFont="1" applyFill="1" applyBorder="1" applyAlignment="1" applyProtection="1">
      <alignment horizontal="center" vertical="center" wrapText="1"/>
      <protection locked="0"/>
    </xf>
    <xf numFmtId="2" fontId="14" fillId="7" borderId="25" xfId="0" applyNumberFormat="1" applyFont="1" applyFill="1" applyBorder="1" applyAlignment="1" applyProtection="1">
      <alignment horizontal="center" vertical="center" wrapText="1"/>
      <protection locked="0"/>
    </xf>
    <xf numFmtId="0" fontId="5" fillId="7" borderId="7" xfId="0" applyFont="1" applyFill="1" applyBorder="1" applyAlignment="1" applyProtection="1">
      <alignment horizontal="center" vertical="center" wrapText="1"/>
      <protection locked="0"/>
    </xf>
    <xf numFmtId="2" fontId="8" fillId="7" borderId="5" xfId="0" applyNumberFormat="1" applyFont="1" applyFill="1" applyBorder="1" applyAlignment="1" applyProtection="1">
      <alignment horizontal="center" vertical="center" wrapText="1"/>
      <protection locked="0"/>
    </xf>
    <xf numFmtId="2" fontId="15" fillId="7" borderId="7" xfId="0" applyNumberFormat="1" applyFont="1" applyFill="1" applyBorder="1" applyAlignment="1" applyProtection="1">
      <alignment horizontal="center" vertical="center" wrapText="1"/>
      <protection locked="0"/>
    </xf>
    <xf numFmtId="0" fontId="17" fillId="4" borderId="14" xfId="0" applyFont="1" applyFill="1" applyBorder="1" applyAlignment="1" applyProtection="1">
      <alignment vertical="top" wrapText="1"/>
      <protection locked="0"/>
    </xf>
    <xf numFmtId="168" fontId="18" fillId="4" borderId="15" xfId="0" applyNumberFormat="1" applyFont="1" applyFill="1" applyBorder="1" applyAlignment="1" applyProtection="1">
      <alignment horizontal="center" vertical="top" wrapText="1"/>
      <protection locked="0"/>
    </xf>
    <xf numFmtId="0" fontId="17" fillId="4" borderId="14" xfId="0" applyFont="1" applyFill="1" applyBorder="1" applyAlignment="1" applyProtection="1">
      <alignment horizontal="center" vertical="top" wrapText="1"/>
      <protection locked="0"/>
    </xf>
    <xf numFmtId="0" fontId="18" fillId="4" borderId="15" xfId="0" applyFont="1" applyFill="1" applyBorder="1" applyAlignment="1" applyProtection="1">
      <alignment horizontal="center" vertical="top" wrapText="1"/>
      <protection locked="0"/>
    </xf>
    <xf numFmtId="164" fontId="6" fillId="4" borderId="0" xfId="1" applyFill="1"/>
    <xf numFmtId="166" fontId="0" fillId="4" borderId="0" xfId="0" applyNumberFormat="1" applyFill="1"/>
    <xf numFmtId="4" fontId="4" fillId="0" borderId="28" xfId="2" applyNumberFormat="1" applyFont="1" applyFill="1" applyBorder="1" applyAlignment="1" applyProtection="1">
      <alignment horizontal="center" vertical="center"/>
    </xf>
    <xf numFmtId="1" fontId="3" fillId="0" borderId="5" xfId="2" applyNumberFormat="1" applyFont="1" applyFill="1" applyBorder="1" applyAlignment="1" applyProtection="1">
      <alignment horizontal="center" vertical="center"/>
    </xf>
    <xf numFmtId="4" fontId="3" fillId="0" borderId="26" xfId="2" applyNumberFormat="1" applyFont="1" applyFill="1" applyBorder="1" applyAlignment="1" applyProtection="1">
      <alignment horizontal="center" vertical="center"/>
    </xf>
    <xf numFmtId="4" fontId="4" fillId="0" borderId="24" xfId="2" applyNumberFormat="1" applyFont="1" applyFill="1" applyBorder="1" applyAlignment="1" applyProtection="1">
      <alignment horizontal="center" vertical="center"/>
    </xf>
    <xf numFmtId="164" fontId="2" fillId="0" borderId="24" xfId="1" applyFont="1" applyBorder="1" applyAlignment="1">
      <alignment horizontal="center" vertical="center"/>
    </xf>
    <xf numFmtId="10" fontId="26" fillId="6" borderId="1" xfId="2" applyNumberFormat="1" applyFont="1" applyFill="1" applyBorder="1" applyAlignment="1" applyProtection="1">
      <alignment horizontal="center" vertical="center"/>
    </xf>
    <xf numFmtId="4" fontId="26" fillId="6" borderId="1" xfId="0" applyNumberFormat="1" applyFont="1" applyFill="1" applyBorder="1" applyAlignment="1">
      <alignment horizontal="center" vertical="center"/>
    </xf>
    <xf numFmtId="0" fontId="30" fillId="4" borderId="0" xfId="0" applyFont="1" applyFill="1"/>
    <xf numFmtId="0" fontId="25" fillId="4" borderId="0" xfId="0" applyFont="1" applyFill="1"/>
    <xf numFmtId="1" fontId="27" fillId="4" borderId="1" xfId="2" applyNumberFormat="1" applyFont="1" applyFill="1" applyBorder="1" applyAlignment="1" applyProtection="1">
      <alignment horizontal="center" vertical="center"/>
    </xf>
    <xf numFmtId="10" fontId="27" fillId="4" borderId="1" xfId="2" applyNumberFormat="1" applyFont="1" applyFill="1" applyBorder="1" applyAlignment="1" applyProtection="1">
      <alignment vertical="center" wrapText="1"/>
    </xf>
    <xf numFmtId="4" fontId="27" fillId="4" borderId="1" xfId="2" applyNumberFormat="1" applyFont="1" applyFill="1" applyBorder="1" applyAlignment="1" applyProtection="1">
      <alignment horizontal="center" vertical="center"/>
    </xf>
    <xf numFmtId="10" fontId="27" fillId="4" borderId="1" xfId="2" applyNumberFormat="1" applyFont="1" applyFill="1" applyBorder="1" applyAlignment="1" applyProtection="1">
      <alignment vertical="center"/>
    </xf>
    <xf numFmtId="4" fontId="27" fillId="4" borderId="1" xfId="2" applyNumberFormat="1" applyFont="1" applyFill="1" applyBorder="1" applyAlignment="1" applyProtection="1">
      <alignment vertical="center"/>
    </xf>
    <xf numFmtId="10" fontId="28" fillId="4" borderId="1" xfId="2" applyNumberFormat="1" applyFont="1" applyFill="1" applyBorder="1" applyAlignment="1" applyProtection="1">
      <alignment vertical="center" wrapText="1"/>
    </xf>
    <xf numFmtId="0" fontId="28" fillId="4" borderId="0" xfId="0" applyFont="1" applyFill="1"/>
    <xf numFmtId="4" fontId="26" fillId="6" borderId="1" xfId="2" applyNumberFormat="1" applyFont="1" applyFill="1" applyBorder="1" applyAlignment="1" applyProtection="1">
      <alignment horizontal="center" vertical="center"/>
    </xf>
    <xf numFmtId="10" fontId="26" fillId="6" borderId="1" xfId="2" applyNumberFormat="1" applyFont="1" applyFill="1" applyBorder="1" applyAlignment="1" applyProtection="1">
      <alignment vertical="center"/>
    </xf>
    <xf numFmtId="4" fontId="26" fillId="6" borderId="1" xfId="2" applyNumberFormat="1" applyFont="1" applyFill="1" applyBorder="1" applyAlignment="1" applyProtection="1">
      <alignment vertical="center"/>
    </xf>
    <xf numFmtId="10" fontId="27" fillId="0" borderId="1" xfId="2" applyNumberFormat="1" applyFont="1" applyFill="1" applyBorder="1" applyAlignment="1" applyProtection="1">
      <alignment vertical="center"/>
    </xf>
    <xf numFmtId="4" fontId="27" fillId="0" borderId="1" xfId="2" applyNumberFormat="1" applyFont="1" applyFill="1" applyBorder="1" applyAlignment="1" applyProtection="1">
      <alignment vertical="center"/>
    </xf>
    <xf numFmtId="1" fontId="27" fillId="4" borderId="11" xfId="2" applyNumberFormat="1" applyFont="1" applyFill="1" applyBorder="1" applyAlignment="1" applyProtection="1">
      <alignment horizontal="center" vertical="center"/>
    </xf>
    <xf numFmtId="10" fontId="27" fillId="4" borderId="11" xfId="2" applyNumberFormat="1" applyFont="1" applyFill="1" applyBorder="1" applyAlignment="1" applyProtection="1">
      <alignment vertical="center" wrapText="1"/>
    </xf>
    <xf numFmtId="4" fontId="27" fillId="4" borderId="11" xfId="2" applyNumberFormat="1" applyFont="1" applyFill="1" applyBorder="1" applyAlignment="1" applyProtection="1">
      <alignment horizontal="center" vertical="center"/>
    </xf>
    <xf numFmtId="164" fontId="16" fillId="0" borderId="65" xfId="0" applyNumberFormat="1" applyFont="1" applyBorder="1"/>
    <xf numFmtId="164" fontId="0" fillId="0" borderId="65" xfId="0" applyNumberFormat="1" applyBorder="1" applyAlignment="1">
      <alignment horizontal="center" vertical="center"/>
    </xf>
    <xf numFmtId="164" fontId="0" fillId="0" borderId="85" xfId="0" applyNumberFormat="1" applyBorder="1" applyAlignment="1">
      <alignment horizontal="center" vertical="center"/>
    </xf>
    <xf numFmtId="10" fontId="27" fillId="6" borderId="1" xfId="2" applyNumberFormat="1" applyFont="1" applyFill="1" applyBorder="1" applyAlignment="1" applyProtection="1">
      <alignment horizontal="center" vertical="center"/>
    </xf>
    <xf numFmtId="4" fontId="27" fillId="6" borderId="1" xfId="2" applyNumberFormat="1" applyFont="1" applyFill="1" applyBorder="1" applyAlignment="1" applyProtection="1">
      <alignment horizontal="center" vertical="center"/>
    </xf>
    <xf numFmtId="10" fontId="27" fillId="4" borderId="11" xfId="2" applyNumberFormat="1" applyFont="1" applyFill="1" applyBorder="1" applyAlignment="1" applyProtection="1">
      <alignment horizontal="center" vertical="center"/>
    </xf>
    <xf numFmtId="10" fontId="27" fillId="4" borderId="1" xfId="2" applyNumberFormat="1" applyFont="1" applyFill="1" applyBorder="1" applyAlignment="1" applyProtection="1">
      <alignment horizontal="center" vertical="center"/>
    </xf>
    <xf numFmtId="10" fontId="27" fillId="0" borderId="1" xfId="2" applyNumberFormat="1" applyFont="1" applyFill="1" applyBorder="1" applyAlignment="1" applyProtection="1">
      <alignment horizontal="center" vertical="center"/>
    </xf>
    <xf numFmtId="4" fontId="27" fillId="0" borderId="1" xfId="2" applyNumberFormat="1" applyFont="1" applyFill="1" applyBorder="1" applyAlignment="1" applyProtection="1">
      <alignment horizontal="center" vertical="center"/>
    </xf>
    <xf numFmtId="10" fontId="27" fillId="4" borderId="5" xfId="2" applyNumberFormat="1" applyFont="1" applyFill="1" applyBorder="1" applyAlignment="1" applyProtection="1">
      <alignment horizontal="center" vertical="center"/>
    </xf>
    <xf numFmtId="4" fontId="27" fillId="4" borderId="5" xfId="2" applyNumberFormat="1" applyFont="1" applyFill="1" applyBorder="1" applyAlignment="1" applyProtection="1">
      <alignment horizontal="center" vertical="center"/>
    </xf>
    <xf numFmtId="4" fontId="27" fillId="4" borderId="28" xfId="2" applyNumberFormat="1" applyFont="1" applyFill="1" applyBorder="1" applyAlignment="1" applyProtection="1">
      <alignment horizontal="center" vertical="center"/>
    </xf>
    <xf numFmtId="0" fontId="25" fillId="4" borderId="24" xfId="0" applyFont="1" applyFill="1" applyBorder="1" applyAlignment="1">
      <alignment horizontal="center"/>
    </xf>
    <xf numFmtId="10" fontId="27" fillId="4" borderId="18" xfId="2" applyNumberFormat="1" applyFont="1" applyFill="1" applyBorder="1" applyAlignment="1" applyProtection="1">
      <alignment horizontal="center" vertical="center"/>
    </xf>
    <xf numFmtId="10" fontId="7" fillId="0" borderId="24" xfId="2" applyNumberFormat="1" applyBorder="1" applyAlignment="1">
      <alignment horizontal="center" vertical="center"/>
    </xf>
    <xf numFmtId="10" fontId="16" fillId="0" borderId="24" xfId="2" applyNumberFormat="1" applyFont="1" applyBorder="1" applyAlignment="1">
      <alignment horizontal="center" vertical="center"/>
    </xf>
    <xf numFmtId="4" fontId="18" fillId="4" borderId="47" xfId="0" applyNumberFormat="1" applyFont="1" applyFill="1" applyBorder="1"/>
    <xf numFmtId="1" fontId="3" fillId="6" borderId="1" xfId="2" applyNumberFormat="1" applyFont="1" applyFill="1" applyBorder="1" applyAlignment="1" applyProtection="1">
      <alignment horizontal="center" vertical="center"/>
    </xf>
    <xf numFmtId="10" fontId="3" fillId="6" borderId="1" xfId="2" applyNumberFormat="1" applyFont="1" applyFill="1" applyBorder="1" applyAlignment="1" applyProtection="1">
      <alignment vertical="center" wrapText="1"/>
    </xf>
    <xf numFmtId="4" fontId="25" fillId="4" borderId="0" xfId="0" applyNumberFormat="1" applyFont="1" applyFill="1"/>
    <xf numFmtId="49" fontId="17" fillId="4" borderId="86" xfId="0" applyNumberFormat="1" applyFont="1" applyFill="1" applyBorder="1" applyAlignment="1" applyProtection="1">
      <alignment vertical="center"/>
      <protection locked="0"/>
    </xf>
    <xf numFmtId="49" fontId="17" fillId="4" borderId="87" xfId="0" applyNumberFormat="1" applyFont="1" applyFill="1" applyBorder="1" applyAlignment="1" applyProtection="1">
      <alignment vertical="center"/>
      <protection locked="0"/>
    </xf>
    <xf numFmtId="49" fontId="17" fillId="4" borderId="93" xfId="0" applyNumberFormat="1" applyFont="1" applyFill="1" applyBorder="1" applyAlignment="1" applyProtection="1">
      <alignment horizontal="center" vertical="center" wrapText="1"/>
      <protection locked="0"/>
    </xf>
    <xf numFmtId="0" fontId="17" fillId="4" borderId="94" xfId="0" applyFont="1" applyFill="1" applyBorder="1" applyAlignment="1" applyProtection="1">
      <alignment vertical="center" wrapText="1"/>
      <protection locked="0"/>
    </xf>
    <xf numFmtId="49" fontId="17" fillId="4" borderId="89" xfId="0" applyNumberFormat="1" applyFont="1" applyFill="1" applyBorder="1" applyAlignment="1" applyProtection="1">
      <alignment horizontal="center" vertical="center" wrapText="1"/>
      <protection locked="0"/>
    </xf>
    <xf numFmtId="0" fontId="17" fillId="4" borderId="94" xfId="2" applyNumberFormat="1" applyFont="1" applyFill="1" applyBorder="1" applyAlignment="1" applyProtection="1">
      <alignment vertical="center" wrapText="1"/>
      <protection locked="0"/>
    </xf>
    <xf numFmtId="49" fontId="17" fillId="4" borderId="95" xfId="0" applyNumberFormat="1" applyFont="1" applyFill="1" applyBorder="1" applyAlignment="1" applyProtection="1">
      <alignment horizontal="center" vertical="center" wrapText="1"/>
      <protection locked="0"/>
    </xf>
    <xf numFmtId="2" fontId="8" fillId="5" borderId="0" xfId="0" applyNumberFormat="1" applyFont="1" applyFill="1" applyAlignment="1" applyProtection="1">
      <alignment horizontal="center" vertical="center" wrapText="1"/>
      <protection locked="0"/>
    </xf>
    <xf numFmtId="2" fontId="18" fillId="4" borderId="0" xfId="0" applyNumberFormat="1" applyFont="1" applyFill="1" applyAlignment="1" applyProtection="1">
      <alignment horizontal="center" vertical="center" wrapText="1"/>
      <protection locked="0"/>
    </xf>
    <xf numFmtId="2" fontId="18" fillId="6" borderId="0" xfId="0" applyNumberFormat="1" applyFont="1" applyFill="1" applyAlignment="1" applyProtection="1">
      <alignment horizontal="center" vertical="center" wrapText="1"/>
      <protection locked="0"/>
    </xf>
    <xf numFmtId="166" fontId="8" fillId="5" borderId="0" xfId="0" applyNumberFormat="1" applyFont="1" applyFill="1" applyAlignment="1" applyProtection="1">
      <alignment horizontal="center" vertical="center" wrapText="1"/>
      <protection locked="0"/>
    </xf>
    <xf numFmtId="166" fontId="8" fillId="7" borderId="0" xfId="0" applyNumberFormat="1" applyFont="1" applyFill="1" applyAlignment="1" applyProtection="1">
      <alignment horizontal="center" vertical="center" wrapText="1"/>
      <protection locked="0"/>
    </xf>
    <xf numFmtId="2" fontId="14" fillId="5" borderId="0" xfId="0" applyNumberFormat="1" applyFont="1" applyFill="1" applyAlignment="1" applyProtection="1">
      <alignment horizontal="center" vertical="center" wrapText="1"/>
      <protection locked="0"/>
    </xf>
    <xf numFmtId="2" fontId="22" fillId="4" borderId="0" xfId="0" applyNumberFormat="1" applyFont="1" applyFill="1" applyAlignment="1" applyProtection="1">
      <alignment horizontal="center" vertical="center" wrapText="1"/>
      <protection locked="0"/>
    </xf>
    <xf numFmtId="49" fontId="17" fillId="4" borderId="91" xfId="0" applyNumberFormat="1" applyFont="1" applyFill="1" applyBorder="1" applyAlignment="1" applyProtection="1">
      <alignment horizontal="center" vertical="center" wrapText="1"/>
      <protection locked="0"/>
    </xf>
    <xf numFmtId="49" fontId="17" fillId="4" borderId="95" xfId="0" applyNumberFormat="1" applyFont="1" applyFill="1" applyBorder="1" applyAlignment="1">
      <alignment horizontal="center" vertical="center" wrapText="1"/>
    </xf>
    <xf numFmtId="1" fontId="17" fillId="4" borderId="93" xfId="0" applyNumberFormat="1" applyFont="1" applyFill="1" applyBorder="1" applyAlignment="1" applyProtection="1">
      <alignment horizontal="center" vertical="center" wrapText="1"/>
      <protection locked="0"/>
    </xf>
    <xf numFmtId="1" fontId="17" fillId="4" borderId="89" xfId="0" applyNumberFormat="1" applyFont="1" applyFill="1" applyBorder="1" applyAlignment="1" applyProtection="1">
      <alignment horizontal="center" vertical="center" wrapText="1"/>
      <protection locked="0"/>
    </xf>
    <xf numFmtId="1" fontId="17" fillId="4" borderId="95" xfId="0" applyNumberFormat="1" applyFont="1" applyFill="1" applyBorder="1" applyAlignment="1" applyProtection="1">
      <alignment horizontal="center" vertical="center" wrapText="1"/>
      <protection locked="0"/>
    </xf>
    <xf numFmtId="1" fontId="17" fillId="4" borderId="91" xfId="0" applyNumberFormat="1" applyFont="1" applyFill="1" applyBorder="1" applyAlignment="1" applyProtection="1">
      <alignment horizontal="center" vertical="center" wrapText="1"/>
      <protection locked="0"/>
    </xf>
    <xf numFmtId="49" fontId="17" fillId="4" borderId="96" xfId="0" applyNumberFormat="1" applyFont="1" applyFill="1" applyBorder="1" applyAlignment="1" applyProtection="1">
      <alignment horizontal="center" vertical="center" wrapText="1"/>
      <protection locked="0"/>
    </xf>
    <xf numFmtId="0" fontId="18" fillId="4" borderId="95" xfId="0" applyFont="1" applyFill="1" applyBorder="1" applyAlignment="1" applyProtection="1">
      <alignment horizontal="center" vertical="center" wrapText="1"/>
      <protection locked="0"/>
    </xf>
    <xf numFmtId="0" fontId="5" fillId="5" borderId="0" xfId="0" applyFont="1" applyFill="1" applyAlignment="1" applyProtection="1">
      <alignment vertical="center" wrapText="1"/>
      <protection locked="0"/>
    </xf>
    <xf numFmtId="49" fontId="18" fillId="4" borderId="91" xfId="0" applyNumberFormat="1" applyFont="1" applyFill="1" applyBorder="1" applyAlignment="1" applyProtection="1">
      <alignment vertical="center" wrapText="1"/>
      <protection locked="0"/>
    </xf>
    <xf numFmtId="49" fontId="18" fillId="4" borderId="97" xfId="0" applyNumberFormat="1" applyFont="1" applyFill="1" applyBorder="1" applyAlignment="1" applyProtection="1">
      <alignment horizontal="center" vertical="center" wrapText="1"/>
      <protection locked="0"/>
    </xf>
    <xf numFmtId="166" fontId="17" fillId="4" borderId="94" xfId="0" applyNumberFormat="1" applyFont="1" applyFill="1" applyBorder="1" applyProtection="1">
      <protection locked="0"/>
    </xf>
    <xf numFmtId="49" fontId="18" fillId="4" borderId="98" xfId="0" applyNumberFormat="1" applyFont="1" applyFill="1" applyBorder="1" applyAlignment="1" applyProtection="1">
      <alignment horizontal="center" vertical="center" wrapText="1"/>
      <protection locked="0"/>
    </xf>
    <xf numFmtId="166" fontId="17" fillId="4" borderId="99" xfId="0" applyNumberFormat="1" applyFont="1" applyFill="1" applyBorder="1" applyProtection="1">
      <protection locked="0"/>
    </xf>
    <xf numFmtId="4" fontId="18" fillId="4" borderId="104" xfId="3" applyNumberFormat="1" applyFont="1" applyFill="1" applyBorder="1" applyAlignment="1" applyProtection="1">
      <alignment horizontal="center" vertical="center"/>
    </xf>
    <xf numFmtId="0" fontId="18" fillId="4" borderId="104" xfId="0" applyFont="1" applyFill="1" applyBorder="1" applyAlignment="1">
      <alignment horizontal="center" vertical="center"/>
    </xf>
    <xf numFmtId="0" fontId="21" fillId="4" borderId="104" xfId="0" applyFont="1" applyFill="1" applyBorder="1" applyAlignment="1">
      <alignment horizontal="center"/>
    </xf>
    <xf numFmtId="4" fontId="18" fillId="4" borderId="48" xfId="0" applyNumberFormat="1" applyFont="1" applyFill="1" applyBorder="1"/>
    <xf numFmtId="0" fontId="18" fillId="4" borderId="48" xfId="0" applyFont="1" applyFill="1" applyBorder="1"/>
    <xf numFmtId="4" fontId="17" fillId="6" borderId="56" xfId="3" applyNumberFormat="1" applyFont="1" applyFill="1" applyBorder="1" applyAlignment="1" applyProtection="1">
      <alignment horizontal="center" vertical="center" wrapText="1"/>
      <protection locked="0"/>
    </xf>
    <xf numFmtId="4" fontId="17" fillId="6" borderId="57" xfId="3" applyNumberFormat="1" applyFont="1" applyFill="1" applyBorder="1" applyAlignment="1" applyProtection="1">
      <alignment horizontal="center" vertical="center" wrapText="1"/>
      <protection locked="0"/>
    </xf>
    <xf numFmtId="4" fontId="17" fillId="4" borderId="56" xfId="3" applyNumberFormat="1" applyFont="1" applyFill="1" applyBorder="1" applyAlignment="1" applyProtection="1">
      <alignment horizontal="center" vertical="center" wrapText="1"/>
      <protection locked="0"/>
    </xf>
    <xf numFmtId="4" fontId="17" fillId="4" borderId="45" xfId="3" applyNumberFormat="1" applyFont="1" applyFill="1" applyBorder="1" applyAlignment="1" applyProtection="1">
      <alignment horizontal="center" vertical="center" wrapText="1"/>
      <protection locked="0"/>
    </xf>
    <xf numFmtId="4" fontId="17" fillId="6" borderId="45" xfId="3" applyNumberFormat="1" applyFont="1" applyFill="1" applyBorder="1" applyAlignment="1" applyProtection="1">
      <alignment horizontal="center" vertical="center" wrapText="1"/>
      <protection locked="0"/>
    </xf>
    <xf numFmtId="0" fontId="17" fillId="4" borderId="58" xfId="0" applyFont="1" applyFill="1" applyBorder="1" applyAlignment="1" applyProtection="1">
      <alignment horizontal="center" vertical="center" wrapText="1"/>
      <protection locked="0"/>
    </xf>
    <xf numFmtId="0" fontId="17" fillId="4" borderId="90" xfId="0" applyFont="1" applyFill="1" applyBorder="1" applyAlignment="1" applyProtection="1">
      <alignment horizontal="center" vertical="center" wrapText="1"/>
      <protection locked="0"/>
    </xf>
    <xf numFmtId="0" fontId="17" fillId="4" borderId="59" xfId="0" applyFont="1" applyFill="1" applyBorder="1" applyAlignment="1" applyProtection="1">
      <alignment horizontal="center" vertical="center" wrapText="1"/>
      <protection locked="0"/>
    </xf>
    <xf numFmtId="0" fontId="17" fillId="4" borderId="92" xfId="0" applyFont="1" applyFill="1" applyBorder="1" applyAlignment="1" applyProtection="1">
      <alignment horizontal="center" vertical="center" wrapText="1"/>
      <protection locked="0"/>
    </xf>
    <xf numFmtId="0" fontId="17" fillId="4" borderId="60" xfId="0" applyFont="1" applyFill="1" applyBorder="1" applyAlignment="1" applyProtection="1">
      <alignment horizontal="center" vertical="center"/>
      <protection locked="0"/>
    </xf>
    <xf numFmtId="0" fontId="17" fillId="4" borderId="47" xfId="0" applyFont="1" applyFill="1" applyBorder="1" applyAlignment="1" applyProtection="1">
      <alignment horizontal="center" vertical="center"/>
      <protection locked="0"/>
    </xf>
    <xf numFmtId="0" fontId="17" fillId="4" borderId="48" xfId="0" applyFont="1" applyFill="1" applyBorder="1" applyAlignment="1" applyProtection="1">
      <alignment horizontal="center" vertical="center"/>
      <protection locked="0"/>
    </xf>
    <xf numFmtId="49" fontId="17" fillId="6" borderId="88" xfId="0" applyNumberFormat="1" applyFont="1" applyFill="1" applyBorder="1" applyAlignment="1" applyProtection="1">
      <alignment horizontal="left" vertical="center"/>
      <protection locked="0"/>
    </xf>
    <xf numFmtId="49" fontId="17" fillId="6" borderId="61" xfId="0" applyNumberFormat="1" applyFont="1" applyFill="1" applyBorder="1" applyAlignment="1" applyProtection="1">
      <alignment horizontal="left" vertical="center"/>
      <protection locked="0"/>
    </xf>
    <xf numFmtId="49" fontId="17" fillId="6" borderId="62" xfId="0" applyNumberFormat="1" applyFont="1" applyFill="1" applyBorder="1" applyAlignment="1" applyProtection="1">
      <alignment horizontal="left" vertical="center"/>
      <protection locked="0"/>
    </xf>
    <xf numFmtId="49" fontId="17" fillId="6" borderId="63" xfId="0" applyNumberFormat="1" applyFont="1" applyFill="1" applyBorder="1" applyAlignment="1" applyProtection="1">
      <alignment horizontal="left" vertical="center"/>
      <protection locked="0"/>
    </xf>
    <xf numFmtId="49" fontId="17" fillId="6" borderId="64" xfId="0" applyNumberFormat="1" applyFont="1" applyFill="1" applyBorder="1" applyAlignment="1" applyProtection="1">
      <alignment horizontal="left" vertical="center"/>
      <protection locked="0"/>
    </xf>
    <xf numFmtId="49" fontId="17" fillId="6" borderId="89" xfId="0" applyNumberFormat="1" applyFont="1" applyFill="1" applyBorder="1" applyAlignment="1" applyProtection="1">
      <alignment horizontal="center" vertical="center"/>
      <protection locked="0"/>
    </xf>
    <xf numFmtId="49" fontId="17" fillId="6" borderId="91" xfId="0" applyNumberFormat="1" applyFont="1" applyFill="1" applyBorder="1" applyAlignment="1" applyProtection="1">
      <alignment horizontal="center" vertical="center"/>
      <protection locked="0"/>
    </xf>
    <xf numFmtId="0" fontId="17" fillId="6" borderId="5" xfId="0" applyFont="1" applyFill="1" applyBorder="1" applyAlignment="1" applyProtection="1">
      <alignment horizontal="center" vertical="center" wrapText="1"/>
      <protection locked="0"/>
    </xf>
    <xf numFmtId="0" fontId="17" fillId="6" borderId="11" xfId="0" applyFont="1" applyFill="1" applyBorder="1" applyAlignment="1" applyProtection="1">
      <alignment horizontal="center" vertical="center" wrapText="1"/>
      <protection locked="0"/>
    </xf>
    <xf numFmtId="4" fontId="17" fillId="6" borderId="65" xfId="3" applyNumberFormat="1" applyFont="1" applyFill="1" applyBorder="1" applyAlignment="1" applyProtection="1">
      <alignment horizontal="center" vertical="center"/>
      <protection locked="0"/>
    </xf>
    <xf numFmtId="4" fontId="17" fillId="6" borderId="45" xfId="3" applyNumberFormat="1" applyFont="1" applyFill="1" applyBorder="1" applyAlignment="1" applyProtection="1">
      <alignment horizontal="center" vertical="center"/>
      <protection locked="0"/>
    </xf>
    <xf numFmtId="4" fontId="17" fillId="4" borderId="56" xfId="3" applyNumberFormat="1" applyFont="1" applyFill="1" applyBorder="1" applyAlignment="1" applyProtection="1">
      <alignment horizontal="center" vertical="center"/>
      <protection locked="0"/>
    </xf>
    <xf numFmtId="4" fontId="17" fillId="4" borderId="45" xfId="3" applyNumberFormat="1" applyFont="1" applyFill="1" applyBorder="1" applyAlignment="1" applyProtection="1">
      <alignment horizontal="center" vertical="center"/>
      <protection locked="0"/>
    </xf>
    <xf numFmtId="0" fontId="24" fillId="4" borderId="23" xfId="0" applyFont="1" applyFill="1" applyBorder="1" applyAlignment="1" applyProtection="1">
      <alignment horizontal="center" vertical="center"/>
      <protection locked="0"/>
    </xf>
    <xf numFmtId="0" fontId="24" fillId="4" borderId="105" xfId="0" applyFont="1" applyFill="1" applyBorder="1" applyAlignment="1" applyProtection="1">
      <alignment horizontal="center" vertical="center"/>
      <protection locked="0"/>
    </xf>
    <xf numFmtId="0" fontId="5" fillId="5" borderId="28" xfId="0" applyFont="1" applyFill="1" applyBorder="1" applyAlignment="1" applyProtection="1">
      <alignment horizontal="right" vertical="center" wrapText="1"/>
      <protection locked="0"/>
    </xf>
    <xf numFmtId="0" fontId="5" fillId="7" borderId="28" xfId="0" applyFont="1" applyFill="1" applyBorder="1" applyAlignment="1" applyProtection="1">
      <alignment horizontal="right" vertical="center" wrapText="1"/>
      <protection locked="0"/>
    </xf>
    <xf numFmtId="0" fontId="17" fillId="6" borderId="28" xfId="0" applyFont="1" applyFill="1" applyBorder="1" applyAlignment="1" applyProtection="1">
      <alignment horizontal="right" vertical="center" wrapText="1"/>
      <protection locked="0"/>
    </xf>
    <xf numFmtId="0" fontId="17" fillId="6" borderId="22" xfId="0" applyFont="1" applyFill="1" applyBorder="1" applyAlignment="1" applyProtection="1">
      <alignment horizontal="right" vertical="center" wrapText="1"/>
      <protection locked="0"/>
    </xf>
    <xf numFmtId="0" fontId="17" fillId="4" borderId="28" xfId="0" applyFont="1" applyFill="1" applyBorder="1" applyAlignment="1" applyProtection="1">
      <alignment horizontal="right" vertical="center" wrapText="1"/>
      <protection locked="0"/>
    </xf>
    <xf numFmtId="0" fontId="17" fillId="4" borderId="22" xfId="0" applyFont="1" applyFill="1" applyBorder="1" applyAlignment="1" applyProtection="1">
      <alignment horizontal="right" vertical="center" wrapText="1"/>
      <protection locked="0"/>
    </xf>
    <xf numFmtId="0" fontId="17" fillId="4" borderId="26" xfId="0" applyFont="1" applyFill="1" applyBorder="1" applyAlignment="1" applyProtection="1">
      <alignment horizontal="right" vertical="center" wrapText="1"/>
      <protection locked="0"/>
    </xf>
    <xf numFmtId="0" fontId="5" fillId="5" borderId="79" xfId="0" applyFont="1" applyFill="1" applyBorder="1" applyAlignment="1" applyProtection="1">
      <alignment horizontal="right" vertical="center" wrapText="1"/>
      <protection locked="0"/>
    </xf>
    <xf numFmtId="10" fontId="5" fillId="7" borderId="53" xfId="0" applyNumberFormat="1" applyFont="1" applyFill="1" applyBorder="1" applyAlignment="1" applyProtection="1">
      <alignment horizontal="right" vertical="center" wrapText="1"/>
      <protection locked="0"/>
    </xf>
    <xf numFmtId="10" fontId="5" fillId="7" borderId="75" xfId="0" applyNumberFormat="1" applyFont="1" applyFill="1" applyBorder="1" applyAlignment="1" applyProtection="1">
      <alignment horizontal="right" vertical="center" wrapText="1"/>
      <protection locked="0"/>
    </xf>
    <xf numFmtId="0" fontId="5" fillId="5" borderId="77" xfId="0" applyFont="1" applyFill="1" applyBorder="1" applyAlignment="1" applyProtection="1">
      <alignment horizontal="right" vertical="center" wrapText="1"/>
      <protection locked="0"/>
    </xf>
    <xf numFmtId="10" fontId="5" fillId="7" borderId="26" xfId="0" applyNumberFormat="1" applyFont="1" applyFill="1" applyBorder="1" applyAlignment="1" applyProtection="1">
      <alignment horizontal="right" vertical="center" wrapText="1"/>
      <protection locked="0"/>
    </xf>
    <xf numFmtId="0" fontId="5" fillId="7" borderId="26" xfId="0" applyFont="1" applyFill="1" applyBorder="1" applyAlignment="1" applyProtection="1">
      <alignment horizontal="right" vertical="center" wrapText="1"/>
      <protection locked="0"/>
    </xf>
    <xf numFmtId="10" fontId="5" fillId="5" borderId="26" xfId="0" applyNumberFormat="1" applyFont="1" applyFill="1" applyBorder="1" applyAlignment="1" applyProtection="1">
      <alignment horizontal="right" vertical="center" wrapText="1"/>
      <protection locked="0"/>
    </xf>
    <xf numFmtId="0" fontId="5" fillId="5" borderId="26" xfId="0" applyFont="1" applyFill="1" applyBorder="1" applyAlignment="1" applyProtection="1">
      <alignment horizontal="right" vertical="center" wrapText="1"/>
      <protection locked="0"/>
    </xf>
    <xf numFmtId="0" fontId="5" fillId="5" borderId="22" xfId="0" applyFont="1" applyFill="1" applyBorder="1" applyAlignment="1" applyProtection="1">
      <alignment horizontal="right" vertical="center" wrapText="1"/>
      <protection locked="0"/>
    </xf>
    <xf numFmtId="10" fontId="5" fillId="7" borderId="55" xfId="0" applyNumberFormat="1" applyFont="1" applyFill="1" applyBorder="1" applyAlignment="1" applyProtection="1">
      <alignment horizontal="right" vertical="center" wrapText="1"/>
      <protection locked="0"/>
    </xf>
    <xf numFmtId="0" fontId="5" fillId="7" borderId="22" xfId="0" applyFont="1" applyFill="1" applyBorder="1" applyAlignment="1" applyProtection="1">
      <alignment horizontal="right" vertical="center" wrapText="1"/>
      <protection locked="0"/>
    </xf>
    <xf numFmtId="10" fontId="5" fillId="5" borderId="55" xfId="0" applyNumberFormat="1" applyFont="1" applyFill="1" applyBorder="1" applyAlignment="1" applyProtection="1">
      <alignment horizontal="right" vertical="center" wrapText="1"/>
      <protection locked="0"/>
    </xf>
    <xf numFmtId="0" fontId="5" fillId="5" borderId="78" xfId="0" applyFont="1" applyFill="1" applyBorder="1" applyAlignment="1" applyProtection="1">
      <alignment horizontal="right" vertical="center" wrapText="1"/>
      <protection locked="0"/>
    </xf>
    <xf numFmtId="0" fontId="17" fillId="4" borderId="100" xfId="0" applyFont="1" applyFill="1" applyBorder="1" applyAlignment="1" applyProtection="1">
      <alignment horizontal="left" vertical="center" wrapText="1"/>
      <protection locked="0"/>
    </xf>
    <xf numFmtId="0" fontId="17" fillId="4" borderId="51" xfId="0" applyFont="1" applyFill="1" applyBorder="1" applyAlignment="1" applyProtection="1">
      <alignment horizontal="left" vertical="center" wrapText="1"/>
      <protection locked="0"/>
    </xf>
    <xf numFmtId="0" fontId="17" fillId="4" borderId="101" xfId="0" applyFont="1" applyFill="1" applyBorder="1" applyAlignment="1" applyProtection="1">
      <alignment horizontal="left" vertical="center" wrapText="1"/>
      <protection locked="0"/>
    </xf>
    <xf numFmtId="0" fontId="17" fillId="4" borderId="16" xfId="0" applyFont="1" applyFill="1" applyBorder="1" applyAlignment="1" applyProtection="1">
      <alignment horizontal="left" vertical="center" wrapText="1"/>
      <protection locked="0"/>
    </xf>
    <xf numFmtId="0" fontId="17" fillId="4" borderId="0" xfId="0" applyFont="1" applyFill="1" applyAlignment="1" applyProtection="1">
      <alignment horizontal="left" vertical="center" wrapText="1"/>
      <protection locked="0"/>
    </xf>
    <xf numFmtId="0" fontId="17" fillId="4" borderId="102" xfId="0" applyFont="1" applyFill="1" applyBorder="1" applyAlignment="1" applyProtection="1">
      <alignment horizontal="left" vertical="center" wrapText="1"/>
      <protection locked="0"/>
    </xf>
    <xf numFmtId="0" fontId="17" fillId="4" borderId="103" xfId="0" applyFont="1" applyFill="1" applyBorder="1" applyAlignment="1" applyProtection="1">
      <alignment horizontal="left" vertical="center" wrapText="1"/>
      <protection locked="0"/>
    </xf>
    <xf numFmtId="10" fontId="5" fillId="5" borderId="52" xfId="0" applyNumberFormat="1" applyFont="1" applyFill="1" applyBorder="1" applyAlignment="1" applyProtection="1">
      <alignment horizontal="right" vertical="center" wrapText="1"/>
      <protection locked="0"/>
    </xf>
    <xf numFmtId="10" fontId="5" fillId="5" borderId="50" xfId="0" applyNumberFormat="1" applyFont="1" applyFill="1" applyBorder="1" applyAlignment="1" applyProtection="1">
      <alignment horizontal="right" vertical="center" wrapText="1"/>
      <protection locked="0"/>
    </xf>
    <xf numFmtId="10" fontId="5" fillId="5" borderId="53" xfId="0" applyNumberFormat="1" applyFont="1" applyFill="1" applyBorder="1" applyAlignment="1" applyProtection="1">
      <alignment horizontal="right" vertical="center" wrapText="1"/>
      <protection locked="0"/>
    </xf>
    <xf numFmtId="10" fontId="5" fillId="5" borderId="54" xfId="0" applyNumberFormat="1" applyFont="1" applyFill="1" applyBorder="1" applyAlignment="1" applyProtection="1">
      <alignment horizontal="right" vertical="center" wrapText="1"/>
      <protection locked="0"/>
    </xf>
    <xf numFmtId="10" fontId="5" fillId="5" borderId="76" xfId="0" applyNumberFormat="1" applyFont="1" applyFill="1" applyBorder="1" applyAlignment="1" applyProtection="1">
      <alignment horizontal="right" vertical="center" wrapText="1"/>
      <protection locked="0"/>
    </xf>
    <xf numFmtId="0" fontId="17" fillId="4" borderId="60" xfId="0" applyFont="1" applyFill="1" applyBorder="1" applyAlignment="1">
      <alignment horizontal="center" vertical="center" wrapText="1"/>
    </xf>
    <xf numFmtId="0" fontId="17" fillId="4" borderId="48" xfId="0" applyFont="1" applyFill="1" applyBorder="1" applyAlignment="1">
      <alignment horizontal="center" vertical="center" wrapText="1"/>
    </xf>
    <xf numFmtId="0" fontId="17" fillId="4" borderId="16" xfId="0" applyFont="1" applyFill="1" applyBorder="1" applyAlignment="1" applyProtection="1">
      <alignment horizontal="left" vertical="top" wrapText="1"/>
      <protection locked="0"/>
    </xf>
    <xf numFmtId="0" fontId="17" fillId="4" borderId="14" xfId="0" applyFont="1" applyFill="1" applyBorder="1" applyAlignment="1" applyProtection="1">
      <alignment horizontal="center" vertical="top" wrapText="1"/>
      <protection locked="0"/>
    </xf>
    <xf numFmtId="49" fontId="17" fillId="6" borderId="2" xfId="0" applyNumberFormat="1" applyFont="1" applyFill="1" applyBorder="1" applyAlignment="1" applyProtection="1">
      <alignment horizontal="center" vertical="center"/>
      <protection locked="0"/>
    </xf>
    <xf numFmtId="0" fontId="17" fillId="6" borderId="1" xfId="0" applyFont="1" applyFill="1" applyBorder="1" applyAlignment="1" applyProtection="1">
      <alignment horizontal="center" vertical="center" wrapText="1"/>
      <protection locked="0"/>
    </xf>
    <xf numFmtId="0" fontId="17" fillId="4" borderId="71" xfId="0" applyFont="1" applyFill="1" applyBorder="1" applyAlignment="1" applyProtection="1">
      <alignment horizontal="right" vertical="center" wrapText="1"/>
      <protection locked="0"/>
    </xf>
    <xf numFmtId="0" fontId="17" fillId="4" borderId="28" xfId="0" applyFont="1" applyFill="1" applyBorder="1" applyAlignment="1" applyProtection="1">
      <alignment horizontal="center" vertical="center" wrapText="1"/>
      <protection locked="0"/>
    </xf>
    <xf numFmtId="4" fontId="17" fillId="6" borderId="28" xfId="3" applyNumberFormat="1" applyFont="1" applyFill="1" applyBorder="1" applyAlignment="1" applyProtection="1">
      <alignment horizontal="center" vertical="center"/>
      <protection locked="0"/>
    </xf>
    <xf numFmtId="0" fontId="17" fillId="6" borderId="70" xfId="0" applyFont="1" applyFill="1" applyBorder="1" applyAlignment="1" applyProtection="1">
      <alignment horizontal="center" vertical="center" wrapText="1"/>
      <protection locked="0"/>
    </xf>
    <xf numFmtId="49" fontId="17" fillId="6" borderId="28" xfId="0" applyNumberFormat="1" applyFont="1" applyFill="1" applyBorder="1" applyAlignment="1" applyProtection="1">
      <alignment horizontal="left" vertical="center"/>
      <protection locked="0"/>
    </xf>
    <xf numFmtId="49" fontId="17" fillId="6" borderId="22" xfId="0" applyNumberFormat="1" applyFont="1" applyFill="1" applyBorder="1" applyAlignment="1" applyProtection="1">
      <alignment horizontal="left" vertical="center"/>
      <protection locked="0"/>
    </xf>
    <xf numFmtId="49" fontId="17" fillId="6" borderId="70" xfId="0" applyNumberFormat="1" applyFont="1" applyFill="1" applyBorder="1" applyAlignment="1" applyProtection="1">
      <alignment horizontal="left" vertical="center"/>
      <protection locked="0"/>
    </xf>
    <xf numFmtId="0" fontId="17" fillId="6" borderId="59" xfId="0" applyFont="1" applyFill="1" applyBorder="1" applyAlignment="1" applyProtection="1">
      <alignment horizontal="center" vertical="center" wrapText="1"/>
      <protection locked="0"/>
    </xf>
    <xf numFmtId="0" fontId="17" fillId="4" borderId="66" xfId="0" applyFont="1" applyFill="1" applyBorder="1" applyAlignment="1" applyProtection="1">
      <alignment horizontal="center" vertical="center"/>
      <protection locked="0"/>
    </xf>
    <xf numFmtId="49" fontId="17" fillId="4" borderId="67" xfId="0" applyNumberFormat="1" applyFont="1" applyFill="1" applyBorder="1" applyAlignment="1" applyProtection="1">
      <alignment horizontal="left" vertical="center"/>
      <protection locked="0"/>
    </xf>
    <xf numFmtId="0" fontId="17" fillId="4" borderId="17" xfId="0" applyFont="1" applyFill="1" applyBorder="1" applyAlignment="1" applyProtection="1">
      <alignment horizontal="center" vertical="center"/>
      <protection locked="0"/>
    </xf>
    <xf numFmtId="49" fontId="17" fillId="4" borderId="68" xfId="0" applyNumberFormat="1" applyFont="1" applyFill="1" applyBorder="1" applyAlignment="1" applyProtection="1">
      <alignment horizontal="center" vertical="center"/>
      <protection locked="0"/>
    </xf>
    <xf numFmtId="49" fontId="17" fillId="6" borderId="69" xfId="0" applyNumberFormat="1" applyFont="1" applyFill="1" applyBorder="1" applyAlignment="1" applyProtection="1">
      <alignment horizontal="left" vertical="center"/>
      <protection locked="0"/>
    </xf>
    <xf numFmtId="0" fontId="26" fillId="4" borderId="24" xfId="0" applyFont="1" applyFill="1" applyBorder="1" applyAlignment="1" applyProtection="1">
      <alignment horizontal="left" vertical="top" wrapText="1"/>
      <protection locked="0"/>
    </xf>
    <xf numFmtId="0" fontId="30" fillId="4" borderId="63" xfId="0" applyFont="1" applyFill="1" applyBorder="1" applyAlignment="1">
      <alignment horizontal="left" vertical="top"/>
    </xf>
    <xf numFmtId="0" fontId="26" fillId="4" borderId="65" xfId="0" applyFont="1" applyFill="1" applyBorder="1" applyAlignment="1" applyProtection="1">
      <alignment horizontal="left" vertical="top" wrapText="1"/>
      <protection locked="0"/>
    </xf>
    <xf numFmtId="0" fontId="26" fillId="4" borderId="63" xfId="0" applyFont="1" applyFill="1" applyBorder="1" applyAlignment="1" applyProtection="1">
      <alignment horizontal="left" vertical="top" wrapText="1"/>
      <protection locked="0"/>
    </xf>
    <xf numFmtId="0" fontId="30" fillId="4" borderId="38" xfId="0" applyFont="1" applyFill="1" applyBorder="1" applyAlignment="1">
      <alignment horizontal="left" vertical="top"/>
    </xf>
    <xf numFmtId="1" fontId="26" fillId="6" borderId="1" xfId="2" applyNumberFormat="1" applyFont="1" applyFill="1" applyBorder="1" applyAlignment="1" applyProtection="1">
      <alignment horizontal="center" vertical="center"/>
    </xf>
    <xf numFmtId="1" fontId="26" fillId="4" borderId="1" xfId="2" applyNumberFormat="1" applyFont="1" applyFill="1" applyBorder="1" applyAlignment="1" applyProtection="1">
      <alignment horizontal="center" vertical="center"/>
    </xf>
    <xf numFmtId="0" fontId="26" fillId="6" borderId="1" xfId="0" applyFont="1" applyFill="1" applyBorder="1" applyAlignment="1">
      <alignment horizontal="center" vertical="center"/>
    </xf>
    <xf numFmtId="1" fontId="26" fillId="6" borderId="1" xfId="0" applyNumberFormat="1" applyFont="1" applyFill="1" applyBorder="1" applyAlignment="1">
      <alignment horizontal="center" vertical="center"/>
    </xf>
    <xf numFmtId="0" fontId="26" fillId="6" borderId="1" xfId="0" applyFont="1" applyFill="1" applyBorder="1" applyAlignment="1">
      <alignment horizontal="center" vertical="center" wrapText="1"/>
    </xf>
    <xf numFmtId="4" fontId="26" fillId="6" borderId="1" xfId="0" applyNumberFormat="1" applyFont="1" applyFill="1" applyBorder="1" applyAlignment="1">
      <alignment horizontal="center" vertical="center"/>
    </xf>
    <xf numFmtId="4" fontId="26" fillId="8" borderId="1" xfId="0" applyNumberFormat="1" applyFont="1" applyFill="1" applyBorder="1" applyAlignment="1">
      <alignment horizontal="center" vertical="center" wrapText="1"/>
    </xf>
    <xf numFmtId="10" fontId="26" fillId="6" borderId="1" xfId="2" applyNumberFormat="1" applyFont="1" applyFill="1" applyBorder="1" applyAlignment="1" applyProtection="1">
      <alignment horizontal="center" vertical="center"/>
    </xf>
    <xf numFmtId="10" fontId="26" fillId="6" borderId="1" xfId="0" applyNumberFormat="1" applyFont="1" applyFill="1" applyBorder="1" applyAlignment="1">
      <alignment horizontal="center" vertical="center"/>
    </xf>
    <xf numFmtId="49" fontId="17" fillId="5" borderId="28" xfId="0" applyNumberFormat="1" applyFont="1" applyFill="1" applyBorder="1" applyAlignment="1">
      <alignment horizontal="left" vertical="center" wrapText="1"/>
    </xf>
    <xf numFmtId="49" fontId="17" fillId="5" borderId="22" xfId="0" applyNumberFormat="1" applyFont="1" applyFill="1" applyBorder="1" applyAlignment="1">
      <alignment horizontal="left" vertical="center" wrapText="1"/>
    </xf>
    <xf numFmtId="49" fontId="17" fillId="5" borderId="18" xfId="0" applyNumberFormat="1" applyFont="1" applyFill="1" applyBorder="1" applyAlignment="1">
      <alignment horizontal="left" vertical="center" wrapText="1"/>
    </xf>
    <xf numFmtId="1" fontId="17" fillId="9" borderId="1" xfId="2" applyNumberFormat="1" applyFont="1" applyFill="1" applyBorder="1" applyAlignment="1" applyProtection="1">
      <alignment horizontal="center" vertical="center"/>
    </xf>
    <xf numFmtId="49" fontId="17" fillId="5" borderId="18" xfId="0" applyNumberFormat="1" applyFont="1" applyFill="1" applyBorder="1" applyAlignment="1">
      <alignment horizontal="left" vertical="center"/>
    </xf>
    <xf numFmtId="49" fontId="17" fillId="5" borderId="1" xfId="0" applyNumberFormat="1" applyFont="1" applyFill="1" applyBorder="1" applyAlignment="1">
      <alignment horizontal="left" vertical="center"/>
    </xf>
    <xf numFmtId="49" fontId="17" fillId="5" borderId="81" xfId="0" applyNumberFormat="1" applyFont="1" applyFill="1" applyBorder="1" applyAlignment="1">
      <alignment horizontal="left" vertical="center" wrapText="1"/>
    </xf>
    <xf numFmtId="49" fontId="17" fillId="5" borderId="80" xfId="0" applyNumberFormat="1" applyFont="1" applyFill="1" applyBorder="1" applyAlignment="1">
      <alignment horizontal="left" vertical="center" wrapText="1"/>
    </xf>
    <xf numFmtId="49" fontId="17" fillId="5" borderId="82" xfId="0" applyNumberFormat="1" applyFont="1" applyFill="1" applyBorder="1" applyAlignment="1">
      <alignment horizontal="left" vertical="center" wrapText="1"/>
    </xf>
    <xf numFmtId="49" fontId="17" fillId="5" borderId="83" xfId="0" applyNumberFormat="1" applyFont="1" applyFill="1" applyBorder="1" applyAlignment="1">
      <alignment horizontal="left" vertical="center" wrapText="1"/>
    </xf>
    <xf numFmtId="0" fontId="26" fillId="6" borderId="24" xfId="0" applyFont="1" applyFill="1" applyBorder="1" applyAlignment="1">
      <alignment horizontal="center" vertical="center" wrapText="1"/>
    </xf>
    <xf numFmtId="1" fontId="26" fillId="6" borderId="24" xfId="0" applyNumberFormat="1" applyFont="1" applyFill="1" applyBorder="1" applyAlignment="1">
      <alignment horizontal="center" vertical="center"/>
    </xf>
    <xf numFmtId="49" fontId="26" fillId="5" borderId="22" xfId="0" applyNumberFormat="1" applyFont="1" applyFill="1" applyBorder="1" applyAlignment="1">
      <alignment horizontal="center" vertical="center" wrapText="1"/>
    </xf>
    <xf numFmtId="49" fontId="26" fillId="5" borderId="18" xfId="0" applyNumberFormat="1" applyFont="1" applyFill="1" applyBorder="1" applyAlignment="1">
      <alignment horizontal="center" vertical="center" wrapText="1"/>
    </xf>
    <xf numFmtId="0" fontId="26" fillId="6" borderId="28" xfId="0" applyFont="1" applyFill="1" applyBorder="1" applyAlignment="1">
      <alignment horizontal="center" vertical="center"/>
    </xf>
    <xf numFmtId="0" fontId="26" fillId="6" borderId="18" xfId="0" applyFont="1" applyFill="1" applyBorder="1" applyAlignment="1">
      <alignment horizontal="center" vertical="center"/>
    </xf>
    <xf numFmtId="10" fontId="26" fillId="9" borderId="32" xfId="2" applyNumberFormat="1" applyFont="1" applyFill="1" applyBorder="1" applyAlignment="1" applyProtection="1">
      <alignment horizontal="center" vertical="center"/>
    </xf>
    <xf numFmtId="10" fontId="26" fillId="9" borderId="39" xfId="2" applyNumberFormat="1" applyFont="1" applyFill="1" applyBorder="1" applyAlignment="1" applyProtection="1">
      <alignment horizontal="center" vertical="center"/>
    </xf>
    <xf numFmtId="49" fontId="17" fillId="5" borderId="26" xfId="0" applyNumberFormat="1" applyFont="1" applyFill="1" applyBorder="1" applyAlignment="1">
      <alignment horizontal="left" vertical="center" wrapText="1"/>
    </xf>
    <xf numFmtId="49" fontId="17" fillId="5" borderId="84" xfId="0" applyNumberFormat="1" applyFont="1" applyFill="1" applyBorder="1" applyAlignment="1">
      <alignment horizontal="left" vertical="center" wrapText="1"/>
    </xf>
    <xf numFmtId="4" fontId="26" fillId="6" borderId="32" xfId="0" applyNumberFormat="1" applyFont="1" applyFill="1" applyBorder="1" applyAlignment="1">
      <alignment horizontal="center" vertical="center"/>
    </xf>
    <xf numFmtId="4" fontId="26" fillId="6" borderId="39" xfId="0" applyNumberFormat="1" applyFont="1" applyFill="1" applyBorder="1" applyAlignment="1">
      <alignment horizontal="center" vertical="center"/>
    </xf>
    <xf numFmtId="4" fontId="26" fillId="8" borderId="32" xfId="0" applyNumberFormat="1" applyFont="1" applyFill="1" applyBorder="1" applyAlignment="1">
      <alignment horizontal="center" vertical="center" wrapText="1"/>
    </xf>
    <xf numFmtId="4" fontId="26" fillId="8" borderId="39" xfId="0" applyNumberFormat="1" applyFont="1" applyFill="1" applyBorder="1" applyAlignment="1">
      <alignment horizontal="center" vertical="center" wrapText="1"/>
    </xf>
    <xf numFmtId="10" fontId="26" fillId="6" borderId="32" xfId="2" applyNumberFormat="1" applyFont="1" applyFill="1" applyBorder="1" applyAlignment="1" applyProtection="1">
      <alignment horizontal="center" vertical="center"/>
    </xf>
    <xf numFmtId="10" fontId="26" fillId="6" borderId="39" xfId="2" applyNumberFormat="1" applyFont="1" applyFill="1" applyBorder="1" applyAlignment="1" applyProtection="1">
      <alignment horizontal="center" vertical="center"/>
    </xf>
    <xf numFmtId="4" fontId="26" fillId="6" borderId="65" xfId="0" applyNumberFormat="1" applyFont="1" applyFill="1" applyBorder="1" applyAlignment="1">
      <alignment horizontal="center" vertical="center"/>
    </xf>
    <xf numFmtId="4" fontId="26" fillId="6" borderId="63" xfId="0" applyNumberFormat="1" applyFont="1" applyFill="1" applyBorder="1" applyAlignment="1">
      <alignment horizontal="center" vertical="center"/>
    </xf>
    <xf numFmtId="4" fontId="26" fillId="6" borderId="38" xfId="0" applyNumberFormat="1" applyFont="1" applyFill="1" applyBorder="1" applyAlignment="1">
      <alignment horizontal="center" vertical="center"/>
    </xf>
    <xf numFmtId="10" fontId="26" fillId="9" borderId="65" xfId="2" applyNumberFormat="1" applyFont="1" applyFill="1" applyBorder="1" applyAlignment="1" applyProtection="1">
      <alignment horizontal="center" vertical="center"/>
    </xf>
    <xf numFmtId="10" fontId="26" fillId="9" borderId="38" xfId="2" applyNumberFormat="1" applyFont="1" applyFill="1" applyBorder="1" applyAlignment="1" applyProtection="1">
      <alignment horizontal="center" vertical="center"/>
    </xf>
    <xf numFmtId="4" fontId="2" fillId="3" borderId="24" xfId="0" applyNumberFormat="1" applyFont="1" applyFill="1" applyBorder="1" applyAlignment="1">
      <alignment horizontal="center" vertical="center" wrapText="1"/>
    </xf>
    <xf numFmtId="1" fontId="4" fillId="6" borderId="1" xfId="2" applyNumberFormat="1" applyFont="1" applyFill="1" applyBorder="1" applyAlignment="1" applyProtection="1">
      <alignment horizontal="center" vertical="center"/>
    </xf>
    <xf numFmtId="4" fontId="2" fillId="3" borderId="28" xfId="0" applyNumberFormat="1" applyFont="1" applyFill="1" applyBorder="1" applyAlignment="1">
      <alignment horizontal="center" vertical="center" wrapText="1"/>
    </xf>
    <xf numFmtId="4" fontId="2" fillId="3" borderId="26" xfId="0" applyNumberFormat="1" applyFont="1" applyFill="1" applyBorder="1" applyAlignment="1">
      <alignment horizontal="center" vertical="center" wrapText="1"/>
    </xf>
    <xf numFmtId="4" fontId="2" fillId="3" borderId="1" xfId="0" applyNumberFormat="1" applyFont="1" applyFill="1" applyBorder="1" applyAlignment="1">
      <alignment horizontal="center" vertical="center" wrapText="1"/>
    </xf>
    <xf numFmtId="4" fontId="2" fillId="3" borderId="5" xfId="0" applyNumberFormat="1" applyFont="1" applyFill="1" applyBorder="1" applyAlignment="1">
      <alignment horizontal="center" vertical="center" wrapText="1"/>
    </xf>
    <xf numFmtId="1" fontId="1" fillId="2" borderId="1" xfId="0" applyNumberFormat="1" applyFont="1" applyFill="1" applyBorder="1" applyAlignment="1">
      <alignment horizontal="center" vertical="center"/>
    </xf>
    <xf numFmtId="0" fontId="2" fillId="2" borderId="1" xfId="0" applyFont="1" applyFill="1" applyBorder="1" applyAlignment="1">
      <alignment horizontal="center" vertical="center" wrapText="1"/>
    </xf>
    <xf numFmtId="4" fontId="2" fillId="2" borderId="1" xfId="0" applyNumberFormat="1" applyFont="1" applyFill="1" applyBorder="1" applyAlignment="1">
      <alignment horizontal="center" vertical="center"/>
    </xf>
    <xf numFmtId="1" fontId="2" fillId="2" borderId="1" xfId="0" applyNumberFormat="1" applyFont="1" applyFill="1" applyBorder="1" applyAlignment="1">
      <alignment horizontal="center" vertical="center" wrapText="1"/>
    </xf>
  </cellXfs>
  <cellStyles count="4">
    <cellStyle name="Moeda" xfId="1" builtinId="4"/>
    <cellStyle name="Normal" xfId="0" builtinId="0"/>
    <cellStyle name="Porcentagem" xfId="2" builtinId="5"/>
    <cellStyle name="Vírgula" xfId="3" builtinId="3"/>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66"/>
      <rgbColor rgb="0099CCFF"/>
      <rgbColor rgb="00FF99CC"/>
      <rgbColor rgb="00CC99FF"/>
      <rgbColor rgb="00FFCC99"/>
      <rgbColor rgb="003366FF"/>
      <rgbColor rgb="0033CCCC"/>
      <rgbColor rgb="0099CC00"/>
      <rgbColor rgb="00FFCC00"/>
      <rgbColor rgb="00FF9900"/>
      <rgbColor rgb="00FF6600"/>
      <rgbColor rgb="00666699"/>
      <rgbColor rgb="00B2B2B2"/>
      <rgbColor rgb="00003366"/>
      <rgbColor rgb="00339966"/>
      <rgbColor rgb="00003300"/>
      <rgbColor rgb="00333300"/>
      <rgbColor rgb="00993300"/>
      <rgbColor rgb="00993366"/>
      <rgbColor rgb="00333399"/>
      <rgbColor rgb="00333333"/>
    </indexedColors>
    <mruColors>
      <color rgb="FFFFA18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0</xdr:col>
      <xdr:colOff>76200</xdr:colOff>
      <xdr:row>0</xdr:row>
      <xdr:rowOff>47625</xdr:rowOff>
    </xdr:from>
    <xdr:to>
      <xdr:col>0</xdr:col>
      <xdr:colOff>628650</xdr:colOff>
      <xdr:row>0</xdr:row>
      <xdr:rowOff>590550</xdr:rowOff>
    </xdr:to>
    <xdr:pic>
      <xdr:nvPicPr>
        <xdr:cNvPr id="19473" name="Imagem 2">
          <a:extLst>
            <a:ext uri="{FF2B5EF4-FFF2-40B4-BE49-F238E27FC236}">
              <a16:creationId xmlns:a16="http://schemas.microsoft.com/office/drawing/2014/main" id="{70E1C2D5-7055-43A2-BEA3-91CD60A7F35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200" y="47625"/>
          <a:ext cx="552450"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76200</xdr:colOff>
      <xdr:row>0</xdr:row>
      <xdr:rowOff>38100</xdr:rowOff>
    </xdr:from>
    <xdr:to>
      <xdr:col>0</xdr:col>
      <xdr:colOff>628650</xdr:colOff>
      <xdr:row>0</xdr:row>
      <xdr:rowOff>590550</xdr:rowOff>
    </xdr:to>
    <xdr:pic>
      <xdr:nvPicPr>
        <xdr:cNvPr id="1552" name="Imagem 2">
          <a:extLst>
            <a:ext uri="{FF2B5EF4-FFF2-40B4-BE49-F238E27FC236}">
              <a16:creationId xmlns:a16="http://schemas.microsoft.com/office/drawing/2014/main" id="{4732E9E9-8B36-4F12-B8D9-20CF3A3F633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200" y="38100"/>
          <a:ext cx="55245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a:solidFill>
          <a:srgbClr xmlns:mc="http://schemas.openxmlformats.org/markup-compatibility/2006" xmlns:a14="http://schemas.microsoft.com/office/drawing/2010/main" val="FFFFFF" mc:Ignorable="a14" a14:legacySpreadsheetColorIndex="9"/>
        </a:solidFill>
        <a:ln w="9525" cap="flat" cmpd="sng">
          <a:solidFill>
            <a:srgbClr xmlns:mc="http://schemas.openxmlformats.org/markup-compatibility/2006" xmlns:a14="http://schemas.microsoft.com/office/drawing/2010/main" val="000000" mc:Ignorable="a14" a14:legacySpreadsheetColorIndex="64"/>
          </a:solidFill>
          <a:prstDash val="solid"/>
          <a:headEnd type="none" w="med" len="med"/>
          <a:tailEnd type="none" w="med" len="med"/>
        </a:ln>
      </a:spPr>
      <a:bodyPr/>
      <a:lstStyle/>
    </a:sp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A452"/>
  <sheetViews>
    <sheetView zoomScaleNormal="100" workbookViewId="0">
      <pane ySplit="5" topLeftCell="A30" activePane="bottomLeft" state="frozen"/>
      <selection pane="bottomLeft" activeCell="P310" sqref="P310"/>
    </sheetView>
  </sheetViews>
  <sheetFormatPr defaultRowHeight="15" x14ac:dyDescent="0.25"/>
  <cols>
    <col min="1" max="1" width="10.7109375" style="183" customWidth="1"/>
    <col min="2" max="2" width="74.7109375" style="183" customWidth="1"/>
    <col min="3" max="3" width="12.7109375" style="183" customWidth="1"/>
    <col min="4" max="9" width="12.7109375" style="183" hidden="1" customWidth="1"/>
    <col min="10" max="12" width="12.7109375" style="183" customWidth="1"/>
    <col min="13" max="15" width="12.7109375" style="183" hidden="1" customWidth="1"/>
    <col min="16" max="17" width="12.7109375" style="183" customWidth="1"/>
    <col min="18" max="18" width="14.5703125" style="183" customWidth="1"/>
    <col min="19" max="21" width="12.7109375" style="183" hidden="1" customWidth="1"/>
    <col min="22" max="22" width="26.7109375" style="183" hidden="1" customWidth="1"/>
    <col min="23" max="23" width="27.7109375" style="183" hidden="1" customWidth="1"/>
    <col min="24" max="24" width="14.42578125" style="183" hidden="1" customWidth="1"/>
    <col min="25" max="26" width="9.140625" style="183"/>
    <col min="27" max="27" width="14.28515625" style="183" bestFit="1" customWidth="1"/>
    <col min="28" max="16384" width="9.140625" style="183"/>
  </cols>
  <sheetData>
    <row r="1" spans="1:24" ht="50.1" customHeight="1" thickBot="1" x14ac:dyDescent="0.3">
      <c r="A1" s="182"/>
      <c r="B1" s="304" t="s">
        <v>0</v>
      </c>
      <c r="C1" s="305"/>
      <c r="D1" s="305"/>
      <c r="E1" s="305"/>
      <c r="F1" s="305"/>
      <c r="G1" s="305"/>
      <c r="H1" s="305"/>
      <c r="I1" s="305"/>
      <c r="J1" s="305"/>
      <c r="K1" s="305"/>
      <c r="L1" s="305"/>
      <c r="M1" s="305"/>
      <c r="N1" s="305"/>
      <c r="O1" s="305"/>
      <c r="P1" s="305"/>
      <c r="Q1" s="305"/>
      <c r="R1" s="305"/>
      <c r="S1" s="305"/>
      <c r="T1" s="305"/>
      <c r="U1" s="305"/>
      <c r="V1" s="305"/>
      <c r="W1" s="305"/>
      <c r="X1" s="306"/>
    </row>
    <row r="2" spans="1:24" ht="24.95" customHeight="1" x14ac:dyDescent="0.25">
      <c r="A2" s="262" t="s">
        <v>537</v>
      </c>
      <c r="B2" s="263"/>
      <c r="C2" s="263"/>
      <c r="D2" s="263"/>
      <c r="E2" s="263"/>
      <c r="F2" s="263"/>
      <c r="G2" s="263"/>
      <c r="H2" s="263"/>
      <c r="I2" s="263"/>
      <c r="J2" s="263"/>
      <c r="K2" s="263"/>
      <c r="L2" s="320" t="s">
        <v>538</v>
      </c>
      <c r="M2" s="320"/>
      <c r="N2" s="320"/>
      <c r="O2" s="320"/>
      <c r="P2" s="320"/>
      <c r="Q2" s="320"/>
      <c r="R2" s="320"/>
      <c r="S2" s="320"/>
      <c r="T2" s="320"/>
      <c r="U2" s="321"/>
      <c r="V2" s="167"/>
      <c r="W2" s="97"/>
      <c r="X2" s="168"/>
    </row>
    <row r="3" spans="1:24" ht="24.95" customHeight="1" x14ac:dyDescent="0.25">
      <c r="A3" s="307" t="s">
        <v>545</v>
      </c>
      <c r="B3" s="308"/>
      <c r="C3" s="189"/>
      <c r="D3" s="190">
        <v>0.05</v>
      </c>
      <c r="E3" s="309" t="s">
        <v>539</v>
      </c>
      <c r="F3" s="310"/>
      <c r="G3" s="310"/>
      <c r="H3" s="310"/>
      <c r="I3" s="310"/>
      <c r="J3" s="310"/>
      <c r="K3" s="310"/>
      <c r="L3" s="310"/>
      <c r="M3" s="310"/>
      <c r="N3" s="310"/>
      <c r="O3" s="310"/>
      <c r="P3" s="310"/>
      <c r="Q3" s="310"/>
      <c r="R3" s="310"/>
      <c r="S3" s="310"/>
      <c r="T3" s="310"/>
      <c r="U3" s="310"/>
      <c r="V3" s="310"/>
      <c r="W3" s="310"/>
      <c r="X3" s="311"/>
    </row>
    <row r="4" spans="1:24" ht="54.95" customHeight="1" x14ac:dyDescent="0.25">
      <c r="A4" s="312" t="s">
        <v>2</v>
      </c>
      <c r="B4" s="314" t="s">
        <v>3</v>
      </c>
      <c r="C4" s="314" t="s">
        <v>531</v>
      </c>
      <c r="D4" s="316" t="s">
        <v>530</v>
      </c>
      <c r="E4" s="317"/>
      <c r="F4" s="169">
        <f>F448</f>
        <v>572825.09008264309</v>
      </c>
      <c r="G4" s="318" t="s">
        <v>526</v>
      </c>
      <c r="H4" s="319"/>
      <c r="I4" s="170">
        <f>I448</f>
        <v>572733.3969135934</v>
      </c>
      <c r="J4" s="295" t="s">
        <v>527</v>
      </c>
      <c r="K4" s="296"/>
      <c r="L4" s="169">
        <f>L448</f>
        <v>205210.67399496018</v>
      </c>
      <c r="M4" s="297" t="s">
        <v>528</v>
      </c>
      <c r="N4" s="298"/>
      <c r="O4" s="170">
        <f>O448</f>
        <v>367522.72291863331</v>
      </c>
      <c r="P4" s="295" t="s">
        <v>532</v>
      </c>
      <c r="Q4" s="299"/>
      <c r="R4" s="169">
        <f>R448</f>
        <v>515328.22585279838</v>
      </c>
      <c r="S4" s="297" t="s">
        <v>534</v>
      </c>
      <c r="T4" s="298"/>
      <c r="U4" s="170">
        <f>U448</f>
        <v>720538.89984775847</v>
      </c>
      <c r="V4" s="300" t="s">
        <v>6</v>
      </c>
      <c r="W4" s="300"/>
      <c r="X4" s="301"/>
    </row>
    <row r="5" spans="1:24" ht="30" customHeight="1" x14ac:dyDescent="0.25">
      <c r="A5" s="313"/>
      <c r="B5" s="315"/>
      <c r="C5" s="315"/>
      <c r="D5" s="139" t="s">
        <v>7</v>
      </c>
      <c r="E5" s="140" t="s">
        <v>529</v>
      </c>
      <c r="F5" s="139" t="s">
        <v>9</v>
      </c>
      <c r="G5" s="98" t="s">
        <v>7</v>
      </c>
      <c r="H5" s="99" t="s">
        <v>529</v>
      </c>
      <c r="I5" s="98" t="s">
        <v>9</v>
      </c>
      <c r="J5" s="139" t="s">
        <v>7</v>
      </c>
      <c r="K5" s="140" t="s">
        <v>529</v>
      </c>
      <c r="L5" s="139" t="s">
        <v>9</v>
      </c>
      <c r="M5" s="98" t="s">
        <v>7</v>
      </c>
      <c r="N5" s="99" t="s">
        <v>529</v>
      </c>
      <c r="O5" s="98" t="s">
        <v>9</v>
      </c>
      <c r="P5" s="139" t="s">
        <v>7</v>
      </c>
      <c r="Q5" s="140" t="s">
        <v>529</v>
      </c>
      <c r="R5" s="139" t="s">
        <v>9</v>
      </c>
      <c r="S5" s="98" t="s">
        <v>7</v>
      </c>
      <c r="T5" s="99" t="s">
        <v>529</v>
      </c>
      <c r="U5" s="98" t="s">
        <v>9</v>
      </c>
      <c r="V5" s="302" t="s">
        <v>10</v>
      </c>
      <c r="W5" s="302"/>
      <c r="X5" s="303"/>
    </row>
    <row r="6" spans="1:24" ht="15.75" x14ac:dyDescent="0.25">
      <c r="A6" s="264" t="s">
        <v>11</v>
      </c>
      <c r="B6" s="57" t="s">
        <v>12</v>
      </c>
      <c r="C6" s="101"/>
      <c r="D6" s="102"/>
      <c r="E6" s="103"/>
      <c r="F6" s="104"/>
      <c r="G6" s="204"/>
      <c r="H6" s="141"/>
      <c r="I6" s="142"/>
      <c r="J6" s="102"/>
      <c r="K6" s="103"/>
      <c r="L6" s="104"/>
      <c r="M6" s="59"/>
      <c r="N6" s="141"/>
      <c r="O6" s="142"/>
      <c r="P6" s="122"/>
      <c r="Q6" s="131"/>
      <c r="R6" s="143"/>
      <c r="S6" s="147"/>
      <c r="T6" s="147"/>
      <c r="U6" s="145"/>
      <c r="V6" s="4"/>
      <c r="W6" s="4"/>
      <c r="X6" s="265"/>
    </row>
    <row r="7" spans="1:24" ht="31.5" x14ac:dyDescent="0.25">
      <c r="A7" s="266" t="s">
        <v>13</v>
      </c>
      <c r="B7" s="7" t="s">
        <v>14</v>
      </c>
      <c r="C7" s="105" t="s">
        <v>15</v>
      </c>
      <c r="D7" s="106">
        <f>28*18</f>
        <v>504</v>
      </c>
      <c r="E7" s="106">
        <v>7.61</v>
      </c>
      <c r="F7" s="107">
        <f>D7*E7</f>
        <v>3835.44</v>
      </c>
      <c r="G7" s="197">
        <f>28*18</f>
        <v>504</v>
      </c>
      <c r="H7" s="197">
        <v>7.61</v>
      </c>
      <c r="I7" s="198">
        <f>G7*H7</f>
        <v>3835.44</v>
      </c>
      <c r="J7" s="106">
        <f>28*18</f>
        <v>504</v>
      </c>
      <c r="K7" s="106">
        <v>7.61</v>
      </c>
      <c r="L7" s="107">
        <f>J7*K7</f>
        <v>3835.44</v>
      </c>
      <c r="M7" s="64">
        <v>0</v>
      </c>
      <c r="N7" s="197">
        <v>7.61</v>
      </c>
      <c r="O7" s="198">
        <f>M7*N7</f>
        <v>0</v>
      </c>
      <c r="P7" s="125">
        <v>0</v>
      </c>
      <c r="Q7" s="125">
        <v>9.5399999999999991</v>
      </c>
      <c r="R7" s="144">
        <v>0</v>
      </c>
      <c r="S7" s="148">
        <f>J7+P7</f>
        <v>504</v>
      </c>
      <c r="T7" s="150"/>
      <c r="U7" s="146">
        <f>L7+R7</f>
        <v>3835.44</v>
      </c>
      <c r="V7" s="8" t="s">
        <v>16</v>
      </c>
      <c r="W7" s="9" t="s">
        <v>17</v>
      </c>
      <c r="X7" s="267"/>
    </row>
    <row r="8" spans="1:24" ht="110.25" x14ac:dyDescent="0.25">
      <c r="A8" s="268"/>
      <c r="B8" s="12" t="s">
        <v>18</v>
      </c>
      <c r="C8" s="105"/>
      <c r="D8" s="106"/>
      <c r="E8" s="106"/>
      <c r="F8" s="107"/>
      <c r="G8" s="197"/>
      <c r="H8" s="197"/>
      <c r="I8" s="198"/>
      <c r="J8" s="106"/>
      <c r="K8" s="106"/>
      <c r="L8" s="107"/>
      <c r="M8" s="64"/>
      <c r="N8" s="197"/>
      <c r="O8" s="198"/>
      <c r="P8" s="125"/>
      <c r="Q8" s="125"/>
      <c r="R8" s="144"/>
      <c r="S8" s="148"/>
      <c r="T8" s="150"/>
      <c r="U8" s="146"/>
      <c r="V8" s="18"/>
      <c r="W8" s="19"/>
      <c r="X8" s="267"/>
    </row>
    <row r="9" spans="1:24" ht="15.75" x14ac:dyDescent="0.25">
      <c r="A9" s="268"/>
      <c r="B9" s="12"/>
      <c r="C9" s="105"/>
      <c r="D9" s="106"/>
      <c r="E9" s="106"/>
      <c r="F9" s="107"/>
      <c r="G9" s="197"/>
      <c r="H9" s="197"/>
      <c r="I9" s="198"/>
      <c r="J9" s="106"/>
      <c r="K9" s="106"/>
      <c r="L9" s="107"/>
      <c r="M9" s="64"/>
      <c r="N9" s="197"/>
      <c r="O9" s="198"/>
      <c r="P9" s="125"/>
      <c r="Q9" s="125"/>
      <c r="R9" s="144"/>
      <c r="S9" s="148"/>
      <c r="T9" s="150"/>
      <c r="U9" s="146"/>
      <c r="V9" s="4"/>
      <c r="W9" s="9"/>
      <c r="X9" s="267"/>
    </row>
    <row r="10" spans="1:24" ht="15.75" x14ac:dyDescent="0.25">
      <c r="A10" s="268"/>
      <c r="B10" s="12"/>
      <c r="C10" s="105"/>
      <c r="D10" s="106"/>
      <c r="E10" s="106"/>
      <c r="F10" s="107"/>
      <c r="G10" s="197"/>
      <c r="H10" s="197"/>
      <c r="I10" s="198"/>
      <c r="J10" s="106"/>
      <c r="K10" s="106"/>
      <c r="L10" s="107"/>
      <c r="M10" s="64"/>
      <c r="N10" s="197"/>
      <c r="O10" s="198"/>
      <c r="P10" s="125"/>
      <c r="Q10" s="125"/>
      <c r="R10" s="144"/>
      <c r="S10" s="148"/>
      <c r="T10" s="150"/>
      <c r="U10" s="146"/>
      <c r="V10" s="4"/>
      <c r="W10" s="9"/>
      <c r="X10" s="267"/>
    </row>
    <row r="11" spans="1:24" ht="47.25" x14ac:dyDescent="0.25">
      <c r="A11" s="268" t="s">
        <v>19</v>
      </c>
      <c r="B11" s="13" t="s">
        <v>20</v>
      </c>
      <c r="C11" s="105" t="s">
        <v>21</v>
      </c>
      <c r="D11" s="106">
        <v>1</v>
      </c>
      <c r="E11" s="106">
        <v>1121.47</v>
      </c>
      <c r="F11" s="107">
        <f>D11*E11</f>
        <v>1121.47</v>
      </c>
      <c r="G11" s="197">
        <v>1</v>
      </c>
      <c r="H11" s="197">
        <v>1121.47</v>
      </c>
      <c r="I11" s="198">
        <f>G11*H11</f>
        <v>1121.47</v>
      </c>
      <c r="J11" s="106">
        <v>1</v>
      </c>
      <c r="K11" s="106">
        <v>1121.47</v>
      </c>
      <c r="L11" s="107">
        <f>J11*K11</f>
        <v>1121.47</v>
      </c>
      <c r="M11" s="64">
        <v>0</v>
      </c>
      <c r="N11" s="197">
        <v>1121.47</v>
      </c>
      <c r="O11" s="198">
        <f>M11*N11</f>
        <v>0</v>
      </c>
      <c r="P11" s="125">
        <v>0</v>
      </c>
      <c r="Q11" s="125">
        <v>1419.25</v>
      </c>
      <c r="R11" s="144">
        <v>0</v>
      </c>
      <c r="S11" s="148">
        <f>J11+P11</f>
        <v>1</v>
      </c>
      <c r="T11" s="150"/>
      <c r="U11" s="146">
        <f>L11+R11</f>
        <v>1121.47</v>
      </c>
      <c r="V11" s="4">
        <v>1</v>
      </c>
      <c r="W11" s="9" t="s">
        <v>22</v>
      </c>
      <c r="X11" s="267"/>
    </row>
    <row r="12" spans="1:24" ht="157.5" x14ac:dyDescent="0.25">
      <c r="A12" s="268"/>
      <c r="B12" s="14" t="s">
        <v>23</v>
      </c>
      <c r="C12" s="105"/>
      <c r="D12" s="106"/>
      <c r="E12" s="106"/>
      <c r="F12" s="107"/>
      <c r="G12" s="197"/>
      <c r="H12" s="197"/>
      <c r="I12" s="198"/>
      <c r="J12" s="106"/>
      <c r="K12" s="106"/>
      <c r="L12" s="107"/>
      <c r="M12" s="64"/>
      <c r="N12" s="197"/>
      <c r="O12" s="198"/>
      <c r="P12" s="125"/>
      <c r="Q12" s="125"/>
      <c r="R12" s="144"/>
      <c r="S12" s="148"/>
      <c r="T12" s="150"/>
      <c r="U12" s="146"/>
      <c r="V12" s="15"/>
      <c r="W12" s="16"/>
      <c r="X12" s="267"/>
    </row>
    <row r="13" spans="1:24" ht="15.75" x14ac:dyDescent="0.25">
      <c r="A13" s="268"/>
      <c r="B13" s="17"/>
      <c r="C13" s="105"/>
      <c r="D13" s="106"/>
      <c r="E13" s="106"/>
      <c r="F13" s="107"/>
      <c r="G13" s="197"/>
      <c r="H13" s="197"/>
      <c r="I13" s="198"/>
      <c r="J13" s="106"/>
      <c r="K13" s="106"/>
      <c r="L13" s="107"/>
      <c r="M13" s="64"/>
      <c r="N13" s="197"/>
      <c r="O13" s="198"/>
      <c r="P13" s="125"/>
      <c r="Q13" s="125"/>
      <c r="R13" s="144"/>
      <c r="S13" s="148"/>
      <c r="T13" s="150"/>
      <c r="U13" s="146"/>
      <c r="V13" s="4"/>
      <c r="W13" s="9"/>
      <c r="X13" s="267"/>
    </row>
    <row r="14" spans="1:24" ht="31.5" x14ac:dyDescent="0.25">
      <c r="A14" s="268" t="s">
        <v>24</v>
      </c>
      <c r="B14" s="17" t="s">
        <v>25</v>
      </c>
      <c r="C14" s="105" t="s">
        <v>524</v>
      </c>
      <c r="D14" s="106">
        <f>31*21+3*3</f>
        <v>660</v>
      </c>
      <c r="E14" s="106">
        <v>1.04</v>
      </c>
      <c r="F14" s="107">
        <f>D14*E14</f>
        <v>686.4</v>
      </c>
      <c r="G14" s="197">
        <f>31*21+3*3</f>
        <v>660</v>
      </c>
      <c r="H14" s="197">
        <v>1.04</v>
      </c>
      <c r="I14" s="198">
        <f>G14*H14</f>
        <v>686.4</v>
      </c>
      <c r="J14" s="106">
        <f>31*21+3*3</f>
        <v>660</v>
      </c>
      <c r="K14" s="106">
        <v>1.04</v>
      </c>
      <c r="L14" s="107">
        <f>J14*K14</f>
        <v>686.4</v>
      </c>
      <c r="M14" s="64">
        <v>0</v>
      </c>
      <c r="N14" s="197">
        <v>1.04</v>
      </c>
      <c r="O14" s="198">
        <f>M14*N14</f>
        <v>0</v>
      </c>
      <c r="P14" s="125">
        <v>0</v>
      </c>
      <c r="Q14" s="125">
        <v>1.31</v>
      </c>
      <c r="R14" s="144">
        <v>0</v>
      </c>
      <c r="S14" s="148">
        <f>J14+P14</f>
        <v>660</v>
      </c>
      <c r="T14" s="150"/>
      <c r="U14" s="146">
        <f>L14+R14</f>
        <v>686.4</v>
      </c>
      <c r="V14" s="4" t="s">
        <v>26</v>
      </c>
      <c r="W14" s="9" t="s">
        <v>27</v>
      </c>
      <c r="X14" s="267"/>
    </row>
    <row r="15" spans="1:24" ht="189" x14ac:dyDescent="0.25">
      <c r="A15" s="268"/>
      <c r="B15" s="12" t="s">
        <v>28</v>
      </c>
      <c r="C15" s="105"/>
      <c r="D15" s="106"/>
      <c r="E15" s="106"/>
      <c r="F15" s="107"/>
      <c r="G15" s="197"/>
      <c r="H15" s="197"/>
      <c r="I15" s="198"/>
      <c r="J15" s="106"/>
      <c r="K15" s="106"/>
      <c r="L15" s="107"/>
      <c r="M15" s="64"/>
      <c r="N15" s="197"/>
      <c r="O15" s="198"/>
      <c r="P15" s="125"/>
      <c r="Q15" s="125"/>
      <c r="R15" s="144"/>
      <c r="S15" s="148"/>
      <c r="T15" s="150"/>
      <c r="U15" s="146"/>
      <c r="V15" s="18"/>
      <c r="W15" s="19"/>
      <c r="X15" s="267"/>
    </row>
    <row r="16" spans="1:24" ht="15.75" x14ac:dyDescent="0.25">
      <c r="A16" s="268"/>
      <c r="B16" s="17"/>
      <c r="C16" s="105"/>
      <c r="D16" s="106"/>
      <c r="E16" s="106"/>
      <c r="F16" s="107"/>
      <c r="G16" s="197"/>
      <c r="H16" s="197"/>
      <c r="I16" s="198"/>
      <c r="J16" s="106"/>
      <c r="K16" s="106"/>
      <c r="L16" s="107"/>
      <c r="M16" s="64"/>
      <c r="N16" s="197"/>
      <c r="O16" s="198"/>
      <c r="P16" s="125"/>
      <c r="Q16" s="125"/>
      <c r="R16" s="144"/>
      <c r="S16" s="148"/>
      <c r="T16" s="150"/>
      <c r="U16" s="146"/>
      <c r="V16" s="4"/>
      <c r="W16" s="9"/>
      <c r="X16" s="267"/>
    </row>
    <row r="17" spans="1:24" ht="15.75" x14ac:dyDescent="0.25">
      <c r="A17" s="268"/>
      <c r="B17" s="17"/>
      <c r="C17" s="105"/>
      <c r="D17" s="106"/>
      <c r="E17" s="106"/>
      <c r="F17" s="107"/>
      <c r="G17" s="197"/>
      <c r="H17" s="197"/>
      <c r="I17" s="198"/>
      <c r="J17" s="106"/>
      <c r="K17" s="106"/>
      <c r="L17" s="107"/>
      <c r="M17" s="64"/>
      <c r="N17" s="197"/>
      <c r="O17" s="198"/>
      <c r="P17" s="125"/>
      <c r="Q17" s="125"/>
      <c r="R17" s="144"/>
      <c r="S17" s="148"/>
      <c r="T17" s="150"/>
      <c r="U17" s="146"/>
      <c r="V17" s="4"/>
      <c r="W17" s="9"/>
      <c r="X17" s="267"/>
    </row>
    <row r="18" spans="1:24" ht="31.5" x14ac:dyDescent="0.25">
      <c r="A18" s="268" t="s">
        <v>29</v>
      </c>
      <c r="B18" s="17" t="s">
        <v>30</v>
      </c>
      <c r="C18" s="105" t="s">
        <v>15</v>
      </c>
      <c r="D18" s="106">
        <f>3.3*3.3</f>
        <v>10.889999999999999</v>
      </c>
      <c r="E18" s="106">
        <v>418.27</v>
      </c>
      <c r="F18" s="107">
        <f>D18*E18</f>
        <v>4554.9602999999997</v>
      </c>
      <c r="G18" s="197">
        <f>3.3*3.3</f>
        <v>10.889999999999999</v>
      </c>
      <c r="H18" s="197">
        <v>418.27</v>
      </c>
      <c r="I18" s="198">
        <f>G18*H18</f>
        <v>4554.9602999999997</v>
      </c>
      <c r="J18" s="106">
        <f>3.3*3.3</f>
        <v>10.889999999999999</v>
      </c>
      <c r="K18" s="106">
        <v>418.27</v>
      </c>
      <c r="L18" s="107">
        <f>J18*K18</f>
        <v>4554.9602999999997</v>
      </c>
      <c r="M18" s="64">
        <v>0</v>
      </c>
      <c r="N18" s="197">
        <v>418.27</v>
      </c>
      <c r="O18" s="198">
        <f>M18*N18</f>
        <v>0</v>
      </c>
      <c r="P18" s="125">
        <v>0</v>
      </c>
      <c r="Q18" s="125">
        <v>551.03</v>
      </c>
      <c r="R18" s="144">
        <v>0</v>
      </c>
      <c r="S18" s="148">
        <f>J18+P18</f>
        <v>10.889999999999999</v>
      </c>
      <c r="T18" s="150"/>
      <c r="U18" s="146">
        <f>L18+R18</f>
        <v>4554.9602999999997</v>
      </c>
      <c r="V18" s="4" t="s">
        <v>31</v>
      </c>
      <c r="W18" s="9" t="s">
        <v>32</v>
      </c>
      <c r="X18" s="267"/>
    </row>
    <row r="19" spans="1:24" ht="299.25" x14ac:dyDescent="0.25">
      <c r="A19" s="268"/>
      <c r="B19" s="12" t="s">
        <v>33</v>
      </c>
      <c r="C19" s="105"/>
      <c r="D19" s="106"/>
      <c r="E19" s="106"/>
      <c r="F19" s="107"/>
      <c r="G19" s="197"/>
      <c r="H19" s="197"/>
      <c r="I19" s="198"/>
      <c r="J19" s="106"/>
      <c r="K19" s="106"/>
      <c r="L19" s="107"/>
      <c r="M19" s="64"/>
      <c r="N19" s="197"/>
      <c r="O19" s="198"/>
      <c r="P19" s="125"/>
      <c r="Q19" s="125"/>
      <c r="R19" s="144"/>
      <c r="S19" s="148"/>
      <c r="T19" s="150"/>
      <c r="U19" s="146"/>
      <c r="V19" s="18"/>
      <c r="W19" s="19"/>
      <c r="X19" s="267"/>
    </row>
    <row r="20" spans="1:24" ht="15.75" x14ac:dyDescent="0.25">
      <c r="A20" s="268"/>
      <c r="B20" s="12"/>
      <c r="C20" s="105"/>
      <c r="D20" s="106"/>
      <c r="E20" s="106"/>
      <c r="F20" s="107"/>
      <c r="G20" s="197"/>
      <c r="H20" s="197"/>
      <c r="I20" s="198"/>
      <c r="J20" s="106"/>
      <c r="K20" s="106"/>
      <c r="L20" s="107"/>
      <c r="M20" s="64"/>
      <c r="N20" s="197"/>
      <c r="O20" s="198"/>
      <c r="P20" s="125"/>
      <c r="Q20" s="125"/>
      <c r="R20" s="144"/>
      <c r="S20" s="149"/>
      <c r="T20" s="151"/>
      <c r="U20" s="146"/>
      <c r="V20" s="4"/>
      <c r="W20" s="9"/>
      <c r="X20" s="267"/>
    </row>
    <row r="21" spans="1:24" ht="15.75" x14ac:dyDescent="0.25">
      <c r="A21" s="268"/>
      <c r="B21" s="17"/>
      <c r="C21" s="322" t="s">
        <v>34</v>
      </c>
      <c r="D21" s="322"/>
      <c r="E21" s="322"/>
      <c r="F21" s="108">
        <f>SUM(F7:F20)</f>
        <v>10198.2703</v>
      </c>
      <c r="G21" s="323" t="s">
        <v>34</v>
      </c>
      <c r="H21" s="323"/>
      <c r="I21" s="199">
        <f>SUM(I7:I20)</f>
        <v>10198.2703</v>
      </c>
      <c r="J21" s="324" t="s">
        <v>34</v>
      </c>
      <c r="K21" s="325"/>
      <c r="L21" s="108">
        <f>SUM(L7:L20)</f>
        <v>10198.2703</v>
      </c>
      <c r="M21" s="326" t="s">
        <v>34</v>
      </c>
      <c r="N21" s="327"/>
      <c r="O21" s="199">
        <f>SUM(O7:O20)</f>
        <v>0</v>
      </c>
      <c r="P21" s="324" t="s">
        <v>34</v>
      </c>
      <c r="Q21" s="325"/>
      <c r="R21" s="133">
        <v>0</v>
      </c>
      <c r="S21" s="326" t="s">
        <v>34</v>
      </c>
      <c r="T21" s="327"/>
      <c r="U21" s="156">
        <f>L21+R21</f>
        <v>10198.2703</v>
      </c>
      <c r="V21" s="4"/>
      <c r="W21" s="9"/>
      <c r="X21" s="267"/>
    </row>
    <row r="22" spans="1:24" ht="15.75" x14ac:dyDescent="0.25">
      <c r="A22" s="264" t="s">
        <v>35</v>
      </c>
      <c r="B22" s="57" t="s">
        <v>36</v>
      </c>
      <c r="C22" s="101"/>
      <c r="D22" s="101"/>
      <c r="E22" s="106"/>
      <c r="F22" s="107"/>
      <c r="G22" s="205"/>
      <c r="H22" s="197"/>
      <c r="I22" s="198"/>
      <c r="J22" s="101"/>
      <c r="K22" s="106"/>
      <c r="L22" s="107"/>
      <c r="M22" s="58"/>
      <c r="N22" s="197"/>
      <c r="O22" s="198"/>
      <c r="P22" s="128"/>
      <c r="Q22" s="125"/>
      <c r="R22" s="132"/>
      <c r="S22" s="152"/>
      <c r="T22" s="155"/>
      <c r="U22" s="148"/>
      <c r="V22" s="4"/>
      <c r="W22" s="9"/>
      <c r="X22" s="267"/>
    </row>
    <row r="23" spans="1:24" ht="47.25" x14ac:dyDescent="0.25">
      <c r="A23" s="268" t="s">
        <v>37</v>
      </c>
      <c r="B23" s="17" t="s">
        <v>38</v>
      </c>
      <c r="C23" s="105" t="s">
        <v>525</v>
      </c>
      <c r="D23" s="109">
        <f>31*1.5*2*0.05+18*2*0.05+(2.35+1.36)*1.36*0.25+3.89*1.36*0.44</f>
        <v>10.039176000000001</v>
      </c>
      <c r="E23" s="106">
        <v>53.41</v>
      </c>
      <c r="F23" s="107">
        <f>D23*E23</f>
        <v>536.19239016000006</v>
      </c>
      <c r="G23" s="201">
        <f>31*1.5*2*0.05+18*2*0.05+(2.35+1.36)*1.36*0.25+3.89*1.36*0.44</f>
        <v>10.039176000000001</v>
      </c>
      <c r="H23" s="197">
        <v>53.41</v>
      </c>
      <c r="I23" s="198">
        <f>G23*H23</f>
        <v>536.19239016000006</v>
      </c>
      <c r="J23" s="109">
        <f>31*1.5*2*0.05+18*2*0.05+(2.35+1.36)*1.36*0.25+3.89*1.36*0.44</f>
        <v>10.039176000000001</v>
      </c>
      <c r="K23" s="106">
        <v>53.41</v>
      </c>
      <c r="L23" s="107">
        <f>J23*K23</f>
        <v>536.19239016000006</v>
      </c>
      <c r="M23" s="67">
        <v>0</v>
      </c>
      <c r="N23" s="197">
        <v>53.41</v>
      </c>
      <c r="O23" s="198">
        <f>M23*N23</f>
        <v>0</v>
      </c>
      <c r="P23" s="127">
        <v>0</v>
      </c>
      <c r="Q23" s="125">
        <v>67.39</v>
      </c>
      <c r="R23" s="132">
        <v>0</v>
      </c>
      <c r="S23" s="153">
        <f>J23+P23</f>
        <v>10.039176000000001</v>
      </c>
      <c r="T23" s="150"/>
      <c r="U23" s="148">
        <f>L23+R23</f>
        <v>536.19239016000006</v>
      </c>
      <c r="V23" s="4" t="s">
        <v>39</v>
      </c>
      <c r="W23" s="9" t="s">
        <v>40</v>
      </c>
      <c r="X23" s="267"/>
    </row>
    <row r="24" spans="1:24" ht="78.75" x14ac:dyDescent="0.25">
      <c r="A24" s="268"/>
      <c r="B24" s="12" t="s">
        <v>41</v>
      </c>
      <c r="C24" s="105"/>
      <c r="D24" s="109"/>
      <c r="E24" s="106"/>
      <c r="F24" s="107"/>
      <c r="G24" s="201"/>
      <c r="H24" s="197"/>
      <c r="I24" s="198"/>
      <c r="J24" s="109"/>
      <c r="K24" s="106"/>
      <c r="L24" s="107"/>
      <c r="M24" s="67"/>
      <c r="N24" s="197"/>
      <c r="O24" s="198"/>
      <c r="P24" s="127"/>
      <c r="Q24" s="125"/>
      <c r="R24" s="132"/>
      <c r="S24" s="153"/>
      <c r="T24" s="150"/>
      <c r="U24" s="148"/>
      <c r="V24" s="4"/>
      <c r="W24" s="9"/>
      <c r="X24" s="267"/>
    </row>
    <row r="25" spans="1:24" ht="15.75" x14ac:dyDescent="0.25">
      <c r="A25" s="268"/>
      <c r="B25" s="17"/>
      <c r="C25" s="105"/>
      <c r="D25" s="109"/>
      <c r="E25" s="106"/>
      <c r="F25" s="107"/>
      <c r="G25" s="201"/>
      <c r="H25" s="197"/>
      <c r="I25" s="198"/>
      <c r="J25" s="109"/>
      <c r="K25" s="106"/>
      <c r="L25" s="107"/>
      <c r="M25" s="67"/>
      <c r="N25" s="197"/>
      <c r="O25" s="198"/>
      <c r="P25" s="127"/>
      <c r="Q25" s="125"/>
      <c r="R25" s="132"/>
      <c r="S25" s="153"/>
      <c r="T25" s="150"/>
      <c r="U25" s="148"/>
      <c r="V25" s="4"/>
      <c r="W25" s="9"/>
      <c r="X25" s="267"/>
    </row>
    <row r="26" spans="1:24" ht="204.75" x14ac:dyDescent="0.25">
      <c r="A26" s="268" t="s">
        <v>42</v>
      </c>
      <c r="B26" s="17" t="s">
        <v>43</v>
      </c>
      <c r="C26" s="105" t="s">
        <v>525</v>
      </c>
      <c r="D26" s="106">
        <f>28*0.25*0.46*2+18*0.25*0.46*2+(18.6+3.02)*0.25*0.46*2+(4.46+2.25+2.41+2.25+2.41+0.2)*0.25*0.46+0.4*0.25*0.46*2+15.4*0.25*0.46*2+1.1*0.25*0.4*2+(3.75+1.66)*0.25*0.46+(2.58+3.74)*0.25*0.46+1.24*0.25*0.46+4.7*0.25*0.46+(2.11*2+0.18*3)*0.25*0.46+1.82*0.25*0.46+0.75*0.75*0.8*14+0.45*0.45*0.46*15</f>
        <v>31.500300000000006</v>
      </c>
      <c r="E26" s="106">
        <v>53.41</v>
      </c>
      <c r="F26" s="107">
        <f>D26*E26</f>
        <v>1682.4310230000003</v>
      </c>
      <c r="G26" s="197">
        <f>28*0.25*0.46*2+18*0.25*0.46*2+(18.6+3.02)*0.25*0.46*2+(4.46+2.25+2.41+2.25+2.41+0.2)*0.25*0.46+0.4*0.25*0.46*2+15.4*0.25*0.46*2+1.1*0.25*0.4*2+(3.75+1.66)*0.25*0.46+(2.58+3.74)*0.25*0.46+1.24*0.25*0.46+4.7*0.25*0.46+(2.11*2+0.18*3)*0.25*0.46+1.82*0.25*0.46+0.75*0.75*0.8*14+0.45*0.45*0.46*15</f>
        <v>31.500300000000006</v>
      </c>
      <c r="H26" s="197">
        <v>53.41</v>
      </c>
      <c r="I26" s="198">
        <f>G26*H26</f>
        <v>1682.4310230000003</v>
      </c>
      <c r="J26" s="106">
        <f>28*0.25*0.46*2+18*0.25*0.46*2+(18.6+3.02)*0.25*0.46*2+(4.46+2.25+2.41+2.25+2.41+0.2)*0.25*0.46+0.4*0.25*0.46*2+15.4*0.25*0.46*2+1.1*0.25*0.4*2+(3.75+1.66)*0.25*0.46+(2.58+3.74)*0.25*0.46+1.24*0.25*0.46+4.7*0.25*0.46+(2.11*2+0.18*3)*0.25*0.46+1.82*0.25*0.46+0.75*0.75*0.8*14+0.45*0.45*0.46*15</f>
        <v>31.500300000000006</v>
      </c>
      <c r="K26" s="106">
        <v>53.41</v>
      </c>
      <c r="L26" s="107">
        <f>J26*K26</f>
        <v>1682.4310230000003</v>
      </c>
      <c r="M26" s="64">
        <v>0</v>
      </c>
      <c r="N26" s="197">
        <v>53.41</v>
      </c>
      <c r="O26" s="198">
        <f>M26*N26</f>
        <v>0</v>
      </c>
      <c r="P26" s="125">
        <v>0</v>
      </c>
      <c r="Q26" s="125">
        <v>67.39</v>
      </c>
      <c r="R26" s="132">
        <v>0</v>
      </c>
      <c r="S26" s="153">
        <f>J26+P26</f>
        <v>31.500300000000006</v>
      </c>
      <c r="T26" s="150"/>
      <c r="U26" s="148">
        <f>L26+R26</f>
        <v>1682.4310230000003</v>
      </c>
      <c r="V26" s="165" t="s">
        <v>44</v>
      </c>
      <c r="W26" s="9" t="s">
        <v>45</v>
      </c>
      <c r="X26" s="267"/>
    </row>
    <row r="27" spans="1:24" ht="94.5" x14ac:dyDescent="0.25">
      <c r="A27" s="268"/>
      <c r="B27" s="12" t="s">
        <v>46</v>
      </c>
      <c r="C27" s="105"/>
      <c r="D27" s="106"/>
      <c r="E27" s="106"/>
      <c r="F27" s="107"/>
      <c r="G27" s="197"/>
      <c r="H27" s="197"/>
      <c r="I27" s="198"/>
      <c r="J27" s="106"/>
      <c r="K27" s="106"/>
      <c r="L27" s="107"/>
      <c r="M27" s="64"/>
      <c r="N27" s="197"/>
      <c r="O27" s="198"/>
      <c r="P27" s="125"/>
      <c r="Q27" s="125"/>
      <c r="R27" s="132"/>
      <c r="S27" s="153"/>
      <c r="T27" s="150"/>
      <c r="U27" s="148"/>
      <c r="V27" s="4"/>
      <c r="W27" s="9"/>
      <c r="X27" s="267"/>
    </row>
    <row r="28" spans="1:24" ht="15.75" x14ac:dyDescent="0.25">
      <c r="A28" s="268"/>
      <c r="B28" s="17"/>
      <c r="C28" s="105"/>
      <c r="D28" s="106"/>
      <c r="E28" s="106"/>
      <c r="F28" s="107"/>
      <c r="G28" s="197"/>
      <c r="H28" s="197"/>
      <c r="I28" s="198"/>
      <c r="J28" s="106"/>
      <c r="K28" s="106"/>
      <c r="L28" s="107"/>
      <c r="M28" s="64"/>
      <c r="N28" s="197"/>
      <c r="O28" s="198"/>
      <c r="P28" s="125"/>
      <c r="Q28" s="125"/>
      <c r="R28" s="132"/>
      <c r="S28" s="153"/>
      <c r="T28" s="150"/>
      <c r="U28" s="148"/>
      <c r="V28" s="4"/>
      <c r="W28" s="9"/>
      <c r="X28" s="267"/>
    </row>
    <row r="29" spans="1:24" ht="31.5" x14ac:dyDescent="0.25">
      <c r="A29" s="268" t="s">
        <v>47</v>
      </c>
      <c r="B29" s="17" t="s">
        <v>48</v>
      </c>
      <c r="C29" s="105" t="s">
        <v>525</v>
      </c>
      <c r="D29" s="106">
        <f>3.14*1.3*1.3*1.7</f>
        <v>9.0212200000000013</v>
      </c>
      <c r="E29" s="106">
        <v>31.42</v>
      </c>
      <c r="F29" s="107">
        <f>D29*E29</f>
        <v>283.44673240000003</v>
      </c>
      <c r="G29" s="197">
        <f>3.14*1.3*1.3*1.7</f>
        <v>9.0212200000000013</v>
      </c>
      <c r="H29" s="197">
        <v>31.42</v>
      </c>
      <c r="I29" s="198">
        <f>G29*H29</f>
        <v>283.44673240000003</v>
      </c>
      <c r="J29" s="106">
        <f>3.14*1.3*1.3*1.7</f>
        <v>9.0212200000000013</v>
      </c>
      <c r="K29" s="106">
        <v>31.42</v>
      </c>
      <c r="L29" s="107">
        <f>J29*K29</f>
        <v>283.44673240000003</v>
      </c>
      <c r="M29" s="64">
        <v>0</v>
      </c>
      <c r="N29" s="197">
        <v>31.42</v>
      </c>
      <c r="O29" s="198">
        <f>M29*N29</f>
        <v>0</v>
      </c>
      <c r="P29" s="125">
        <v>0</v>
      </c>
      <c r="Q29" s="125">
        <v>39.479999999999997</v>
      </c>
      <c r="R29" s="132">
        <v>0</v>
      </c>
      <c r="S29" s="153">
        <f>J29+P29</f>
        <v>9.0212200000000013</v>
      </c>
      <c r="T29" s="150"/>
      <c r="U29" s="148">
        <f>L29+R29</f>
        <v>283.44673240000003</v>
      </c>
      <c r="V29" s="4" t="s">
        <v>49</v>
      </c>
      <c r="W29" s="9" t="s">
        <v>50</v>
      </c>
      <c r="X29" s="267"/>
    </row>
    <row r="30" spans="1:24" ht="63" x14ac:dyDescent="0.25">
      <c r="A30" s="268"/>
      <c r="B30" s="12" t="s">
        <v>51</v>
      </c>
      <c r="C30" s="105"/>
      <c r="D30" s="106"/>
      <c r="E30" s="106"/>
      <c r="F30" s="107"/>
      <c r="G30" s="197"/>
      <c r="H30" s="197"/>
      <c r="I30" s="198"/>
      <c r="J30" s="106"/>
      <c r="K30" s="106"/>
      <c r="L30" s="107"/>
      <c r="M30" s="64"/>
      <c r="N30" s="197"/>
      <c r="O30" s="198"/>
      <c r="P30" s="125"/>
      <c r="Q30" s="125"/>
      <c r="R30" s="132"/>
      <c r="S30" s="153"/>
      <c r="T30" s="150"/>
      <c r="U30" s="148"/>
      <c r="V30" s="4"/>
      <c r="W30" s="9"/>
      <c r="X30" s="267"/>
    </row>
    <row r="31" spans="1:24" ht="15.75" x14ac:dyDescent="0.25">
      <c r="A31" s="268"/>
      <c r="B31" s="17"/>
      <c r="C31" s="105"/>
      <c r="D31" s="106"/>
      <c r="E31" s="106"/>
      <c r="F31" s="107"/>
      <c r="G31" s="197"/>
      <c r="H31" s="197"/>
      <c r="I31" s="198"/>
      <c r="J31" s="106"/>
      <c r="K31" s="106"/>
      <c r="L31" s="107"/>
      <c r="M31" s="64"/>
      <c r="N31" s="197"/>
      <c r="O31" s="198"/>
      <c r="P31" s="125"/>
      <c r="Q31" s="125"/>
      <c r="R31" s="132"/>
      <c r="S31" s="153"/>
      <c r="T31" s="150"/>
      <c r="U31" s="148"/>
      <c r="V31" s="4"/>
      <c r="W31" s="9"/>
      <c r="X31" s="267"/>
    </row>
    <row r="32" spans="1:24" ht="15.75" x14ac:dyDescent="0.25">
      <c r="A32" s="268"/>
      <c r="B32" s="17"/>
      <c r="C32" s="105"/>
      <c r="D32" s="106"/>
      <c r="E32" s="106"/>
      <c r="F32" s="107"/>
      <c r="G32" s="197"/>
      <c r="H32" s="197"/>
      <c r="I32" s="198"/>
      <c r="J32" s="106"/>
      <c r="K32" s="106"/>
      <c r="L32" s="107"/>
      <c r="M32" s="64"/>
      <c r="N32" s="197"/>
      <c r="O32" s="198"/>
      <c r="P32" s="125"/>
      <c r="Q32" s="125"/>
      <c r="R32" s="132"/>
      <c r="S32" s="153"/>
      <c r="T32" s="150"/>
      <c r="U32" s="148"/>
      <c r="V32" s="4"/>
      <c r="W32" s="9"/>
      <c r="X32" s="267"/>
    </row>
    <row r="33" spans="1:24" ht="189" x14ac:dyDescent="0.25">
      <c r="A33" s="268" t="s">
        <v>52</v>
      </c>
      <c r="B33" s="17" t="s">
        <v>53</v>
      </c>
      <c r="C33" s="105" t="s">
        <v>525</v>
      </c>
      <c r="D33" s="106">
        <f>28*0.05*0.4*2+18*0.05*0.4*2+(18.6+3.02)*0.05*0.4*2+(4.46+2.25+2.41+2.25+2.41+0.2)*0.05*0.4+0.4*0.05*0.4*2+15.4*0.05*0.4*2+1.1*0.05*0.4*2+(3.75+1.66)*0.05*0.4+(2.58+3.74)*0.05*0.4+1.24*0.05*0.4+4.7*0.05*0.4+(2.11*2+0.18*3)*0.05*0.4+1.82*0.05*0.4+14*0.05*0.05*0.7+15*0.05*0.05*0.4</f>
        <v>4.1849000000000007</v>
      </c>
      <c r="E33" s="106">
        <v>53.41</v>
      </c>
      <c r="F33" s="107">
        <f>D33*E33</f>
        <v>223.51550900000004</v>
      </c>
      <c r="G33" s="197">
        <f>28*0.05*0.4*2+18*0.05*0.4*2+(18.6+3.02)*0.05*0.4*2+(4.46+2.25+2.41+2.25+2.41+0.2)*0.05*0.4+0.4*0.05*0.4*2+15.4*0.05*0.4*2+1.1*0.05*0.4*2+(3.75+1.66)*0.05*0.4+(2.58+3.74)*0.05*0.4+1.24*0.05*0.4+4.7*0.05*0.4+(2.11*2+0.18*3)*0.05*0.4+1.82*0.05*0.4+14*0.05*0.05*0.7+15*0.05*0.05*0.4</f>
        <v>4.1849000000000007</v>
      </c>
      <c r="H33" s="197">
        <v>53.41</v>
      </c>
      <c r="I33" s="198">
        <f>G33*H33</f>
        <v>223.51550900000004</v>
      </c>
      <c r="J33" s="106">
        <f>28*0.05*0.4*2+18*0.05*0.4*2+(18.6+3.02)*0.05*0.4*2+(4.46+2.25+2.41+2.25+2.41+0.2)*0.05*0.4+0.4*0.05*0.4*2+15.4*0.05*0.4*2+1.1*0.05*0.4*2+(3.75+1.66)*0.05*0.4+(2.58+3.74)*0.05*0.4+1.24*0.05*0.4+4.7*0.05*0.4+(2.11*2+0.18*3)*0.05*0.4+1.82*0.05*0.4+14*0.05*0.05*0.7+15*0.05*0.05*0.4</f>
        <v>4.1849000000000007</v>
      </c>
      <c r="K33" s="106">
        <v>53.41</v>
      </c>
      <c r="L33" s="107">
        <f>J33*K33</f>
        <v>223.51550900000004</v>
      </c>
      <c r="M33" s="64">
        <v>0</v>
      </c>
      <c r="N33" s="197">
        <v>53.41</v>
      </c>
      <c r="O33" s="198">
        <f>M33*N33</f>
        <v>0</v>
      </c>
      <c r="P33" s="125">
        <v>0</v>
      </c>
      <c r="Q33" s="125">
        <v>67.39</v>
      </c>
      <c r="R33" s="132">
        <v>0</v>
      </c>
      <c r="S33" s="153">
        <f>J33+P33</f>
        <v>4.1849000000000007</v>
      </c>
      <c r="T33" s="150"/>
      <c r="U33" s="148">
        <f>L33+R33</f>
        <v>223.51550900000004</v>
      </c>
      <c r="V33" s="4" t="s">
        <v>54</v>
      </c>
      <c r="W33" s="9" t="s">
        <v>45</v>
      </c>
      <c r="X33" s="267"/>
    </row>
    <row r="34" spans="1:24" ht="78.75" x14ac:dyDescent="0.25">
      <c r="A34" s="268"/>
      <c r="B34" s="12" t="s">
        <v>55</v>
      </c>
      <c r="C34" s="105"/>
      <c r="D34" s="106"/>
      <c r="E34" s="106"/>
      <c r="F34" s="107"/>
      <c r="G34" s="197"/>
      <c r="H34" s="197"/>
      <c r="I34" s="198"/>
      <c r="J34" s="106"/>
      <c r="K34" s="106"/>
      <c r="L34" s="107"/>
      <c r="M34" s="64"/>
      <c r="N34" s="197"/>
      <c r="O34" s="198"/>
      <c r="P34" s="125"/>
      <c r="Q34" s="125"/>
      <c r="R34" s="132"/>
      <c r="S34" s="153"/>
      <c r="T34" s="150"/>
      <c r="U34" s="148"/>
      <c r="V34" s="4"/>
      <c r="W34" s="9"/>
      <c r="X34" s="267"/>
    </row>
    <row r="35" spans="1:24" ht="15.75" x14ac:dyDescent="0.25">
      <c r="A35" s="268"/>
      <c r="B35" s="17"/>
      <c r="C35" s="105"/>
      <c r="D35" s="106"/>
      <c r="E35" s="106"/>
      <c r="F35" s="107"/>
      <c r="G35" s="197"/>
      <c r="H35" s="197"/>
      <c r="I35" s="198"/>
      <c r="J35" s="106"/>
      <c r="K35" s="106"/>
      <c r="L35" s="107"/>
      <c r="M35" s="64"/>
      <c r="N35" s="197"/>
      <c r="O35" s="198"/>
      <c r="P35" s="125"/>
      <c r="Q35" s="125"/>
      <c r="R35" s="132"/>
      <c r="S35" s="153"/>
      <c r="T35" s="150"/>
      <c r="U35" s="148"/>
      <c r="V35" s="4"/>
      <c r="W35" s="9"/>
      <c r="X35" s="267"/>
    </row>
    <row r="36" spans="1:24" ht="15.75" x14ac:dyDescent="0.25">
      <c r="A36" s="268"/>
      <c r="B36" s="12"/>
      <c r="C36" s="105"/>
      <c r="D36" s="109"/>
      <c r="E36" s="106"/>
      <c r="F36" s="107"/>
      <c r="G36" s="201"/>
      <c r="H36" s="197"/>
      <c r="I36" s="198"/>
      <c r="J36" s="109"/>
      <c r="K36" s="106"/>
      <c r="L36" s="107"/>
      <c r="M36" s="67"/>
      <c r="N36" s="197"/>
      <c r="O36" s="198"/>
      <c r="P36" s="127"/>
      <c r="Q36" s="125"/>
      <c r="R36" s="132"/>
      <c r="S36" s="153"/>
      <c r="T36" s="150"/>
      <c r="U36" s="148"/>
      <c r="V36" s="4"/>
      <c r="W36" s="9"/>
      <c r="X36" s="267"/>
    </row>
    <row r="37" spans="1:24" ht="31.5" x14ac:dyDescent="0.25">
      <c r="A37" s="268" t="s">
        <v>56</v>
      </c>
      <c r="B37" s="17" t="s">
        <v>57</v>
      </c>
      <c r="C37" s="105" t="s">
        <v>525</v>
      </c>
      <c r="D37" s="106">
        <f>3.14*0.7*0.7/4*2*14</f>
        <v>10.770199999999999</v>
      </c>
      <c r="E37" s="106">
        <v>279.14</v>
      </c>
      <c r="F37" s="107">
        <f>D37*E37</f>
        <v>3006.3936279999998</v>
      </c>
      <c r="G37" s="197">
        <f>3.14*0.7*0.7/4*2*14</f>
        <v>10.770199999999999</v>
      </c>
      <c r="H37" s="197">
        <v>279.14</v>
      </c>
      <c r="I37" s="198">
        <f>G37*H37</f>
        <v>3006.3936279999998</v>
      </c>
      <c r="J37" s="106">
        <f>3.14*0.7*0.7/4*2*14</f>
        <v>10.770199999999999</v>
      </c>
      <c r="K37" s="106">
        <v>279.14</v>
      </c>
      <c r="L37" s="107">
        <f>J37*K37</f>
        <v>3006.3936279999998</v>
      </c>
      <c r="M37" s="64">
        <v>0</v>
      </c>
      <c r="N37" s="197">
        <v>279.14</v>
      </c>
      <c r="O37" s="198">
        <f>M37*N37</f>
        <v>0</v>
      </c>
      <c r="P37" s="125">
        <v>0</v>
      </c>
      <c r="Q37" s="125">
        <v>327</v>
      </c>
      <c r="R37" s="132">
        <v>0</v>
      </c>
      <c r="S37" s="153">
        <f>J37+P37</f>
        <v>10.770199999999999</v>
      </c>
      <c r="T37" s="150"/>
      <c r="U37" s="148">
        <f>L37+R37</f>
        <v>3006.3936279999998</v>
      </c>
      <c r="V37" s="4" t="s">
        <v>58</v>
      </c>
      <c r="W37" s="9" t="s">
        <v>59</v>
      </c>
      <c r="X37" s="267"/>
    </row>
    <row r="38" spans="1:24" ht="110.25" x14ac:dyDescent="0.25">
      <c r="A38" s="268"/>
      <c r="B38" s="12" t="s">
        <v>60</v>
      </c>
      <c r="C38" s="105"/>
      <c r="D38" s="106"/>
      <c r="E38" s="106"/>
      <c r="F38" s="107"/>
      <c r="G38" s="197"/>
      <c r="H38" s="197"/>
      <c r="I38" s="198"/>
      <c r="J38" s="106"/>
      <c r="K38" s="106"/>
      <c r="L38" s="107"/>
      <c r="M38" s="64"/>
      <c r="N38" s="197"/>
      <c r="O38" s="198"/>
      <c r="P38" s="125"/>
      <c r="Q38" s="125"/>
      <c r="R38" s="132"/>
      <c r="S38" s="153"/>
      <c r="T38" s="150"/>
      <c r="U38" s="148"/>
      <c r="V38" s="4"/>
      <c r="W38" s="9"/>
      <c r="X38" s="267"/>
    </row>
    <row r="39" spans="1:24" ht="15.75" x14ac:dyDescent="0.25">
      <c r="A39" s="268"/>
      <c r="B39" s="17"/>
      <c r="C39" s="105"/>
      <c r="D39" s="106"/>
      <c r="E39" s="106"/>
      <c r="F39" s="107"/>
      <c r="G39" s="197"/>
      <c r="H39" s="197"/>
      <c r="I39" s="198"/>
      <c r="J39" s="106"/>
      <c r="K39" s="106"/>
      <c r="L39" s="107"/>
      <c r="M39" s="64"/>
      <c r="N39" s="197"/>
      <c r="O39" s="198"/>
      <c r="P39" s="125"/>
      <c r="Q39" s="125"/>
      <c r="R39" s="132"/>
      <c r="S39" s="154"/>
      <c r="T39" s="151"/>
      <c r="U39" s="148"/>
      <c r="V39" s="4"/>
      <c r="W39" s="9"/>
      <c r="X39" s="267"/>
    </row>
    <row r="40" spans="1:24" ht="15.75" x14ac:dyDescent="0.25">
      <c r="A40" s="268"/>
      <c r="B40" s="25" t="s">
        <v>61</v>
      </c>
      <c r="C40" s="322" t="s">
        <v>34</v>
      </c>
      <c r="D40" s="322"/>
      <c r="E40" s="322"/>
      <c r="F40" s="108">
        <f>SUM(F23:F39)</f>
        <v>5731.9792825599998</v>
      </c>
      <c r="G40" s="323" t="s">
        <v>34</v>
      </c>
      <c r="H40" s="323"/>
      <c r="I40" s="199">
        <f>SUM(I23:I39)</f>
        <v>5731.9792825599998</v>
      </c>
      <c r="J40" s="322" t="s">
        <v>34</v>
      </c>
      <c r="K40" s="322"/>
      <c r="L40" s="108">
        <f>SUM(L23:L39)</f>
        <v>5731.9792825599998</v>
      </c>
      <c r="M40" s="323" t="s">
        <v>34</v>
      </c>
      <c r="N40" s="323"/>
      <c r="O40" s="199">
        <f>SUM(O23:O39)</f>
        <v>0</v>
      </c>
      <c r="P40" s="322" t="s">
        <v>34</v>
      </c>
      <c r="Q40" s="322"/>
      <c r="R40" s="133">
        <v>0</v>
      </c>
      <c r="S40" s="323" t="s">
        <v>34</v>
      </c>
      <c r="T40" s="323"/>
      <c r="U40" s="156">
        <f>L40+R40</f>
        <v>5731.9792825599998</v>
      </c>
      <c r="V40" s="4"/>
      <c r="W40" s="9"/>
      <c r="X40" s="267"/>
    </row>
    <row r="41" spans="1:24" ht="15.75" x14ac:dyDescent="0.25">
      <c r="A41" s="264" t="s">
        <v>62</v>
      </c>
      <c r="B41" s="57" t="s">
        <v>63</v>
      </c>
      <c r="C41" s="101"/>
      <c r="D41" s="102"/>
      <c r="E41" s="103"/>
      <c r="F41" s="107"/>
      <c r="G41" s="204"/>
      <c r="H41" s="141"/>
      <c r="I41" s="198"/>
      <c r="J41" s="122"/>
      <c r="K41" s="103"/>
      <c r="L41" s="107"/>
      <c r="M41" s="59"/>
      <c r="N41" s="141"/>
      <c r="O41" s="198"/>
      <c r="P41" s="122"/>
      <c r="Q41" s="131"/>
      <c r="R41" s="132"/>
      <c r="S41" s="152"/>
      <c r="T41" s="155"/>
      <c r="U41" s="157"/>
      <c r="V41" s="4"/>
      <c r="W41" s="9"/>
      <c r="X41" s="267"/>
    </row>
    <row r="42" spans="1:24" ht="15.75" x14ac:dyDescent="0.25">
      <c r="A42" s="268" t="s">
        <v>64</v>
      </c>
      <c r="B42" s="7" t="s">
        <v>518</v>
      </c>
      <c r="C42" s="105" t="s">
        <v>65</v>
      </c>
      <c r="D42" s="110">
        <f>33.8*35</f>
        <v>1183</v>
      </c>
      <c r="E42" s="106">
        <v>13.27</v>
      </c>
      <c r="F42" s="107">
        <f>D42*E42</f>
        <v>15698.41</v>
      </c>
      <c r="G42" s="206">
        <f>33.8*35</f>
        <v>1183</v>
      </c>
      <c r="H42" s="197">
        <v>13.27</v>
      </c>
      <c r="I42" s="198">
        <f>G42*H42</f>
        <v>15698.41</v>
      </c>
      <c r="J42" s="123">
        <v>1086.5999999999999</v>
      </c>
      <c r="K42" s="106">
        <v>13.27</v>
      </c>
      <c r="L42" s="107">
        <f>J42*K42</f>
        <v>14419.181999999999</v>
      </c>
      <c r="M42" s="68">
        <v>96.4</v>
      </c>
      <c r="N42" s="197">
        <v>13.27</v>
      </c>
      <c r="O42" s="198">
        <f>M42*N42</f>
        <v>1279.2280000000001</v>
      </c>
      <c r="P42" s="123">
        <v>96.4</v>
      </c>
      <c r="Q42" s="125">
        <v>13.88</v>
      </c>
      <c r="R42" s="132">
        <v>1338.0320000000002</v>
      </c>
      <c r="S42" s="153">
        <f>J42+P42</f>
        <v>1183</v>
      </c>
      <c r="T42" s="150"/>
      <c r="U42" s="148">
        <f>L42+R42</f>
        <v>15757.214</v>
      </c>
      <c r="V42" s="4" t="s">
        <v>66</v>
      </c>
      <c r="W42" s="9" t="s">
        <v>67</v>
      </c>
      <c r="X42" s="267"/>
    </row>
    <row r="43" spans="1:24" ht="110.25" x14ac:dyDescent="0.25">
      <c r="A43" s="268"/>
      <c r="B43" s="12" t="s">
        <v>68</v>
      </c>
      <c r="C43" s="105"/>
      <c r="D43" s="110"/>
      <c r="E43" s="106"/>
      <c r="F43" s="107"/>
      <c r="G43" s="206"/>
      <c r="H43" s="197"/>
      <c r="I43" s="198"/>
      <c r="J43" s="123"/>
      <c r="K43" s="106"/>
      <c r="L43" s="107"/>
      <c r="M43" s="68"/>
      <c r="N43" s="197"/>
      <c r="O43" s="198"/>
      <c r="P43" s="123"/>
      <c r="Q43" s="125"/>
      <c r="R43" s="132"/>
      <c r="S43" s="153"/>
      <c r="T43" s="150"/>
      <c r="U43" s="148"/>
      <c r="V43" s="4"/>
      <c r="W43" s="9"/>
      <c r="X43" s="267"/>
    </row>
    <row r="44" spans="1:24" ht="15.75" x14ac:dyDescent="0.25">
      <c r="A44" s="268"/>
      <c r="B44" s="12"/>
      <c r="C44" s="105"/>
      <c r="D44" s="110"/>
      <c r="E44" s="106"/>
      <c r="F44" s="107"/>
      <c r="G44" s="206"/>
      <c r="H44" s="197"/>
      <c r="I44" s="198"/>
      <c r="J44" s="123"/>
      <c r="K44" s="106"/>
      <c r="L44" s="107"/>
      <c r="M44" s="68"/>
      <c r="N44" s="197"/>
      <c r="O44" s="198"/>
      <c r="P44" s="123"/>
      <c r="Q44" s="125"/>
      <c r="R44" s="132"/>
      <c r="S44" s="153"/>
      <c r="T44" s="150"/>
      <c r="U44" s="148"/>
      <c r="V44" s="4"/>
      <c r="W44" s="9"/>
      <c r="X44" s="267"/>
    </row>
    <row r="45" spans="1:24" ht="94.5" x14ac:dyDescent="0.25">
      <c r="A45" s="268" t="s">
        <v>69</v>
      </c>
      <c r="B45" s="17" t="s">
        <v>70</v>
      </c>
      <c r="C45" s="105" t="s">
        <v>524</v>
      </c>
      <c r="D45" s="269">
        <f>28*0.4*4+18*0.4*4+21.62*0.4*4+(3.75+1.66)*0.4*2+15.4*0.4*6+(3.74+2.58)*0.4*2+1.24*0.4*2+4.7*0.4*2+1.82*0.4*2+4.22*0.4*2+0.7*0.4*4*14+15*0.4*4*0.4</f>
        <v>189.4</v>
      </c>
      <c r="E45" s="106">
        <v>47.03</v>
      </c>
      <c r="F45" s="107">
        <f>D45*E45</f>
        <v>8907.482</v>
      </c>
      <c r="G45" s="207">
        <f>28*0.4*4+18*0.4*4+21.62*0.4*4+(3.75+1.66)*0.4*2+15.4*0.4*6+(3.74+2.58)*0.4*2+1.24*0.4*2+4.7*0.4*2+1.82*0.4*2+4.22*0.4*2+0.7*0.4*4*14+15*0.4*4*0.4</f>
        <v>189.4</v>
      </c>
      <c r="H45" s="197">
        <v>47.03</v>
      </c>
      <c r="I45" s="200">
        <f>G45*H45</f>
        <v>8907.482</v>
      </c>
      <c r="J45" s="124">
        <v>157.88</v>
      </c>
      <c r="K45" s="106">
        <v>47.03</v>
      </c>
      <c r="L45" s="111">
        <f>J45*K45</f>
        <v>7425.0964000000004</v>
      </c>
      <c r="M45" s="270">
        <v>31.52</v>
      </c>
      <c r="N45" s="197">
        <v>47.03</v>
      </c>
      <c r="O45" s="200">
        <f>M45*N45</f>
        <v>1482.3856000000001</v>
      </c>
      <c r="P45" s="271">
        <v>31.52</v>
      </c>
      <c r="Q45" s="125">
        <v>60.61</v>
      </c>
      <c r="R45" s="132">
        <v>1910.4271999999999</v>
      </c>
      <c r="S45" s="153">
        <f>J45+P45</f>
        <v>189.4</v>
      </c>
      <c r="T45" s="150"/>
      <c r="U45" s="148">
        <f>L45+R45</f>
        <v>9335.5236000000004</v>
      </c>
      <c r="V45" s="4" t="s">
        <v>71</v>
      </c>
      <c r="W45" s="9" t="s">
        <v>67</v>
      </c>
      <c r="X45" s="267"/>
    </row>
    <row r="46" spans="1:24" ht="78.75" x14ac:dyDescent="0.25">
      <c r="A46" s="268"/>
      <c r="B46" s="12" t="s">
        <v>72</v>
      </c>
      <c r="C46" s="105"/>
      <c r="D46" s="106"/>
      <c r="E46" s="106"/>
      <c r="F46" s="107"/>
      <c r="G46" s="197"/>
      <c r="H46" s="197"/>
      <c r="I46" s="198"/>
      <c r="J46" s="125"/>
      <c r="K46" s="106"/>
      <c r="L46" s="107"/>
      <c r="M46" s="64"/>
      <c r="N46" s="197"/>
      <c r="O46" s="198"/>
      <c r="P46" s="125"/>
      <c r="Q46" s="125"/>
      <c r="R46" s="132"/>
      <c r="S46" s="153"/>
      <c r="T46" s="150"/>
      <c r="U46" s="148"/>
      <c r="V46" s="4"/>
      <c r="W46" s="9"/>
      <c r="X46" s="267"/>
    </row>
    <row r="47" spans="1:24" ht="15.75" x14ac:dyDescent="0.25">
      <c r="A47" s="268"/>
      <c r="B47" s="12"/>
      <c r="C47" s="105"/>
      <c r="D47" s="106"/>
      <c r="E47" s="106"/>
      <c r="F47" s="107"/>
      <c r="G47" s="197"/>
      <c r="H47" s="197"/>
      <c r="I47" s="198"/>
      <c r="J47" s="125"/>
      <c r="K47" s="106"/>
      <c r="L47" s="107"/>
      <c r="M47" s="64"/>
      <c r="N47" s="197"/>
      <c r="O47" s="198"/>
      <c r="P47" s="125"/>
      <c r="Q47" s="125"/>
      <c r="R47" s="132"/>
      <c r="S47" s="153"/>
      <c r="T47" s="150"/>
      <c r="U47" s="148"/>
      <c r="V47" s="4"/>
      <c r="W47" s="9"/>
      <c r="X47" s="267"/>
    </row>
    <row r="48" spans="1:24" ht="31.5" x14ac:dyDescent="0.25">
      <c r="A48" s="268" t="s">
        <v>73</v>
      </c>
      <c r="B48" s="17" t="s">
        <v>74</v>
      </c>
      <c r="C48" s="105" t="s">
        <v>525</v>
      </c>
      <c r="D48" s="106">
        <f>3.14*1.3*1.3*0.08</f>
        <v>0.42452800000000013</v>
      </c>
      <c r="E48" s="106">
        <v>1709</v>
      </c>
      <c r="F48" s="107">
        <f>D48*E48</f>
        <v>725.51835200000016</v>
      </c>
      <c r="G48" s="197">
        <f>3.14*1.3*1.3*0.08</f>
        <v>0.42452800000000013</v>
      </c>
      <c r="H48" s="197">
        <v>1709</v>
      </c>
      <c r="I48" s="198">
        <f>G48*H48</f>
        <v>725.51835200000016</v>
      </c>
      <c r="J48" s="106">
        <f>3.14*1.3*1.3*0.08</f>
        <v>0.42452800000000013</v>
      </c>
      <c r="K48" s="106">
        <v>1709</v>
      </c>
      <c r="L48" s="107">
        <f>J48*K48</f>
        <v>725.51835200000016</v>
      </c>
      <c r="M48" s="64">
        <v>0</v>
      </c>
      <c r="N48" s="197">
        <v>1709</v>
      </c>
      <c r="O48" s="198">
        <f>M48*N48</f>
        <v>0</v>
      </c>
      <c r="P48" s="125">
        <v>0</v>
      </c>
      <c r="Q48" s="125">
        <v>2147.9</v>
      </c>
      <c r="R48" s="132">
        <v>0</v>
      </c>
      <c r="S48" s="153">
        <f>J48+P48</f>
        <v>0.42452800000000013</v>
      </c>
      <c r="T48" s="150"/>
      <c r="U48" s="148">
        <f>L48+R48</f>
        <v>725.51835200000016</v>
      </c>
      <c r="V48" s="4" t="s">
        <v>75</v>
      </c>
      <c r="W48" s="9" t="s">
        <v>76</v>
      </c>
      <c r="X48" s="267"/>
    </row>
    <row r="49" spans="1:24" ht="236.25" x14ac:dyDescent="0.25">
      <c r="A49" s="268"/>
      <c r="B49" s="12" t="s">
        <v>77</v>
      </c>
      <c r="C49" s="105"/>
      <c r="D49" s="106"/>
      <c r="E49" s="106"/>
      <c r="F49" s="111"/>
      <c r="G49" s="197"/>
      <c r="H49" s="197"/>
      <c r="I49" s="200"/>
      <c r="J49" s="125"/>
      <c r="K49" s="106"/>
      <c r="L49" s="111"/>
      <c r="M49" s="64"/>
      <c r="N49" s="197"/>
      <c r="O49" s="200"/>
      <c r="P49" s="125"/>
      <c r="Q49" s="125"/>
      <c r="R49" s="134"/>
      <c r="S49" s="153"/>
      <c r="T49" s="150"/>
      <c r="U49" s="148"/>
      <c r="V49" s="4"/>
      <c r="W49" s="9"/>
      <c r="X49" s="267"/>
    </row>
    <row r="50" spans="1:24" ht="15.75" x14ac:dyDescent="0.25">
      <c r="A50" s="268"/>
      <c r="B50" s="20"/>
      <c r="C50" s="105"/>
      <c r="D50" s="106"/>
      <c r="E50" s="106"/>
      <c r="F50" s="272"/>
      <c r="G50" s="197"/>
      <c r="H50" s="197"/>
      <c r="I50" s="273"/>
      <c r="J50" s="125"/>
      <c r="K50" s="106"/>
      <c r="L50" s="272"/>
      <c r="M50" s="64"/>
      <c r="N50" s="197"/>
      <c r="O50" s="273"/>
      <c r="P50" s="125"/>
      <c r="Q50" s="125"/>
      <c r="R50" s="134"/>
      <c r="S50" s="153"/>
      <c r="T50" s="150"/>
      <c r="U50" s="148"/>
      <c r="V50" s="4"/>
      <c r="W50" s="9"/>
      <c r="X50" s="267"/>
    </row>
    <row r="51" spans="1:24" ht="173.25" x14ac:dyDescent="0.25">
      <c r="A51" s="268" t="s">
        <v>78</v>
      </c>
      <c r="B51" s="17" t="s">
        <v>79</v>
      </c>
      <c r="C51" s="105" t="s">
        <v>80</v>
      </c>
      <c r="D51" s="274">
        <f>28*0.2*0.4*2+18*0.2*0.4*2+(18.6+3.02)*0.2*0.4*2+(4.46+2.25+2.41+2.25+2.41+0.2)*0.2*0.4+0.4*0.2*0.4*2+15.4*0.2*0.4*2+1.1*0.2*0.4*2+(3.75+1.66)*0.2*0.4+(2.58+3.74)*0.2*0.4+1.24*0.2*0.4+4.7*0.2*0.4+(2.11*2+0.18*3)*0.2*0.4+1.82*0.2*0.4+10.77+14*0.7*0.7*0.8+15*0.4*0.4*0.4</f>
        <v>33.799600000000005</v>
      </c>
      <c r="E51" s="106">
        <v>403.86</v>
      </c>
      <c r="F51" s="107">
        <f>D51*E51</f>
        <v>13650.306456000002</v>
      </c>
      <c r="G51" s="208">
        <f>28*0.2*0.4*2+18*0.2*0.4*2+(18.6+3.02)*0.2*0.4*2+(4.46+2.25+2.41+2.25+2.41+0.2)*0.2*0.4+0.4*0.2*0.4*2+15.4*0.2*0.4*2+1.1*0.2*0.4*2+(3.75+1.66)*0.2*0.4+(2.58+3.74)*0.2*0.4+1.24*0.2*0.4+4.7*0.2*0.4+(2.11*2+0.18*3)*0.2*0.4+1.82*0.2*0.4+10.77+14*0.7*0.7*0.8+15*0.4*0.4*0.4</f>
        <v>33.799600000000005</v>
      </c>
      <c r="H51" s="197">
        <v>403.86</v>
      </c>
      <c r="I51" s="200">
        <f>G51*H51</f>
        <v>13650.306456000002</v>
      </c>
      <c r="J51" s="181">
        <f>28*0.2*0.4*2+18*0.2*0.4*2+(18.6+3.02)*0.2*0.4*2+(4.46+2.25+2.41+2.25+2.41+0.2)*0.2*0.4+0.4*0.2*0.4*2+15.4*0.2*0.4*2+1.1*0.2*0.4*2+(3.75+1.66)*0.2*0.4+(2.58+3.74)*0.2*0.4+1.24*0.2*0.4+4.7*0.2*0.4+(2.11*2+0.18*3)*0.2*0.4+1.82*0.2*0.4+10.77+14*0.7*0.7*0.8+15*0.4*0.4*0.4</f>
        <v>33.799600000000005</v>
      </c>
      <c r="K51" s="106">
        <v>403.86</v>
      </c>
      <c r="L51" s="111">
        <f>J51*K51</f>
        <v>13650.306456000002</v>
      </c>
      <c r="M51" s="275">
        <v>0</v>
      </c>
      <c r="N51" s="197">
        <v>403.86</v>
      </c>
      <c r="O51" s="198">
        <f>M51*N51</f>
        <v>0</v>
      </c>
      <c r="P51" s="135">
        <v>0</v>
      </c>
      <c r="Q51" s="125">
        <v>691.42</v>
      </c>
      <c r="R51" s="132">
        <v>0</v>
      </c>
      <c r="S51" s="153">
        <f>J51+P51</f>
        <v>33.799600000000005</v>
      </c>
      <c r="T51" s="150"/>
      <c r="U51" s="148">
        <f>L51+R51</f>
        <v>13650.306456000002</v>
      </c>
      <c r="V51" s="4" t="s">
        <v>81</v>
      </c>
      <c r="W51" s="9" t="s">
        <v>67</v>
      </c>
      <c r="X51" s="267"/>
    </row>
    <row r="52" spans="1:24" ht="110.25" x14ac:dyDescent="0.25">
      <c r="A52" s="268"/>
      <c r="B52" s="12" t="s">
        <v>82</v>
      </c>
      <c r="C52" s="105"/>
      <c r="D52" s="106"/>
      <c r="E52" s="106"/>
      <c r="F52" s="107"/>
      <c r="G52" s="197"/>
      <c r="H52" s="197"/>
      <c r="I52" s="198"/>
      <c r="J52" s="125"/>
      <c r="K52" s="106"/>
      <c r="L52" s="107"/>
      <c r="M52" s="64"/>
      <c r="N52" s="197"/>
      <c r="O52" s="198"/>
      <c r="P52" s="125"/>
      <c r="Q52" s="125"/>
      <c r="R52" s="132"/>
      <c r="S52" s="153"/>
      <c r="T52" s="150"/>
      <c r="U52" s="148"/>
      <c r="V52" s="4"/>
      <c r="W52" s="9"/>
      <c r="X52" s="267"/>
    </row>
    <row r="53" spans="1:24" ht="15.75" x14ac:dyDescent="0.25">
      <c r="A53" s="268"/>
      <c r="B53" s="12"/>
      <c r="C53" s="105"/>
      <c r="D53" s="106"/>
      <c r="E53" s="106"/>
      <c r="F53" s="107"/>
      <c r="G53" s="197"/>
      <c r="H53" s="197"/>
      <c r="I53" s="198"/>
      <c r="J53" s="125"/>
      <c r="K53" s="106"/>
      <c r="L53" s="107"/>
      <c r="M53" s="64"/>
      <c r="N53" s="197"/>
      <c r="O53" s="198"/>
      <c r="P53" s="125"/>
      <c r="Q53" s="125"/>
      <c r="R53" s="132"/>
      <c r="S53" s="153"/>
      <c r="T53" s="150"/>
      <c r="U53" s="148"/>
      <c r="V53" s="4"/>
      <c r="W53" s="9"/>
      <c r="X53" s="267"/>
    </row>
    <row r="54" spans="1:24" ht="157.5" x14ac:dyDescent="0.25">
      <c r="A54" s="268" t="s">
        <v>83</v>
      </c>
      <c r="B54" s="17" t="s">
        <v>84</v>
      </c>
      <c r="C54" s="105" t="s">
        <v>524</v>
      </c>
      <c r="D54" s="106">
        <f>28*0.25*2+18*0.25*2+(18.6+3.02)*0.25*2+(4.46+2.25+2.41+2.25+2.41+0.2)*0.25+0.4*0.25*2+15.4*0.25*2+1.1*0.25*2+(3.75+1.66)*0.25+(2.58+3.74)*0.25+1.24*0.25+4.7*0.25+(2.11*2+0.18*3)*0.25+1.82*0.25+14*0.7*0.7+15*0.4*0.4+1.3*1.3*3.14</f>
        <v>66.384099999999989</v>
      </c>
      <c r="E54" s="106">
        <v>44.98</v>
      </c>
      <c r="F54" s="107">
        <f>D54*E54</f>
        <v>2985.9568179999992</v>
      </c>
      <c r="G54" s="197">
        <f>28*0.25*2+18*0.25*2+(18.6+3.02)*0.25*2+(4.46+2.25+2.41+2.25+2.41+0.2)*0.25+0.4*0.25*2+15.4*0.25*2+1.1*0.25*2+(3.75+1.66)*0.25+(2.58+3.74)*0.25+1.24*0.25+4.7*0.25+(2.11*2+0.18*3)*0.25+1.82*0.25+14*0.7*0.7+15*0.4*0.4+1.3*1.3*3.14</f>
        <v>66.384099999999989</v>
      </c>
      <c r="H54" s="197">
        <v>44.98</v>
      </c>
      <c r="I54" s="198">
        <f>G54*H54</f>
        <v>2985.9568179999992</v>
      </c>
      <c r="J54" s="125">
        <v>0</v>
      </c>
      <c r="K54" s="106">
        <v>44.98</v>
      </c>
      <c r="L54" s="107">
        <f>J54*K54</f>
        <v>0</v>
      </c>
      <c r="M54" s="64">
        <f>28*0.25*2+18*0.25*2+(18.6+3.02)*0.25*2+(4.46+2.25+2.41+2.25+2.41+0.2)*0.25+0.4*0.25*2+15.4*0.25*2+1.1*0.25*2+(3.75+1.66)*0.25+(2.58+3.74)*0.25+1.24*0.25+4.7*0.25+(2.11*2+0.18*3)*0.25+1.82*0.25+14*0.7*0.7+15*0.4*0.4+1.3*1.3*3.14</f>
        <v>66.384099999999989</v>
      </c>
      <c r="N54" s="197">
        <v>44.98</v>
      </c>
      <c r="O54" s="198">
        <f>M54*N54</f>
        <v>2985.9568179999992</v>
      </c>
      <c r="P54" s="125">
        <v>66.384099999999989</v>
      </c>
      <c r="Q54" s="125">
        <v>58.52</v>
      </c>
      <c r="R54" s="132">
        <v>3884.7975319999996</v>
      </c>
      <c r="S54" s="153">
        <f>J54+P54</f>
        <v>66.384099999999989</v>
      </c>
      <c r="T54" s="150"/>
      <c r="U54" s="148">
        <f>L54+R54</f>
        <v>3884.7975319999996</v>
      </c>
      <c r="V54" s="4" t="s">
        <v>85</v>
      </c>
      <c r="W54" s="9" t="s">
        <v>67</v>
      </c>
      <c r="X54" s="267"/>
    </row>
    <row r="55" spans="1:24" ht="63" x14ac:dyDescent="0.25">
      <c r="A55" s="268"/>
      <c r="B55" s="12" t="s">
        <v>86</v>
      </c>
      <c r="C55" s="105"/>
      <c r="D55" s="106"/>
      <c r="E55" s="106"/>
      <c r="F55" s="107"/>
      <c r="G55" s="197"/>
      <c r="H55" s="197"/>
      <c r="I55" s="198"/>
      <c r="J55" s="125"/>
      <c r="K55" s="106"/>
      <c r="L55" s="107"/>
      <c r="M55" s="64"/>
      <c r="N55" s="197"/>
      <c r="O55" s="198"/>
      <c r="P55" s="125"/>
      <c r="Q55" s="125"/>
      <c r="R55" s="132"/>
      <c r="S55" s="153"/>
      <c r="T55" s="150"/>
      <c r="U55" s="148"/>
      <c r="V55" s="4"/>
      <c r="W55" s="9"/>
      <c r="X55" s="267"/>
    </row>
    <row r="56" spans="1:24" ht="15.75" x14ac:dyDescent="0.25">
      <c r="A56" s="268"/>
      <c r="B56" s="12"/>
      <c r="C56" s="105"/>
      <c r="D56" s="106"/>
      <c r="E56" s="106"/>
      <c r="F56" s="107"/>
      <c r="G56" s="197"/>
      <c r="H56" s="197"/>
      <c r="I56" s="198"/>
      <c r="J56" s="125"/>
      <c r="K56" s="106"/>
      <c r="L56" s="107"/>
      <c r="M56" s="64"/>
      <c r="N56" s="197"/>
      <c r="O56" s="198"/>
      <c r="P56" s="125"/>
      <c r="Q56" s="125"/>
      <c r="R56" s="132"/>
      <c r="S56" s="153"/>
      <c r="T56" s="150"/>
      <c r="U56" s="148"/>
      <c r="V56" s="4"/>
      <c r="W56" s="9"/>
      <c r="X56" s="267"/>
    </row>
    <row r="57" spans="1:24" ht="15.75" x14ac:dyDescent="0.25">
      <c r="A57" s="268"/>
      <c r="B57" s="14"/>
      <c r="C57" s="112"/>
      <c r="D57" s="113"/>
      <c r="E57" s="106"/>
      <c r="F57" s="272"/>
      <c r="G57" s="209"/>
      <c r="H57" s="197"/>
      <c r="I57" s="273"/>
      <c r="J57" s="126"/>
      <c r="K57" s="106"/>
      <c r="L57" s="272"/>
      <c r="M57" s="32"/>
      <c r="N57" s="197"/>
      <c r="O57" s="273"/>
      <c r="P57" s="126"/>
      <c r="Q57" s="125"/>
      <c r="R57" s="134"/>
      <c r="S57" s="153"/>
      <c r="T57" s="150"/>
      <c r="U57" s="148"/>
      <c r="V57" s="8"/>
      <c r="W57" s="9"/>
      <c r="X57" s="267"/>
    </row>
    <row r="58" spans="1:24" ht="15.75" x14ac:dyDescent="0.25">
      <c r="A58" s="268" t="s">
        <v>87</v>
      </c>
      <c r="B58" s="22" t="s">
        <v>88</v>
      </c>
      <c r="C58" s="105"/>
      <c r="D58" s="109"/>
      <c r="E58" s="106"/>
      <c r="F58" s="107"/>
      <c r="G58" s="201"/>
      <c r="H58" s="197"/>
      <c r="I58" s="198"/>
      <c r="J58" s="127"/>
      <c r="K58" s="106"/>
      <c r="L58" s="107"/>
      <c r="M58" s="67"/>
      <c r="N58" s="197"/>
      <c r="O58" s="198"/>
      <c r="P58" s="127"/>
      <c r="Q58" s="125"/>
      <c r="R58" s="132"/>
      <c r="S58" s="153"/>
      <c r="T58" s="150"/>
      <c r="U58" s="148"/>
      <c r="V58" s="8"/>
      <c r="W58" s="9"/>
      <c r="X58" s="267"/>
    </row>
    <row r="59" spans="1:24" ht="31.5" x14ac:dyDescent="0.25">
      <c r="A59" s="268" t="s">
        <v>89</v>
      </c>
      <c r="B59" s="17" t="s">
        <v>90</v>
      </c>
      <c r="C59" s="105" t="s">
        <v>21</v>
      </c>
      <c r="D59" s="109">
        <v>1</v>
      </c>
      <c r="E59" s="106">
        <v>700</v>
      </c>
      <c r="F59" s="107">
        <f>D59*E59</f>
        <v>700</v>
      </c>
      <c r="G59" s="201">
        <v>1</v>
      </c>
      <c r="H59" s="197">
        <v>700</v>
      </c>
      <c r="I59" s="198">
        <f>G59*H59</f>
        <v>700</v>
      </c>
      <c r="J59" s="127">
        <v>1</v>
      </c>
      <c r="K59" s="106">
        <v>700</v>
      </c>
      <c r="L59" s="107">
        <f>J59*K59</f>
        <v>700</v>
      </c>
      <c r="M59" s="67">
        <v>0</v>
      </c>
      <c r="N59" s="197">
        <v>700</v>
      </c>
      <c r="O59" s="198">
        <f>M59*N59</f>
        <v>0</v>
      </c>
      <c r="P59" s="127">
        <v>0</v>
      </c>
      <c r="Q59" s="125">
        <v>693.08</v>
      </c>
      <c r="R59" s="132">
        <v>0</v>
      </c>
      <c r="S59" s="153">
        <f>J59+P59</f>
        <v>1</v>
      </c>
      <c r="T59" s="150"/>
      <c r="U59" s="148">
        <f>L59+R59</f>
        <v>700</v>
      </c>
      <c r="V59" s="166">
        <v>1</v>
      </c>
      <c r="W59" s="9" t="s">
        <v>91</v>
      </c>
      <c r="X59" s="267"/>
    </row>
    <row r="60" spans="1:24" ht="94.5" x14ac:dyDescent="0.25">
      <c r="A60" s="268"/>
      <c r="B60" s="12" t="s">
        <v>92</v>
      </c>
      <c r="C60" s="105"/>
      <c r="D60" s="109"/>
      <c r="E60" s="106"/>
      <c r="F60" s="107"/>
      <c r="G60" s="201"/>
      <c r="H60" s="197"/>
      <c r="I60" s="198"/>
      <c r="J60" s="127"/>
      <c r="K60" s="106"/>
      <c r="L60" s="107"/>
      <c r="M60" s="67"/>
      <c r="N60" s="197"/>
      <c r="O60" s="198"/>
      <c r="P60" s="127"/>
      <c r="Q60" s="125"/>
      <c r="R60" s="132"/>
      <c r="S60" s="153"/>
      <c r="T60" s="150"/>
      <c r="U60" s="148"/>
      <c r="V60" s="8"/>
      <c r="W60" s="9"/>
      <c r="X60" s="267"/>
    </row>
    <row r="61" spans="1:24" ht="15.75" x14ac:dyDescent="0.25">
      <c r="A61" s="268"/>
      <c r="B61" s="12"/>
      <c r="C61" s="105"/>
      <c r="D61" s="109"/>
      <c r="E61" s="106"/>
      <c r="F61" s="107"/>
      <c r="G61" s="201"/>
      <c r="H61" s="197"/>
      <c r="I61" s="198"/>
      <c r="J61" s="127"/>
      <c r="K61" s="106"/>
      <c r="L61" s="107"/>
      <c r="M61" s="67"/>
      <c r="N61" s="197"/>
      <c r="O61" s="198"/>
      <c r="P61" s="127"/>
      <c r="Q61" s="125"/>
      <c r="R61" s="132"/>
      <c r="S61" s="153"/>
      <c r="T61" s="150"/>
      <c r="U61" s="148"/>
      <c r="V61" s="8"/>
      <c r="W61" s="9"/>
      <c r="X61" s="267"/>
    </row>
    <row r="62" spans="1:24" ht="63" x14ac:dyDescent="0.25">
      <c r="A62" s="268" t="s">
        <v>93</v>
      </c>
      <c r="B62" s="17" t="s">
        <v>94</v>
      </c>
      <c r="C62" s="105" t="s">
        <v>95</v>
      </c>
      <c r="D62" s="109">
        <v>51</v>
      </c>
      <c r="E62" s="106">
        <v>75.62</v>
      </c>
      <c r="F62" s="107">
        <f>D62*E62</f>
        <v>3856.6200000000003</v>
      </c>
      <c r="G62" s="201">
        <v>51</v>
      </c>
      <c r="H62" s="197">
        <v>75.62</v>
      </c>
      <c r="I62" s="198">
        <f>G62*H62</f>
        <v>3856.6200000000003</v>
      </c>
      <c r="J62" s="127">
        <v>51</v>
      </c>
      <c r="K62" s="106">
        <v>75.62</v>
      </c>
      <c r="L62" s="107">
        <f>J62*K62</f>
        <v>3856.6200000000003</v>
      </c>
      <c r="M62" s="67">
        <v>0</v>
      </c>
      <c r="N62" s="197">
        <v>75.62</v>
      </c>
      <c r="O62" s="198">
        <f>M62*N62</f>
        <v>0</v>
      </c>
      <c r="P62" s="127">
        <v>0</v>
      </c>
      <c r="Q62" s="125">
        <v>72.5</v>
      </c>
      <c r="R62" s="132">
        <v>0</v>
      </c>
      <c r="S62" s="153">
        <f>J62+P62</f>
        <v>51</v>
      </c>
      <c r="T62" s="150"/>
      <c r="U62" s="148">
        <f>L62+R62</f>
        <v>3856.6200000000003</v>
      </c>
      <c r="V62" s="8">
        <v>51</v>
      </c>
      <c r="W62" s="9" t="s">
        <v>96</v>
      </c>
      <c r="X62" s="267"/>
    </row>
    <row r="63" spans="1:24" ht="78.75" x14ac:dyDescent="0.25">
      <c r="A63" s="268"/>
      <c r="B63" s="12" t="s">
        <v>97</v>
      </c>
      <c r="C63" s="105"/>
      <c r="D63" s="109"/>
      <c r="E63" s="106"/>
      <c r="F63" s="107"/>
      <c r="G63" s="201"/>
      <c r="H63" s="197"/>
      <c r="I63" s="198"/>
      <c r="J63" s="127"/>
      <c r="K63" s="106"/>
      <c r="L63" s="107"/>
      <c r="M63" s="67"/>
      <c r="N63" s="197"/>
      <c r="O63" s="198"/>
      <c r="P63" s="127"/>
      <c r="Q63" s="125"/>
      <c r="R63" s="132"/>
      <c r="S63" s="154"/>
      <c r="T63" s="151"/>
      <c r="U63" s="148"/>
      <c r="V63" s="8"/>
      <c r="W63" s="9"/>
      <c r="X63" s="267"/>
    </row>
    <row r="64" spans="1:24" ht="15.75" x14ac:dyDescent="0.25">
      <c r="A64" s="276"/>
      <c r="B64" s="24"/>
      <c r="C64" s="322" t="s">
        <v>34</v>
      </c>
      <c r="D64" s="322"/>
      <c r="E64" s="322"/>
      <c r="F64" s="108">
        <f>SUM(F42:F63)</f>
        <v>46524.293625999999</v>
      </c>
      <c r="G64" s="323" t="s">
        <v>34</v>
      </c>
      <c r="H64" s="323"/>
      <c r="I64" s="199">
        <f>SUM(I42:I63)</f>
        <v>46524.293625999999</v>
      </c>
      <c r="J64" s="322" t="s">
        <v>34</v>
      </c>
      <c r="K64" s="322"/>
      <c r="L64" s="108">
        <f>SUM(L42:L63)</f>
        <v>40776.723208000003</v>
      </c>
      <c r="M64" s="323" t="s">
        <v>34</v>
      </c>
      <c r="N64" s="323"/>
      <c r="O64" s="199">
        <f>SUM(O42:O63)</f>
        <v>5747.5704179999993</v>
      </c>
      <c r="P64" s="322" t="s">
        <v>34</v>
      </c>
      <c r="Q64" s="322"/>
      <c r="R64" s="133">
        <v>7133.2567319999998</v>
      </c>
      <c r="S64" s="323" t="s">
        <v>34</v>
      </c>
      <c r="T64" s="323"/>
      <c r="U64" s="156">
        <f>L64+R64</f>
        <v>47909.979940000005</v>
      </c>
      <c r="V64" s="4"/>
      <c r="W64" s="9"/>
      <c r="X64" s="267"/>
    </row>
    <row r="65" spans="1:24" ht="15.75" x14ac:dyDescent="0.25">
      <c r="A65" s="264" t="s">
        <v>98</v>
      </c>
      <c r="B65" s="57" t="s">
        <v>99</v>
      </c>
      <c r="C65" s="101"/>
      <c r="D65" s="101"/>
      <c r="E65" s="106"/>
      <c r="F65" s="107"/>
      <c r="G65" s="205"/>
      <c r="H65" s="197"/>
      <c r="I65" s="198"/>
      <c r="J65" s="128"/>
      <c r="K65" s="106"/>
      <c r="L65" s="107"/>
      <c r="M65" s="58"/>
      <c r="N65" s="197"/>
      <c r="O65" s="198"/>
      <c r="P65" s="128"/>
      <c r="Q65" s="125"/>
      <c r="R65" s="132"/>
      <c r="S65" s="152"/>
      <c r="T65" s="155"/>
      <c r="U65" s="157"/>
      <c r="V65" s="4"/>
      <c r="W65" s="9"/>
      <c r="X65" s="267"/>
    </row>
    <row r="66" spans="1:24" ht="15.75" x14ac:dyDescent="0.25">
      <c r="A66" s="268"/>
      <c r="B66" s="12"/>
      <c r="C66" s="105"/>
      <c r="D66" s="109"/>
      <c r="E66" s="106"/>
      <c r="F66" s="107"/>
      <c r="G66" s="201"/>
      <c r="H66" s="197"/>
      <c r="I66" s="198"/>
      <c r="J66" s="127"/>
      <c r="K66" s="106"/>
      <c r="L66" s="107"/>
      <c r="M66" s="67"/>
      <c r="N66" s="197"/>
      <c r="O66" s="198"/>
      <c r="P66" s="127"/>
      <c r="Q66" s="125"/>
      <c r="R66" s="132"/>
      <c r="S66" s="153"/>
      <c r="T66" s="150"/>
      <c r="U66" s="148"/>
      <c r="V66" s="4"/>
      <c r="W66" s="9"/>
      <c r="X66" s="267"/>
    </row>
    <row r="67" spans="1:24" ht="78.75" x14ac:dyDescent="0.25">
      <c r="A67" s="268" t="s">
        <v>100</v>
      </c>
      <c r="B67" s="17" t="s">
        <v>101</v>
      </c>
      <c r="C67" s="105" t="s">
        <v>525</v>
      </c>
      <c r="D67" s="106">
        <f>0.15*0.15*1.5*16+22*0.15*0.15*0.5+0.18*0.2*6*3+0.2*0.2*4*3+0.15*0.15*10*0.5+5*0.15*0.15*1+1.3*1.3*0.08*3.14</f>
        <v>2.5650279999999994</v>
      </c>
      <c r="E67" s="106">
        <v>2349.3200000000002</v>
      </c>
      <c r="F67" s="107">
        <f>D67*E67</f>
        <v>6026.0715809599988</v>
      </c>
      <c r="G67" s="197">
        <f>0.15*0.15*1.5*16+22*0.15*0.15*0.5+0.18*0.2*6*3+0.2*0.2*4*3+0.15*0.15*10*0.5+5*0.15*0.15*1+1.3*1.3*0.08*3.14</f>
        <v>2.5650279999999994</v>
      </c>
      <c r="H67" s="197">
        <v>2349.3200000000002</v>
      </c>
      <c r="I67" s="198">
        <f>G67*H67</f>
        <v>6026.0715809599988</v>
      </c>
      <c r="J67" s="125">
        <v>1.95</v>
      </c>
      <c r="K67" s="106">
        <v>2349.3200000000002</v>
      </c>
      <c r="L67" s="107">
        <f>J67*K67</f>
        <v>4581.174</v>
      </c>
      <c r="M67" s="64">
        <f>G67-J67</f>
        <v>0.61502799999999946</v>
      </c>
      <c r="N67" s="197">
        <v>2349.3200000000002</v>
      </c>
      <c r="O67" s="198">
        <f>M67*N67</f>
        <v>1444.8975809599988</v>
      </c>
      <c r="P67" s="125">
        <f>M67</f>
        <v>0.61502799999999946</v>
      </c>
      <c r="Q67" s="125">
        <v>3009.71</v>
      </c>
      <c r="R67" s="132">
        <v>1866.0201999999999</v>
      </c>
      <c r="S67" s="153">
        <f>J67+P67</f>
        <v>2.5650279999999994</v>
      </c>
      <c r="T67" s="150"/>
      <c r="U67" s="148">
        <f>L67+R67</f>
        <v>6447.1941999999999</v>
      </c>
      <c r="V67" s="4" t="s">
        <v>102</v>
      </c>
      <c r="W67" s="9" t="s">
        <v>103</v>
      </c>
      <c r="X67" s="267"/>
    </row>
    <row r="68" spans="1:24" ht="236.25" x14ac:dyDescent="0.25">
      <c r="A68" s="268"/>
      <c r="B68" s="12" t="s">
        <v>104</v>
      </c>
      <c r="C68" s="105"/>
      <c r="D68" s="106"/>
      <c r="E68" s="106"/>
      <c r="F68" s="107"/>
      <c r="G68" s="197"/>
      <c r="H68" s="197"/>
      <c r="I68" s="198"/>
      <c r="J68" s="125"/>
      <c r="K68" s="106"/>
      <c r="L68" s="107"/>
      <c r="M68" s="64"/>
      <c r="N68" s="197"/>
      <c r="O68" s="198"/>
      <c r="P68" s="125"/>
      <c r="Q68" s="125"/>
      <c r="R68" s="132"/>
      <c r="S68" s="153"/>
      <c r="T68" s="150"/>
      <c r="U68" s="148"/>
      <c r="V68" s="4"/>
      <c r="W68" s="9"/>
      <c r="X68" s="267"/>
    </row>
    <row r="69" spans="1:24" ht="15.75" x14ac:dyDescent="0.25">
      <c r="A69" s="268"/>
      <c r="B69" s="17"/>
      <c r="C69" s="105"/>
      <c r="D69" s="106"/>
      <c r="E69" s="106"/>
      <c r="F69" s="107"/>
      <c r="G69" s="197"/>
      <c r="H69" s="197"/>
      <c r="I69" s="198"/>
      <c r="J69" s="125"/>
      <c r="K69" s="106"/>
      <c r="L69" s="107"/>
      <c r="M69" s="64"/>
      <c r="N69" s="197"/>
      <c r="O69" s="198"/>
      <c r="P69" s="125"/>
      <c r="Q69" s="125"/>
      <c r="R69" s="132"/>
      <c r="S69" s="153"/>
      <c r="T69" s="150"/>
      <c r="U69" s="148"/>
      <c r="V69" s="4"/>
      <c r="W69" s="9"/>
      <c r="X69" s="267"/>
    </row>
    <row r="70" spans="1:24" ht="15.75" x14ac:dyDescent="0.25">
      <c r="A70" s="268"/>
      <c r="B70" s="12"/>
      <c r="C70" s="105"/>
      <c r="D70" s="109"/>
      <c r="E70" s="106"/>
      <c r="F70" s="107"/>
      <c r="G70" s="201"/>
      <c r="H70" s="197"/>
      <c r="I70" s="198"/>
      <c r="J70" s="127"/>
      <c r="K70" s="106"/>
      <c r="L70" s="107"/>
      <c r="M70" s="67"/>
      <c r="N70" s="197"/>
      <c r="O70" s="198"/>
      <c r="P70" s="127"/>
      <c r="Q70" s="125"/>
      <c r="R70" s="132"/>
      <c r="S70" s="153"/>
      <c r="T70" s="150"/>
      <c r="U70" s="148"/>
      <c r="V70" s="4"/>
      <c r="W70" s="9"/>
      <c r="X70" s="267"/>
    </row>
    <row r="71" spans="1:24" ht="94.5" x14ac:dyDescent="0.25">
      <c r="A71" s="268" t="s">
        <v>105</v>
      </c>
      <c r="B71" s="17" t="s">
        <v>106</v>
      </c>
      <c r="C71" s="105" t="s">
        <v>524</v>
      </c>
      <c r="D71" s="109">
        <f>(4.46+2.25+2.41+2.4+2.46)*0.4+15.8*0.7+15.8*0.4+(2.11*2+0.2+0.36)*2.2+2.96*4.14+10.24*3.74-2.35*1.36-1.36*4.89+2.58*3.74</f>
        <v>83.842799999999983</v>
      </c>
      <c r="E71" s="106">
        <v>238.9</v>
      </c>
      <c r="F71" s="107">
        <f>D71*E71</f>
        <v>20030.044919999997</v>
      </c>
      <c r="G71" s="201">
        <f>(4.46+2.25+2.41+2.4+2.46)*0.4+15.8*0.7+15.8*0.4+(2.11*2+0.2+0.36)*2.2+2.96*4.14+10.24*3.74-2.35*1.36-1.36*4.89+2.58*3.74</f>
        <v>83.842799999999983</v>
      </c>
      <c r="H71" s="197">
        <v>238.01</v>
      </c>
      <c r="I71" s="198">
        <f>G71*H71</f>
        <v>19955.424827999996</v>
      </c>
      <c r="J71" s="127">
        <v>0</v>
      </c>
      <c r="K71" s="106">
        <v>238.01</v>
      </c>
      <c r="L71" s="107">
        <f>J71*K71</f>
        <v>0</v>
      </c>
      <c r="M71" s="201">
        <f>(4.46+2.25+2.41+2.4+2.46)*0.4+15.8*0.7+15.8*0.4+(2.11*2+0.2+0.36)*2.2+2.96*4.14+10.24*3.74-2.35*1.36-1.36*4.89+2.58*3.74</f>
        <v>83.842799999999983</v>
      </c>
      <c r="N71" s="197">
        <v>238.01</v>
      </c>
      <c r="O71" s="198">
        <f>M71*N71</f>
        <v>19955.424827999996</v>
      </c>
      <c r="P71" s="127">
        <v>83.842799999999983</v>
      </c>
      <c r="Q71" s="125">
        <v>295.43</v>
      </c>
      <c r="R71" s="132">
        <v>24769.678403999995</v>
      </c>
      <c r="S71" s="153">
        <f>J71+P71</f>
        <v>83.842799999999983</v>
      </c>
      <c r="T71" s="150"/>
      <c r="U71" s="148">
        <f>L71+R71</f>
        <v>24769.678403999995</v>
      </c>
      <c r="V71" s="4" t="s">
        <v>107</v>
      </c>
      <c r="W71" s="9" t="s">
        <v>108</v>
      </c>
      <c r="X71" s="267"/>
    </row>
    <row r="72" spans="1:24" ht="173.25" x14ac:dyDescent="0.25">
      <c r="A72" s="268"/>
      <c r="B72" s="12" t="s">
        <v>109</v>
      </c>
      <c r="C72" s="105"/>
      <c r="D72" s="109"/>
      <c r="E72" s="106"/>
      <c r="F72" s="107"/>
      <c r="G72" s="201"/>
      <c r="H72" s="197"/>
      <c r="I72" s="198"/>
      <c r="J72" s="127"/>
      <c r="K72" s="106"/>
      <c r="L72" s="107"/>
      <c r="M72" s="67"/>
      <c r="N72" s="197"/>
      <c r="O72" s="198"/>
      <c r="P72" s="127"/>
      <c r="Q72" s="125"/>
      <c r="R72" s="132"/>
      <c r="S72" s="153"/>
      <c r="T72" s="150"/>
      <c r="U72" s="148"/>
      <c r="V72" s="4"/>
      <c r="W72" s="9"/>
      <c r="X72" s="267"/>
    </row>
    <row r="73" spans="1:24" ht="15.75" x14ac:dyDescent="0.25">
      <c r="A73" s="268"/>
      <c r="B73" s="12"/>
      <c r="C73" s="105"/>
      <c r="D73" s="109"/>
      <c r="E73" s="106"/>
      <c r="F73" s="107"/>
      <c r="G73" s="201"/>
      <c r="H73" s="197"/>
      <c r="I73" s="198"/>
      <c r="J73" s="127"/>
      <c r="K73" s="106"/>
      <c r="L73" s="107"/>
      <c r="M73" s="67"/>
      <c r="N73" s="197"/>
      <c r="O73" s="198"/>
      <c r="P73" s="127"/>
      <c r="Q73" s="125"/>
      <c r="R73" s="132"/>
      <c r="S73" s="154"/>
      <c r="T73" s="151"/>
      <c r="U73" s="148"/>
      <c r="V73" s="4"/>
      <c r="W73" s="9"/>
      <c r="X73" s="267"/>
    </row>
    <row r="74" spans="1:24" ht="15.75" x14ac:dyDescent="0.25">
      <c r="A74" s="276"/>
      <c r="B74" s="25"/>
      <c r="C74" s="322" t="s">
        <v>34</v>
      </c>
      <c r="D74" s="322"/>
      <c r="E74" s="322"/>
      <c r="F74" s="108">
        <f>SUM(F66:F73)</f>
        <v>26056.116500959994</v>
      </c>
      <c r="G74" s="323" t="s">
        <v>34</v>
      </c>
      <c r="H74" s="323"/>
      <c r="I74" s="199">
        <f>SUM(I66:I73)</f>
        <v>25981.496408959996</v>
      </c>
      <c r="J74" s="324" t="s">
        <v>34</v>
      </c>
      <c r="K74" s="324"/>
      <c r="L74" s="108">
        <f>SUM(L66:L73)</f>
        <v>4581.174</v>
      </c>
      <c r="M74" s="326" t="s">
        <v>34</v>
      </c>
      <c r="N74" s="326"/>
      <c r="O74" s="199">
        <f>SUM(O66:O73)</f>
        <v>21400.322408959993</v>
      </c>
      <c r="P74" s="324" t="s">
        <v>34</v>
      </c>
      <c r="Q74" s="324"/>
      <c r="R74" s="133">
        <v>26635.698603999994</v>
      </c>
      <c r="S74" s="326" t="s">
        <v>34</v>
      </c>
      <c r="T74" s="326"/>
      <c r="U74" s="156">
        <f>L74+R74</f>
        <v>31216.872603999993</v>
      </c>
      <c r="V74" s="4"/>
      <c r="W74" s="9"/>
      <c r="X74" s="267"/>
    </row>
    <row r="75" spans="1:24" ht="15.75" x14ac:dyDescent="0.25">
      <c r="A75" s="264" t="s">
        <v>110</v>
      </c>
      <c r="B75" s="57" t="s">
        <v>111</v>
      </c>
      <c r="C75" s="114"/>
      <c r="D75" s="115"/>
      <c r="E75" s="103"/>
      <c r="F75" s="107"/>
      <c r="G75" s="210"/>
      <c r="H75" s="141"/>
      <c r="I75" s="198"/>
      <c r="J75" s="129"/>
      <c r="K75" s="103"/>
      <c r="L75" s="107"/>
      <c r="M75" s="72"/>
      <c r="N75" s="141"/>
      <c r="O75" s="198"/>
      <c r="P75" s="129"/>
      <c r="Q75" s="131"/>
      <c r="R75" s="132"/>
      <c r="S75" s="152"/>
      <c r="T75" s="155"/>
      <c r="U75" s="148"/>
      <c r="V75" s="4"/>
      <c r="W75" s="9"/>
      <c r="X75" s="267"/>
    </row>
    <row r="76" spans="1:24" ht="15.75" x14ac:dyDescent="0.25">
      <c r="A76" s="266" t="s">
        <v>112</v>
      </c>
      <c r="B76" s="26" t="s">
        <v>113</v>
      </c>
      <c r="C76" s="105"/>
      <c r="D76" s="109"/>
      <c r="E76" s="116"/>
      <c r="F76" s="107"/>
      <c r="G76" s="201"/>
      <c r="H76" s="202"/>
      <c r="I76" s="198"/>
      <c r="J76" s="127"/>
      <c r="K76" s="116"/>
      <c r="L76" s="107"/>
      <c r="M76" s="67"/>
      <c r="N76" s="202"/>
      <c r="O76" s="198"/>
      <c r="P76" s="127"/>
      <c r="Q76" s="136"/>
      <c r="R76" s="132"/>
      <c r="S76" s="153"/>
      <c r="T76" s="150"/>
      <c r="U76" s="148"/>
      <c r="V76" s="4"/>
      <c r="W76" s="9"/>
      <c r="X76" s="267"/>
    </row>
    <row r="77" spans="1:24" ht="15.75" x14ac:dyDescent="0.25">
      <c r="A77" s="268"/>
      <c r="B77" s="12"/>
      <c r="C77" s="105"/>
      <c r="D77" s="109"/>
      <c r="E77" s="106"/>
      <c r="F77" s="107"/>
      <c r="G77" s="201"/>
      <c r="H77" s="197"/>
      <c r="I77" s="198"/>
      <c r="J77" s="127"/>
      <c r="K77" s="106"/>
      <c r="L77" s="107"/>
      <c r="M77" s="67"/>
      <c r="N77" s="197"/>
      <c r="O77" s="198"/>
      <c r="P77" s="127"/>
      <c r="Q77" s="125"/>
      <c r="R77" s="132"/>
      <c r="S77" s="153"/>
      <c r="T77" s="150"/>
      <c r="U77" s="148"/>
      <c r="V77" s="4"/>
      <c r="W77" s="9"/>
      <c r="X77" s="267"/>
    </row>
    <row r="78" spans="1:24" ht="141.75" x14ac:dyDescent="0.25">
      <c r="A78" s="268" t="s">
        <v>114</v>
      </c>
      <c r="B78" s="17" t="s">
        <v>115</v>
      </c>
      <c r="C78" s="105" t="s">
        <v>524</v>
      </c>
      <c r="D78" s="269">
        <f>(28-4.7)*2*1.5+18*1.5+18*3+21.62*0.5*2+(3.75+1.66)*0.5+15.8*0.5+0.4*0.5*2+15.8*0.5+15.8*1+2.58*3+4.7*3*3+3.74*2.5+(4.22+0.56)*0.3+1.82*3+1.1*1*2-1.6*2*1.5+8.24*0.5+4.78*1+2.02*1</f>
        <v>281.82900000000001</v>
      </c>
      <c r="E78" s="106">
        <v>44.47</v>
      </c>
      <c r="F78" s="107">
        <f>D78*E78</f>
        <v>12532.93563</v>
      </c>
      <c r="G78" s="207">
        <f>(28-4.7)*2*1.5+18*1.5+18*3+21.62*0.5*2+(3.75+1.66)*0.5+15.8*0.5+0.4*0.5*2+15.8*0.5+15.8*1+2.58*3+4.7*3*3+3.74*2.5+(4.22+0.56)*0.3+1.82*3+1.1*1*2-1.6*2*1.5+8.24*0.5+4.78*1+2.02*1</f>
        <v>281.82900000000001</v>
      </c>
      <c r="H78" s="197">
        <v>44.47</v>
      </c>
      <c r="I78" s="200">
        <f>G78*H78</f>
        <v>12532.93563</v>
      </c>
      <c r="J78" s="271">
        <v>231.05</v>
      </c>
      <c r="K78" s="106">
        <v>44.47</v>
      </c>
      <c r="L78" s="107">
        <f>J78*K78</f>
        <v>10274.7935</v>
      </c>
      <c r="M78" s="100">
        <f>G78-J78</f>
        <v>50.778999999999996</v>
      </c>
      <c r="N78" s="197">
        <v>44.47</v>
      </c>
      <c r="O78" s="200">
        <f>M78*N78</f>
        <v>2258.1421299999997</v>
      </c>
      <c r="P78" s="271">
        <f>M78</f>
        <v>50.778999999999996</v>
      </c>
      <c r="Q78" s="125">
        <v>64.69</v>
      </c>
      <c r="R78" s="132">
        <v>3285.6050999999998</v>
      </c>
      <c r="S78" s="153">
        <f>J78+P78</f>
        <v>281.82900000000001</v>
      </c>
      <c r="T78" s="150"/>
      <c r="U78" s="148">
        <f>L78+R78</f>
        <v>13560.3986</v>
      </c>
      <c r="V78" s="4" t="s">
        <v>116</v>
      </c>
      <c r="W78" s="9" t="s">
        <v>117</v>
      </c>
      <c r="X78" s="267"/>
    </row>
    <row r="79" spans="1:24" ht="126" x14ac:dyDescent="0.25">
      <c r="A79" s="268"/>
      <c r="B79" s="12" t="s">
        <v>118</v>
      </c>
      <c r="C79" s="105"/>
      <c r="D79" s="109"/>
      <c r="E79" s="106"/>
      <c r="F79" s="107"/>
      <c r="G79" s="201"/>
      <c r="H79" s="197"/>
      <c r="I79" s="198"/>
      <c r="J79" s="127"/>
      <c r="K79" s="106"/>
      <c r="L79" s="107"/>
      <c r="M79" s="67"/>
      <c r="N79" s="197"/>
      <c r="O79" s="198"/>
      <c r="P79" s="127"/>
      <c r="Q79" s="125"/>
      <c r="R79" s="132"/>
      <c r="S79" s="153"/>
      <c r="T79" s="150"/>
      <c r="U79" s="148"/>
      <c r="V79" s="4"/>
      <c r="W79" s="9"/>
      <c r="X79" s="267"/>
    </row>
    <row r="80" spans="1:24" ht="15.75" x14ac:dyDescent="0.25">
      <c r="A80" s="268"/>
      <c r="B80" s="12"/>
      <c r="C80" s="105"/>
      <c r="D80" s="109"/>
      <c r="E80" s="106"/>
      <c r="F80" s="107"/>
      <c r="G80" s="201"/>
      <c r="H80" s="197"/>
      <c r="I80" s="198"/>
      <c r="J80" s="127"/>
      <c r="K80" s="106"/>
      <c r="L80" s="107"/>
      <c r="M80" s="67"/>
      <c r="N80" s="197"/>
      <c r="O80" s="198"/>
      <c r="P80" s="127"/>
      <c r="Q80" s="125"/>
      <c r="R80" s="132"/>
      <c r="S80" s="154"/>
      <c r="T80" s="151"/>
      <c r="U80" s="158"/>
      <c r="V80" s="4"/>
      <c r="W80" s="9"/>
      <c r="X80" s="267"/>
    </row>
    <row r="81" spans="1:24" ht="15.75" x14ac:dyDescent="0.25">
      <c r="A81" s="276"/>
      <c r="B81" s="25"/>
      <c r="C81" s="322" t="s">
        <v>34</v>
      </c>
      <c r="D81" s="322"/>
      <c r="E81" s="322"/>
      <c r="F81" s="108">
        <f>SUM(F77:F80)</f>
        <v>12532.93563</v>
      </c>
      <c r="G81" s="326" t="s">
        <v>34</v>
      </c>
      <c r="H81" s="326"/>
      <c r="I81" s="199">
        <f>SUM(I77:I80)</f>
        <v>12532.93563</v>
      </c>
      <c r="J81" s="324" t="s">
        <v>34</v>
      </c>
      <c r="K81" s="324"/>
      <c r="L81" s="108">
        <f>SUM(L77:L80)</f>
        <v>10274.7935</v>
      </c>
      <c r="M81" s="326" t="s">
        <v>34</v>
      </c>
      <c r="N81" s="326"/>
      <c r="O81" s="199">
        <f>SUM(O77:O80)</f>
        <v>2258.1421299999997</v>
      </c>
      <c r="P81" s="324" t="s">
        <v>34</v>
      </c>
      <c r="Q81" s="324"/>
      <c r="R81" s="133">
        <v>3285.6050999999998</v>
      </c>
      <c r="S81" s="326" t="s">
        <v>34</v>
      </c>
      <c r="T81" s="326"/>
      <c r="U81" s="156">
        <f>L81+R81</f>
        <v>13560.3986</v>
      </c>
      <c r="V81" s="4"/>
      <c r="W81" s="9"/>
      <c r="X81" s="267"/>
    </row>
    <row r="82" spans="1:24" ht="15.75" x14ac:dyDescent="0.25">
      <c r="A82" s="264" t="s">
        <v>119</v>
      </c>
      <c r="B82" s="57" t="s">
        <v>120</v>
      </c>
      <c r="C82" s="101"/>
      <c r="D82" s="115"/>
      <c r="E82" s="106"/>
      <c r="F82" s="107"/>
      <c r="G82" s="210"/>
      <c r="H82" s="197"/>
      <c r="I82" s="198"/>
      <c r="J82" s="129"/>
      <c r="K82" s="106"/>
      <c r="L82" s="107"/>
      <c r="M82" s="72"/>
      <c r="N82" s="197"/>
      <c r="O82" s="198"/>
      <c r="P82" s="129"/>
      <c r="Q82" s="125"/>
      <c r="R82" s="132"/>
      <c r="S82" s="152"/>
      <c r="T82" s="155"/>
      <c r="U82" s="157"/>
      <c r="V82" s="4"/>
      <c r="W82" s="9"/>
      <c r="X82" s="267"/>
    </row>
    <row r="83" spans="1:24" ht="15.75" x14ac:dyDescent="0.25">
      <c r="A83" s="266" t="s">
        <v>121</v>
      </c>
      <c r="B83" s="26" t="s">
        <v>122</v>
      </c>
      <c r="C83" s="105"/>
      <c r="D83" s="109"/>
      <c r="E83" s="106"/>
      <c r="F83" s="107"/>
      <c r="G83" s="201"/>
      <c r="H83" s="197"/>
      <c r="I83" s="198"/>
      <c r="J83" s="127"/>
      <c r="K83" s="106"/>
      <c r="L83" s="107"/>
      <c r="M83" s="67"/>
      <c r="N83" s="197"/>
      <c r="O83" s="198"/>
      <c r="P83" s="127"/>
      <c r="Q83" s="125"/>
      <c r="R83" s="132"/>
      <c r="S83" s="153"/>
      <c r="T83" s="150"/>
      <c r="U83" s="148"/>
      <c r="V83" s="4"/>
      <c r="W83" s="9"/>
      <c r="X83" s="267"/>
    </row>
    <row r="84" spans="1:24" ht="15.75" x14ac:dyDescent="0.25">
      <c r="A84" s="268" t="s">
        <v>123</v>
      </c>
      <c r="B84" s="22" t="s">
        <v>124</v>
      </c>
      <c r="C84" s="105"/>
      <c r="D84" s="109"/>
      <c r="E84" s="106"/>
      <c r="F84" s="107"/>
      <c r="G84" s="201"/>
      <c r="H84" s="197"/>
      <c r="I84" s="198"/>
      <c r="J84" s="127"/>
      <c r="K84" s="106"/>
      <c r="L84" s="107"/>
      <c r="M84" s="67"/>
      <c r="N84" s="197"/>
      <c r="O84" s="198"/>
      <c r="P84" s="127"/>
      <c r="Q84" s="125"/>
      <c r="R84" s="132"/>
      <c r="S84" s="153"/>
      <c r="T84" s="150"/>
      <c r="U84" s="148"/>
      <c r="V84" s="4"/>
      <c r="W84" s="9"/>
      <c r="X84" s="267"/>
    </row>
    <row r="85" spans="1:24" ht="78.75" x14ac:dyDescent="0.25">
      <c r="A85" s="268"/>
      <c r="B85" s="12" t="s">
        <v>125</v>
      </c>
      <c r="C85" s="105"/>
      <c r="D85" s="109"/>
      <c r="E85" s="106"/>
      <c r="F85" s="107"/>
      <c r="G85" s="201"/>
      <c r="H85" s="197"/>
      <c r="I85" s="198"/>
      <c r="J85" s="127"/>
      <c r="K85" s="106"/>
      <c r="L85" s="107"/>
      <c r="M85" s="67"/>
      <c r="N85" s="197"/>
      <c r="O85" s="198"/>
      <c r="P85" s="127"/>
      <c r="Q85" s="125"/>
      <c r="R85" s="132"/>
      <c r="S85" s="153"/>
      <c r="T85" s="150"/>
      <c r="U85" s="148"/>
      <c r="V85" s="4"/>
      <c r="W85" s="9"/>
      <c r="X85" s="267"/>
    </row>
    <row r="86" spans="1:24" ht="15.75" x14ac:dyDescent="0.25">
      <c r="A86" s="268"/>
      <c r="B86" s="12"/>
      <c r="C86" s="105"/>
      <c r="D86" s="109"/>
      <c r="E86" s="106"/>
      <c r="F86" s="107"/>
      <c r="G86" s="201"/>
      <c r="H86" s="197"/>
      <c r="I86" s="198"/>
      <c r="J86" s="127"/>
      <c r="K86" s="106"/>
      <c r="L86" s="107"/>
      <c r="M86" s="67"/>
      <c r="N86" s="197"/>
      <c r="O86" s="198"/>
      <c r="P86" s="127"/>
      <c r="Q86" s="125"/>
      <c r="R86" s="132"/>
      <c r="S86" s="153"/>
      <c r="T86" s="150"/>
      <c r="U86" s="148"/>
      <c r="V86" s="4"/>
      <c r="W86" s="9"/>
      <c r="X86" s="267"/>
    </row>
    <row r="87" spans="1:24" ht="15.75" x14ac:dyDescent="0.25">
      <c r="A87" s="268"/>
      <c r="B87" s="12"/>
      <c r="C87" s="105"/>
      <c r="D87" s="109"/>
      <c r="E87" s="106"/>
      <c r="F87" s="107"/>
      <c r="G87" s="201"/>
      <c r="H87" s="197"/>
      <c r="I87" s="198"/>
      <c r="J87" s="127"/>
      <c r="K87" s="106"/>
      <c r="L87" s="107"/>
      <c r="M87" s="67"/>
      <c r="N87" s="197"/>
      <c r="O87" s="198"/>
      <c r="P87" s="127"/>
      <c r="Q87" s="125"/>
      <c r="R87" s="132"/>
      <c r="S87" s="153"/>
      <c r="T87" s="150"/>
      <c r="U87" s="148"/>
      <c r="V87" s="4"/>
      <c r="W87" s="9"/>
      <c r="X87" s="267"/>
    </row>
    <row r="88" spans="1:24" ht="31.5" x14ac:dyDescent="0.25">
      <c r="A88" s="268" t="s">
        <v>126</v>
      </c>
      <c r="B88" s="17" t="s">
        <v>127</v>
      </c>
      <c r="C88" s="105" t="s">
        <v>95</v>
      </c>
      <c r="D88" s="109">
        <f>28*2</f>
        <v>56</v>
      </c>
      <c r="E88" s="106">
        <v>69.650000000000006</v>
      </c>
      <c r="F88" s="107">
        <f>D88*E88</f>
        <v>3900.4000000000005</v>
      </c>
      <c r="G88" s="201">
        <f>28*2</f>
        <v>56</v>
      </c>
      <c r="H88" s="197">
        <v>69.650000000000006</v>
      </c>
      <c r="I88" s="198">
        <f>G88*H88</f>
        <v>3900.4000000000005</v>
      </c>
      <c r="J88" s="127">
        <v>0</v>
      </c>
      <c r="K88" s="106">
        <v>69.650000000000006</v>
      </c>
      <c r="L88" s="107">
        <f>J88*K88</f>
        <v>0</v>
      </c>
      <c r="M88" s="67">
        <v>56</v>
      </c>
      <c r="N88" s="197">
        <v>69.650000000000006</v>
      </c>
      <c r="O88" s="198">
        <f>M88*N88</f>
        <v>3900.4000000000005</v>
      </c>
      <c r="P88" s="127">
        <v>56</v>
      </c>
      <c r="Q88" s="125">
        <v>93.63</v>
      </c>
      <c r="R88" s="132">
        <v>5243.28</v>
      </c>
      <c r="S88" s="153">
        <f>J88+P88</f>
        <v>56</v>
      </c>
      <c r="T88" s="150"/>
      <c r="U88" s="148">
        <f>L88+R88</f>
        <v>5243.28</v>
      </c>
      <c r="V88" s="166" t="s">
        <v>128</v>
      </c>
      <c r="W88" s="9" t="s">
        <v>129</v>
      </c>
      <c r="X88" s="267"/>
    </row>
    <row r="89" spans="1:24" ht="15.75" x14ac:dyDescent="0.25">
      <c r="A89" s="268"/>
      <c r="B89" s="17"/>
      <c r="C89" s="105"/>
      <c r="D89" s="109"/>
      <c r="E89" s="106"/>
      <c r="F89" s="107"/>
      <c r="G89" s="201"/>
      <c r="H89" s="197"/>
      <c r="I89" s="198"/>
      <c r="J89" s="127"/>
      <c r="K89" s="106"/>
      <c r="L89" s="107"/>
      <c r="M89" s="67"/>
      <c r="N89" s="197"/>
      <c r="O89" s="198"/>
      <c r="P89" s="127"/>
      <c r="Q89" s="125"/>
      <c r="R89" s="132"/>
      <c r="S89" s="153"/>
      <c r="T89" s="150"/>
      <c r="U89" s="148"/>
      <c r="V89" s="4"/>
      <c r="W89" s="9"/>
      <c r="X89" s="267"/>
    </row>
    <row r="90" spans="1:24" ht="15.75" x14ac:dyDescent="0.25">
      <c r="A90" s="268" t="s">
        <v>130</v>
      </c>
      <c r="B90" s="22" t="s">
        <v>131</v>
      </c>
      <c r="C90" s="105"/>
      <c r="D90" s="109"/>
      <c r="E90" s="106"/>
      <c r="F90" s="107"/>
      <c r="G90" s="201"/>
      <c r="H90" s="197"/>
      <c r="I90" s="198"/>
      <c r="J90" s="127"/>
      <c r="K90" s="106"/>
      <c r="L90" s="107"/>
      <c r="M90" s="67"/>
      <c r="N90" s="197"/>
      <c r="O90" s="198"/>
      <c r="P90" s="127"/>
      <c r="Q90" s="125"/>
      <c r="R90" s="132"/>
      <c r="S90" s="153"/>
      <c r="T90" s="150"/>
      <c r="U90" s="148"/>
      <c r="V90" s="4"/>
      <c r="W90" s="9"/>
      <c r="X90" s="267"/>
    </row>
    <row r="91" spans="1:24" ht="94.5" x14ac:dyDescent="0.25">
      <c r="A91" s="268"/>
      <c r="B91" s="12" t="s">
        <v>132</v>
      </c>
      <c r="C91" s="105"/>
      <c r="D91" s="109"/>
      <c r="E91" s="106"/>
      <c r="F91" s="107"/>
      <c r="G91" s="201"/>
      <c r="H91" s="197"/>
      <c r="I91" s="198"/>
      <c r="J91" s="127"/>
      <c r="K91" s="106"/>
      <c r="L91" s="107"/>
      <c r="M91" s="67"/>
      <c r="N91" s="197"/>
      <c r="O91" s="198"/>
      <c r="P91" s="127"/>
      <c r="Q91" s="125"/>
      <c r="R91" s="132"/>
      <c r="S91" s="153"/>
      <c r="T91" s="150"/>
      <c r="U91" s="148"/>
      <c r="V91" s="4"/>
      <c r="W91" s="9"/>
      <c r="X91" s="267"/>
    </row>
    <row r="92" spans="1:24" ht="15.75" x14ac:dyDescent="0.25">
      <c r="A92" s="268"/>
      <c r="B92" s="12"/>
      <c r="C92" s="105"/>
      <c r="D92" s="109"/>
      <c r="E92" s="106"/>
      <c r="F92" s="107"/>
      <c r="G92" s="201"/>
      <c r="H92" s="197"/>
      <c r="I92" s="198"/>
      <c r="J92" s="127"/>
      <c r="K92" s="106"/>
      <c r="L92" s="107"/>
      <c r="M92" s="67"/>
      <c r="N92" s="197"/>
      <c r="O92" s="198"/>
      <c r="P92" s="127"/>
      <c r="Q92" s="125"/>
      <c r="R92" s="132"/>
      <c r="S92" s="153"/>
      <c r="T92" s="150"/>
      <c r="U92" s="148"/>
      <c r="V92" s="4"/>
      <c r="W92" s="9"/>
      <c r="X92" s="267"/>
    </row>
    <row r="93" spans="1:24" ht="15.75" x14ac:dyDescent="0.25">
      <c r="A93" s="268"/>
      <c r="B93" s="12"/>
      <c r="C93" s="105"/>
      <c r="D93" s="109"/>
      <c r="E93" s="106"/>
      <c r="F93" s="107"/>
      <c r="G93" s="201"/>
      <c r="H93" s="197"/>
      <c r="I93" s="198"/>
      <c r="J93" s="127"/>
      <c r="K93" s="106"/>
      <c r="L93" s="107"/>
      <c r="M93" s="67"/>
      <c r="N93" s="197"/>
      <c r="O93" s="198"/>
      <c r="P93" s="127"/>
      <c r="Q93" s="125"/>
      <c r="R93" s="132"/>
      <c r="S93" s="153"/>
      <c r="T93" s="150"/>
      <c r="U93" s="148"/>
      <c r="V93" s="4"/>
      <c r="W93" s="9"/>
      <c r="X93" s="267"/>
    </row>
    <row r="94" spans="1:24" ht="31.5" x14ac:dyDescent="0.25">
      <c r="A94" s="268" t="s">
        <v>133</v>
      </c>
      <c r="B94" s="17" t="s">
        <v>134</v>
      </c>
      <c r="C94" s="105" t="s">
        <v>95</v>
      </c>
      <c r="D94" s="109">
        <v>48</v>
      </c>
      <c r="E94" s="106">
        <v>88.09</v>
      </c>
      <c r="F94" s="107">
        <f>D94*E94</f>
        <v>4228.32</v>
      </c>
      <c r="G94" s="201">
        <v>48</v>
      </c>
      <c r="H94" s="197">
        <v>88.09</v>
      </c>
      <c r="I94" s="198">
        <f>G94*H94</f>
        <v>4228.32</v>
      </c>
      <c r="J94" s="127">
        <v>0</v>
      </c>
      <c r="K94" s="106">
        <v>88.09</v>
      </c>
      <c r="L94" s="107">
        <f>J94*K94</f>
        <v>0</v>
      </c>
      <c r="M94" s="67">
        <v>48</v>
      </c>
      <c r="N94" s="197">
        <v>88.09</v>
      </c>
      <c r="O94" s="198">
        <f>M94*N94</f>
        <v>4228.32</v>
      </c>
      <c r="P94" s="127">
        <v>48</v>
      </c>
      <c r="Q94" s="125">
        <v>100.03</v>
      </c>
      <c r="R94" s="132">
        <v>4801.4400000000005</v>
      </c>
      <c r="S94" s="153">
        <f>J94+P94</f>
        <v>48</v>
      </c>
      <c r="T94" s="150"/>
      <c r="U94" s="148">
        <f>L94+R94</f>
        <v>4801.4400000000005</v>
      </c>
      <c r="V94" s="4" t="s">
        <v>135</v>
      </c>
      <c r="W94" s="9" t="s">
        <v>136</v>
      </c>
      <c r="X94" s="267"/>
    </row>
    <row r="95" spans="1:24" ht="15.75" x14ac:dyDescent="0.25">
      <c r="A95" s="268"/>
      <c r="B95" s="12"/>
      <c r="C95" s="105"/>
      <c r="D95" s="109"/>
      <c r="E95" s="106"/>
      <c r="F95" s="107"/>
      <c r="G95" s="201"/>
      <c r="H95" s="197"/>
      <c r="I95" s="198"/>
      <c r="J95" s="127"/>
      <c r="K95" s="106"/>
      <c r="L95" s="107"/>
      <c r="M95" s="67"/>
      <c r="N95" s="197"/>
      <c r="O95" s="198"/>
      <c r="P95" s="127"/>
      <c r="Q95" s="125"/>
      <c r="R95" s="132"/>
      <c r="S95" s="154"/>
      <c r="T95" s="151"/>
      <c r="U95" s="148"/>
      <c r="V95" s="4"/>
      <c r="W95" s="9"/>
      <c r="X95" s="267"/>
    </row>
    <row r="96" spans="1:24" ht="15.75" x14ac:dyDescent="0.25">
      <c r="A96" s="276"/>
      <c r="B96" s="25"/>
      <c r="C96" s="322" t="s">
        <v>34</v>
      </c>
      <c r="D96" s="322"/>
      <c r="E96" s="322"/>
      <c r="F96" s="108">
        <f>SUM(F84:F95)</f>
        <v>8128.72</v>
      </c>
      <c r="G96" s="326" t="s">
        <v>34</v>
      </c>
      <c r="H96" s="326"/>
      <c r="I96" s="199">
        <f>SUM(I84:I95)</f>
        <v>8128.72</v>
      </c>
      <c r="J96" s="324" t="s">
        <v>34</v>
      </c>
      <c r="K96" s="324"/>
      <c r="L96" s="108">
        <f>SUM(L84:L95)</f>
        <v>0</v>
      </c>
      <c r="M96" s="326" t="s">
        <v>34</v>
      </c>
      <c r="N96" s="326"/>
      <c r="O96" s="199">
        <f>SUM(O84:O95)</f>
        <v>8128.72</v>
      </c>
      <c r="P96" s="324" t="s">
        <v>34</v>
      </c>
      <c r="Q96" s="324"/>
      <c r="R96" s="133">
        <v>10044.720000000001</v>
      </c>
      <c r="S96" s="326" t="s">
        <v>34</v>
      </c>
      <c r="T96" s="326"/>
      <c r="U96" s="156">
        <f>L96+R96</f>
        <v>10044.720000000001</v>
      </c>
      <c r="V96" s="4"/>
      <c r="W96" s="9"/>
      <c r="X96" s="267"/>
    </row>
    <row r="97" spans="1:24" ht="15.75" x14ac:dyDescent="0.25">
      <c r="A97" s="264" t="s">
        <v>137</v>
      </c>
      <c r="B97" s="57" t="s">
        <v>138</v>
      </c>
      <c r="C97" s="101"/>
      <c r="D97" s="109"/>
      <c r="E97" s="106"/>
      <c r="F97" s="107"/>
      <c r="G97" s="201"/>
      <c r="H97" s="197"/>
      <c r="I97" s="198"/>
      <c r="J97" s="127"/>
      <c r="K97" s="106"/>
      <c r="L97" s="107"/>
      <c r="M97" s="67"/>
      <c r="N97" s="197"/>
      <c r="O97" s="198"/>
      <c r="P97" s="127"/>
      <c r="Q97" s="125"/>
      <c r="R97" s="132"/>
      <c r="S97" s="152"/>
      <c r="T97" s="155"/>
      <c r="U97" s="157"/>
      <c r="V97" s="4"/>
      <c r="W97" s="9"/>
      <c r="X97" s="267"/>
    </row>
    <row r="98" spans="1:24" ht="15.75" x14ac:dyDescent="0.25">
      <c r="A98" s="266" t="s">
        <v>139</v>
      </c>
      <c r="B98" s="26" t="s">
        <v>140</v>
      </c>
      <c r="C98" s="105"/>
      <c r="D98" s="109"/>
      <c r="E98" s="106"/>
      <c r="F98" s="107"/>
      <c r="G98" s="201"/>
      <c r="H98" s="197"/>
      <c r="I98" s="198"/>
      <c r="J98" s="127"/>
      <c r="K98" s="106"/>
      <c r="L98" s="107"/>
      <c r="M98" s="67"/>
      <c r="N98" s="197"/>
      <c r="O98" s="198"/>
      <c r="P98" s="127"/>
      <c r="Q98" s="125"/>
      <c r="R98" s="132"/>
      <c r="S98" s="153"/>
      <c r="T98" s="150"/>
      <c r="U98" s="148"/>
      <c r="V98" s="4"/>
      <c r="W98" s="9"/>
      <c r="X98" s="267"/>
    </row>
    <row r="99" spans="1:24" ht="31.5" x14ac:dyDescent="0.25">
      <c r="A99" s="268" t="s">
        <v>141</v>
      </c>
      <c r="B99" s="17" t="s">
        <v>142</v>
      </c>
      <c r="C99" s="105" t="s">
        <v>21</v>
      </c>
      <c r="D99" s="109">
        <v>1</v>
      </c>
      <c r="E99" s="106">
        <v>35.21</v>
      </c>
      <c r="F99" s="107">
        <f>D99*E99</f>
        <v>35.21</v>
      </c>
      <c r="G99" s="201">
        <v>1</v>
      </c>
      <c r="H99" s="197">
        <v>35.21</v>
      </c>
      <c r="I99" s="198">
        <f>G99*H99</f>
        <v>35.21</v>
      </c>
      <c r="J99" s="127">
        <v>0</v>
      </c>
      <c r="K99" s="106">
        <v>35.21</v>
      </c>
      <c r="L99" s="107">
        <f>J99*K99</f>
        <v>0</v>
      </c>
      <c r="M99" s="67">
        <v>1</v>
      </c>
      <c r="N99" s="197">
        <v>35.21</v>
      </c>
      <c r="O99" s="198">
        <f>M99*N99</f>
        <v>35.21</v>
      </c>
      <c r="P99" s="127">
        <v>1</v>
      </c>
      <c r="Q99" s="125">
        <v>45</v>
      </c>
      <c r="R99" s="132">
        <v>45</v>
      </c>
      <c r="S99" s="153">
        <f>J99+P99</f>
        <v>1</v>
      </c>
      <c r="T99" s="150"/>
      <c r="U99" s="148">
        <f>L99+R99</f>
        <v>45</v>
      </c>
      <c r="V99" s="4">
        <v>1</v>
      </c>
      <c r="W99" s="9" t="s">
        <v>50</v>
      </c>
      <c r="X99" s="267"/>
    </row>
    <row r="100" spans="1:24" ht="63" x14ac:dyDescent="0.25">
      <c r="A100" s="268"/>
      <c r="B100" s="12" t="s">
        <v>143</v>
      </c>
      <c r="C100" s="105"/>
      <c r="D100" s="109"/>
      <c r="E100" s="106"/>
      <c r="F100" s="107"/>
      <c r="G100" s="201"/>
      <c r="H100" s="197"/>
      <c r="I100" s="198"/>
      <c r="J100" s="127"/>
      <c r="K100" s="106"/>
      <c r="L100" s="107"/>
      <c r="M100" s="67"/>
      <c r="N100" s="197"/>
      <c r="O100" s="198"/>
      <c r="P100" s="127"/>
      <c r="Q100" s="125"/>
      <c r="R100" s="132"/>
      <c r="S100" s="153"/>
      <c r="T100" s="150"/>
      <c r="U100" s="148"/>
      <c r="V100" s="4"/>
      <c r="W100" s="9"/>
      <c r="X100" s="267"/>
    </row>
    <row r="101" spans="1:24" ht="15.75" x14ac:dyDescent="0.25">
      <c r="A101" s="268"/>
      <c r="B101" s="17"/>
      <c r="C101" s="105"/>
      <c r="D101" s="109"/>
      <c r="E101" s="106"/>
      <c r="F101" s="107"/>
      <c r="G101" s="201"/>
      <c r="H101" s="197"/>
      <c r="I101" s="198"/>
      <c r="J101" s="127"/>
      <c r="K101" s="106"/>
      <c r="L101" s="107"/>
      <c r="M101" s="67"/>
      <c r="N101" s="197"/>
      <c r="O101" s="198"/>
      <c r="P101" s="127"/>
      <c r="Q101" s="125"/>
      <c r="R101" s="132"/>
      <c r="S101" s="153"/>
      <c r="T101" s="150"/>
      <c r="U101" s="148"/>
      <c r="V101" s="4"/>
      <c r="W101" s="9"/>
      <c r="X101" s="267"/>
    </row>
    <row r="102" spans="1:24" ht="15.75" x14ac:dyDescent="0.25">
      <c r="A102" s="268"/>
      <c r="B102" s="12"/>
      <c r="C102" s="105"/>
      <c r="D102" s="109"/>
      <c r="E102" s="106"/>
      <c r="F102" s="107"/>
      <c r="G102" s="201"/>
      <c r="H102" s="197"/>
      <c r="I102" s="198"/>
      <c r="J102" s="127"/>
      <c r="K102" s="106"/>
      <c r="L102" s="107"/>
      <c r="M102" s="67"/>
      <c r="N102" s="197"/>
      <c r="O102" s="198"/>
      <c r="P102" s="127"/>
      <c r="Q102" s="125"/>
      <c r="R102" s="132"/>
      <c r="S102" s="153"/>
      <c r="T102" s="150"/>
      <c r="U102" s="148"/>
      <c r="V102" s="4"/>
      <c r="W102" s="9"/>
      <c r="X102" s="267"/>
    </row>
    <row r="103" spans="1:24" ht="15.75" x14ac:dyDescent="0.25">
      <c r="A103" s="268" t="s">
        <v>144</v>
      </c>
      <c r="B103" s="17" t="s">
        <v>145</v>
      </c>
      <c r="C103" s="105" t="s">
        <v>21</v>
      </c>
      <c r="D103" s="109">
        <v>1</v>
      </c>
      <c r="E103" s="106">
        <v>142.49</v>
      </c>
      <c r="F103" s="107">
        <f>D103*E103</f>
        <v>142.49</v>
      </c>
      <c r="G103" s="201">
        <v>1</v>
      </c>
      <c r="H103" s="197">
        <v>142.49</v>
      </c>
      <c r="I103" s="198">
        <f>G103*H103</f>
        <v>142.49</v>
      </c>
      <c r="J103" s="127">
        <v>0</v>
      </c>
      <c r="K103" s="106">
        <v>142.49</v>
      </c>
      <c r="L103" s="107">
        <f>J103*K103</f>
        <v>0</v>
      </c>
      <c r="M103" s="67">
        <v>1</v>
      </c>
      <c r="N103" s="197">
        <v>142.49</v>
      </c>
      <c r="O103" s="198">
        <f>M103*N103</f>
        <v>142.49</v>
      </c>
      <c r="P103" s="127">
        <v>1</v>
      </c>
      <c r="Q103" s="125">
        <v>188.31</v>
      </c>
      <c r="R103" s="132">
        <v>188.31</v>
      </c>
      <c r="S103" s="153">
        <f>J103+P103</f>
        <v>1</v>
      </c>
      <c r="T103" s="150"/>
      <c r="U103" s="148">
        <f>L103+R103</f>
        <v>188.31</v>
      </c>
      <c r="V103" s="4">
        <v>1</v>
      </c>
      <c r="W103" s="9" t="s">
        <v>146</v>
      </c>
      <c r="X103" s="267"/>
    </row>
    <row r="104" spans="1:24" ht="47.25" x14ac:dyDescent="0.25">
      <c r="A104" s="268"/>
      <c r="B104" s="12" t="s">
        <v>147</v>
      </c>
      <c r="C104" s="105"/>
      <c r="D104" s="109"/>
      <c r="E104" s="106"/>
      <c r="F104" s="107"/>
      <c r="G104" s="201"/>
      <c r="H104" s="197"/>
      <c r="I104" s="198"/>
      <c r="J104" s="127"/>
      <c r="K104" s="106"/>
      <c r="L104" s="107"/>
      <c r="M104" s="67"/>
      <c r="N104" s="197"/>
      <c r="O104" s="198"/>
      <c r="P104" s="127"/>
      <c r="Q104" s="125"/>
      <c r="R104" s="132"/>
      <c r="S104" s="153"/>
      <c r="T104" s="150"/>
      <c r="U104" s="148"/>
      <c r="V104" s="4"/>
      <c r="W104" s="9"/>
      <c r="X104" s="267"/>
    </row>
    <row r="105" spans="1:24" ht="15.75" x14ac:dyDescent="0.25">
      <c r="A105" s="268"/>
      <c r="B105" s="12"/>
      <c r="C105" s="105"/>
      <c r="D105" s="109"/>
      <c r="E105" s="106"/>
      <c r="F105" s="107"/>
      <c r="G105" s="201"/>
      <c r="H105" s="197"/>
      <c r="I105" s="198"/>
      <c r="J105" s="127"/>
      <c r="K105" s="106"/>
      <c r="L105" s="107"/>
      <c r="M105" s="67"/>
      <c r="N105" s="197"/>
      <c r="O105" s="198"/>
      <c r="P105" s="127"/>
      <c r="Q105" s="125"/>
      <c r="R105" s="132"/>
      <c r="S105" s="153"/>
      <c r="T105" s="150"/>
      <c r="U105" s="148"/>
      <c r="V105" s="4"/>
      <c r="W105" s="9"/>
      <c r="X105" s="267"/>
    </row>
    <row r="106" spans="1:24" ht="15.75" x14ac:dyDescent="0.25">
      <c r="A106" s="268"/>
      <c r="B106" s="12"/>
      <c r="C106" s="105"/>
      <c r="D106" s="109"/>
      <c r="E106" s="106"/>
      <c r="F106" s="107"/>
      <c r="G106" s="201"/>
      <c r="H106" s="197"/>
      <c r="I106" s="198"/>
      <c r="J106" s="127"/>
      <c r="K106" s="106"/>
      <c r="L106" s="107"/>
      <c r="M106" s="67"/>
      <c r="N106" s="197"/>
      <c r="O106" s="198"/>
      <c r="P106" s="127"/>
      <c r="Q106" s="125"/>
      <c r="R106" s="132"/>
      <c r="S106" s="153"/>
      <c r="T106" s="150"/>
      <c r="U106" s="148"/>
      <c r="V106" s="4"/>
      <c r="W106" s="9"/>
      <c r="X106" s="267"/>
    </row>
    <row r="107" spans="1:24" ht="15.75" x14ac:dyDescent="0.25">
      <c r="A107" s="268" t="s">
        <v>148</v>
      </c>
      <c r="B107" s="22" t="s">
        <v>149</v>
      </c>
      <c r="C107" s="105"/>
      <c r="D107" s="109"/>
      <c r="E107" s="106"/>
      <c r="F107" s="107"/>
      <c r="G107" s="201"/>
      <c r="H107" s="197"/>
      <c r="I107" s="198"/>
      <c r="J107" s="127"/>
      <c r="K107" s="106"/>
      <c r="L107" s="107"/>
      <c r="M107" s="67"/>
      <c r="N107" s="197"/>
      <c r="O107" s="198"/>
      <c r="P107" s="127"/>
      <c r="Q107" s="125"/>
      <c r="R107" s="132"/>
      <c r="S107" s="153"/>
      <c r="T107" s="150"/>
      <c r="U107" s="148"/>
      <c r="V107" s="4"/>
      <c r="W107" s="9"/>
      <c r="X107" s="267"/>
    </row>
    <row r="108" spans="1:24" ht="31.5" x14ac:dyDescent="0.25">
      <c r="A108" s="268" t="s">
        <v>150</v>
      </c>
      <c r="B108" s="17" t="s">
        <v>151</v>
      </c>
      <c r="C108" s="105" t="s">
        <v>21</v>
      </c>
      <c r="D108" s="109">
        <v>2</v>
      </c>
      <c r="E108" s="106">
        <v>198.83</v>
      </c>
      <c r="F108" s="107">
        <f>D108*E108</f>
        <v>397.66</v>
      </c>
      <c r="G108" s="201">
        <v>2</v>
      </c>
      <c r="H108" s="197">
        <v>198.83</v>
      </c>
      <c r="I108" s="198">
        <f>G108*H108</f>
        <v>397.66</v>
      </c>
      <c r="J108" s="127">
        <v>0</v>
      </c>
      <c r="K108" s="106">
        <v>198.83</v>
      </c>
      <c r="L108" s="107">
        <f>J108*K108</f>
        <v>0</v>
      </c>
      <c r="M108" s="67">
        <v>2</v>
      </c>
      <c r="N108" s="197">
        <v>198.83</v>
      </c>
      <c r="O108" s="198">
        <f>M108*N108</f>
        <v>397.66</v>
      </c>
      <c r="P108" s="127">
        <v>2</v>
      </c>
      <c r="Q108" s="125">
        <v>229.88</v>
      </c>
      <c r="R108" s="132">
        <v>459.76</v>
      </c>
      <c r="S108" s="153">
        <f>J108+P108</f>
        <v>2</v>
      </c>
      <c r="T108" s="150"/>
      <c r="U108" s="148">
        <f>L108+R108</f>
        <v>459.76</v>
      </c>
      <c r="V108" s="4">
        <v>2</v>
      </c>
      <c r="W108" s="9" t="s">
        <v>152</v>
      </c>
      <c r="X108" s="267"/>
    </row>
    <row r="109" spans="1:24" ht="78.75" x14ac:dyDescent="0.25">
      <c r="A109" s="268"/>
      <c r="B109" s="12" t="s">
        <v>153</v>
      </c>
      <c r="C109" s="105"/>
      <c r="D109" s="109"/>
      <c r="E109" s="106"/>
      <c r="F109" s="107"/>
      <c r="G109" s="201"/>
      <c r="H109" s="197"/>
      <c r="I109" s="198"/>
      <c r="J109" s="127"/>
      <c r="K109" s="106"/>
      <c r="L109" s="107"/>
      <c r="M109" s="67"/>
      <c r="N109" s="197"/>
      <c r="O109" s="198"/>
      <c r="P109" s="127"/>
      <c r="Q109" s="125"/>
      <c r="R109" s="132"/>
      <c r="S109" s="153"/>
      <c r="T109" s="150"/>
      <c r="U109" s="148"/>
      <c r="V109" s="4"/>
      <c r="W109" s="9"/>
      <c r="X109" s="267"/>
    </row>
    <row r="110" spans="1:24" ht="15.75" x14ac:dyDescent="0.25">
      <c r="A110" s="268"/>
      <c r="B110" s="12"/>
      <c r="C110" s="105"/>
      <c r="D110" s="109"/>
      <c r="E110" s="106"/>
      <c r="F110" s="107"/>
      <c r="G110" s="201"/>
      <c r="H110" s="197"/>
      <c r="I110" s="198"/>
      <c r="J110" s="127"/>
      <c r="K110" s="106"/>
      <c r="L110" s="107"/>
      <c r="M110" s="67"/>
      <c r="N110" s="197"/>
      <c r="O110" s="198"/>
      <c r="P110" s="127"/>
      <c r="Q110" s="125"/>
      <c r="R110" s="132"/>
      <c r="S110" s="153"/>
      <c r="T110" s="150"/>
      <c r="U110" s="148"/>
      <c r="V110" s="4"/>
      <c r="W110" s="9"/>
      <c r="X110" s="267"/>
    </row>
    <row r="111" spans="1:24" ht="15.75" x14ac:dyDescent="0.25">
      <c r="A111" s="268" t="s">
        <v>154</v>
      </c>
      <c r="B111" s="17" t="s">
        <v>155</v>
      </c>
      <c r="C111" s="105" t="s">
        <v>21</v>
      </c>
      <c r="D111" s="109">
        <v>2</v>
      </c>
      <c r="E111" s="106">
        <v>367.89</v>
      </c>
      <c r="F111" s="107">
        <f>D111*E111</f>
        <v>735.78</v>
      </c>
      <c r="G111" s="201">
        <v>2</v>
      </c>
      <c r="H111" s="197">
        <v>367.89</v>
      </c>
      <c r="I111" s="198">
        <f>G111*H111</f>
        <v>735.78</v>
      </c>
      <c r="J111" s="127">
        <v>0</v>
      </c>
      <c r="K111" s="106">
        <v>367.89</v>
      </c>
      <c r="L111" s="107">
        <f>J111*K111</f>
        <v>0</v>
      </c>
      <c r="M111" s="67">
        <v>2</v>
      </c>
      <c r="N111" s="197">
        <v>367.89</v>
      </c>
      <c r="O111" s="198">
        <f>M111*N111</f>
        <v>735.78</v>
      </c>
      <c r="P111" s="127">
        <v>2</v>
      </c>
      <c r="Q111" s="125">
        <v>499.76</v>
      </c>
      <c r="R111" s="132">
        <v>999.52</v>
      </c>
      <c r="S111" s="153">
        <f>J111+P111</f>
        <v>2</v>
      </c>
      <c r="T111" s="150"/>
      <c r="U111" s="148">
        <f>L111+R111</f>
        <v>999.52</v>
      </c>
      <c r="V111" s="4">
        <v>2</v>
      </c>
      <c r="W111" s="9" t="s">
        <v>156</v>
      </c>
      <c r="X111" s="267"/>
    </row>
    <row r="112" spans="1:24" ht="110.25" x14ac:dyDescent="0.25">
      <c r="A112" s="268"/>
      <c r="B112" s="12" t="s">
        <v>157</v>
      </c>
      <c r="C112" s="105"/>
      <c r="D112" s="109"/>
      <c r="E112" s="106"/>
      <c r="F112" s="107"/>
      <c r="G112" s="201"/>
      <c r="H112" s="197"/>
      <c r="I112" s="198"/>
      <c r="J112" s="127"/>
      <c r="K112" s="106"/>
      <c r="L112" s="107"/>
      <c r="M112" s="67"/>
      <c r="N112" s="197"/>
      <c r="O112" s="198"/>
      <c r="P112" s="127"/>
      <c r="Q112" s="125"/>
      <c r="R112" s="132"/>
      <c r="S112" s="153"/>
      <c r="T112" s="150"/>
      <c r="U112" s="148"/>
      <c r="V112" s="4"/>
      <c r="W112" s="9"/>
      <c r="X112" s="267"/>
    </row>
    <row r="113" spans="1:24" ht="15.75" x14ac:dyDescent="0.25">
      <c r="A113" s="268"/>
      <c r="B113" s="12"/>
      <c r="C113" s="105"/>
      <c r="D113" s="109"/>
      <c r="E113" s="106"/>
      <c r="F113" s="107"/>
      <c r="G113" s="201"/>
      <c r="H113" s="197"/>
      <c r="I113" s="198"/>
      <c r="J113" s="127"/>
      <c r="K113" s="106"/>
      <c r="L113" s="107"/>
      <c r="M113" s="67"/>
      <c r="N113" s="197"/>
      <c r="O113" s="198"/>
      <c r="P113" s="127"/>
      <c r="Q113" s="125"/>
      <c r="R113" s="132"/>
      <c r="S113" s="153"/>
      <c r="T113" s="150"/>
      <c r="U113" s="148"/>
      <c r="V113" s="4"/>
      <c r="W113" s="9"/>
      <c r="X113" s="267"/>
    </row>
    <row r="114" spans="1:24" ht="15.75" x14ac:dyDescent="0.25">
      <c r="A114" s="268"/>
      <c r="B114" s="12"/>
      <c r="C114" s="105"/>
      <c r="D114" s="109"/>
      <c r="E114" s="106"/>
      <c r="F114" s="107"/>
      <c r="G114" s="201"/>
      <c r="H114" s="197"/>
      <c r="I114" s="198"/>
      <c r="J114" s="127"/>
      <c r="K114" s="106"/>
      <c r="L114" s="107"/>
      <c r="M114" s="67"/>
      <c r="N114" s="197"/>
      <c r="O114" s="198"/>
      <c r="P114" s="127"/>
      <c r="Q114" s="125"/>
      <c r="R114" s="132"/>
      <c r="S114" s="153"/>
      <c r="T114" s="150"/>
      <c r="U114" s="148"/>
      <c r="V114" s="4"/>
      <c r="W114" s="9"/>
      <c r="X114" s="267"/>
    </row>
    <row r="115" spans="1:24" ht="15.75" x14ac:dyDescent="0.25">
      <c r="A115" s="268"/>
      <c r="B115" s="12"/>
      <c r="C115" s="105"/>
      <c r="D115" s="109"/>
      <c r="E115" s="106"/>
      <c r="F115" s="107"/>
      <c r="G115" s="201"/>
      <c r="H115" s="197"/>
      <c r="I115" s="198"/>
      <c r="J115" s="127"/>
      <c r="K115" s="106"/>
      <c r="L115" s="107"/>
      <c r="M115" s="67"/>
      <c r="N115" s="197"/>
      <c r="O115" s="198"/>
      <c r="P115" s="127"/>
      <c r="Q115" s="125"/>
      <c r="R115" s="132"/>
      <c r="S115" s="153"/>
      <c r="T115" s="150"/>
      <c r="U115" s="148"/>
      <c r="V115" s="4"/>
      <c r="W115" s="9"/>
      <c r="X115" s="267"/>
    </row>
    <row r="116" spans="1:24" ht="15.75" x14ac:dyDescent="0.25">
      <c r="A116" s="268" t="s">
        <v>158</v>
      </c>
      <c r="B116" s="17" t="s">
        <v>159</v>
      </c>
      <c r="C116" s="105" t="s">
        <v>21</v>
      </c>
      <c r="D116" s="109">
        <v>2</v>
      </c>
      <c r="E116" s="106">
        <v>246.27</v>
      </c>
      <c r="F116" s="107">
        <f>D116*E116</f>
        <v>492.54</v>
      </c>
      <c r="G116" s="201">
        <v>2</v>
      </c>
      <c r="H116" s="197">
        <v>246.27</v>
      </c>
      <c r="I116" s="198">
        <f>G116*H116</f>
        <v>492.54</v>
      </c>
      <c r="J116" s="127">
        <v>0</v>
      </c>
      <c r="K116" s="106">
        <v>246.27</v>
      </c>
      <c r="L116" s="107">
        <f>J116*K116</f>
        <v>0</v>
      </c>
      <c r="M116" s="67">
        <v>2</v>
      </c>
      <c r="N116" s="197">
        <v>246.27</v>
      </c>
      <c r="O116" s="198">
        <f>M116*N116</f>
        <v>492.54</v>
      </c>
      <c r="P116" s="127">
        <v>2</v>
      </c>
      <c r="Q116" s="125">
        <v>295.33</v>
      </c>
      <c r="R116" s="132">
        <v>590.66</v>
      </c>
      <c r="S116" s="153">
        <f>J116+P116</f>
        <v>2</v>
      </c>
      <c r="T116" s="150"/>
      <c r="U116" s="148">
        <f>L116+R116</f>
        <v>590.66</v>
      </c>
      <c r="V116" s="4">
        <v>2</v>
      </c>
      <c r="W116" s="9" t="s">
        <v>152</v>
      </c>
      <c r="X116" s="267"/>
    </row>
    <row r="117" spans="1:24" ht="110.25" x14ac:dyDescent="0.25">
      <c r="A117" s="268"/>
      <c r="B117" s="12" t="s">
        <v>160</v>
      </c>
      <c r="C117" s="105"/>
      <c r="D117" s="109"/>
      <c r="E117" s="106"/>
      <c r="F117" s="107"/>
      <c r="G117" s="201"/>
      <c r="H117" s="197"/>
      <c r="I117" s="198"/>
      <c r="J117" s="127"/>
      <c r="K117" s="106"/>
      <c r="L117" s="107"/>
      <c r="M117" s="67"/>
      <c r="N117" s="197"/>
      <c r="O117" s="198"/>
      <c r="P117" s="127"/>
      <c r="Q117" s="125"/>
      <c r="R117" s="132"/>
      <c r="S117" s="153"/>
      <c r="T117" s="150"/>
      <c r="U117" s="148"/>
      <c r="V117" s="4"/>
      <c r="W117" s="9"/>
      <c r="X117" s="267"/>
    </row>
    <row r="118" spans="1:24" ht="15.75" x14ac:dyDescent="0.25">
      <c r="A118" s="268"/>
      <c r="B118" s="12"/>
      <c r="C118" s="105"/>
      <c r="D118" s="109"/>
      <c r="E118" s="106"/>
      <c r="F118" s="107"/>
      <c r="G118" s="201"/>
      <c r="H118" s="197"/>
      <c r="I118" s="198"/>
      <c r="J118" s="127"/>
      <c r="K118" s="106"/>
      <c r="L118" s="107"/>
      <c r="M118" s="67"/>
      <c r="N118" s="197"/>
      <c r="O118" s="198"/>
      <c r="P118" s="127"/>
      <c r="Q118" s="125"/>
      <c r="R118" s="132"/>
      <c r="S118" s="153"/>
      <c r="T118" s="150"/>
      <c r="U118" s="148"/>
      <c r="V118" s="4"/>
      <c r="W118" s="9"/>
      <c r="X118" s="267"/>
    </row>
    <row r="119" spans="1:24" ht="15.75" x14ac:dyDescent="0.25">
      <c r="A119" s="268"/>
      <c r="B119" s="12"/>
      <c r="C119" s="105"/>
      <c r="D119" s="109"/>
      <c r="E119" s="106"/>
      <c r="F119" s="107"/>
      <c r="G119" s="201"/>
      <c r="H119" s="197"/>
      <c r="I119" s="198"/>
      <c r="J119" s="127"/>
      <c r="K119" s="106"/>
      <c r="L119" s="107"/>
      <c r="M119" s="67"/>
      <c r="N119" s="197"/>
      <c r="O119" s="198"/>
      <c r="P119" s="127"/>
      <c r="Q119" s="125"/>
      <c r="R119" s="132"/>
      <c r="S119" s="153"/>
      <c r="T119" s="150"/>
      <c r="U119" s="148"/>
      <c r="V119" s="4"/>
      <c r="W119" s="9"/>
      <c r="X119" s="267"/>
    </row>
    <row r="120" spans="1:24" ht="15.75" x14ac:dyDescent="0.25">
      <c r="A120" s="268" t="s">
        <v>161</v>
      </c>
      <c r="B120" s="22" t="s">
        <v>162</v>
      </c>
      <c r="C120" s="105"/>
      <c r="D120" s="109"/>
      <c r="E120" s="106"/>
      <c r="F120" s="107"/>
      <c r="G120" s="201"/>
      <c r="H120" s="197"/>
      <c r="I120" s="198"/>
      <c r="J120" s="127"/>
      <c r="K120" s="106"/>
      <c r="L120" s="107"/>
      <c r="M120" s="67"/>
      <c r="N120" s="197"/>
      <c r="O120" s="198"/>
      <c r="P120" s="127"/>
      <c r="Q120" s="125"/>
      <c r="R120" s="132"/>
      <c r="S120" s="153"/>
      <c r="T120" s="150"/>
      <c r="U120" s="148"/>
      <c r="V120" s="4"/>
      <c r="W120" s="9"/>
      <c r="X120" s="267"/>
    </row>
    <row r="121" spans="1:24" ht="63" x14ac:dyDescent="0.25">
      <c r="A121" s="268"/>
      <c r="B121" s="12" t="s">
        <v>163</v>
      </c>
      <c r="C121" s="105"/>
      <c r="D121" s="109"/>
      <c r="E121" s="106"/>
      <c r="F121" s="107"/>
      <c r="G121" s="201"/>
      <c r="H121" s="197"/>
      <c r="I121" s="198"/>
      <c r="J121" s="127"/>
      <c r="K121" s="106"/>
      <c r="L121" s="107"/>
      <c r="M121" s="67"/>
      <c r="N121" s="197"/>
      <c r="O121" s="198"/>
      <c r="P121" s="127"/>
      <c r="Q121" s="125"/>
      <c r="R121" s="132"/>
      <c r="S121" s="153"/>
      <c r="T121" s="150"/>
      <c r="U121" s="148"/>
      <c r="V121" s="4"/>
      <c r="W121" s="9"/>
      <c r="X121" s="267"/>
    </row>
    <row r="122" spans="1:24" ht="15.75" x14ac:dyDescent="0.25">
      <c r="A122" s="268"/>
      <c r="B122" s="22"/>
      <c r="C122" s="105"/>
      <c r="D122" s="109"/>
      <c r="E122" s="106"/>
      <c r="F122" s="107"/>
      <c r="G122" s="201"/>
      <c r="H122" s="197"/>
      <c r="I122" s="198"/>
      <c r="J122" s="127"/>
      <c r="K122" s="106"/>
      <c r="L122" s="107"/>
      <c r="M122" s="67"/>
      <c r="N122" s="197"/>
      <c r="O122" s="198"/>
      <c r="P122" s="127"/>
      <c r="Q122" s="125"/>
      <c r="R122" s="132"/>
      <c r="S122" s="153"/>
      <c r="T122" s="150"/>
      <c r="U122" s="148"/>
      <c r="V122" s="4"/>
      <c r="W122" s="9"/>
      <c r="X122" s="267"/>
    </row>
    <row r="123" spans="1:24" ht="15.75" x14ac:dyDescent="0.25">
      <c r="A123" s="268"/>
      <c r="B123" s="12"/>
      <c r="C123" s="105"/>
      <c r="D123" s="109"/>
      <c r="E123" s="106"/>
      <c r="F123" s="107"/>
      <c r="G123" s="201"/>
      <c r="H123" s="197"/>
      <c r="I123" s="198"/>
      <c r="J123" s="127"/>
      <c r="K123" s="106"/>
      <c r="L123" s="107"/>
      <c r="M123" s="67"/>
      <c r="N123" s="197"/>
      <c r="O123" s="198"/>
      <c r="P123" s="127"/>
      <c r="Q123" s="125"/>
      <c r="R123" s="132"/>
      <c r="S123" s="153"/>
      <c r="T123" s="150"/>
      <c r="U123" s="148"/>
      <c r="V123" s="4"/>
      <c r="W123" s="9"/>
      <c r="X123" s="267"/>
    </row>
    <row r="124" spans="1:24" ht="15.75" x14ac:dyDescent="0.25">
      <c r="A124" s="268"/>
      <c r="B124" s="12"/>
      <c r="C124" s="105"/>
      <c r="D124" s="109"/>
      <c r="E124" s="106"/>
      <c r="F124" s="107"/>
      <c r="G124" s="201"/>
      <c r="H124" s="197"/>
      <c r="I124" s="198"/>
      <c r="J124" s="127"/>
      <c r="K124" s="106"/>
      <c r="L124" s="107"/>
      <c r="M124" s="67"/>
      <c r="N124" s="197"/>
      <c r="O124" s="198"/>
      <c r="P124" s="127"/>
      <c r="Q124" s="125"/>
      <c r="R124" s="132"/>
      <c r="S124" s="153"/>
      <c r="T124" s="150"/>
      <c r="U124" s="148"/>
      <c r="V124" s="4"/>
      <c r="W124" s="9"/>
      <c r="X124" s="267"/>
    </row>
    <row r="125" spans="1:24" ht="15.75" x14ac:dyDescent="0.25">
      <c r="A125" s="268"/>
      <c r="B125" s="12"/>
      <c r="C125" s="105"/>
      <c r="D125" s="109"/>
      <c r="E125" s="106"/>
      <c r="F125" s="107"/>
      <c r="G125" s="201"/>
      <c r="H125" s="197"/>
      <c r="I125" s="198"/>
      <c r="J125" s="127"/>
      <c r="K125" s="106"/>
      <c r="L125" s="107"/>
      <c r="M125" s="67"/>
      <c r="N125" s="197"/>
      <c r="O125" s="198"/>
      <c r="P125" s="127"/>
      <c r="Q125" s="125"/>
      <c r="R125" s="132"/>
      <c r="S125" s="153"/>
      <c r="T125" s="150"/>
      <c r="U125" s="148"/>
      <c r="V125" s="4"/>
      <c r="W125" s="9"/>
      <c r="X125" s="267"/>
    </row>
    <row r="126" spans="1:24" ht="15.75" x14ac:dyDescent="0.25">
      <c r="A126" s="268" t="s">
        <v>164</v>
      </c>
      <c r="B126" s="17" t="s">
        <v>165</v>
      </c>
      <c r="C126" s="105" t="s">
        <v>21</v>
      </c>
      <c r="D126" s="109">
        <v>1</v>
      </c>
      <c r="E126" s="106">
        <v>56.76</v>
      </c>
      <c r="F126" s="107">
        <f>D126*E126</f>
        <v>56.76</v>
      </c>
      <c r="G126" s="201">
        <v>1</v>
      </c>
      <c r="H126" s="197">
        <v>56.76</v>
      </c>
      <c r="I126" s="198">
        <f>G126*H126</f>
        <v>56.76</v>
      </c>
      <c r="J126" s="127">
        <v>0</v>
      </c>
      <c r="K126" s="106">
        <v>56.76</v>
      </c>
      <c r="L126" s="107">
        <f>J126*K126</f>
        <v>0</v>
      </c>
      <c r="M126" s="67">
        <v>1</v>
      </c>
      <c r="N126" s="197">
        <v>56.76</v>
      </c>
      <c r="O126" s="198">
        <f>M126*N126</f>
        <v>56.76</v>
      </c>
      <c r="P126" s="127">
        <v>1</v>
      </c>
      <c r="Q126" s="125">
        <v>89.03</v>
      </c>
      <c r="R126" s="132">
        <v>89.03</v>
      </c>
      <c r="S126" s="153">
        <f>J126+P126</f>
        <v>1</v>
      </c>
      <c r="T126" s="150"/>
      <c r="U126" s="148">
        <f>L126+R126</f>
        <v>89.03</v>
      </c>
      <c r="V126" s="4">
        <v>1</v>
      </c>
      <c r="W126" s="9" t="s">
        <v>166</v>
      </c>
      <c r="X126" s="267"/>
    </row>
    <row r="127" spans="1:24" ht="15.75" x14ac:dyDescent="0.25">
      <c r="A127" s="268"/>
      <c r="B127" s="12"/>
      <c r="C127" s="105"/>
      <c r="D127" s="109"/>
      <c r="E127" s="106"/>
      <c r="F127" s="107"/>
      <c r="G127" s="201"/>
      <c r="H127" s="197"/>
      <c r="I127" s="198"/>
      <c r="J127" s="127"/>
      <c r="K127" s="106"/>
      <c r="L127" s="107"/>
      <c r="M127" s="67"/>
      <c r="N127" s="197"/>
      <c r="O127" s="198"/>
      <c r="P127" s="127"/>
      <c r="Q127" s="125"/>
      <c r="R127" s="132"/>
      <c r="S127" s="153"/>
      <c r="T127" s="150"/>
      <c r="U127" s="148"/>
      <c r="V127" s="4"/>
      <c r="W127" s="9"/>
      <c r="X127" s="267"/>
    </row>
    <row r="128" spans="1:24" ht="15.75" x14ac:dyDescent="0.25">
      <c r="A128" s="268"/>
      <c r="B128" s="12"/>
      <c r="C128" s="105"/>
      <c r="D128" s="109"/>
      <c r="E128" s="106"/>
      <c r="F128" s="107"/>
      <c r="G128" s="201"/>
      <c r="H128" s="197"/>
      <c r="I128" s="198"/>
      <c r="J128" s="127"/>
      <c r="K128" s="106"/>
      <c r="L128" s="107"/>
      <c r="M128" s="67"/>
      <c r="N128" s="197"/>
      <c r="O128" s="198"/>
      <c r="P128" s="127"/>
      <c r="Q128" s="125"/>
      <c r="R128" s="132"/>
      <c r="S128" s="153"/>
      <c r="T128" s="150"/>
      <c r="U128" s="148"/>
      <c r="V128" s="4"/>
      <c r="W128" s="9"/>
      <c r="X128" s="267"/>
    </row>
    <row r="129" spans="1:24" ht="15.75" x14ac:dyDescent="0.25">
      <c r="A129" s="268" t="s">
        <v>167</v>
      </c>
      <c r="B129" s="17" t="s">
        <v>168</v>
      </c>
      <c r="C129" s="105" t="s">
        <v>21</v>
      </c>
      <c r="D129" s="109">
        <v>2</v>
      </c>
      <c r="E129" s="106">
        <v>116.16</v>
      </c>
      <c r="F129" s="107">
        <f>D129*E129</f>
        <v>232.32</v>
      </c>
      <c r="G129" s="201">
        <v>2</v>
      </c>
      <c r="H129" s="197">
        <v>116.16</v>
      </c>
      <c r="I129" s="198">
        <f>G129*H129</f>
        <v>232.32</v>
      </c>
      <c r="J129" s="127">
        <v>0</v>
      </c>
      <c r="K129" s="106">
        <v>116.16</v>
      </c>
      <c r="L129" s="107">
        <f>J129*K129</f>
        <v>0</v>
      </c>
      <c r="M129" s="67">
        <v>2</v>
      </c>
      <c r="N129" s="197">
        <v>116.16</v>
      </c>
      <c r="O129" s="198">
        <f>M129*N129</f>
        <v>232.32</v>
      </c>
      <c r="P129" s="127">
        <v>2</v>
      </c>
      <c r="Q129" s="125">
        <v>161.57</v>
      </c>
      <c r="R129" s="132">
        <v>323.14</v>
      </c>
      <c r="S129" s="153">
        <f>J129+P129</f>
        <v>2</v>
      </c>
      <c r="T129" s="150"/>
      <c r="U129" s="148">
        <f>L129+R129</f>
        <v>323.14</v>
      </c>
      <c r="V129" s="4">
        <v>2</v>
      </c>
      <c r="W129" s="9" t="s">
        <v>169</v>
      </c>
      <c r="X129" s="267"/>
    </row>
    <row r="130" spans="1:24" ht="15.75" x14ac:dyDescent="0.25">
      <c r="A130" s="268"/>
      <c r="B130" s="12"/>
      <c r="C130" s="105"/>
      <c r="D130" s="109"/>
      <c r="E130" s="106"/>
      <c r="F130" s="107"/>
      <c r="G130" s="201"/>
      <c r="H130" s="197"/>
      <c r="I130" s="198"/>
      <c r="J130" s="127"/>
      <c r="K130" s="106"/>
      <c r="L130" s="107"/>
      <c r="M130" s="67"/>
      <c r="N130" s="197"/>
      <c r="O130" s="198"/>
      <c r="P130" s="127"/>
      <c r="Q130" s="125"/>
      <c r="R130" s="132"/>
      <c r="S130" s="153"/>
      <c r="T130" s="150"/>
      <c r="U130" s="148"/>
      <c r="V130" s="4"/>
      <c r="W130" s="9"/>
      <c r="X130" s="267"/>
    </row>
    <row r="131" spans="1:24" ht="15.75" x14ac:dyDescent="0.25">
      <c r="A131" s="268" t="s">
        <v>170</v>
      </c>
      <c r="B131" s="22" t="s">
        <v>171</v>
      </c>
      <c r="C131" s="105"/>
      <c r="D131" s="109"/>
      <c r="E131" s="106"/>
      <c r="F131" s="107"/>
      <c r="G131" s="201"/>
      <c r="H131" s="197"/>
      <c r="I131" s="198"/>
      <c r="J131" s="127"/>
      <c r="K131" s="106"/>
      <c r="L131" s="107"/>
      <c r="M131" s="67"/>
      <c r="N131" s="197"/>
      <c r="O131" s="198"/>
      <c r="P131" s="127"/>
      <c r="Q131" s="125"/>
      <c r="R131" s="132"/>
      <c r="S131" s="153"/>
      <c r="T131" s="150"/>
      <c r="U131" s="148"/>
      <c r="V131" s="4"/>
      <c r="W131" s="9"/>
      <c r="X131" s="267"/>
    </row>
    <row r="132" spans="1:24" ht="15.75" x14ac:dyDescent="0.25">
      <c r="A132" s="268"/>
      <c r="B132" s="17"/>
      <c r="C132" s="105"/>
      <c r="D132" s="109"/>
      <c r="E132" s="106"/>
      <c r="F132" s="107"/>
      <c r="G132" s="201"/>
      <c r="H132" s="197"/>
      <c r="I132" s="198"/>
      <c r="J132" s="127"/>
      <c r="K132" s="106"/>
      <c r="L132" s="107"/>
      <c r="M132" s="67"/>
      <c r="N132" s="197"/>
      <c r="O132" s="198"/>
      <c r="P132" s="127"/>
      <c r="Q132" s="125"/>
      <c r="R132" s="132"/>
      <c r="S132" s="153"/>
      <c r="T132" s="150"/>
      <c r="U132" s="148"/>
      <c r="V132" s="4"/>
      <c r="W132" s="9"/>
      <c r="X132" s="267"/>
    </row>
    <row r="133" spans="1:24" ht="15.75" x14ac:dyDescent="0.25">
      <c r="A133" s="268" t="s">
        <v>172</v>
      </c>
      <c r="B133" s="22" t="s">
        <v>173</v>
      </c>
      <c r="C133" s="105"/>
      <c r="D133" s="109"/>
      <c r="E133" s="106"/>
      <c r="F133" s="107"/>
      <c r="G133" s="201"/>
      <c r="H133" s="197"/>
      <c r="I133" s="198"/>
      <c r="J133" s="127"/>
      <c r="K133" s="106"/>
      <c r="L133" s="107"/>
      <c r="M133" s="67"/>
      <c r="N133" s="197"/>
      <c r="O133" s="198"/>
      <c r="P133" s="127"/>
      <c r="Q133" s="125"/>
      <c r="R133" s="132"/>
      <c r="S133" s="153"/>
      <c r="T133" s="150"/>
      <c r="U133" s="148"/>
      <c r="V133" s="4"/>
      <c r="W133" s="9"/>
      <c r="X133" s="267"/>
    </row>
    <row r="134" spans="1:24" ht="31.5" x14ac:dyDescent="0.25">
      <c r="A134" s="268" t="s">
        <v>174</v>
      </c>
      <c r="B134" s="17" t="s">
        <v>175</v>
      </c>
      <c r="C134" s="105" t="s">
        <v>21</v>
      </c>
      <c r="D134" s="109">
        <v>1</v>
      </c>
      <c r="E134" s="106">
        <v>1264.07</v>
      </c>
      <c r="F134" s="107">
        <f>D134*E134</f>
        <v>1264.07</v>
      </c>
      <c r="G134" s="201">
        <v>1</v>
      </c>
      <c r="H134" s="197">
        <v>1264.07</v>
      </c>
      <c r="I134" s="198">
        <f>G134*H134</f>
        <v>1264.07</v>
      </c>
      <c r="J134" s="127">
        <v>0</v>
      </c>
      <c r="K134" s="106">
        <v>1264.07</v>
      </c>
      <c r="L134" s="107">
        <f>J134*K134</f>
        <v>0</v>
      </c>
      <c r="M134" s="67">
        <v>1</v>
      </c>
      <c r="N134" s="197">
        <v>1264.07</v>
      </c>
      <c r="O134" s="198">
        <f>M134*N134</f>
        <v>1264.07</v>
      </c>
      <c r="P134" s="127">
        <v>1</v>
      </c>
      <c r="Q134" s="125">
        <v>1517.51</v>
      </c>
      <c r="R134" s="132">
        <v>1517.51</v>
      </c>
      <c r="S134" s="153">
        <f>J134+P134</f>
        <v>1</v>
      </c>
      <c r="T134" s="150"/>
      <c r="U134" s="148">
        <f>L134+R134</f>
        <v>1517.51</v>
      </c>
      <c r="V134" s="4">
        <v>1</v>
      </c>
      <c r="W134" s="9" t="s">
        <v>176</v>
      </c>
      <c r="X134" s="267"/>
    </row>
    <row r="135" spans="1:24" ht="141.75" x14ac:dyDescent="0.25">
      <c r="A135" s="268"/>
      <c r="B135" s="12" t="s">
        <v>177</v>
      </c>
      <c r="C135" s="105"/>
      <c r="D135" s="109"/>
      <c r="E135" s="106"/>
      <c r="F135" s="107"/>
      <c r="G135" s="201"/>
      <c r="H135" s="197"/>
      <c r="I135" s="198"/>
      <c r="J135" s="127"/>
      <c r="K135" s="106"/>
      <c r="L135" s="107"/>
      <c r="M135" s="67"/>
      <c r="N135" s="197"/>
      <c r="O135" s="198"/>
      <c r="P135" s="127"/>
      <c r="Q135" s="125"/>
      <c r="R135" s="132"/>
      <c r="S135" s="153"/>
      <c r="T135" s="150"/>
      <c r="U135" s="148"/>
      <c r="V135" s="4"/>
      <c r="W135" s="9"/>
      <c r="X135" s="267"/>
    </row>
    <row r="136" spans="1:24" ht="15.75" x14ac:dyDescent="0.25">
      <c r="A136" s="268"/>
      <c r="B136" s="12"/>
      <c r="C136" s="105"/>
      <c r="D136" s="109"/>
      <c r="E136" s="106"/>
      <c r="F136" s="107"/>
      <c r="G136" s="201"/>
      <c r="H136" s="197"/>
      <c r="I136" s="198"/>
      <c r="J136" s="127"/>
      <c r="K136" s="106"/>
      <c r="L136" s="107"/>
      <c r="M136" s="67"/>
      <c r="N136" s="197"/>
      <c r="O136" s="198"/>
      <c r="P136" s="127"/>
      <c r="Q136" s="125"/>
      <c r="R136" s="132"/>
      <c r="S136" s="153"/>
      <c r="T136" s="150"/>
      <c r="U136" s="148"/>
      <c r="V136" s="4"/>
      <c r="W136" s="9"/>
      <c r="X136" s="267"/>
    </row>
    <row r="137" spans="1:24" ht="31.5" x14ac:dyDescent="0.25">
      <c r="A137" s="268" t="s">
        <v>178</v>
      </c>
      <c r="B137" s="22" t="s">
        <v>179</v>
      </c>
      <c r="C137" s="105"/>
      <c r="D137" s="109"/>
      <c r="E137" s="106"/>
      <c r="F137" s="107"/>
      <c r="G137" s="201"/>
      <c r="H137" s="197"/>
      <c r="I137" s="198"/>
      <c r="J137" s="127"/>
      <c r="K137" s="106"/>
      <c r="L137" s="107"/>
      <c r="M137" s="67"/>
      <c r="N137" s="197"/>
      <c r="O137" s="198"/>
      <c r="P137" s="127"/>
      <c r="Q137" s="125"/>
      <c r="R137" s="132"/>
      <c r="S137" s="153"/>
      <c r="T137" s="150"/>
      <c r="U137" s="148"/>
      <c r="V137" s="4"/>
      <c r="W137" s="9"/>
      <c r="X137" s="267"/>
    </row>
    <row r="138" spans="1:24" ht="110.25" x14ac:dyDescent="0.25">
      <c r="A138" s="268"/>
      <c r="B138" s="12" t="s">
        <v>180</v>
      </c>
      <c r="C138" s="105"/>
      <c r="D138" s="109"/>
      <c r="E138" s="106"/>
      <c r="F138" s="107"/>
      <c r="G138" s="201"/>
      <c r="H138" s="197"/>
      <c r="I138" s="198"/>
      <c r="J138" s="127"/>
      <c r="K138" s="106"/>
      <c r="L138" s="107"/>
      <c r="M138" s="67"/>
      <c r="N138" s="197"/>
      <c r="O138" s="198"/>
      <c r="P138" s="127"/>
      <c r="Q138" s="125"/>
      <c r="R138" s="132"/>
      <c r="S138" s="153"/>
      <c r="T138" s="150"/>
      <c r="U138" s="148"/>
      <c r="V138" s="4"/>
      <c r="W138" s="9"/>
      <c r="X138" s="267"/>
    </row>
    <row r="139" spans="1:24" ht="15.75" x14ac:dyDescent="0.25">
      <c r="A139" s="268"/>
      <c r="B139" s="22"/>
      <c r="C139" s="105"/>
      <c r="D139" s="109"/>
      <c r="E139" s="106"/>
      <c r="F139" s="107"/>
      <c r="G139" s="201"/>
      <c r="H139" s="197"/>
      <c r="I139" s="198"/>
      <c r="J139" s="127"/>
      <c r="K139" s="106"/>
      <c r="L139" s="107"/>
      <c r="M139" s="67"/>
      <c r="N139" s="197"/>
      <c r="O139" s="198"/>
      <c r="P139" s="127"/>
      <c r="Q139" s="125"/>
      <c r="R139" s="132"/>
      <c r="S139" s="153"/>
      <c r="T139" s="150"/>
      <c r="U139" s="148"/>
      <c r="V139" s="4"/>
      <c r="W139" s="9"/>
      <c r="X139" s="267"/>
    </row>
    <row r="140" spans="1:24" ht="15.75" x14ac:dyDescent="0.25">
      <c r="A140" s="268"/>
      <c r="B140" s="12"/>
      <c r="C140" s="105"/>
      <c r="D140" s="109"/>
      <c r="E140" s="106"/>
      <c r="F140" s="107"/>
      <c r="G140" s="201"/>
      <c r="H140" s="197"/>
      <c r="I140" s="198"/>
      <c r="J140" s="127"/>
      <c r="K140" s="106"/>
      <c r="L140" s="107"/>
      <c r="M140" s="67"/>
      <c r="N140" s="197"/>
      <c r="O140" s="198"/>
      <c r="P140" s="127"/>
      <c r="Q140" s="125"/>
      <c r="R140" s="132"/>
      <c r="S140" s="153"/>
      <c r="T140" s="150"/>
      <c r="U140" s="148"/>
      <c r="V140" s="9"/>
      <c r="W140" s="9"/>
      <c r="X140" s="267"/>
    </row>
    <row r="141" spans="1:24" ht="15.75" x14ac:dyDescent="0.25">
      <c r="A141" s="268"/>
      <c r="B141" s="12"/>
      <c r="C141" s="105"/>
      <c r="D141" s="109"/>
      <c r="E141" s="106"/>
      <c r="F141" s="107"/>
      <c r="G141" s="201"/>
      <c r="H141" s="197"/>
      <c r="I141" s="198"/>
      <c r="J141" s="127"/>
      <c r="K141" s="106"/>
      <c r="L141" s="107"/>
      <c r="M141" s="67"/>
      <c r="N141" s="197"/>
      <c r="O141" s="198"/>
      <c r="P141" s="127"/>
      <c r="Q141" s="125"/>
      <c r="R141" s="132"/>
      <c r="S141" s="153"/>
      <c r="T141" s="150"/>
      <c r="U141" s="148"/>
      <c r="V141" s="9"/>
      <c r="W141" s="9"/>
      <c r="X141" s="267"/>
    </row>
    <row r="142" spans="1:24" ht="47.25" x14ac:dyDescent="0.25">
      <c r="A142" s="268" t="s">
        <v>181</v>
      </c>
      <c r="B142" s="17" t="s">
        <v>182</v>
      </c>
      <c r="C142" s="105" t="s">
        <v>95</v>
      </c>
      <c r="D142" s="109">
        <v>65</v>
      </c>
      <c r="E142" s="106">
        <v>24.71</v>
      </c>
      <c r="F142" s="107">
        <f>D142*E142</f>
        <v>1606.15</v>
      </c>
      <c r="G142" s="201">
        <v>65</v>
      </c>
      <c r="H142" s="197">
        <v>24.71</v>
      </c>
      <c r="I142" s="198">
        <f>G142*H142</f>
        <v>1606.15</v>
      </c>
      <c r="J142" s="127">
        <v>0</v>
      </c>
      <c r="K142" s="106">
        <v>24.71</v>
      </c>
      <c r="L142" s="107">
        <f>J142*K142</f>
        <v>0</v>
      </c>
      <c r="M142" s="67">
        <v>65</v>
      </c>
      <c r="N142" s="197">
        <v>24.71</v>
      </c>
      <c r="O142" s="198">
        <f>M142*N142</f>
        <v>1606.15</v>
      </c>
      <c r="P142" s="127">
        <v>65</v>
      </c>
      <c r="Q142" s="125">
        <v>30.53</v>
      </c>
      <c r="R142" s="132">
        <v>1984.45</v>
      </c>
      <c r="S142" s="153">
        <f>J142+P142</f>
        <v>65</v>
      </c>
      <c r="T142" s="150"/>
      <c r="U142" s="148">
        <f>L142+R142</f>
        <v>1984.45</v>
      </c>
      <c r="V142" s="166">
        <v>65</v>
      </c>
      <c r="W142" s="9" t="s">
        <v>183</v>
      </c>
      <c r="X142" s="267"/>
    </row>
    <row r="143" spans="1:24" ht="15.75" x14ac:dyDescent="0.25">
      <c r="A143" s="268"/>
      <c r="B143" s="12"/>
      <c r="C143" s="105"/>
      <c r="D143" s="109"/>
      <c r="E143" s="106"/>
      <c r="F143" s="107"/>
      <c r="G143" s="201"/>
      <c r="H143" s="197"/>
      <c r="I143" s="198"/>
      <c r="J143" s="127"/>
      <c r="K143" s="106"/>
      <c r="L143" s="107"/>
      <c r="M143" s="67"/>
      <c r="N143" s="197"/>
      <c r="O143" s="198"/>
      <c r="P143" s="127"/>
      <c r="Q143" s="125"/>
      <c r="R143" s="132"/>
      <c r="S143" s="153"/>
      <c r="T143" s="150"/>
      <c r="U143" s="148"/>
      <c r="V143" s="9"/>
      <c r="W143" s="9"/>
      <c r="X143" s="267"/>
    </row>
    <row r="144" spans="1:24" ht="15.75" x14ac:dyDescent="0.25">
      <c r="A144" s="268"/>
      <c r="B144" s="12"/>
      <c r="C144" s="105"/>
      <c r="D144" s="109"/>
      <c r="E144" s="106"/>
      <c r="F144" s="107"/>
      <c r="G144" s="201"/>
      <c r="H144" s="197"/>
      <c r="I144" s="198"/>
      <c r="J144" s="127"/>
      <c r="K144" s="106"/>
      <c r="L144" s="107"/>
      <c r="M144" s="67"/>
      <c r="N144" s="197"/>
      <c r="O144" s="198"/>
      <c r="P144" s="127"/>
      <c r="Q144" s="125"/>
      <c r="R144" s="132"/>
      <c r="S144" s="153"/>
      <c r="T144" s="150"/>
      <c r="U144" s="148"/>
      <c r="V144" s="9"/>
      <c r="W144" s="9"/>
      <c r="X144" s="267"/>
    </row>
    <row r="145" spans="1:24" ht="47.25" x14ac:dyDescent="0.25">
      <c r="A145" s="268" t="s">
        <v>184</v>
      </c>
      <c r="B145" s="17" t="s">
        <v>185</v>
      </c>
      <c r="C145" s="105" t="s">
        <v>95</v>
      </c>
      <c r="D145" s="109">
        <v>8</v>
      </c>
      <c r="E145" s="106">
        <v>41.77</v>
      </c>
      <c r="F145" s="107">
        <f>D145*E145</f>
        <v>334.16</v>
      </c>
      <c r="G145" s="201">
        <v>8</v>
      </c>
      <c r="H145" s="197">
        <v>41.77</v>
      </c>
      <c r="I145" s="198">
        <f>G145*H145</f>
        <v>334.16</v>
      </c>
      <c r="J145" s="127">
        <v>0</v>
      </c>
      <c r="K145" s="106">
        <v>41.77</v>
      </c>
      <c r="L145" s="107">
        <f>J145*K145</f>
        <v>0</v>
      </c>
      <c r="M145" s="67">
        <v>8</v>
      </c>
      <c r="N145" s="197">
        <v>41.77</v>
      </c>
      <c r="O145" s="198">
        <f>M145*N145</f>
        <v>334.16</v>
      </c>
      <c r="P145" s="127">
        <v>8</v>
      </c>
      <c r="Q145" s="125">
        <v>50.65</v>
      </c>
      <c r="R145" s="132">
        <v>405.2</v>
      </c>
      <c r="S145" s="153">
        <f>J145+P145</f>
        <v>8</v>
      </c>
      <c r="T145" s="150"/>
      <c r="U145" s="148">
        <f>L145+R145</f>
        <v>405.2</v>
      </c>
      <c r="V145" s="166">
        <v>8</v>
      </c>
      <c r="W145" s="9" t="s">
        <v>186</v>
      </c>
      <c r="X145" s="267"/>
    </row>
    <row r="146" spans="1:24" ht="15.75" x14ac:dyDescent="0.25">
      <c r="A146" s="268"/>
      <c r="B146" s="12"/>
      <c r="C146" s="105"/>
      <c r="D146" s="109"/>
      <c r="E146" s="106"/>
      <c r="F146" s="107"/>
      <c r="G146" s="201"/>
      <c r="H146" s="197"/>
      <c r="I146" s="198"/>
      <c r="J146" s="127"/>
      <c r="K146" s="106"/>
      <c r="L146" s="107"/>
      <c r="M146" s="67"/>
      <c r="N146" s="197"/>
      <c r="O146" s="198"/>
      <c r="P146" s="127"/>
      <c r="Q146" s="125"/>
      <c r="R146" s="132"/>
      <c r="S146" s="153"/>
      <c r="T146" s="150"/>
      <c r="U146" s="148"/>
      <c r="V146" s="9"/>
      <c r="W146" s="9"/>
      <c r="X146" s="267"/>
    </row>
    <row r="147" spans="1:24" ht="15.75" x14ac:dyDescent="0.25">
      <c r="A147" s="268"/>
      <c r="B147" s="12"/>
      <c r="C147" s="105"/>
      <c r="D147" s="109"/>
      <c r="E147" s="106"/>
      <c r="F147" s="107"/>
      <c r="G147" s="201"/>
      <c r="H147" s="197"/>
      <c r="I147" s="198"/>
      <c r="J147" s="127"/>
      <c r="K147" s="106"/>
      <c r="L147" s="107"/>
      <c r="M147" s="67"/>
      <c r="N147" s="197"/>
      <c r="O147" s="198"/>
      <c r="P147" s="127"/>
      <c r="Q147" s="125"/>
      <c r="R147" s="132"/>
      <c r="S147" s="153"/>
      <c r="T147" s="150"/>
      <c r="U147" s="148"/>
      <c r="V147" s="9"/>
      <c r="W147" s="9"/>
      <c r="X147" s="267"/>
    </row>
    <row r="148" spans="1:24" ht="15.75" x14ac:dyDescent="0.25">
      <c r="A148" s="268" t="s">
        <v>187</v>
      </c>
      <c r="B148" s="22" t="s">
        <v>188</v>
      </c>
      <c r="C148" s="105"/>
      <c r="D148" s="109"/>
      <c r="E148" s="106"/>
      <c r="F148" s="107"/>
      <c r="G148" s="201"/>
      <c r="H148" s="197"/>
      <c r="I148" s="198"/>
      <c r="J148" s="127"/>
      <c r="K148" s="106"/>
      <c r="L148" s="107"/>
      <c r="M148" s="67"/>
      <c r="N148" s="197"/>
      <c r="O148" s="198"/>
      <c r="P148" s="127"/>
      <c r="Q148" s="125"/>
      <c r="R148" s="132"/>
      <c r="S148" s="153"/>
      <c r="T148" s="150"/>
      <c r="U148" s="148"/>
      <c r="V148" s="4"/>
      <c r="W148" s="9"/>
      <c r="X148" s="267"/>
    </row>
    <row r="149" spans="1:24" ht="126" x14ac:dyDescent="0.25">
      <c r="A149" s="268"/>
      <c r="B149" s="12" t="s">
        <v>189</v>
      </c>
      <c r="C149" s="105"/>
      <c r="D149" s="109"/>
      <c r="E149" s="106"/>
      <c r="F149" s="107"/>
      <c r="G149" s="201"/>
      <c r="H149" s="197"/>
      <c r="I149" s="198"/>
      <c r="J149" s="127"/>
      <c r="K149" s="106"/>
      <c r="L149" s="107"/>
      <c r="M149" s="67"/>
      <c r="N149" s="197"/>
      <c r="O149" s="198"/>
      <c r="P149" s="127"/>
      <c r="Q149" s="125"/>
      <c r="R149" s="132"/>
      <c r="S149" s="153"/>
      <c r="T149" s="150"/>
      <c r="U149" s="148"/>
      <c r="V149" s="4"/>
      <c r="W149" s="9"/>
      <c r="X149" s="267"/>
    </row>
    <row r="150" spans="1:24" ht="15.75" x14ac:dyDescent="0.25">
      <c r="A150" s="268"/>
      <c r="B150" s="22"/>
      <c r="C150" s="105"/>
      <c r="D150" s="109"/>
      <c r="E150" s="106"/>
      <c r="F150" s="107"/>
      <c r="G150" s="201"/>
      <c r="H150" s="197"/>
      <c r="I150" s="198"/>
      <c r="J150" s="127"/>
      <c r="K150" s="106"/>
      <c r="L150" s="107"/>
      <c r="M150" s="67"/>
      <c r="N150" s="197"/>
      <c r="O150" s="198"/>
      <c r="P150" s="127"/>
      <c r="Q150" s="125"/>
      <c r="R150" s="132"/>
      <c r="S150" s="153"/>
      <c r="T150" s="150"/>
      <c r="U150" s="148"/>
      <c r="V150" s="4"/>
      <c r="W150" s="9"/>
      <c r="X150" s="267"/>
    </row>
    <row r="151" spans="1:24" ht="15.75" x14ac:dyDescent="0.25">
      <c r="A151" s="268" t="s">
        <v>190</v>
      </c>
      <c r="B151" s="17" t="s">
        <v>191</v>
      </c>
      <c r="C151" s="105" t="s">
        <v>21</v>
      </c>
      <c r="D151" s="109">
        <v>1</v>
      </c>
      <c r="E151" s="106">
        <v>615.99</v>
      </c>
      <c r="F151" s="107">
        <f>D151*E151</f>
        <v>615.99</v>
      </c>
      <c r="G151" s="201">
        <v>1</v>
      </c>
      <c r="H151" s="197">
        <v>615.99</v>
      </c>
      <c r="I151" s="198">
        <f>G151*H151</f>
        <v>615.99</v>
      </c>
      <c r="J151" s="127">
        <v>0</v>
      </c>
      <c r="K151" s="106">
        <v>615.99</v>
      </c>
      <c r="L151" s="107">
        <f>J151*K151</f>
        <v>0</v>
      </c>
      <c r="M151" s="67">
        <v>1</v>
      </c>
      <c r="N151" s="197">
        <v>615.99</v>
      </c>
      <c r="O151" s="198">
        <f>M151*N151</f>
        <v>615.99</v>
      </c>
      <c r="P151" s="127">
        <v>1</v>
      </c>
      <c r="Q151" s="125">
        <v>883.28</v>
      </c>
      <c r="R151" s="132">
        <v>883.28</v>
      </c>
      <c r="S151" s="153">
        <f>J151+P151</f>
        <v>1</v>
      </c>
      <c r="T151" s="150"/>
      <c r="U151" s="148">
        <f>L151+R151</f>
        <v>883.28</v>
      </c>
      <c r="V151" s="4">
        <v>1</v>
      </c>
      <c r="W151" s="9" t="s">
        <v>192</v>
      </c>
      <c r="X151" s="267"/>
    </row>
    <row r="152" spans="1:24" ht="15.75" x14ac:dyDescent="0.25">
      <c r="A152" s="268"/>
      <c r="B152" s="12"/>
      <c r="C152" s="105"/>
      <c r="D152" s="109"/>
      <c r="E152" s="106"/>
      <c r="F152" s="107"/>
      <c r="G152" s="201"/>
      <c r="H152" s="197"/>
      <c r="I152" s="198"/>
      <c r="J152" s="127"/>
      <c r="K152" s="106"/>
      <c r="L152" s="107"/>
      <c r="M152" s="67"/>
      <c r="N152" s="197"/>
      <c r="O152" s="198"/>
      <c r="P152" s="127"/>
      <c r="Q152" s="125"/>
      <c r="R152" s="132"/>
      <c r="S152" s="153"/>
      <c r="T152" s="150"/>
      <c r="U152" s="148"/>
      <c r="V152" s="4"/>
      <c r="W152" s="9"/>
      <c r="X152" s="267"/>
    </row>
    <row r="153" spans="1:24" ht="15.75" x14ac:dyDescent="0.25">
      <c r="A153" s="268"/>
      <c r="B153" s="13"/>
      <c r="C153" s="105"/>
      <c r="D153" s="109"/>
      <c r="E153" s="106"/>
      <c r="F153" s="107"/>
      <c r="G153" s="201"/>
      <c r="H153" s="197"/>
      <c r="I153" s="198"/>
      <c r="J153" s="127"/>
      <c r="K153" s="106"/>
      <c r="L153" s="107"/>
      <c r="M153" s="67"/>
      <c r="N153" s="197"/>
      <c r="O153" s="198"/>
      <c r="P153" s="127"/>
      <c r="Q153" s="125"/>
      <c r="R153" s="132"/>
      <c r="S153" s="153"/>
      <c r="T153" s="150"/>
      <c r="U153" s="148"/>
      <c r="V153" s="4"/>
      <c r="W153" s="9"/>
      <c r="X153" s="267"/>
    </row>
    <row r="154" spans="1:24" ht="31.5" x14ac:dyDescent="0.25">
      <c r="A154" s="268" t="s">
        <v>193</v>
      </c>
      <c r="B154" s="13" t="s">
        <v>194</v>
      </c>
      <c r="C154" s="105" t="s">
        <v>21</v>
      </c>
      <c r="D154" s="109">
        <v>1</v>
      </c>
      <c r="E154" s="106">
        <v>2917.73</v>
      </c>
      <c r="F154" s="107">
        <f>D154*E154</f>
        <v>2917.73</v>
      </c>
      <c r="G154" s="201">
        <v>1</v>
      </c>
      <c r="H154" s="197">
        <v>2917.73</v>
      </c>
      <c r="I154" s="198">
        <f>G154*H154</f>
        <v>2917.73</v>
      </c>
      <c r="J154" s="127">
        <v>0</v>
      </c>
      <c r="K154" s="106">
        <v>2917.73</v>
      </c>
      <c r="L154" s="107">
        <f>J154*K154</f>
        <v>0</v>
      </c>
      <c r="M154" s="67">
        <v>1</v>
      </c>
      <c r="N154" s="197">
        <v>2917.73</v>
      </c>
      <c r="O154" s="198">
        <f>M154*N154</f>
        <v>2917.73</v>
      </c>
      <c r="P154" s="127">
        <v>1</v>
      </c>
      <c r="Q154" s="125">
        <v>6818.23</v>
      </c>
      <c r="R154" s="132">
        <v>6818.23</v>
      </c>
      <c r="S154" s="153">
        <f>J154+P154</f>
        <v>1</v>
      </c>
      <c r="T154" s="150"/>
      <c r="U154" s="148">
        <f>L154+R154</f>
        <v>6818.23</v>
      </c>
      <c r="V154" s="4">
        <v>1</v>
      </c>
      <c r="W154" s="9" t="s">
        <v>195</v>
      </c>
      <c r="X154" s="267"/>
    </row>
    <row r="155" spans="1:24" ht="15.75" x14ac:dyDescent="0.25">
      <c r="A155" s="268"/>
      <c r="B155" s="17"/>
      <c r="C155" s="105"/>
      <c r="D155" s="109"/>
      <c r="E155" s="106"/>
      <c r="F155" s="107"/>
      <c r="G155" s="201"/>
      <c r="H155" s="197"/>
      <c r="I155" s="198"/>
      <c r="J155" s="127"/>
      <c r="K155" s="106"/>
      <c r="L155" s="107"/>
      <c r="M155" s="67"/>
      <c r="N155" s="197"/>
      <c r="O155" s="198"/>
      <c r="P155" s="127"/>
      <c r="Q155" s="125"/>
      <c r="R155" s="132"/>
      <c r="S155" s="153"/>
      <c r="T155" s="150"/>
      <c r="U155" s="148"/>
      <c r="V155" s="4"/>
      <c r="W155" s="9"/>
      <c r="X155" s="267"/>
    </row>
    <row r="156" spans="1:24" ht="15.75" x14ac:dyDescent="0.25">
      <c r="A156" s="268" t="s">
        <v>196</v>
      </c>
      <c r="B156" s="17" t="s">
        <v>197</v>
      </c>
      <c r="C156" s="105" t="s">
        <v>21</v>
      </c>
      <c r="D156" s="109">
        <v>2</v>
      </c>
      <c r="E156" s="106">
        <v>39.68</v>
      </c>
      <c r="F156" s="107">
        <f>D156*E156</f>
        <v>79.36</v>
      </c>
      <c r="G156" s="201">
        <v>2</v>
      </c>
      <c r="H156" s="197">
        <v>39.68</v>
      </c>
      <c r="I156" s="198">
        <f>G156*H156</f>
        <v>79.36</v>
      </c>
      <c r="J156" s="127">
        <v>0</v>
      </c>
      <c r="K156" s="106">
        <v>39.68</v>
      </c>
      <c r="L156" s="107">
        <f>J156*K156</f>
        <v>0</v>
      </c>
      <c r="M156" s="67">
        <v>2</v>
      </c>
      <c r="N156" s="197">
        <v>39.68</v>
      </c>
      <c r="O156" s="198">
        <f>M156*N156</f>
        <v>79.36</v>
      </c>
      <c r="P156" s="127">
        <v>2</v>
      </c>
      <c r="Q156" s="125">
        <v>67.489999999999995</v>
      </c>
      <c r="R156" s="132">
        <v>134.97999999999999</v>
      </c>
      <c r="S156" s="153">
        <f>J156+P156</f>
        <v>2</v>
      </c>
      <c r="T156" s="150"/>
      <c r="U156" s="148">
        <f>L156+R156</f>
        <v>134.97999999999999</v>
      </c>
      <c r="V156" s="4">
        <v>2</v>
      </c>
      <c r="W156" s="9" t="s">
        <v>192</v>
      </c>
      <c r="X156" s="267"/>
    </row>
    <row r="157" spans="1:24" ht="63" x14ac:dyDescent="0.25">
      <c r="A157" s="268"/>
      <c r="B157" s="12" t="s">
        <v>198</v>
      </c>
      <c r="C157" s="105"/>
      <c r="D157" s="109"/>
      <c r="E157" s="106"/>
      <c r="F157" s="107"/>
      <c r="G157" s="201"/>
      <c r="H157" s="197"/>
      <c r="I157" s="198"/>
      <c r="J157" s="127"/>
      <c r="K157" s="106"/>
      <c r="L157" s="107"/>
      <c r="M157" s="67"/>
      <c r="N157" s="197"/>
      <c r="O157" s="198"/>
      <c r="P157" s="127"/>
      <c r="Q157" s="125"/>
      <c r="R157" s="132"/>
      <c r="S157" s="153"/>
      <c r="T157" s="150"/>
      <c r="U157" s="148"/>
      <c r="V157" s="4"/>
      <c r="W157" s="9"/>
      <c r="X157" s="267"/>
    </row>
    <row r="158" spans="1:24" ht="15.75" x14ac:dyDescent="0.25">
      <c r="A158" s="268"/>
      <c r="B158" s="12"/>
      <c r="C158" s="105"/>
      <c r="D158" s="109"/>
      <c r="E158" s="106"/>
      <c r="F158" s="107"/>
      <c r="G158" s="201"/>
      <c r="H158" s="197"/>
      <c r="I158" s="198"/>
      <c r="J158" s="127"/>
      <c r="K158" s="106"/>
      <c r="L158" s="107"/>
      <c r="M158" s="67"/>
      <c r="N158" s="197"/>
      <c r="O158" s="198"/>
      <c r="P158" s="127"/>
      <c r="Q158" s="125"/>
      <c r="R158" s="132"/>
      <c r="S158" s="153"/>
      <c r="T158" s="150"/>
      <c r="U158" s="148"/>
      <c r="V158" s="4"/>
      <c r="W158" s="9"/>
      <c r="X158" s="267"/>
    </row>
    <row r="159" spans="1:24" ht="15.75" x14ac:dyDescent="0.25">
      <c r="A159" s="268" t="s">
        <v>199</v>
      </c>
      <c r="B159" s="17" t="s">
        <v>200</v>
      </c>
      <c r="C159" s="105" t="s">
        <v>21</v>
      </c>
      <c r="D159" s="109">
        <v>2</v>
      </c>
      <c r="E159" s="106">
        <v>53.87</v>
      </c>
      <c r="F159" s="107">
        <f>D159*E159</f>
        <v>107.74</v>
      </c>
      <c r="G159" s="201">
        <v>2</v>
      </c>
      <c r="H159" s="197">
        <v>53.87</v>
      </c>
      <c r="I159" s="198">
        <f>G159*H159</f>
        <v>107.74</v>
      </c>
      <c r="J159" s="127">
        <v>0</v>
      </c>
      <c r="K159" s="106">
        <v>53.87</v>
      </c>
      <c r="L159" s="107">
        <f>J159*K159</f>
        <v>0</v>
      </c>
      <c r="M159" s="67">
        <v>2</v>
      </c>
      <c r="N159" s="197">
        <v>53.87</v>
      </c>
      <c r="O159" s="198">
        <f>M159*N159</f>
        <v>107.74</v>
      </c>
      <c r="P159" s="127">
        <v>2</v>
      </c>
      <c r="Q159" s="125">
        <v>96.08</v>
      </c>
      <c r="R159" s="132">
        <v>192.16</v>
      </c>
      <c r="S159" s="153">
        <f>J159+P159</f>
        <v>2</v>
      </c>
      <c r="T159" s="150"/>
      <c r="U159" s="148">
        <f>L159+R159</f>
        <v>192.16</v>
      </c>
      <c r="V159" s="166">
        <v>2</v>
      </c>
      <c r="W159" s="9" t="s">
        <v>192</v>
      </c>
      <c r="X159" s="267"/>
    </row>
    <row r="160" spans="1:24" ht="63" x14ac:dyDescent="0.25">
      <c r="A160" s="268"/>
      <c r="B160" s="12" t="s">
        <v>201</v>
      </c>
      <c r="C160" s="105"/>
      <c r="D160" s="109"/>
      <c r="E160" s="106"/>
      <c r="F160" s="107"/>
      <c r="G160" s="201"/>
      <c r="H160" s="197"/>
      <c r="I160" s="198"/>
      <c r="J160" s="127"/>
      <c r="K160" s="106"/>
      <c r="L160" s="107"/>
      <c r="M160" s="67"/>
      <c r="N160" s="197"/>
      <c r="O160" s="198"/>
      <c r="P160" s="127"/>
      <c r="Q160" s="125"/>
      <c r="R160" s="132"/>
      <c r="S160" s="153"/>
      <c r="T160" s="150"/>
      <c r="U160" s="148"/>
      <c r="V160" s="4"/>
      <c r="W160" s="9"/>
      <c r="X160" s="267"/>
    </row>
    <row r="161" spans="1:24" ht="15.75" x14ac:dyDescent="0.25">
      <c r="A161" s="268"/>
      <c r="B161" s="12"/>
      <c r="C161" s="105"/>
      <c r="D161" s="109"/>
      <c r="E161" s="106"/>
      <c r="F161" s="107"/>
      <c r="G161" s="201"/>
      <c r="H161" s="197"/>
      <c r="I161" s="198"/>
      <c r="J161" s="127"/>
      <c r="K161" s="106"/>
      <c r="L161" s="107"/>
      <c r="M161" s="67"/>
      <c r="N161" s="197"/>
      <c r="O161" s="198"/>
      <c r="P161" s="127"/>
      <c r="Q161" s="125"/>
      <c r="R161" s="132"/>
      <c r="S161" s="153"/>
      <c r="T161" s="150"/>
      <c r="U161" s="148"/>
      <c r="V161" s="4"/>
      <c r="W161" s="9"/>
      <c r="X161" s="267"/>
    </row>
    <row r="162" spans="1:24" ht="15.75" x14ac:dyDescent="0.25">
      <c r="A162" s="268" t="s">
        <v>202</v>
      </c>
      <c r="B162" s="17" t="s">
        <v>203</v>
      </c>
      <c r="C162" s="105" t="s">
        <v>21</v>
      </c>
      <c r="D162" s="109">
        <v>2</v>
      </c>
      <c r="E162" s="106">
        <v>43.67</v>
      </c>
      <c r="F162" s="107">
        <f>D162*E162</f>
        <v>87.34</v>
      </c>
      <c r="G162" s="201">
        <v>2</v>
      </c>
      <c r="H162" s="197">
        <v>43.67</v>
      </c>
      <c r="I162" s="198">
        <f>G162*H162</f>
        <v>87.34</v>
      </c>
      <c r="J162" s="127">
        <v>0</v>
      </c>
      <c r="K162" s="106">
        <v>43.67</v>
      </c>
      <c r="L162" s="107">
        <f>J162*K162</f>
        <v>0</v>
      </c>
      <c r="M162" s="67">
        <v>2</v>
      </c>
      <c r="N162" s="197">
        <v>43.67</v>
      </c>
      <c r="O162" s="198">
        <f>M162*N162</f>
        <v>87.34</v>
      </c>
      <c r="P162" s="127">
        <v>2</v>
      </c>
      <c r="Q162" s="125">
        <v>53.28</v>
      </c>
      <c r="R162" s="132">
        <v>106.56</v>
      </c>
      <c r="S162" s="153">
        <f>J162+P162</f>
        <v>2</v>
      </c>
      <c r="T162" s="150"/>
      <c r="U162" s="148">
        <f>L162+R162</f>
        <v>106.56</v>
      </c>
      <c r="V162" s="166">
        <v>2</v>
      </c>
      <c r="W162" s="9" t="s">
        <v>192</v>
      </c>
      <c r="X162" s="267"/>
    </row>
    <row r="163" spans="1:24" ht="63" x14ac:dyDescent="0.25">
      <c r="A163" s="268"/>
      <c r="B163" s="12" t="s">
        <v>204</v>
      </c>
      <c r="C163" s="105"/>
      <c r="D163" s="109"/>
      <c r="E163" s="106"/>
      <c r="F163" s="107"/>
      <c r="G163" s="201"/>
      <c r="H163" s="197"/>
      <c r="I163" s="198"/>
      <c r="J163" s="127"/>
      <c r="K163" s="106"/>
      <c r="L163" s="107"/>
      <c r="M163" s="67"/>
      <c r="N163" s="197"/>
      <c r="O163" s="198"/>
      <c r="P163" s="127"/>
      <c r="Q163" s="125"/>
      <c r="R163" s="132"/>
      <c r="S163" s="153"/>
      <c r="T163" s="150"/>
      <c r="U163" s="148"/>
      <c r="V163" s="4"/>
      <c r="W163" s="9"/>
      <c r="X163" s="267"/>
    </row>
    <row r="164" spans="1:24" ht="15.75" x14ac:dyDescent="0.25">
      <c r="A164" s="268"/>
      <c r="B164" s="12"/>
      <c r="C164" s="105"/>
      <c r="D164" s="109"/>
      <c r="E164" s="106"/>
      <c r="F164" s="107"/>
      <c r="G164" s="201"/>
      <c r="H164" s="197"/>
      <c r="I164" s="198"/>
      <c r="J164" s="127"/>
      <c r="K164" s="106"/>
      <c r="L164" s="107"/>
      <c r="M164" s="67"/>
      <c r="N164" s="197"/>
      <c r="O164" s="198"/>
      <c r="P164" s="127"/>
      <c r="Q164" s="125"/>
      <c r="R164" s="132"/>
      <c r="S164" s="153"/>
      <c r="T164" s="150"/>
      <c r="U164" s="148"/>
      <c r="V164" s="4"/>
      <c r="W164" s="9"/>
      <c r="X164" s="267"/>
    </row>
    <row r="165" spans="1:24" ht="15.75" x14ac:dyDescent="0.25">
      <c r="A165" s="268"/>
      <c r="B165" s="12"/>
      <c r="C165" s="105"/>
      <c r="D165" s="109"/>
      <c r="E165" s="106"/>
      <c r="F165" s="107"/>
      <c r="G165" s="201"/>
      <c r="H165" s="197"/>
      <c r="I165" s="198"/>
      <c r="J165" s="127"/>
      <c r="K165" s="106"/>
      <c r="L165" s="107"/>
      <c r="M165" s="67"/>
      <c r="N165" s="197"/>
      <c r="O165" s="198"/>
      <c r="P165" s="127"/>
      <c r="Q165" s="125"/>
      <c r="R165" s="132"/>
      <c r="S165" s="153"/>
      <c r="T165" s="150"/>
      <c r="U165" s="148"/>
      <c r="V165" s="4"/>
      <c r="W165" s="9"/>
      <c r="X165" s="267"/>
    </row>
    <row r="166" spans="1:24" ht="15.75" x14ac:dyDescent="0.25">
      <c r="A166" s="268" t="s">
        <v>205</v>
      </c>
      <c r="B166" s="17" t="s">
        <v>206</v>
      </c>
      <c r="C166" s="105" t="s">
        <v>21</v>
      </c>
      <c r="D166" s="109">
        <v>2</v>
      </c>
      <c r="E166" s="106">
        <v>20.76</v>
      </c>
      <c r="F166" s="107">
        <f>D166*E166</f>
        <v>41.52</v>
      </c>
      <c r="G166" s="201">
        <v>2</v>
      </c>
      <c r="H166" s="197">
        <v>20.76</v>
      </c>
      <c r="I166" s="198">
        <f>G166*H166</f>
        <v>41.52</v>
      </c>
      <c r="J166" s="127">
        <v>0</v>
      </c>
      <c r="K166" s="106">
        <v>20.76</v>
      </c>
      <c r="L166" s="107">
        <f>J166*K166</f>
        <v>0</v>
      </c>
      <c r="M166" s="67">
        <v>2</v>
      </c>
      <c r="N166" s="197">
        <v>20.76</v>
      </c>
      <c r="O166" s="198">
        <f>M166*N166</f>
        <v>41.52</v>
      </c>
      <c r="P166" s="127">
        <v>2</v>
      </c>
      <c r="Q166" s="125">
        <v>25.91</v>
      </c>
      <c r="R166" s="132">
        <v>51.82</v>
      </c>
      <c r="S166" s="153">
        <f>J166+P166</f>
        <v>2</v>
      </c>
      <c r="T166" s="150"/>
      <c r="U166" s="148">
        <f>L166+R166</f>
        <v>51.82</v>
      </c>
      <c r="V166" s="166">
        <v>2</v>
      </c>
      <c r="W166" s="9" t="s">
        <v>192</v>
      </c>
      <c r="X166" s="267"/>
    </row>
    <row r="167" spans="1:24" ht="47.25" x14ac:dyDescent="0.25">
      <c r="A167" s="268"/>
      <c r="B167" s="12" t="s">
        <v>207</v>
      </c>
      <c r="C167" s="105"/>
      <c r="D167" s="109"/>
      <c r="E167" s="106"/>
      <c r="F167" s="107"/>
      <c r="G167" s="201"/>
      <c r="H167" s="197"/>
      <c r="I167" s="198"/>
      <c r="J167" s="127"/>
      <c r="K167" s="106"/>
      <c r="L167" s="107"/>
      <c r="M167" s="67"/>
      <c r="N167" s="197"/>
      <c r="O167" s="198"/>
      <c r="P167" s="127"/>
      <c r="Q167" s="125"/>
      <c r="R167" s="132"/>
      <c r="S167" s="153"/>
      <c r="T167" s="150"/>
      <c r="U167" s="148"/>
      <c r="V167" s="4"/>
      <c r="W167" s="9"/>
      <c r="X167" s="267"/>
    </row>
    <row r="168" spans="1:24" ht="15.75" x14ac:dyDescent="0.25">
      <c r="A168" s="268"/>
      <c r="B168" s="12"/>
      <c r="C168" s="105"/>
      <c r="D168" s="109"/>
      <c r="E168" s="106"/>
      <c r="F168" s="107"/>
      <c r="G168" s="201"/>
      <c r="H168" s="197"/>
      <c r="I168" s="198"/>
      <c r="J168" s="127"/>
      <c r="K168" s="106"/>
      <c r="L168" s="107"/>
      <c r="M168" s="67"/>
      <c r="N168" s="197"/>
      <c r="O168" s="198"/>
      <c r="P168" s="127"/>
      <c r="Q168" s="125"/>
      <c r="R168" s="132"/>
      <c r="S168" s="153"/>
      <c r="T168" s="150"/>
      <c r="U168" s="148"/>
      <c r="V168" s="4"/>
      <c r="W168" s="9"/>
      <c r="X168" s="267"/>
    </row>
    <row r="169" spans="1:24" ht="15.75" x14ac:dyDescent="0.25">
      <c r="A169" s="268" t="s">
        <v>208</v>
      </c>
      <c r="B169" s="17" t="s">
        <v>209</v>
      </c>
      <c r="C169" s="105" t="s">
        <v>21</v>
      </c>
      <c r="D169" s="109">
        <v>2</v>
      </c>
      <c r="E169" s="106">
        <v>136.13</v>
      </c>
      <c r="F169" s="107">
        <f>D169*E169</f>
        <v>272.26</v>
      </c>
      <c r="G169" s="201">
        <v>2</v>
      </c>
      <c r="H169" s="197">
        <v>136.13</v>
      </c>
      <c r="I169" s="198">
        <f>G169*H169</f>
        <v>272.26</v>
      </c>
      <c r="J169" s="127">
        <v>0</v>
      </c>
      <c r="K169" s="106">
        <v>136.13</v>
      </c>
      <c r="L169" s="107">
        <f>J169*K169</f>
        <v>0</v>
      </c>
      <c r="M169" s="67">
        <v>2</v>
      </c>
      <c r="N169" s="197">
        <v>136.13</v>
      </c>
      <c r="O169" s="198">
        <f>M169*N169</f>
        <v>272.26</v>
      </c>
      <c r="P169" s="127">
        <v>2</v>
      </c>
      <c r="Q169" s="125">
        <v>152.96</v>
      </c>
      <c r="R169" s="132">
        <v>305.92</v>
      </c>
      <c r="S169" s="153">
        <f>J169+P169</f>
        <v>2</v>
      </c>
      <c r="T169" s="150"/>
      <c r="U169" s="148">
        <f>L169+R169</f>
        <v>305.92</v>
      </c>
      <c r="V169" s="166">
        <v>2</v>
      </c>
      <c r="W169" s="9" t="s">
        <v>210</v>
      </c>
      <c r="X169" s="267"/>
    </row>
    <row r="170" spans="1:24" ht="63" x14ac:dyDescent="0.25">
      <c r="A170" s="268"/>
      <c r="B170" s="12" t="s">
        <v>211</v>
      </c>
      <c r="C170" s="105"/>
      <c r="D170" s="109"/>
      <c r="E170" s="106"/>
      <c r="F170" s="107"/>
      <c r="G170" s="201"/>
      <c r="H170" s="197"/>
      <c r="I170" s="198"/>
      <c r="J170" s="127"/>
      <c r="K170" s="106"/>
      <c r="L170" s="107"/>
      <c r="M170" s="67"/>
      <c r="N170" s="197"/>
      <c r="O170" s="198"/>
      <c r="P170" s="127"/>
      <c r="Q170" s="125"/>
      <c r="R170" s="132"/>
      <c r="S170" s="153"/>
      <c r="T170" s="150"/>
      <c r="U170" s="148"/>
      <c r="V170" s="4"/>
      <c r="W170" s="9"/>
      <c r="X170" s="267"/>
    </row>
    <row r="171" spans="1:24" ht="15.75" x14ac:dyDescent="0.25">
      <c r="A171" s="268"/>
      <c r="B171" s="17"/>
      <c r="C171" s="105"/>
      <c r="D171" s="109"/>
      <c r="E171" s="106"/>
      <c r="F171" s="107"/>
      <c r="G171" s="201"/>
      <c r="H171" s="197"/>
      <c r="I171" s="198"/>
      <c r="J171" s="127"/>
      <c r="K171" s="106"/>
      <c r="L171" s="107"/>
      <c r="M171" s="67"/>
      <c r="N171" s="197"/>
      <c r="O171" s="198"/>
      <c r="P171" s="127"/>
      <c r="Q171" s="125"/>
      <c r="R171" s="132"/>
      <c r="S171" s="154"/>
      <c r="T171" s="151"/>
      <c r="U171" s="148"/>
      <c r="V171" s="4"/>
      <c r="W171" s="9"/>
      <c r="X171" s="267"/>
    </row>
    <row r="172" spans="1:24" ht="15.75" x14ac:dyDescent="0.25">
      <c r="A172" s="276"/>
      <c r="B172" s="25"/>
      <c r="C172" s="322" t="s">
        <v>34</v>
      </c>
      <c r="D172" s="322"/>
      <c r="E172" s="322"/>
      <c r="F172" s="108">
        <f>SUM(F99:F171)</f>
        <v>9419.08</v>
      </c>
      <c r="G172" s="326" t="s">
        <v>34</v>
      </c>
      <c r="H172" s="326"/>
      <c r="I172" s="199">
        <f>SUM(I99:I171)</f>
        <v>9419.08</v>
      </c>
      <c r="J172" s="324" t="s">
        <v>34</v>
      </c>
      <c r="K172" s="324"/>
      <c r="L172" s="108">
        <f>SUM(L99:L171)</f>
        <v>0</v>
      </c>
      <c r="M172" s="326" t="s">
        <v>34</v>
      </c>
      <c r="N172" s="326"/>
      <c r="O172" s="199">
        <f>SUM(O99:O171)</f>
        <v>9419.08</v>
      </c>
      <c r="P172" s="324" t="s">
        <v>34</v>
      </c>
      <c r="Q172" s="324"/>
      <c r="R172" s="133">
        <v>15095.529999999999</v>
      </c>
      <c r="S172" s="326" t="s">
        <v>34</v>
      </c>
      <c r="T172" s="326"/>
      <c r="U172" s="156">
        <f>L172+R172</f>
        <v>15095.529999999999</v>
      </c>
      <c r="V172" s="4"/>
      <c r="W172" s="9"/>
      <c r="X172" s="267"/>
    </row>
    <row r="173" spans="1:24" ht="15.75" x14ac:dyDescent="0.25">
      <c r="A173" s="264" t="s">
        <v>212</v>
      </c>
      <c r="B173" s="57" t="s">
        <v>213</v>
      </c>
      <c r="C173" s="101"/>
      <c r="D173" s="115"/>
      <c r="E173" s="106"/>
      <c r="F173" s="107"/>
      <c r="G173" s="210"/>
      <c r="H173" s="197"/>
      <c r="I173" s="198"/>
      <c r="J173" s="129"/>
      <c r="K173" s="106"/>
      <c r="L173" s="107"/>
      <c r="M173" s="72"/>
      <c r="N173" s="197"/>
      <c r="O173" s="198"/>
      <c r="P173" s="129"/>
      <c r="Q173" s="125"/>
      <c r="R173" s="132"/>
      <c r="S173" s="152"/>
      <c r="T173" s="155"/>
      <c r="U173" s="157"/>
      <c r="V173" s="4"/>
      <c r="W173" s="9"/>
      <c r="X173" s="267"/>
    </row>
    <row r="174" spans="1:24" ht="15.75" x14ac:dyDescent="0.25">
      <c r="A174" s="268" t="s">
        <v>214</v>
      </c>
      <c r="B174" s="22" t="s">
        <v>113</v>
      </c>
      <c r="C174" s="105"/>
      <c r="D174" s="109"/>
      <c r="E174" s="106"/>
      <c r="F174" s="107"/>
      <c r="G174" s="201"/>
      <c r="H174" s="197"/>
      <c r="I174" s="198"/>
      <c r="J174" s="127"/>
      <c r="K174" s="106"/>
      <c r="L174" s="107"/>
      <c r="M174" s="67"/>
      <c r="N174" s="197"/>
      <c r="O174" s="198"/>
      <c r="P174" s="127"/>
      <c r="Q174" s="125"/>
      <c r="R174" s="132"/>
      <c r="S174" s="153"/>
      <c r="T174" s="150"/>
      <c r="U174" s="148"/>
      <c r="V174" s="4"/>
      <c r="W174" s="9"/>
      <c r="X174" s="267"/>
    </row>
    <row r="175" spans="1:24" ht="47.25" x14ac:dyDescent="0.25">
      <c r="A175" s="268" t="s">
        <v>215</v>
      </c>
      <c r="B175" s="17" t="s">
        <v>216</v>
      </c>
      <c r="C175" s="105" t="s">
        <v>21</v>
      </c>
      <c r="D175" s="109">
        <v>10</v>
      </c>
      <c r="E175" s="106">
        <v>334.19</v>
      </c>
      <c r="F175" s="107">
        <f>D175*E175</f>
        <v>3341.9</v>
      </c>
      <c r="G175" s="201">
        <v>10</v>
      </c>
      <c r="H175" s="197">
        <v>334.19</v>
      </c>
      <c r="I175" s="198">
        <f>G175*H175</f>
        <v>3341.9</v>
      </c>
      <c r="J175" s="127">
        <v>0</v>
      </c>
      <c r="K175" s="106">
        <v>334.19</v>
      </c>
      <c r="L175" s="107">
        <f>J175*K175</f>
        <v>0</v>
      </c>
      <c r="M175" s="67">
        <v>10</v>
      </c>
      <c r="N175" s="197">
        <v>334.19</v>
      </c>
      <c r="O175" s="198">
        <f>M175*N175</f>
        <v>3341.9</v>
      </c>
      <c r="P175" s="127">
        <v>10</v>
      </c>
      <c r="Q175" s="125">
        <v>432.41</v>
      </c>
      <c r="R175" s="132">
        <v>4324.1000000000004</v>
      </c>
      <c r="S175" s="153">
        <f>J175+P175</f>
        <v>10</v>
      </c>
      <c r="T175" s="150"/>
      <c r="U175" s="148">
        <f>L175+R175</f>
        <v>4324.1000000000004</v>
      </c>
      <c r="V175" s="166">
        <v>10</v>
      </c>
      <c r="W175" s="9" t="s">
        <v>217</v>
      </c>
      <c r="X175" s="267"/>
    </row>
    <row r="176" spans="1:24" ht="126" x14ac:dyDescent="0.25">
      <c r="A176" s="268"/>
      <c r="B176" s="12" t="s">
        <v>218</v>
      </c>
      <c r="C176" s="105"/>
      <c r="D176" s="109"/>
      <c r="E176" s="106"/>
      <c r="F176" s="107"/>
      <c r="G176" s="201"/>
      <c r="H176" s="197"/>
      <c r="I176" s="198"/>
      <c r="J176" s="127"/>
      <c r="K176" s="106"/>
      <c r="L176" s="107"/>
      <c r="M176" s="67"/>
      <c r="N176" s="197"/>
      <c r="O176" s="198"/>
      <c r="P176" s="127"/>
      <c r="Q176" s="125"/>
      <c r="R176" s="132"/>
      <c r="S176" s="153"/>
      <c r="T176" s="150"/>
      <c r="U176" s="148"/>
      <c r="V176" s="4"/>
      <c r="W176" s="9"/>
      <c r="X176" s="267"/>
    </row>
    <row r="177" spans="1:24" ht="15.75" x14ac:dyDescent="0.25">
      <c r="A177" s="268"/>
      <c r="B177" s="12"/>
      <c r="C177" s="105"/>
      <c r="D177" s="109"/>
      <c r="E177" s="106"/>
      <c r="F177" s="107"/>
      <c r="G177" s="201"/>
      <c r="H177" s="197"/>
      <c r="I177" s="198"/>
      <c r="J177" s="127"/>
      <c r="K177" s="106"/>
      <c r="L177" s="107"/>
      <c r="M177" s="67"/>
      <c r="N177" s="197"/>
      <c r="O177" s="198"/>
      <c r="P177" s="127"/>
      <c r="Q177" s="125"/>
      <c r="R177" s="132"/>
      <c r="S177" s="153"/>
      <c r="T177" s="150"/>
      <c r="U177" s="148"/>
      <c r="V177" s="4"/>
      <c r="W177" s="9"/>
      <c r="X177" s="267"/>
    </row>
    <row r="178" spans="1:24" ht="15.75" x14ac:dyDescent="0.25">
      <c r="A178" s="268"/>
      <c r="B178" s="17"/>
      <c r="C178" s="105"/>
      <c r="D178" s="109"/>
      <c r="E178" s="106"/>
      <c r="F178" s="107"/>
      <c r="G178" s="201"/>
      <c r="H178" s="197"/>
      <c r="I178" s="198"/>
      <c r="J178" s="127"/>
      <c r="K178" s="106"/>
      <c r="L178" s="107"/>
      <c r="M178" s="67"/>
      <c r="N178" s="197"/>
      <c r="O178" s="198"/>
      <c r="P178" s="127"/>
      <c r="Q178" s="125"/>
      <c r="R178" s="132"/>
      <c r="S178" s="153"/>
      <c r="T178" s="150"/>
      <c r="U178" s="148"/>
      <c r="V178" s="4"/>
      <c r="W178" s="9"/>
      <c r="X178" s="267"/>
    </row>
    <row r="179" spans="1:24" ht="31.5" x14ac:dyDescent="0.25">
      <c r="A179" s="268" t="s">
        <v>219</v>
      </c>
      <c r="B179" s="22" t="s">
        <v>220</v>
      </c>
      <c r="C179" s="105"/>
      <c r="D179" s="109"/>
      <c r="E179" s="106"/>
      <c r="F179" s="107"/>
      <c r="G179" s="201"/>
      <c r="H179" s="197"/>
      <c r="I179" s="198"/>
      <c r="J179" s="127"/>
      <c r="K179" s="106"/>
      <c r="L179" s="107"/>
      <c r="M179" s="67"/>
      <c r="N179" s="197"/>
      <c r="O179" s="198"/>
      <c r="P179" s="127"/>
      <c r="Q179" s="125"/>
      <c r="R179" s="132"/>
      <c r="S179" s="153"/>
      <c r="T179" s="150"/>
      <c r="U179" s="148"/>
      <c r="V179" s="4"/>
      <c r="W179" s="9"/>
      <c r="X179" s="267"/>
    </row>
    <row r="180" spans="1:24" ht="126" x14ac:dyDescent="0.25">
      <c r="A180" s="268"/>
      <c r="B180" s="12" t="s">
        <v>221</v>
      </c>
      <c r="C180" s="105"/>
      <c r="D180" s="109"/>
      <c r="E180" s="106"/>
      <c r="F180" s="107"/>
      <c r="G180" s="201"/>
      <c r="H180" s="197"/>
      <c r="I180" s="198"/>
      <c r="J180" s="127"/>
      <c r="K180" s="106"/>
      <c r="L180" s="107"/>
      <c r="M180" s="67"/>
      <c r="N180" s="197"/>
      <c r="O180" s="198"/>
      <c r="P180" s="127"/>
      <c r="Q180" s="125"/>
      <c r="R180" s="132"/>
      <c r="S180" s="153"/>
      <c r="T180" s="150"/>
      <c r="U180" s="148"/>
      <c r="V180" s="4"/>
      <c r="W180" s="9"/>
      <c r="X180" s="267"/>
    </row>
    <row r="181" spans="1:24" ht="15.75" x14ac:dyDescent="0.25">
      <c r="A181" s="268"/>
      <c r="B181" s="22"/>
      <c r="C181" s="105"/>
      <c r="D181" s="109"/>
      <c r="E181" s="106"/>
      <c r="F181" s="107"/>
      <c r="G181" s="201"/>
      <c r="H181" s="197"/>
      <c r="I181" s="198"/>
      <c r="J181" s="127"/>
      <c r="K181" s="106"/>
      <c r="L181" s="107"/>
      <c r="M181" s="67"/>
      <c r="N181" s="197"/>
      <c r="O181" s="198"/>
      <c r="P181" s="127"/>
      <c r="Q181" s="125"/>
      <c r="R181" s="132"/>
      <c r="S181" s="153"/>
      <c r="T181" s="150"/>
      <c r="U181" s="148"/>
      <c r="V181" s="4"/>
      <c r="W181" s="9"/>
      <c r="X181" s="267"/>
    </row>
    <row r="182" spans="1:24" ht="31.5" x14ac:dyDescent="0.25">
      <c r="A182" s="268" t="s">
        <v>222</v>
      </c>
      <c r="B182" s="17" t="s">
        <v>223</v>
      </c>
      <c r="C182" s="105" t="s">
        <v>95</v>
      </c>
      <c r="D182" s="109">
        <v>50</v>
      </c>
      <c r="E182" s="106">
        <v>20.48</v>
      </c>
      <c r="F182" s="107">
        <f>D182*E182</f>
        <v>1024</v>
      </c>
      <c r="G182" s="201">
        <v>50</v>
      </c>
      <c r="H182" s="197">
        <v>20.48</v>
      </c>
      <c r="I182" s="198">
        <f>G182*H182</f>
        <v>1024</v>
      </c>
      <c r="J182" s="127">
        <v>0</v>
      </c>
      <c r="K182" s="106">
        <v>20.48</v>
      </c>
      <c r="L182" s="107">
        <f>J182*K182</f>
        <v>0</v>
      </c>
      <c r="M182" s="67">
        <v>50</v>
      </c>
      <c r="N182" s="197">
        <v>20.48</v>
      </c>
      <c r="O182" s="198">
        <f>M182*N182</f>
        <v>1024</v>
      </c>
      <c r="P182" s="127">
        <v>50</v>
      </c>
      <c r="Q182" s="125">
        <v>23.46</v>
      </c>
      <c r="R182" s="132">
        <v>1173</v>
      </c>
      <c r="S182" s="153">
        <f>J182+P182</f>
        <v>50</v>
      </c>
      <c r="T182" s="150"/>
      <c r="U182" s="148">
        <f>L182+R182</f>
        <v>1173</v>
      </c>
      <c r="V182" s="166">
        <v>50</v>
      </c>
      <c r="W182" s="9" t="s">
        <v>224</v>
      </c>
      <c r="X182" s="267"/>
    </row>
    <row r="183" spans="1:24" ht="15.75" x14ac:dyDescent="0.25">
      <c r="A183" s="268"/>
      <c r="B183" s="12"/>
      <c r="C183" s="105"/>
      <c r="D183" s="109"/>
      <c r="E183" s="106"/>
      <c r="F183" s="107"/>
      <c r="G183" s="201"/>
      <c r="H183" s="197"/>
      <c r="I183" s="198"/>
      <c r="J183" s="127"/>
      <c r="K183" s="106"/>
      <c r="L183" s="107"/>
      <c r="M183" s="67"/>
      <c r="N183" s="197"/>
      <c r="O183" s="198"/>
      <c r="P183" s="127"/>
      <c r="Q183" s="125"/>
      <c r="R183" s="132"/>
      <c r="S183" s="153"/>
      <c r="T183" s="150"/>
      <c r="U183" s="148"/>
      <c r="V183" s="87"/>
      <c r="W183" s="9"/>
      <c r="X183" s="267"/>
    </row>
    <row r="184" spans="1:24" ht="15.75" x14ac:dyDescent="0.25">
      <c r="A184" s="268"/>
      <c r="B184" s="12"/>
      <c r="C184" s="105"/>
      <c r="D184" s="109"/>
      <c r="E184" s="106"/>
      <c r="F184" s="107"/>
      <c r="G184" s="201"/>
      <c r="H184" s="197"/>
      <c r="I184" s="198"/>
      <c r="J184" s="127"/>
      <c r="K184" s="106"/>
      <c r="L184" s="107"/>
      <c r="M184" s="67"/>
      <c r="N184" s="197"/>
      <c r="O184" s="198"/>
      <c r="P184" s="127"/>
      <c r="Q184" s="125"/>
      <c r="R184" s="132"/>
      <c r="S184" s="153"/>
      <c r="T184" s="150"/>
      <c r="U184" s="148"/>
      <c r="V184" s="4"/>
      <c r="W184" s="9"/>
      <c r="X184" s="267"/>
    </row>
    <row r="185" spans="1:24" ht="31.5" x14ac:dyDescent="0.25">
      <c r="A185" s="268" t="s">
        <v>225</v>
      </c>
      <c r="B185" s="17" t="s">
        <v>226</v>
      </c>
      <c r="C185" s="105" t="s">
        <v>95</v>
      </c>
      <c r="D185" s="109">
        <v>100</v>
      </c>
      <c r="E185" s="106">
        <v>42.17</v>
      </c>
      <c r="F185" s="107">
        <f>D185*E185</f>
        <v>4217</v>
      </c>
      <c r="G185" s="201">
        <v>100</v>
      </c>
      <c r="H185" s="197">
        <v>42.17</v>
      </c>
      <c r="I185" s="198">
        <f>G185*H185</f>
        <v>4217</v>
      </c>
      <c r="J185" s="127">
        <v>0</v>
      </c>
      <c r="K185" s="106">
        <v>42.17</v>
      </c>
      <c r="L185" s="107">
        <f>J185*K185</f>
        <v>0</v>
      </c>
      <c r="M185" s="67">
        <v>100</v>
      </c>
      <c r="N185" s="197">
        <v>42.17</v>
      </c>
      <c r="O185" s="198">
        <f>M185*N185</f>
        <v>4217</v>
      </c>
      <c r="P185" s="127">
        <v>100</v>
      </c>
      <c r="Q185" s="125">
        <v>47.55</v>
      </c>
      <c r="R185" s="132">
        <v>4755</v>
      </c>
      <c r="S185" s="153">
        <f>J185+P185</f>
        <v>100</v>
      </c>
      <c r="T185" s="150"/>
      <c r="U185" s="148">
        <f>L185+R185</f>
        <v>4755</v>
      </c>
      <c r="V185" s="166">
        <v>100</v>
      </c>
      <c r="W185" s="9" t="s">
        <v>227</v>
      </c>
      <c r="X185" s="267"/>
    </row>
    <row r="186" spans="1:24" ht="15.75" x14ac:dyDescent="0.25">
      <c r="A186" s="268"/>
      <c r="B186" s="17"/>
      <c r="C186" s="105"/>
      <c r="D186" s="109"/>
      <c r="E186" s="106"/>
      <c r="F186" s="107"/>
      <c r="G186" s="201"/>
      <c r="H186" s="197"/>
      <c r="I186" s="198"/>
      <c r="J186" s="127"/>
      <c r="K186" s="106"/>
      <c r="L186" s="107"/>
      <c r="M186" s="67"/>
      <c r="N186" s="197"/>
      <c r="O186" s="198"/>
      <c r="P186" s="127"/>
      <c r="Q186" s="125"/>
      <c r="R186" s="132"/>
      <c r="S186" s="153"/>
      <c r="T186" s="150"/>
      <c r="U186" s="148"/>
      <c r="V186" s="4"/>
      <c r="W186" s="9"/>
      <c r="X186" s="267"/>
    </row>
    <row r="187" spans="1:24" ht="31.5" x14ac:dyDescent="0.25">
      <c r="A187" s="268" t="s">
        <v>228</v>
      </c>
      <c r="B187" s="17" t="s">
        <v>229</v>
      </c>
      <c r="C187" s="105" t="s">
        <v>95</v>
      </c>
      <c r="D187" s="109">
        <v>25</v>
      </c>
      <c r="E187" s="106">
        <v>71.3</v>
      </c>
      <c r="F187" s="107">
        <f>D187*E187</f>
        <v>1782.5</v>
      </c>
      <c r="G187" s="201">
        <v>25</v>
      </c>
      <c r="H187" s="197">
        <v>71.3</v>
      </c>
      <c r="I187" s="198">
        <f>G187*H187</f>
        <v>1782.5</v>
      </c>
      <c r="J187" s="127">
        <v>0</v>
      </c>
      <c r="K187" s="106">
        <v>71.3</v>
      </c>
      <c r="L187" s="107">
        <f>J187*K187</f>
        <v>0</v>
      </c>
      <c r="M187" s="67">
        <v>25</v>
      </c>
      <c r="N187" s="197">
        <v>71.3</v>
      </c>
      <c r="O187" s="198">
        <f>M187*N187</f>
        <v>1782.5</v>
      </c>
      <c r="P187" s="127">
        <v>25</v>
      </c>
      <c r="Q187" s="125">
        <v>77.48</v>
      </c>
      <c r="R187" s="132">
        <v>1937</v>
      </c>
      <c r="S187" s="153">
        <f>J187+P187</f>
        <v>25</v>
      </c>
      <c r="T187" s="150"/>
      <c r="U187" s="148">
        <f>L187+R187</f>
        <v>1937</v>
      </c>
      <c r="V187" s="166">
        <v>25</v>
      </c>
      <c r="W187" s="9" t="s">
        <v>230</v>
      </c>
      <c r="X187" s="267"/>
    </row>
    <row r="188" spans="1:24" ht="15.75" x14ac:dyDescent="0.25">
      <c r="A188" s="268"/>
      <c r="B188" s="12"/>
      <c r="C188" s="105"/>
      <c r="D188" s="109"/>
      <c r="E188" s="106"/>
      <c r="F188" s="107"/>
      <c r="G188" s="201"/>
      <c r="H188" s="197"/>
      <c r="I188" s="198"/>
      <c r="J188" s="127"/>
      <c r="K188" s="106"/>
      <c r="L188" s="107"/>
      <c r="M188" s="67"/>
      <c r="N188" s="197"/>
      <c r="O188" s="198"/>
      <c r="P188" s="127"/>
      <c r="Q188" s="125"/>
      <c r="R188" s="132"/>
      <c r="S188" s="153"/>
      <c r="T188" s="150"/>
      <c r="U188" s="148"/>
      <c r="V188" s="4"/>
      <c r="W188" s="9"/>
      <c r="X188" s="267"/>
    </row>
    <row r="189" spans="1:24" ht="15.75" x14ac:dyDescent="0.25">
      <c r="A189" s="268" t="s">
        <v>231</v>
      </c>
      <c r="B189" s="22" t="s">
        <v>232</v>
      </c>
      <c r="C189" s="105"/>
      <c r="D189" s="109"/>
      <c r="E189" s="106"/>
      <c r="F189" s="107"/>
      <c r="G189" s="201"/>
      <c r="H189" s="197"/>
      <c r="I189" s="198"/>
      <c r="J189" s="127"/>
      <c r="K189" s="106"/>
      <c r="L189" s="107"/>
      <c r="M189" s="67"/>
      <c r="N189" s="197"/>
      <c r="O189" s="198"/>
      <c r="P189" s="127"/>
      <c r="Q189" s="125"/>
      <c r="R189" s="132"/>
      <c r="S189" s="153"/>
      <c r="T189" s="150"/>
      <c r="U189" s="148"/>
      <c r="V189" s="4"/>
      <c r="W189" s="9"/>
      <c r="X189" s="267"/>
    </row>
    <row r="190" spans="1:24" ht="15.75" x14ac:dyDescent="0.25">
      <c r="A190" s="268"/>
      <c r="B190" s="12"/>
      <c r="C190" s="105"/>
      <c r="D190" s="109"/>
      <c r="E190" s="106"/>
      <c r="F190" s="111"/>
      <c r="G190" s="201"/>
      <c r="H190" s="197"/>
      <c r="I190" s="200"/>
      <c r="J190" s="127"/>
      <c r="K190" s="106"/>
      <c r="L190" s="111"/>
      <c r="M190" s="67"/>
      <c r="N190" s="197"/>
      <c r="O190" s="200"/>
      <c r="P190" s="127"/>
      <c r="Q190" s="125"/>
      <c r="R190" s="134"/>
      <c r="S190" s="153"/>
      <c r="T190" s="150"/>
      <c r="U190" s="148"/>
      <c r="V190" s="4"/>
      <c r="W190" s="9"/>
      <c r="X190" s="267"/>
    </row>
    <row r="191" spans="1:24" ht="15.75" x14ac:dyDescent="0.25">
      <c r="A191" s="268" t="s">
        <v>233</v>
      </c>
      <c r="B191" s="22" t="s">
        <v>234</v>
      </c>
      <c r="C191" s="105"/>
      <c r="D191" s="109"/>
      <c r="E191" s="106"/>
      <c r="F191" s="107"/>
      <c r="G191" s="201"/>
      <c r="H191" s="197"/>
      <c r="I191" s="198"/>
      <c r="J191" s="127"/>
      <c r="K191" s="106"/>
      <c r="L191" s="107"/>
      <c r="M191" s="67"/>
      <c r="N191" s="197"/>
      <c r="O191" s="198"/>
      <c r="P191" s="127"/>
      <c r="Q191" s="125"/>
      <c r="R191" s="132"/>
      <c r="S191" s="153"/>
      <c r="T191" s="150"/>
      <c r="U191" s="148"/>
      <c r="V191" s="4"/>
      <c r="W191" s="9"/>
      <c r="X191" s="267"/>
    </row>
    <row r="192" spans="1:24" ht="15.75" x14ac:dyDescent="0.25">
      <c r="A192" s="268" t="s">
        <v>235</v>
      </c>
      <c r="B192" s="17" t="s">
        <v>236</v>
      </c>
      <c r="C192" s="105" t="s">
        <v>21</v>
      </c>
      <c r="D192" s="109">
        <v>2</v>
      </c>
      <c r="E192" s="106">
        <v>57.74</v>
      </c>
      <c r="F192" s="107">
        <f>D192*E192</f>
        <v>115.48</v>
      </c>
      <c r="G192" s="201">
        <v>2</v>
      </c>
      <c r="H192" s="197">
        <v>57.74</v>
      </c>
      <c r="I192" s="198">
        <f>G192*H192</f>
        <v>115.48</v>
      </c>
      <c r="J192" s="127">
        <v>0</v>
      </c>
      <c r="K192" s="106">
        <v>57.74</v>
      </c>
      <c r="L192" s="107">
        <f>J192*K192</f>
        <v>0</v>
      </c>
      <c r="M192" s="67">
        <v>2</v>
      </c>
      <c r="N192" s="197">
        <v>57.74</v>
      </c>
      <c r="O192" s="198">
        <f>M192*N192</f>
        <v>115.48</v>
      </c>
      <c r="P192" s="127">
        <v>2</v>
      </c>
      <c r="Q192" s="125">
        <v>70.55</v>
      </c>
      <c r="R192" s="132">
        <v>141.1</v>
      </c>
      <c r="S192" s="153">
        <f>J192+P192</f>
        <v>2</v>
      </c>
      <c r="T192" s="150"/>
      <c r="U192" s="148">
        <f>L192+R192</f>
        <v>141.1</v>
      </c>
      <c r="V192" s="166">
        <v>2</v>
      </c>
      <c r="W192" s="9" t="s">
        <v>210</v>
      </c>
      <c r="X192" s="267"/>
    </row>
    <row r="193" spans="1:24" ht="63" x14ac:dyDescent="0.25">
      <c r="A193" s="268"/>
      <c r="B193" s="12" t="s">
        <v>237</v>
      </c>
      <c r="C193" s="105"/>
      <c r="D193" s="109"/>
      <c r="E193" s="106"/>
      <c r="F193" s="107"/>
      <c r="G193" s="201"/>
      <c r="H193" s="197"/>
      <c r="I193" s="198"/>
      <c r="J193" s="127"/>
      <c r="K193" s="106"/>
      <c r="L193" s="107"/>
      <c r="M193" s="67"/>
      <c r="N193" s="197"/>
      <c r="O193" s="198"/>
      <c r="P193" s="127"/>
      <c r="Q193" s="125"/>
      <c r="R193" s="132"/>
      <c r="S193" s="154"/>
      <c r="T193" s="151"/>
      <c r="U193" s="148"/>
      <c r="V193" s="4"/>
      <c r="W193" s="9"/>
      <c r="X193" s="267"/>
    </row>
    <row r="194" spans="1:24" ht="15.75" x14ac:dyDescent="0.25">
      <c r="A194" s="276"/>
      <c r="B194" s="25"/>
      <c r="C194" s="322" t="s">
        <v>34</v>
      </c>
      <c r="D194" s="322"/>
      <c r="E194" s="322"/>
      <c r="F194" s="108">
        <f>SUM(F174:F193)</f>
        <v>10480.879999999999</v>
      </c>
      <c r="G194" s="326" t="s">
        <v>34</v>
      </c>
      <c r="H194" s="326"/>
      <c r="I194" s="199">
        <f>SUM(I174:I193)</f>
        <v>10480.879999999999</v>
      </c>
      <c r="J194" s="324" t="s">
        <v>34</v>
      </c>
      <c r="K194" s="324"/>
      <c r="L194" s="108">
        <f>SUM(L174:L193)</f>
        <v>0</v>
      </c>
      <c r="M194" s="326" t="s">
        <v>34</v>
      </c>
      <c r="N194" s="326"/>
      <c r="O194" s="199">
        <f>SUM(O174:O193)</f>
        <v>10480.879999999999</v>
      </c>
      <c r="P194" s="324" t="s">
        <v>34</v>
      </c>
      <c r="Q194" s="324"/>
      <c r="R194" s="133">
        <v>12330.2</v>
      </c>
      <c r="S194" s="326" t="s">
        <v>34</v>
      </c>
      <c r="T194" s="326"/>
      <c r="U194" s="156">
        <f>L194+R194</f>
        <v>12330.2</v>
      </c>
      <c r="V194" s="4"/>
      <c r="W194" s="9"/>
      <c r="X194" s="267"/>
    </row>
    <row r="195" spans="1:24" ht="15.75" x14ac:dyDescent="0.25">
      <c r="A195" s="264">
        <v>100000</v>
      </c>
      <c r="B195" s="57" t="s">
        <v>238</v>
      </c>
      <c r="C195" s="101"/>
      <c r="D195" s="115"/>
      <c r="E195" s="106"/>
      <c r="F195" s="107"/>
      <c r="G195" s="210"/>
      <c r="H195" s="197"/>
      <c r="I195" s="198"/>
      <c r="J195" s="129"/>
      <c r="K195" s="106"/>
      <c r="L195" s="107"/>
      <c r="M195" s="72"/>
      <c r="N195" s="197"/>
      <c r="O195" s="198"/>
      <c r="P195" s="129"/>
      <c r="Q195" s="125"/>
      <c r="R195" s="132"/>
      <c r="S195" s="152"/>
      <c r="T195" s="155"/>
      <c r="U195" s="157"/>
      <c r="V195" s="4"/>
      <c r="W195" s="9"/>
      <c r="X195" s="267"/>
    </row>
    <row r="196" spans="1:24" ht="15.75" x14ac:dyDescent="0.25">
      <c r="A196" s="268" t="s">
        <v>239</v>
      </c>
      <c r="B196" s="22" t="s">
        <v>240</v>
      </c>
      <c r="C196" s="105"/>
      <c r="D196" s="109"/>
      <c r="E196" s="106"/>
      <c r="F196" s="107"/>
      <c r="G196" s="201"/>
      <c r="H196" s="197"/>
      <c r="I196" s="198"/>
      <c r="J196" s="127"/>
      <c r="K196" s="106"/>
      <c r="L196" s="107"/>
      <c r="M196" s="67"/>
      <c r="N196" s="197"/>
      <c r="O196" s="198"/>
      <c r="P196" s="127"/>
      <c r="Q196" s="125"/>
      <c r="R196" s="132"/>
      <c r="S196" s="153"/>
      <c r="T196" s="150"/>
      <c r="U196" s="148"/>
      <c r="V196" s="4"/>
      <c r="W196" s="9"/>
      <c r="X196" s="267"/>
    </row>
    <row r="197" spans="1:24" ht="15.75" x14ac:dyDescent="0.25">
      <c r="A197" s="268"/>
      <c r="B197" s="17"/>
      <c r="C197" s="105"/>
      <c r="D197" s="109"/>
      <c r="E197" s="106"/>
      <c r="F197" s="107"/>
      <c r="G197" s="201"/>
      <c r="H197" s="197"/>
      <c r="I197" s="198"/>
      <c r="J197" s="127"/>
      <c r="K197" s="106"/>
      <c r="L197" s="107"/>
      <c r="M197" s="67"/>
      <c r="N197" s="197"/>
      <c r="O197" s="198"/>
      <c r="P197" s="127"/>
      <c r="Q197" s="125"/>
      <c r="R197" s="132"/>
      <c r="S197" s="153"/>
      <c r="T197" s="150"/>
      <c r="U197" s="148"/>
      <c r="V197" s="4"/>
      <c r="W197" s="9"/>
      <c r="X197" s="267"/>
    </row>
    <row r="198" spans="1:24" ht="31.5" x14ac:dyDescent="0.25">
      <c r="A198" s="268" t="s">
        <v>241</v>
      </c>
      <c r="B198" s="22" t="s">
        <v>242</v>
      </c>
      <c r="C198" s="105"/>
      <c r="D198" s="109"/>
      <c r="E198" s="106"/>
      <c r="F198" s="107"/>
      <c r="G198" s="201"/>
      <c r="H198" s="197"/>
      <c r="I198" s="198"/>
      <c r="J198" s="127"/>
      <c r="K198" s="106"/>
      <c r="L198" s="107"/>
      <c r="M198" s="67"/>
      <c r="N198" s="197"/>
      <c r="O198" s="198"/>
      <c r="P198" s="127"/>
      <c r="Q198" s="125"/>
      <c r="R198" s="132"/>
      <c r="S198" s="153"/>
      <c r="T198" s="150"/>
      <c r="U198" s="148"/>
      <c r="V198" s="4"/>
      <c r="W198" s="9"/>
      <c r="X198" s="267"/>
    </row>
    <row r="199" spans="1:24" ht="110.25" x14ac:dyDescent="0.25">
      <c r="A199" s="268"/>
      <c r="B199" s="12" t="s">
        <v>243</v>
      </c>
      <c r="C199" s="105"/>
      <c r="D199" s="109"/>
      <c r="E199" s="106"/>
      <c r="F199" s="107"/>
      <c r="G199" s="201"/>
      <c r="H199" s="197"/>
      <c r="I199" s="198"/>
      <c r="J199" s="127"/>
      <c r="K199" s="106"/>
      <c r="L199" s="107"/>
      <c r="M199" s="67"/>
      <c r="N199" s="197"/>
      <c r="O199" s="198"/>
      <c r="P199" s="127"/>
      <c r="Q199" s="125"/>
      <c r="R199" s="132"/>
      <c r="S199" s="153"/>
      <c r="T199" s="150"/>
      <c r="U199" s="148"/>
      <c r="V199" s="4"/>
      <c r="W199" s="9"/>
      <c r="X199" s="267"/>
    </row>
    <row r="200" spans="1:24" ht="15.75" x14ac:dyDescent="0.25">
      <c r="A200" s="268"/>
      <c r="B200" s="22"/>
      <c r="C200" s="105"/>
      <c r="D200" s="109"/>
      <c r="E200" s="106"/>
      <c r="F200" s="107"/>
      <c r="G200" s="201"/>
      <c r="H200" s="197"/>
      <c r="I200" s="198"/>
      <c r="J200" s="127"/>
      <c r="K200" s="106"/>
      <c r="L200" s="107"/>
      <c r="M200" s="67"/>
      <c r="N200" s="197"/>
      <c r="O200" s="198"/>
      <c r="P200" s="127"/>
      <c r="Q200" s="125"/>
      <c r="R200" s="132"/>
      <c r="S200" s="153"/>
      <c r="T200" s="150"/>
      <c r="U200" s="148"/>
      <c r="V200" s="4"/>
      <c r="W200" s="9"/>
      <c r="X200" s="267"/>
    </row>
    <row r="201" spans="1:24" ht="15.75" x14ac:dyDescent="0.25">
      <c r="A201" s="268"/>
      <c r="B201" s="27"/>
      <c r="C201" s="105"/>
      <c r="D201" s="109"/>
      <c r="E201" s="106"/>
      <c r="F201" s="107"/>
      <c r="G201" s="201"/>
      <c r="H201" s="197"/>
      <c r="I201" s="198"/>
      <c r="J201" s="127"/>
      <c r="K201" s="106"/>
      <c r="L201" s="107"/>
      <c r="M201" s="67"/>
      <c r="N201" s="197"/>
      <c r="O201" s="198"/>
      <c r="P201" s="127"/>
      <c r="Q201" s="125"/>
      <c r="R201" s="132"/>
      <c r="S201" s="153"/>
      <c r="T201" s="150"/>
      <c r="U201" s="148"/>
      <c r="V201" s="4"/>
      <c r="W201" s="9"/>
      <c r="X201" s="267"/>
    </row>
    <row r="202" spans="1:24" ht="31.5" x14ac:dyDescent="0.25">
      <c r="A202" s="268" t="s">
        <v>244</v>
      </c>
      <c r="B202" s="13" t="s">
        <v>245</v>
      </c>
      <c r="C202" s="105" t="s">
        <v>21</v>
      </c>
      <c r="D202" s="109">
        <v>3</v>
      </c>
      <c r="E202" s="106">
        <v>137.22999999999999</v>
      </c>
      <c r="F202" s="107">
        <f>D202*E202</f>
        <v>411.68999999999994</v>
      </c>
      <c r="G202" s="201">
        <v>3</v>
      </c>
      <c r="H202" s="197">
        <v>137.22999999999999</v>
      </c>
      <c r="I202" s="198">
        <f>G202*H202</f>
        <v>411.68999999999994</v>
      </c>
      <c r="J202" s="127">
        <v>0</v>
      </c>
      <c r="K202" s="106">
        <v>137.22999999999999</v>
      </c>
      <c r="L202" s="107">
        <f>J202*K202</f>
        <v>0</v>
      </c>
      <c r="M202" s="67">
        <v>3</v>
      </c>
      <c r="N202" s="197">
        <v>137.22999999999999</v>
      </c>
      <c r="O202" s="198">
        <f>M202*N202</f>
        <v>411.68999999999994</v>
      </c>
      <c r="P202" s="127">
        <v>3</v>
      </c>
      <c r="Q202" s="125">
        <v>188.23</v>
      </c>
      <c r="R202" s="132">
        <v>564.68999999999994</v>
      </c>
      <c r="S202" s="153">
        <f>J202+P202</f>
        <v>3</v>
      </c>
      <c r="T202" s="150"/>
      <c r="U202" s="148">
        <f>L202+R202</f>
        <v>564.68999999999994</v>
      </c>
      <c r="V202" s="4">
        <v>3</v>
      </c>
      <c r="W202" s="9" t="s">
        <v>246</v>
      </c>
      <c r="X202" s="267"/>
    </row>
    <row r="203" spans="1:24" ht="15.75" x14ac:dyDescent="0.25">
      <c r="A203" s="268"/>
      <c r="B203" s="27"/>
      <c r="C203" s="105"/>
      <c r="D203" s="109"/>
      <c r="E203" s="106"/>
      <c r="F203" s="107"/>
      <c r="G203" s="201"/>
      <c r="H203" s="197"/>
      <c r="I203" s="198"/>
      <c r="J203" s="127"/>
      <c r="K203" s="106"/>
      <c r="L203" s="107"/>
      <c r="M203" s="67"/>
      <c r="N203" s="197"/>
      <c r="O203" s="198"/>
      <c r="P203" s="127"/>
      <c r="Q203" s="125"/>
      <c r="R203" s="132"/>
      <c r="S203" s="153"/>
      <c r="T203" s="150"/>
      <c r="U203" s="148"/>
      <c r="V203" s="8"/>
      <c r="W203" s="9"/>
      <c r="X203" s="267"/>
    </row>
    <row r="204" spans="1:24" ht="15.75" x14ac:dyDescent="0.25">
      <c r="A204" s="268"/>
      <c r="B204" s="12"/>
      <c r="C204" s="105"/>
      <c r="D204" s="109"/>
      <c r="E204" s="106"/>
      <c r="F204" s="107"/>
      <c r="G204" s="201"/>
      <c r="H204" s="197"/>
      <c r="I204" s="198"/>
      <c r="J204" s="127"/>
      <c r="K204" s="106"/>
      <c r="L204" s="107"/>
      <c r="M204" s="67"/>
      <c r="N204" s="197"/>
      <c r="O204" s="198"/>
      <c r="P204" s="127"/>
      <c r="Q204" s="125"/>
      <c r="R204" s="132"/>
      <c r="S204" s="153"/>
      <c r="T204" s="150"/>
      <c r="U204" s="148"/>
      <c r="V204" s="4"/>
      <c r="W204" s="9"/>
      <c r="X204" s="267"/>
    </row>
    <row r="205" spans="1:24" ht="15.75" x14ac:dyDescent="0.25">
      <c r="A205" s="268" t="s">
        <v>247</v>
      </c>
      <c r="B205" s="22" t="s">
        <v>248</v>
      </c>
      <c r="C205" s="105"/>
      <c r="D205" s="109"/>
      <c r="E205" s="106"/>
      <c r="F205" s="107"/>
      <c r="G205" s="201"/>
      <c r="H205" s="197"/>
      <c r="I205" s="198"/>
      <c r="J205" s="127"/>
      <c r="K205" s="106"/>
      <c r="L205" s="107"/>
      <c r="M205" s="67"/>
      <c r="N205" s="197"/>
      <c r="O205" s="198"/>
      <c r="P205" s="127"/>
      <c r="Q205" s="125"/>
      <c r="R205" s="132"/>
      <c r="S205" s="153"/>
      <c r="T205" s="150"/>
      <c r="U205" s="148"/>
      <c r="V205" s="4"/>
      <c r="W205" s="9"/>
      <c r="X205" s="267"/>
    </row>
    <row r="206" spans="1:24" ht="47.25" x14ac:dyDescent="0.25">
      <c r="A206" s="268" t="s">
        <v>249</v>
      </c>
      <c r="B206" s="17" t="s">
        <v>250</v>
      </c>
      <c r="C206" s="105" t="s">
        <v>21</v>
      </c>
      <c r="D206" s="109">
        <v>7</v>
      </c>
      <c r="E206" s="106">
        <v>24.1</v>
      </c>
      <c r="F206" s="107">
        <f>D206*E206</f>
        <v>168.70000000000002</v>
      </c>
      <c r="G206" s="201">
        <v>7</v>
      </c>
      <c r="H206" s="197">
        <v>24.1</v>
      </c>
      <c r="I206" s="198">
        <f>G206*H206</f>
        <v>168.70000000000002</v>
      </c>
      <c r="J206" s="127">
        <v>0</v>
      </c>
      <c r="K206" s="106">
        <v>24.1</v>
      </c>
      <c r="L206" s="107">
        <f>J206*K206</f>
        <v>0</v>
      </c>
      <c r="M206" s="67">
        <v>7</v>
      </c>
      <c r="N206" s="197">
        <v>24.1</v>
      </c>
      <c r="O206" s="198">
        <f>M206*N206</f>
        <v>168.70000000000002</v>
      </c>
      <c r="P206" s="127">
        <v>7</v>
      </c>
      <c r="Q206" s="125">
        <v>25.58</v>
      </c>
      <c r="R206" s="132">
        <v>179.06</v>
      </c>
      <c r="S206" s="153">
        <f>J206+P206</f>
        <v>7</v>
      </c>
      <c r="T206" s="150"/>
      <c r="U206" s="148">
        <f>L206+R206</f>
        <v>179.06</v>
      </c>
      <c r="V206" s="166">
        <v>7</v>
      </c>
      <c r="W206" s="9" t="s">
        <v>251</v>
      </c>
      <c r="X206" s="267"/>
    </row>
    <row r="207" spans="1:24" ht="78.75" x14ac:dyDescent="0.25">
      <c r="A207" s="268"/>
      <c r="B207" s="12" t="s">
        <v>252</v>
      </c>
      <c r="C207" s="105"/>
      <c r="D207" s="109"/>
      <c r="E207" s="106"/>
      <c r="F207" s="107"/>
      <c r="G207" s="201"/>
      <c r="H207" s="197"/>
      <c r="I207" s="198"/>
      <c r="J207" s="127"/>
      <c r="K207" s="106"/>
      <c r="L207" s="107"/>
      <c r="M207" s="67"/>
      <c r="N207" s="197"/>
      <c r="O207" s="198"/>
      <c r="P207" s="127"/>
      <c r="Q207" s="125"/>
      <c r="R207" s="132"/>
      <c r="S207" s="153"/>
      <c r="T207" s="150"/>
      <c r="U207" s="148"/>
      <c r="V207" s="4"/>
      <c r="W207" s="9"/>
      <c r="X207" s="267"/>
    </row>
    <row r="208" spans="1:24" ht="15.75" x14ac:dyDescent="0.25">
      <c r="A208" s="268"/>
      <c r="B208" s="12"/>
      <c r="C208" s="105"/>
      <c r="D208" s="109"/>
      <c r="E208" s="106"/>
      <c r="F208" s="107"/>
      <c r="G208" s="201"/>
      <c r="H208" s="197"/>
      <c r="I208" s="198"/>
      <c r="J208" s="127"/>
      <c r="K208" s="106"/>
      <c r="L208" s="107"/>
      <c r="M208" s="67"/>
      <c r="N208" s="197"/>
      <c r="O208" s="198"/>
      <c r="P208" s="127"/>
      <c r="Q208" s="125"/>
      <c r="R208" s="132"/>
      <c r="S208" s="153"/>
      <c r="T208" s="150"/>
      <c r="U208" s="148"/>
      <c r="V208" s="4"/>
      <c r="W208" s="9"/>
      <c r="X208" s="267"/>
    </row>
    <row r="209" spans="1:24" ht="15.75" x14ac:dyDescent="0.25">
      <c r="A209" s="268"/>
      <c r="B209" s="12"/>
      <c r="C209" s="105"/>
      <c r="D209" s="109"/>
      <c r="E209" s="106"/>
      <c r="F209" s="107"/>
      <c r="G209" s="201"/>
      <c r="H209" s="197"/>
      <c r="I209" s="198"/>
      <c r="J209" s="127"/>
      <c r="K209" s="106"/>
      <c r="L209" s="107"/>
      <c r="M209" s="67"/>
      <c r="N209" s="197"/>
      <c r="O209" s="198"/>
      <c r="P209" s="127"/>
      <c r="Q209" s="125"/>
      <c r="R209" s="132"/>
      <c r="S209" s="153"/>
      <c r="T209" s="150"/>
      <c r="U209" s="148"/>
      <c r="V209" s="4"/>
      <c r="W209" s="9"/>
      <c r="X209" s="267"/>
    </row>
    <row r="210" spans="1:24" ht="31.5" x14ac:dyDescent="0.25">
      <c r="A210" s="268" t="s">
        <v>253</v>
      </c>
      <c r="B210" s="17" t="s">
        <v>254</v>
      </c>
      <c r="C210" s="105" t="s">
        <v>21</v>
      </c>
      <c r="D210" s="109">
        <v>4</v>
      </c>
      <c r="E210" s="106">
        <v>14.2</v>
      </c>
      <c r="F210" s="107">
        <f>D210*E210</f>
        <v>56.8</v>
      </c>
      <c r="G210" s="201">
        <v>4</v>
      </c>
      <c r="H210" s="197">
        <v>14.2</v>
      </c>
      <c r="I210" s="198">
        <f>G210*H210</f>
        <v>56.8</v>
      </c>
      <c r="J210" s="127">
        <v>0</v>
      </c>
      <c r="K210" s="106">
        <v>14.2</v>
      </c>
      <c r="L210" s="107">
        <f>J210*K210</f>
        <v>0</v>
      </c>
      <c r="M210" s="67">
        <v>4</v>
      </c>
      <c r="N210" s="197">
        <v>14.2</v>
      </c>
      <c r="O210" s="198">
        <f>M210*N210</f>
        <v>56.8</v>
      </c>
      <c r="P210" s="127">
        <v>4</v>
      </c>
      <c r="Q210" s="125">
        <v>26.84</v>
      </c>
      <c r="R210" s="132">
        <v>107.36</v>
      </c>
      <c r="S210" s="153">
        <f>J210+P210</f>
        <v>4</v>
      </c>
      <c r="T210" s="150"/>
      <c r="U210" s="148">
        <f>L210+R210</f>
        <v>107.36</v>
      </c>
      <c r="V210" s="166">
        <v>4</v>
      </c>
      <c r="W210" s="9" t="s">
        <v>255</v>
      </c>
      <c r="X210" s="267"/>
    </row>
    <row r="211" spans="1:24" ht="78.75" x14ac:dyDescent="0.25">
      <c r="A211" s="268"/>
      <c r="B211" s="12" t="s">
        <v>256</v>
      </c>
      <c r="C211" s="105"/>
      <c r="D211" s="109"/>
      <c r="E211" s="106"/>
      <c r="F211" s="107"/>
      <c r="G211" s="201"/>
      <c r="H211" s="197"/>
      <c r="I211" s="198"/>
      <c r="J211" s="127"/>
      <c r="K211" s="106"/>
      <c r="L211" s="107"/>
      <c r="M211" s="67"/>
      <c r="N211" s="197"/>
      <c r="O211" s="198"/>
      <c r="P211" s="127"/>
      <c r="Q211" s="125"/>
      <c r="R211" s="132"/>
      <c r="S211" s="153"/>
      <c r="T211" s="150"/>
      <c r="U211" s="148"/>
      <c r="V211" s="4"/>
      <c r="W211" s="9"/>
      <c r="X211" s="267"/>
    </row>
    <row r="212" spans="1:24" ht="15.75" x14ac:dyDescent="0.25">
      <c r="A212" s="268"/>
      <c r="B212" s="12"/>
      <c r="C212" s="105"/>
      <c r="D212" s="109"/>
      <c r="E212" s="106"/>
      <c r="F212" s="107"/>
      <c r="G212" s="201"/>
      <c r="H212" s="197"/>
      <c r="I212" s="198"/>
      <c r="J212" s="127"/>
      <c r="K212" s="106"/>
      <c r="L212" s="107"/>
      <c r="M212" s="67"/>
      <c r="N212" s="197"/>
      <c r="O212" s="198"/>
      <c r="P212" s="127"/>
      <c r="Q212" s="125"/>
      <c r="R212" s="132"/>
      <c r="S212" s="153"/>
      <c r="T212" s="150"/>
      <c r="U212" s="148"/>
      <c r="V212" s="4"/>
      <c r="W212" s="9"/>
      <c r="X212" s="267"/>
    </row>
    <row r="213" spans="1:24" ht="15.75" x14ac:dyDescent="0.25">
      <c r="A213" s="268"/>
      <c r="B213" s="12"/>
      <c r="C213" s="105"/>
      <c r="D213" s="109"/>
      <c r="E213" s="106"/>
      <c r="F213" s="107"/>
      <c r="G213" s="201"/>
      <c r="H213" s="197"/>
      <c r="I213" s="198"/>
      <c r="J213" s="127"/>
      <c r="K213" s="106"/>
      <c r="L213" s="107"/>
      <c r="M213" s="67"/>
      <c r="N213" s="197"/>
      <c r="O213" s="198"/>
      <c r="P213" s="127"/>
      <c r="Q213" s="125"/>
      <c r="R213" s="132"/>
      <c r="S213" s="153"/>
      <c r="T213" s="150"/>
      <c r="U213" s="148"/>
      <c r="V213" s="4"/>
      <c r="W213" s="9"/>
      <c r="X213" s="267"/>
    </row>
    <row r="214" spans="1:24" ht="15.75" x14ac:dyDescent="0.25">
      <c r="A214" s="268" t="s">
        <v>257</v>
      </c>
      <c r="B214" s="22" t="s">
        <v>258</v>
      </c>
      <c r="C214" s="105"/>
      <c r="D214" s="109"/>
      <c r="E214" s="106"/>
      <c r="F214" s="107"/>
      <c r="G214" s="201"/>
      <c r="H214" s="197"/>
      <c r="I214" s="198"/>
      <c r="J214" s="127"/>
      <c r="K214" s="106"/>
      <c r="L214" s="107"/>
      <c r="M214" s="67"/>
      <c r="N214" s="197"/>
      <c r="O214" s="198"/>
      <c r="P214" s="127"/>
      <c r="Q214" s="125"/>
      <c r="R214" s="132"/>
      <c r="S214" s="153"/>
      <c r="T214" s="150"/>
      <c r="U214" s="148"/>
      <c r="V214" s="4"/>
      <c r="W214" s="9"/>
      <c r="X214" s="267"/>
    </row>
    <row r="215" spans="1:24" ht="126" x14ac:dyDescent="0.25">
      <c r="A215" s="268"/>
      <c r="B215" s="12" t="s">
        <v>259</v>
      </c>
      <c r="C215" s="105"/>
      <c r="D215" s="109"/>
      <c r="E215" s="106"/>
      <c r="F215" s="107"/>
      <c r="G215" s="201"/>
      <c r="H215" s="197"/>
      <c r="I215" s="198"/>
      <c r="J215" s="127"/>
      <c r="K215" s="106"/>
      <c r="L215" s="107"/>
      <c r="M215" s="67"/>
      <c r="N215" s="197"/>
      <c r="O215" s="198"/>
      <c r="P215" s="127"/>
      <c r="Q215" s="125"/>
      <c r="R215" s="132"/>
      <c r="S215" s="153"/>
      <c r="T215" s="150"/>
      <c r="U215" s="148"/>
      <c r="V215" s="4"/>
      <c r="W215" s="9"/>
      <c r="X215" s="267"/>
    </row>
    <row r="216" spans="1:24" ht="15.75" x14ac:dyDescent="0.25">
      <c r="A216" s="268"/>
      <c r="B216" s="22"/>
      <c r="C216" s="105"/>
      <c r="D216" s="109"/>
      <c r="E216" s="106"/>
      <c r="F216" s="107"/>
      <c r="G216" s="201"/>
      <c r="H216" s="197"/>
      <c r="I216" s="198"/>
      <c r="J216" s="127"/>
      <c r="K216" s="106"/>
      <c r="L216" s="107"/>
      <c r="M216" s="67"/>
      <c r="N216" s="197"/>
      <c r="O216" s="198"/>
      <c r="P216" s="127"/>
      <c r="Q216" s="125"/>
      <c r="R216" s="132"/>
      <c r="S216" s="153"/>
      <c r="T216" s="150"/>
      <c r="U216" s="148"/>
      <c r="V216" s="4"/>
      <c r="W216" s="9"/>
      <c r="X216" s="267"/>
    </row>
    <row r="217" spans="1:24" ht="15.75" x14ac:dyDescent="0.25">
      <c r="A217" s="268" t="s">
        <v>260</v>
      </c>
      <c r="B217" s="17" t="s">
        <v>261</v>
      </c>
      <c r="C217" s="105" t="s">
        <v>21</v>
      </c>
      <c r="D217" s="109">
        <v>4</v>
      </c>
      <c r="E217" s="106">
        <v>18.84</v>
      </c>
      <c r="F217" s="107">
        <f>D217*E217</f>
        <v>75.36</v>
      </c>
      <c r="G217" s="201">
        <v>4</v>
      </c>
      <c r="H217" s="197">
        <v>18.84</v>
      </c>
      <c r="I217" s="198">
        <f>G217*H217</f>
        <v>75.36</v>
      </c>
      <c r="J217" s="127">
        <v>0</v>
      </c>
      <c r="K217" s="106">
        <v>18.84</v>
      </c>
      <c r="L217" s="107">
        <f>J217*K217</f>
        <v>0</v>
      </c>
      <c r="M217" s="67">
        <v>4</v>
      </c>
      <c r="N217" s="197">
        <v>18.84</v>
      </c>
      <c r="O217" s="198">
        <f>M217*N217</f>
        <v>75.36</v>
      </c>
      <c r="P217" s="127">
        <v>4</v>
      </c>
      <c r="Q217" s="125">
        <v>23.35</v>
      </c>
      <c r="R217" s="132">
        <v>93.4</v>
      </c>
      <c r="S217" s="153">
        <f>J217+P217</f>
        <v>4</v>
      </c>
      <c r="T217" s="150"/>
      <c r="U217" s="148">
        <f>L217+R217</f>
        <v>93.4</v>
      </c>
      <c r="V217" s="166">
        <v>4</v>
      </c>
      <c r="W217" s="9" t="s">
        <v>262</v>
      </c>
      <c r="X217" s="267"/>
    </row>
    <row r="218" spans="1:24" ht="15.75" x14ac:dyDescent="0.25">
      <c r="A218" s="268"/>
      <c r="B218" s="12"/>
      <c r="C218" s="105"/>
      <c r="D218" s="109"/>
      <c r="E218" s="106"/>
      <c r="F218" s="107"/>
      <c r="G218" s="201"/>
      <c r="H218" s="197"/>
      <c r="I218" s="198"/>
      <c r="J218" s="127"/>
      <c r="K218" s="106"/>
      <c r="L218" s="107"/>
      <c r="M218" s="67"/>
      <c r="N218" s="197"/>
      <c r="O218" s="198"/>
      <c r="P218" s="127"/>
      <c r="Q218" s="125"/>
      <c r="R218" s="132"/>
      <c r="S218" s="153"/>
      <c r="T218" s="150"/>
      <c r="U218" s="148"/>
      <c r="V218" s="4"/>
      <c r="W218" s="9"/>
      <c r="X218" s="267"/>
    </row>
    <row r="219" spans="1:24" ht="15.75" x14ac:dyDescent="0.25">
      <c r="A219" s="268"/>
      <c r="B219" s="12"/>
      <c r="C219" s="105"/>
      <c r="D219" s="109"/>
      <c r="E219" s="106"/>
      <c r="F219" s="107"/>
      <c r="G219" s="201"/>
      <c r="H219" s="197"/>
      <c r="I219" s="198"/>
      <c r="J219" s="127"/>
      <c r="K219" s="106"/>
      <c r="L219" s="107"/>
      <c r="M219" s="67"/>
      <c r="N219" s="197"/>
      <c r="O219" s="198"/>
      <c r="P219" s="127"/>
      <c r="Q219" s="125"/>
      <c r="R219" s="132"/>
      <c r="S219" s="153"/>
      <c r="T219" s="150"/>
      <c r="U219" s="148"/>
      <c r="V219" s="4"/>
      <c r="W219" s="9"/>
      <c r="X219" s="267"/>
    </row>
    <row r="220" spans="1:24" ht="15.75" x14ac:dyDescent="0.25">
      <c r="A220" s="268" t="s">
        <v>263</v>
      </c>
      <c r="B220" s="17" t="s">
        <v>264</v>
      </c>
      <c r="C220" s="105" t="s">
        <v>21</v>
      </c>
      <c r="D220" s="109">
        <v>4</v>
      </c>
      <c r="E220" s="106">
        <v>44.6</v>
      </c>
      <c r="F220" s="107">
        <f>D220*E220</f>
        <v>178.4</v>
      </c>
      <c r="G220" s="201">
        <v>4</v>
      </c>
      <c r="H220" s="197">
        <v>44.6</v>
      </c>
      <c r="I220" s="198">
        <f>G220*H220</f>
        <v>178.4</v>
      </c>
      <c r="J220" s="127">
        <v>0</v>
      </c>
      <c r="K220" s="106">
        <v>44.6</v>
      </c>
      <c r="L220" s="107">
        <f>J220*K220</f>
        <v>0</v>
      </c>
      <c r="M220" s="67">
        <v>4</v>
      </c>
      <c r="N220" s="197">
        <v>44.6</v>
      </c>
      <c r="O220" s="198">
        <f>M220*N220</f>
        <v>178.4</v>
      </c>
      <c r="P220" s="127">
        <v>4</v>
      </c>
      <c r="Q220" s="125">
        <v>51.95</v>
      </c>
      <c r="R220" s="132">
        <v>207.8</v>
      </c>
      <c r="S220" s="153">
        <f>J220+P220</f>
        <v>4</v>
      </c>
      <c r="T220" s="150"/>
      <c r="U220" s="148">
        <f>L220+R220</f>
        <v>207.8</v>
      </c>
      <c r="V220" s="166">
        <v>4</v>
      </c>
      <c r="W220" s="9" t="s">
        <v>262</v>
      </c>
      <c r="X220" s="267"/>
    </row>
    <row r="221" spans="1:24" ht="15.75" x14ac:dyDescent="0.25">
      <c r="A221" s="268"/>
      <c r="B221" s="12"/>
      <c r="C221" s="105"/>
      <c r="D221" s="109"/>
      <c r="E221" s="106"/>
      <c r="F221" s="107"/>
      <c r="G221" s="201"/>
      <c r="H221" s="197"/>
      <c r="I221" s="198"/>
      <c r="J221" s="127"/>
      <c r="K221" s="106"/>
      <c r="L221" s="107"/>
      <c r="M221" s="67"/>
      <c r="N221" s="197"/>
      <c r="O221" s="198"/>
      <c r="P221" s="127"/>
      <c r="Q221" s="125"/>
      <c r="R221" s="132"/>
      <c r="S221" s="153"/>
      <c r="T221" s="150"/>
      <c r="U221" s="148"/>
      <c r="V221" s="4"/>
      <c r="W221" s="9"/>
      <c r="X221" s="267"/>
    </row>
    <row r="222" spans="1:24" ht="15.75" x14ac:dyDescent="0.25">
      <c r="A222" s="268"/>
      <c r="B222" s="12"/>
      <c r="C222" s="105"/>
      <c r="D222" s="109"/>
      <c r="E222" s="106"/>
      <c r="F222" s="107"/>
      <c r="G222" s="201"/>
      <c r="H222" s="197"/>
      <c r="I222" s="198"/>
      <c r="J222" s="127"/>
      <c r="K222" s="106"/>
      <c r="L222" s="107"/>
      <c r="M222" s="67"/>
      <c r="N222" s="197"/>
      <c r="O222" s="198"/>
      <c r="P222" s="127"/>
      <c r="Q222" s="125"/>
      <c r="R222" s="132"/>
      <c r="S222" s="153"/>
      <c r="T222" s="150"/>
      <c r="U222" s="148"/>
      <c r="V222" s="4"/>
      <c r="W222" s="9"/>
      <c r="X222" s="267"/>
    </row>
    <row r="223" spans="1:24" ht="15.75" x14ac:dyDescent="0.25">
      <c r="A223" s="268"/>
      <c r="B223" s="12"/>
      <c r="C223" s="105"/>
      <c r="D223" s="109"/>
      <c r="E223" s="106"/>
      <c r="F223" s="107"/>
      <c r="G223" s="201"/>
      <c r="H223" s="197"/>
      <c r="I223" s="198"/>
      <c r="J223" s="127"/>
      <c r="K223" s="106"/>
      <c r="L223" s="107"/>
      <c r="M223" s="67"/>
      <c r="N223" s="197"/>
      <c r="O223" s="198"/>
      <c r="P223" s="127"/>
      <c r="Q223" s="125"/>
      <c r="R223" s="132"/>
      <c r="S223" s="153"/>
      <c r="T223" s="150"/>
      <c r="U223" s="148"/>
      <c r="V223" s="4"/>
      <c r="W223" s="9"/>
      <c r="X223" s="267"/>
    </row>
    <row r="224" spans="1:24" ht="47.25" x14ac:dyDescent="0.25">
      <c r="A224" s="277" t="s">
        <v>265</v>
      </c>
      <c r="B224" s="13" t="s">
        <v>266</v>
      </c>
      <c r="C224" s="117" t="s">
        <v>21</v>
      </c>
      <c r="D224" s="109">
        <v>1</v>
      </c>
      <c r="E224" s="106">
        <v>106.47</v>
      </c>
      <c r="F224" s="107">
        <f>D224*E224</f>
        <v>106.47</v>
      </c>
      <c r="G224" s="201">
        <v>1</v>
      </c>
      <c r="H224" s="197">
        <v>106.47</v>
      </c>
      <c r="I224" s="198">
        <f>G224*H224</f>
        <v>106.47</v>
      </c>
      <c r="J224" s="127">
        <v>0</v>
      </c>
      <c r="K224" s="106">
        <v>106.47</v>
      </c>
      <c r="L224" s="107">
        <f>J224*K224</f>
        <v>0</v>
      </c>
      <c r="M224" s="67">
        <v>1</v>
      </c>
      <c r="N224" s="197">
        <v>106.47</v>
      </c>
      <c r="O224" s="198">
        <f>M224*N224</f>
        <v>106.47</v>
      </c>
      <c r="P224" s="127">
        <v>1</v>
      </c>
      <c r="Q224" s="125">
        <v>126.27</v>
      </c>
      <c r="R224" s="132">
        <v>126.27</v>
      </c>
      <c r="S224" s="153">
        <f>J224+P224</f>
        <v>1</v>
      </c>
      <c r="T224" s="150"/>
      <c r="U224" s="148">
        <f>L224+R224</f>
        <v>126.27</v>
      </c>
      <c r="V224" s="166">
        <v>1</v>
      </c>
      <c r="W224" s="9" t="s">
        <v>262</v>
      </c>
      <c r="X224" s="267"/>
    </row>
    <row r="225" spans="1:24" ht="15.75" x14ac:dyDescent="0.25">
      <c r="A225" s="277"/>
      <c r="B225" s="62"/>
      <c r="C225" s="117"/>
      <c r="D225" s="109"/>
      <c r="E225" s="106"/>
      <c r="F225" s="107"/>
      <c r="G225" s="201"/>
      <c r="H225" s="197"/>
      <c r="I225" s="198"/>
      <c r="J225" s="127"/>
      <c r="K225" s="106"/>
      <c r="L225" s="107"/>
      <c r="M225" s="67"/>
      <c r="N225" s="197"/>
      <c r="O225" s="198"/>
      <c r="P225" s="127"/>
      <c r="Q225" s="125"/>
      <c r="R225" s="132"/>
      <c r="S225" s="153"/>
      <c r="T225" s="150"/>
      <c r="U225" s="148"/>
      <c r="V225" s="4"/>
      <c r="W225" s="9"/>
      <c r="X225" s="267"/>
    </row>
    <row r="226" spans="1:24" ht="15.75" x14ac:dyDescent="0.25">
      <c r="A226" s="277"/>
      <c r="B226" s="27"/>
      <c r="C226" s="117"/>
      <c r="D226" s="109"/>
      <c r="E226" s="106"/>
      <c r="F226" s="107"/>
      <c r="G226" s="201"/>
      <c r="H226" s="197"/>
      <c r="I226" s="198"/>
      <c r="J226" s="127"/>
      <c r="K226" s="106"/>
      <c r="L226" s="107"/>
      <c r="M226" s="67"/>
      <c r="N226" s="197"/>
      <c r="O226" s="198"/>
      <c r="P226" s="127"/>
      <c r="Q226" s="125"/>
      <c r="R226" s="132"/>
      <c r="S226" s="153"/>
      <c r="T226" s="150"/>
      <c r="U226" s="148"/>
      <c r="V226" s="4"/>
      <c r="W226" s="9"/>
      <c r="X226" s="267"/>
    </row>
    <row r="227" spans="1:24" ht="15.75" x14ac:dyDescent="0.25">
      <c r="A227" s="268"/>
      <c r="B227" s="12"/>
      <c r="C227" s="105"/>
      <c r="D227" s="109"/>
      <c r="E227" s="106"/>
      <c r="F227" s="107"/>
      <c r="G227" s="201"/>
      <c r="H227" s="197"/>
      <c r="I227" s="198"/>
      <c r="J227" s="127"/>
      <c r="K227" s="106"/>
      <c r="L227" s="107"/>
      <c r="M227" s="67"/>
      <c r="N227" s="197"/>
      <c r="O227" s="198"/>
      <c r="P227" s="127"/>
      <c r="Q227" s="125"/>
      <c r="R227" s="132"/>
      <c r="S227" s="153"/>
      <c r="T227" s="150"/>
      <c r="U227" s="148"/>
      <c r="V227" s="4"/>
      <c r="W227" s="9"/>
      <c r="X227" s="267"/>
    </row>
    <row r="228" spans="1:24" ht="15.75" x14ac:dyDescent="0.25">
      <c r="A228" s="268" t="s">
        <v>267</v>
      </c>
      <c r="B228" s="22" t="s">
        <v>268</v>
      </c>
      <c r="C228" s="105"/>
      <c r="D228" s="109"/>
      <c r="E228" s="106"/>
      <c r="F228" s="107"/>
      <c r="G228" s="201"/>
      <c r="H228" s="197"/>
      <c r="I228" s="198"/>
      <c r="J228" s="127"/>
      <c r="K228" s="106"/>
      <c r="L228" s="107"/>
      <c r="M228" s="67"/>
      <c r="N228" s="197"/>
      <c r="O228" s="198"/>
      <c r="P228" s="127"/>
      <c r="Q228" s="125"/>
      <c r="R228" s="132"/>
      <c r="S228" s="153"/>
      <c r="T228" s="150"/>
      <c r="U228" s="148"/>
      <c r="V228" s="4"/>
      <c r="W228" s="9"/>
      <c r="X228" s="267"/>
    </row>
    <row r="229" spans="1:24" ht="94.5" x14ac:dyDescent="0.25">
      <c r="A229" s="268"/>
      <c r="B229" s="12" t="s">
        <v>269</v>
      </c>
      <c r="C229" s="105"/>
      <c r="D229" s="109"/>
      <c r="E229" s="106"/>
      <c r="F229" s="107"/>
      <c r="G229" s="201"/>
      <c r="H229" s="197"/>
      <c r="I229" s="198"/>
      <c r="J229" s="127"/>
      <c r="K229" s="106"/>
      <c r="L229" s="107"/>
      <c r="M229" s="67"/>
      <c r="N229" s="197"/>
      <c r="O229" s="198"/>
      <c r="P229" s="127"/>
      <c r="Q229" s="125"/>
      <c r="R229" s="132"/>
      <c r="S229" s="153"/>
      <c r="T229" s="150"/>
      <c r="U229" s="148"/>
      <c r="V229" s="4"/>
      <c r="W229" s="9"/>
      <c r="X229" s="267"/>
    </row>
    <row r="230" spans="1:24" ht="15.75" x14ac:dyDescent="0.25">
      <c r="A230" s="268"/>
      <c r="B230" s="22"/>
      <c r="C230" s="105"/>
      <c r="D230" s="109"/>
      <c r="E230" s="106"/>
      <c r="F230" s="107"/>
      <c r="G230" s="201"/>
      <c r="H230" s="197"/>
      <c r="I230" s="198"/>
      <c r="J230" s="127"/>
      <c r="K230" s="106"/>
      <c r="L230" s="107"/>
      <c r="M230" s="67"/>
      <c r="N230" s="197"/>
      <c r="O230" s="198"/>
      <c r="P230" s="127"/>
      <c r="Q230" s="125"/>
      <c r="R230" s="132"/>
      <c r="S230" s="153"/>
      <c r="T230" s="150"/>
      <c r="U230" s="148"/>
      <c r="V230" s="4"/>
      <c r="W230" s="9"/>
      <c r="X230" s="267"/>
    </row>
    <row r="231" spans="1:24" ht="15.75" x14ac:dyDescent="0.25">
      <c r="A231" s="268"/>
      <c r="B231" s="12"/>
      <c r="C231" s="105"/>
      <c r="D231" s="109"/>
      <c r="E231" s="106"/>
      <c r="F231" s="107"/>
      <c r="G231" s="201"/>
      <c r="H231" s="197"/>
      <c r="I231" s="198"/>
      <c r="J231" s="127"/>
      <c r="K231" s="106"/>
      <c r="L231" s="107"/>
      <c r="M231" s="67"/>
      <c r="N231" s="197"/>
      <c r="O231" s="198"/>
      <c r="P231" s="127"/>
      <c r="Q231" s="125"/>
      <c r="R231" s="132"/>
      <c r="S231" s="153"/>
      <c r="T231" s="150"/>
      <c r="U231" s="148"/>
      <c r="V231" s="4"/>
      <c r="W231" s="9"/>
      <c r="X231" s="267"/>
    </row>
    <row r="232" spans="1:24" ht="31.5" x14ac:dyDescent="0.25">
      <c r="A232" s="268" t="s">
        <v>270</v>
      </c>
      <c r="B232" s="17" t="s">
        <v>519</v>
      </c>
      <c r="C232" s="105" t="s">
        <v>95</v>
      </c>
      <c r="D232" s="109">
        <f>(5*2*2+22*2+5*3*2+10*3+25*3)</f>
        <v>199</v>
      </c>
      <c r="E232" s="106">
        <v>5.3</v>
      </c>
      <c r="F232" s="107">
        <f>D232*E232</f>
        <v>1054.7</v>
      </c>
      <c r="G232" s="201">
        <f>(5*2*2+22*2+5*3*2+10*3+25*3)</f>
        <v>199</v>
      </c>
      <c r="H232" s="197">
        <v>5.3</v>
      </c>
      <c r="I232" s="198">
        <f>G232*H232</f>
        <v>1054.7</v>
      </c>
      <c r="J232" s="127">
        <v>0</v>
      </c>
      <c r="K232" s="106">
        <v>5.3</v>
      </c>
      <c r="L232" s="107">
        <f>J232*K232</f>
        <v>0</v>
      </c>
      <c r="M232" s="67">
        <v>199</v>
      </c>
      <c r="N232" s="197">
        <v>5.3</v>
      </c>
      <c r="O232" s="198">
        <f>M232*N232</f>
        <v>1054.7</v>
      </c>
      <c r="P232" s="127">
        <v>199</v>
      </c>
      <c r="Q232" s="125">
        <v>6.57</v>
      </c>
      <c r="R232" s="132">
        <v>1307.43</v>
      </c>
      <c r="S232" s="153">
        <f>J232+P232</f>
        <v>199</v>
      </c>
      <c r="T232" s="150"/>
      <c r="U232" s="148">
        <f>L232+R232</f>
        <v>1307.43</v>
      </c>
      <c r="V232" s="166" t="s">
        <v>271</v>
      </c>
      <c r="W232" s="9" t="s">
        <v>272</v>
      </c>
      <c r="X232" s="267"/>
    </row>
    <row r="233" spans="1:24" ht="15.75" x14ac:dyDescent="0.25">
      <c r="A233" s="268"/>
      <c r="B233" s="12"/>
      <c r="C233" s="105"/>
      <c r="D233" s="109"/>
      <c r="E233" s="106"/>
      <c r="F233" s="107"/>
      <c r="G233" s="201"/>
      <c r="H233" s="197"/>
      <c r="I233" s="198"/>
      <c r="J233" s="127"/>
      <c r="K233" s="106"/>
      <c r="L233" s="107"/>
      <c r="M233" s="67"/>
      <c r="N233" s="197"/>
      <c r="O233" s="198"/>
      <c r="P233" s="127"/>
      <c r="Q233" s="125"/>
      <c r="R233" s="132"/>
      <c r="S233" s="153"/>
      <c r="T233" s="150"/>
      <c r="U233" s="148"/>
      <c r="V233" s="4"/>
      <c r="W233" s="9"/>
      <c r="X233" s="267"/>
    </row>
    <row r="234" spans="1:24" ht="31.5" x14ac:dyDescent="0.25">
      <c r="A234" s="268" t="s">
        <v>273</v>
      </c>
      <c r="B234" s="17" t="s">
        <v>520</v>
      </c>
      <c r="C234" s="105" t="s">
        <v>95</v>
      </c>
      <c r="D234" s="109">
        <f>(28*2*2+7*2+25*2+56*2)</f>
        <v>288</v>
      </c>
      <c r="E234" s="106">
        <v>6.3</v>
      </c>
      <c r="F234" s="107">
        <f>D234*E234</f>
        <v>1814.3999999999999</v>
      </c>
      <c r="G234" s="201">
        <f>(28*2*2+7*2+25*2+56*2)</f>
        <v>288</v>
      </c>
      <c r="H234" s="197">
        <v>6.3</v>
      </c>
      <c r="I234" s="198">
        <f>G234*H234</f>
        <v>1814.3999999999999</v>
      </c>
      <c r="J234" s="127">
        <v>0</v>
      </c>
      <c r="K234" s="106">
        <v>6.3</v>
      </c>
      <c r="L234" s="107">
        <f>J234*K234</f>
        <v>0</v>
      </c>
      <c r="M234" s="67">
        <v>288</v>
      </c>
      <c r="N234" s="197">
        <v>6.3</v>
      </c>
      <c r="O234" s="198">
        <f>M234*N234</f>
        <v>1814.3999999999999</v>
      </c>
      <c r="P234" s="127">
        <v>288</v>
      </c>
      <c r="Q234" s="125">
        <v>7.75</v>
      </c>
      <c r="R234" s="132">
        <v>2232</v>
      </c>
      <c r="S234" s="153">
        <f>J234+P234</f>
        <v>288</v>
      </c>
      <c r="T234" s="150"/>
      <c r="U234" s="148">
        <f>L234+R234</f>
        <v>2232</v>
      </c>
      <c r="V234" s="166" t="s">
        <v>274</v>
      </c>
      <c r="W234" s="9" t="s">
        <v>275</v>
      </c>
      <c r="X234" s="267"/>
    </row>
    <row r="235" spans="1:24" ht="15.75" x14ac:dyDescent="0.25">
      <c r="A235" s="268"/>
      <c r="B235" s="12"/>
      <c r="C235" s="105"/>
      <c r="D235" s="109"/>
      <c r="E235" s="106"/>
      <c r="F235" s="107"/>
      <c r="G235" s="201"/>
      <c r="H235" s="197"/>
      <c r="I235" s="198"/>
      <c r="J235" s="127"/>
      <c r="K235" s="106"/>
      <c r="L235" s="107"/>
      <c r="M235" s="67"/>
      <c r="N235" s="197"/>
      <c r="O235" s="198"/>
      <c r="P235" s="127"/>
      <c r="Q235" s="125"/>
      <c r="R235" s="132"/>
      <c r="S235" s="153"/>
      <c r="T235" s="150"/>
      <c r="U235" s="148"/>
      <c r="V235" s="4"/>
      <c r="W235" s="9"/>
      <c r="X235" s="267"/>
    </row>
    <row r="236" spans="1:24" ht="15.75" x14ac:dyDescent="0.25">
      <c r="A236" s="268"/>
      <c r="B236" s="12"/>
      <c r="C236" s="105"/>
      <c r="D236" s="118"/>
      <c r="E236" s="106"/>
      <c r="F236" s="107"/>
      <c r="G236" s="211"/>
      <c r="H236" s="197"/>
      <c r="I236" s="198"/>
      <c r="J236" s="130"/>
      <c r="K236" s="106"/>
      <c r="L236" s="107"/>
      <c r="M236" s="76"/>
      <c r="N236" s="197"/>
      <c r="O236" s="198"/>
      <c r="P236" s="130"/>
      <c r="Q236" s="125"/>
      <c r="R236" s="132"/>
      <c r="S236" s="153"/>
      <c r="T236" s="150"/>
      <c r="U236" s="148"/>
      <c r="V236" s="4"/>
      <c r="W236" s="9"/>
      <c r="X236" s="267"/>
    </row>
    <row r="237" spans="1:24" ht="15.75" x14ac:dyDescent="0.25">
      <c r="A237" s="268" t="s">
        <v>276</v>
      </c>
      <c r="B237" s="22" t="s">
        <v>277</v>
      </c>
      <c r="C237" s="105"/>
      <c r="D237" s="109"/>
      <c r="E237" s="106"/>
      <c r="F237" s="107"/>
      <c r="G237" s="201"/>
      <c r="H237" s="197"/>
      <c r="I237" s="198"/>
      <c r="J237" s="127"/>
      <c r="K237" s="106"/>
      <c r="L237" s="107"/>
      <c r="M237" s="67"/>
      <c r="N237" s="197"/>
      <c r="O237" s="198"/>
      <c r="P237" s="127"/>
      <c r="Q237" s="125"/>
      <c r="R237" s="132"/>
      <c r="S237" s="153"/>
      <c r="T237" s="150"/>
      <c r="U237" s="148"/>
      <c r="V237" s="4"/>
      <c r="W237" s="9"/>
      <c r="X237" s="267"/>
    </row>
    <row r="238" spans="1:24" ht="94.5" x14ac:dyDescent="0.25">
      <c r="A238" s="268"/>
      <c r="B238" s="12" t="s">
        <v>278</v>
      </c>
      <c r="C238" s="105"/>
      <c r="D238" s="109"/>
      <c r="E238" s="106"/>
      <c r="F238" s="107"/>
      <c r="G238" s="201"/>
      <c r="H238" s="197"/>
      <c r="I238" s="198"/>
      <c r="J238" s="127"/>
      <c r="K238" s="106"/>
      <c r="L238" s="107"/>
      <c r="M238" s="67"/>
      <c r="N238" s="197"/>
      <c r="O238" s="198"/>
      <c r="P238" s="127"/>
      <c r="Q238" s="125"/>
      <c r="R238" s="132"/>
      <c r="S238" s="153"/>
      <c r="T238" s="150"/>
      <c r="U238" s="148"/>
      <c r="V238" s="4"/>
      <c r="W238" s="9"/>
      <c r="X238" s="267"/>
    </row>
    <row r="239" spans="1:24" ht="15.75" x14ac:dyDescent="0.25">
      <c r="A239" s="268"/>
      <c r="B239" s="12"/>
      <c r="C239" s="105"/>
      <c r="D239" s="109"/>
      <c r="E239" s="106"/>
      <c r="F239" s="107"/>
      <c r="G239" s="201"/>
      <c r="H239" s="197"/>
      <c r="I239" s="198"/>
      <c r="J239" s="127"/>
      <c r="K239" s="106"/>
      <c r="L239" s="107"/>
      <c r="M239" s="67"/>
      <c r="N239" s="197"/>
      <c r="O239" s="198"/>
      <c r="P239" s="127"/>
      <c r="Q239" s="125"/>
      <c r="R239" s="132"/>
      <c r="S239" s="153"/>
      <c r="T239" s="150"/>
      <c r="U239" s="148"/>
      <c r="V239" s="4"/>
      <c r="W239" s="9"/>
      <c r="X239" s="267"/>
    </row>
    <row r="240" spans="1:24" ht="15.75" x14ac:dyDescent="0.25">
      <c r="A240" s="268"/>
      <c r="B240" s="12"/>
      <c r="C240" s="105"/>
      <c r="D240" s="109"/>
      <c r="E240" s="106"/>
      <c r="F240" s="107"/>
      <c r="G240" s="201"/>
      <c r="H240" s="197"/>
      <c r="I240" s="198"/>
      <c r="J240" s="127"/>
      <c r="K240" s="106"/>
      <c r="L240" s="107"/>
      <c r="M240" s="67"/>
      <c r="N240" s="197"/>
      <c r="O240" s="198"/>
      <c r="P240" s="127"/>
      <c r="Q240" s="125"/>
      <c r="R240" s="132"/>
      <c r="S240" s="153"/>
      <c r="T240" s="150"/>
      <c r="U240" s="148"/>
      <c r="V240" s="4"/>
      <c r="W240" s="9"/>
      <c r="X240" s="267"/>
    </row>
    <row r="241" spans="1:24" ht="31.5" x14ac:dyDescent="0.25">
      <c r="A241" s="268" t="s">
        <v>279</v>
      </c>
      <c r="B241" s="17" t="s">
        <v>521</v>
      </c>
      <c r="C241" s="105" t="s">
        <v>95</v>
      </c>
      <c r="D241" s="109">
        <f>45*3</f>
        <v>135</v>
      </c>
      <c r="E241" s="106">
        <v>9.5299999999999994</v>
      </c>
      <c r="F241" s="107">
        <f>D241*E241</f>
        <v>1286.55</v>
      </c>
      <c r="G241" s="201">
        <f>45*3</f>
        <v>135</v>
      </c>
      <c r="H241" s="197">
        <v>9.5299999999999994</v>
      </c>
      <c r="I241" s="198">
        <f>G241*H241</f>
        <v>1286.55</v>
      </c>
      <c r="J241" s="127">
        <v>0</v>
      </c>
      <c r="K241" s="106">
        <v>9.5299999999999994</v>
      </c>
      <c r="L241" s="107">
        <f>J241*K241</f>
        <v>0</v>
      </c>
      <c r="M241" s="67">
        <v>135</v>
      </c>
      <c r="N241" s="197">
        <v>9.5299999999999994</v>
      </c>
      <c r="O241" s="198">
        <f>M241*N241</f>
        <v>1286.55</v>
      </c>
      <c r="P241" s="127">
        <v>135</v>
      </c>
      <c r="Q241" s="125">
        <v>11.33</v>
      </c>
      <c r="R241" s="132">
        <v>1529.55</v>
      </c>
      <c r="S241" s="153">
        <f>J241+P241</f>
        <v>135</v>
      </c>
      <c r="T241" s="150"/>
      <c r="U241" s="148">
        <f>L241+R241</f>
        <v>1529.55</v>
      </c>
      <c r="V241" s="4" t="s">
        <v>280</v>
      </c>
      <c r="W241" s="9" t="s">
        <v>281</v>
      </c>
      <c r="X241" s="267"/>
    </row>
    <row r="242" spans="1:24" ht="15.75" x14ac:dyDescent="0.25">
      <c r="A242" s="268"/>
      <c r="B242" s="12"/>
      <c r="C242" s="105"/>
      <c r="D242" s="109"/>
      <c r="E242" s="106"/>
      <c r="F242" s="107"/>
      <c r="G242" s="201"/>
      <c r="H242" s="197"/>
      <c r="I242" s="198"/>
      <c r="J242" s="127"/>
      <c r="K242" s="106"/>
      <c r="L242" s="107"/>
      <c r="M242" s="67"/>
      <c r="N242" s="197"/>
      <c r="O242" s="198"/>
      <c r="P242" s="127"/>
      <c r="Q242" s="125"/>
      <c r="R242" s="132"/>
      <c r="S242" s="153"/>
      <c r="T242" s="150"/>
      <c r="U242" s="148"/>
      <c r="V242" s="4"/>
      <c r="W242" s="9"/>
      <c r="X242" s="267"/>
    </row>
    <row r="243" spans="1:24" ht="15.75" x14ac:dyDescent="0.25">
      <c r="A243" s="268"/>
      <c r="B243" s="12"/>
      <c r="C243" s="105"/>
      <c r="D243" s="109"/>
      <c r="E243" s="106"/>
      <c r="F243" s="107"/>
      <c r="G243" s="201"/>
      <c r="H243" s="197"/>
      <c r="I243" s="198"/>
      <c r="J243" s="127"/>
      <c r="K243" s="106"/>
      <c r="L243" s="107"/>
      <c r="M243" s="67"/>
      <c r="N243" s="197"/>
      <c r="O243" s="198"/>
      <c r="P243" s="127"/>
      <c r="Q243" s="125"/>
      <c r="R243" s="132"/>
      <c r="S243" s="153"/>
      <c r="T243" s="150"/>
      <c r="U243" s="148"/>
      <c r="V243" s="4"/>
      <c r="W243" s="9"/>
      <c r="X243" s="267"/>
    </row>
    <row r="244" spans="1:24" ht="15.75" x14ac:dyDescent="0.25">
      <c r="A244" s="268" t="s">
        <v>282</v>
      </c>
      <c r="B244" s="17" t="s">
        <v>283</v>
      </c>
      <c r="C244" s="105" t="s">
        <v>95</v>
      </c>
      <c r="D244" s="109">
        <v>10</v>
      </c>
      <c r="E244" s="106">
        <v>12.72</v>
      </c>
      <c r="F244" s="107">
        <f>D244*E244</f>
        <v>127.2</v>
      </c>
      <c r="G244" s="201">
        <v>10</v>
      </c>
      <c r="H244" s="197">
        <v>12.72</v>
      </c>
      <c r="I244" s="198">
        <f>G244*H244</f>
        <v>127.2</v>
      </c>
      <c r="J244" s="127">
        <v>0</v>
      </c>
      <c r="K244" s="106">
        <v>12.72</v>
      </c>
      <c r="L244" s="107">
        <f>J244*K244</f>
        <v>0</v>
      </c>
      <c r="M244" s="67">
        <v>10</v>
      </c>
      <c r="N244" s="197">
        <v>12.72</v>
      </c>
      <c r="O244" s="198">
        <f>M244*N244</f>
        <v>127.2</v>
      </c>
      <c r="P244" s="127">
        <v>10</v>
      </c>
      <c r="Q244" s="125">
        <v>13.23</v>
      </c>
      <c r="R244" s="132">
        <v>132.30000000000001</v>
      </c>
      <c r="S244" s="153">
        <f>J244+P244</f>
        <v>10</v>
      </c>
      <c r="T244" s="150"/>
      <c r="U244" s="148">
        <f>L244+R244</f>
        <v>132.30000000000001</v>
      </c>
      <c r="V244" s="4">
        <v>10</v>
      </c>
      <c r="W244" s="9" t="s">
        <v>284</v>
      </c>
      <c r="X244" s="267"/>
    </row>
    <row r="245" spans="1:24" ht="78.75" x14ac:dyDescent="0.25">
      <c r="A245" s="268"/>
      <c r="B245" s="12" t="s">
        <v>285</v>
      </c>
      <c r="C245" s="105"/>
      <c r="D245" s="109"/>
      <c r="E245" s="106"/>
      <c r="F245" s="107"/>
      <c r="G245" s="201"/>
      <c r="H245" s="197"/>
      <c r="I245" s="198"/>
      <c r="J245" s="127"/>
      <c r="K245" s="106"/>
      <c r="L245" s="107"/>
      <c r="M245" s="67"/>
      <c r="N245" s="197"/>
      <c r="O245" s="198"/>
      <c r="P245" s="127"/>
      <c r="Q245" s="125"/>
      <c r="R245" s="132"/>
      <c r="S245" s="153"/>
      <c r="T245" s="150"/>
      <c r="U245" s="148"/>
      <c r="V245" s="4"/>
      <c r="W245" s="9"/>
      <c r="X245" s="267"/>
    </row>
    <row r="246" spans="1:24" ht="15.75" x14ac:dyDescent="0.25">
      <c r="A246" s="268"/>
      <c r="B246" s="12"/>
      <c r="C246" s="105"/>
      <c r="D246" s="109"/>
      <c r="E246" s="106"/>
      <c r="F246" s="107"/>
      <c r="G246" s="201"/>
      <c r="H246" s="197"/>
      <c r="I246" s="198"/>
      <c r="J246" s="127"/>
      <c r="K246" s="106"/>
      <c r="L246" s="107"/>
      <c r="M246" s="67"/>
      <c r="N246" s="197"/>
      <c r="O246" s="198"/>
      <c r="P246" s="127"/>
      <c r="Q246" s="125"/>
      <c r="R246" s="132"/>
      <c r="S246" s="153"/>
      <c r="T246" s="150"/>
      <c r="U246" s="148"/>
      <c r="V246" s="4"/>
      <c r="W246" s="9"/>
      <c r="X246" s="267"/>
    </row>
    <row r="247" spans="1:24" ht="15.75" x14ac:dyDescent="0.25">
      <c r="A247" s="268"/>
      <c r="B247" s="17"/>
      <c r="C247" s="105"/>
      <c r="D247" s="109"/>
      <c r="E247" s="106"/>
      <c r="F247" s="107"/>
      <c r="G247" s="201"/>
      <c r="H247" s="197"/>
      <c r="I247" s="198"/>
      <c r="J247" s="127"/>
      <c r="K247" s="106"/>
      <c r="L247" s="107"/>
      <c r="M247" s="67"/>
      <c r="N247" s="197"/>
      <c r="O247" s="198"/>
      <c r="P247" s="127"/>
      <c r="Q247" s="125"/>
      <c r="R247" s="132"/>
      <c r="S247" s="153"/>
      <c r="T247" s="150"/>
      <c r="U247" s="148"/>
      <c r="V247" s="4"/>
      <c r="W247" s="9"/>
      <c r="X247" s="267"/>
    </row>
    <row r="248" spans="1:24" ht="15.75" x14ac:dyDescent="0.25">
      <c r="A248" s="268" t="s">
        <v>286</v>
      </c>
      <c r="B248" s="22" t="s">
        <v>287</v>
      </c>
      <c r="C248" s="105"/>
      <c r="D248" s="109"/>
      <c r="E248" s="106"/>
      <c r="F248" s="107"/>
      <c r="G248" s="201"/>
      <c r="H248" s="197"/>
      <c r="I248" s="198"/>
      <c r="J248" s="127"/>
      <c r="K248" s="106"/>
      <c r="L248" s="107"/>
      <c r="M248" s="67"/>
      <c r="N248" s="197"/>
      <c r="O248" s="198"/>
      <c r="P248" s="127"/>
      <c r="Q248" s="125"/>
      <c r="R248" s="132"/>
      <c r="S248" s="153"/>
      <c r="T248" s="150"/>
      <c r="U248" s="148"/>
      <c r="V248" s="4"/>
      <c r="W248" s="9"/>
      <c r="X248" s="267"/>
    </row>
    <row r="249" spans="1:24" ht="173.25" x14ac:dyDescent="0.25">
      <c r="A249" s="268"/>
      <c r="B249" s="12" t="s">
        <v>288</v>
      </c>
      <c r="C249" s="105"/>
      <c r="D249" s="109"/>
      <c r="E249" s="106"/>
      <c r="F249" s="107"/>
      <c r="G249" s="201"/>
      <c r="H249" s="197"/>
      <c r="I249" s="198"/>
      <c r="J249" s="127"/>
      <c r="K249" s="106"/>
      <c r="L249" s="107"/>
      <c r="M249" s="67"/>
      <c r="N249" s="197"/>
      <c r="O249" s="198"/>
      <c r="P249" s="127"/>
      <c r="Q249" s="125"/>
      <c r="R249" s="132"/>
      <c r="S249" s="153"/>
      <c r="T249" s="150"/>
      <c r="U249" s="148"/>
      <c r="V249" s="4"/>
      <c r="W249" s="9"/>
      <c r="X249" s="267"/>
    </row>
    <row r="250" spans="1:24" ht="15.75" x14ac:dyDescent="0.25">
      <c r="A250" s="268"/>
      <c r="B250" s="22"/>
      <c r="C250" s="105"/>
      <c r="D250" s="109"/>
      <c r="E250" s="106"/>
      <c r="F250" s="107"/>
      <c r="G250" s="201"/>
      <c r="H250" s="197"/>
      <c r="I250" s="198"/>
      <c r="J250" s="127"/>
      <c r="K250" s="106"/>
      <c r="L250" s="107"/>
      <c r="M250" s="67"/>
      <c r="N250" s="197"/>
      <c r="O250" s="198"/>
      <c r="P250" s="127"/>
      <c r="Q250" s="125"/>
      <c r="R250" s="132"/>
      <c r="S250" s="153"/>
      <c r="T250" s="150"/>
      <c r="U250" s="148"/>
      <c r="V250" s="4"/>
      <c r="W250" s="9"/>
      <c r="X250" s="267"/>
    </row>
    <row r="251" spans="1:24" ht="31.5" x14ac:dyDescent="0.25">
      <c r="A251" s="268" t="s">
        <v>289</v>
      </c>
      <c r="B251" s="17" t="s">
        <v>290</v>
      </c>
      <c r="C251" s="105" t="s">
        <v>95</v>
      </c>
      <c r="D251" s="109">
        <f>28*2+7+25+56</f>
        <v>144</v>
      </c>
      <c r="E251" s="106">
        <v>19.010000000000002</v>
      </c>
      <c r="F251" s="107">
        <f>D251*E251</f>
        <v>2737.44</v>
      </c>
      <c r="G251" s="201">
        <f>28*2+7+25+56</f>
        <v>144</v>
      </c>
      <c r="H251" s="197">
        <v>19.010000000000002</v>
      </c>
      <c r="I251" s="198">
        <f>G251*H251</f>
        <v>2737.44</v>
      </c>
      <c r="J251" s="127">
        <v>0</v>
      </c>
      <c r="K251" s="106">
        <v>19.010000000000002</v>
      </c>
      <c r="L251" s="107">
        <f>J251*K251</f>
        <v>0</v>
      </c>
      <c r="M251" s="67">
        <v>144</v>
      </c>
      <c r="N251" s="197">
        <v>19.010000000000002</v>
      </c>
      <c r="O251" s="198">
        <f>M251*N251</f>
        <v>2737.44</v>
      </c>
      <c r="P251" s="127">
        <v>144</v>
      </c>
      <c r="Q251" s="125">
        <v>27.88</v>
      </c>
      <c r="R251" s="132">
        <v>4014.72</v>
      </c>
      <c r="S251" s="153">
        <f>J251+P251</f>
        <v>144</v>
      </c>
      <c r="T251" s="150"/>
      <c r="U251" s="148">
        <f>L251+R251</f>
        <v>4014.72</v>
      </c>
      <c r="V251" s="166" t="s">
        <v>291</v>
      </c>
      <c r="W251" s="9" t="s">
        <v>292</v>
      </c>
      <c r="X251" s="267"/>
    </row>
    <row r="252" spans="1:24" ht="15.75" x14ac:dyDescent="0.25">
      <c r="A252" s="268"/>
      <c r="B252" s="12"/>
      <c r="C252" s="105"/>
      <c r="D252" s="109"/>
      <c r="E252" s="106"/>
      <c r="F252" s="107"/>
      <c r="G252" s="201"/>
      <c r="H252" s="197"/>
      <c r="I252" s="198"/>
      <c r="J252" s="127"/>
      <c r="K252" s="106"/>
      <c r="L252" s="107"/>
      <c r="M252" s="67"/>
      <c r="N252" s="197"/>
      <c r="O252" s="198"/>
      <c r="P252" s="127"/>
      <c r="Q252" s="125"/>
      <c r="R252" s="132"/>
      <c r="S252" s="153"/>
      <c r="T252" s="150"/>
      <c r="U252" s="148"/>
      <c r="V252" s="4"/>
      <c r="W252" s="9"/>
      <c r="X252" s="267"/>
    </row>
    <row r="253" spans="1:24" ht="31.5" x14ac:dyDescent="0.25">
      <c r="A253" s="268" t="s">
        <v>293</v>
      </c>
      <c r="B253" s="17" t="s">
        <v>294</v>
      </c>
      <c r="C253" s="105" t="s">
        <v>95</v>
      </c>
      <c r="D253" s="109">
        <v>45</v>
      </c>
      <c r="E253" s="106">
        <v>30.13</v>
      </c>
      <c r="F253" s="107">
        <f>D253*E253</f>
        <v>1355.85</v>
      </c>
      <c r="G253" s="201">
        <v>45</v>
      </c>
      <c r="H253" s="197">
        <v>30.13</v>
      </c>
      <c r="I253" s="198">
        <f>G253*H253</f>
        <v>1355.85</v>
      </c>
      <c r="J253" s="127">
        <v>0</v>
      </c>
      <c r="K253" s="106">
        <v>30.13</v>
      </c>
      <c r="L253" s="107">
        <f>J253*K253</f>
        <v>0</v>
      </c>
      <c r="M253" s="67">
        <v>45</v>
      </c>
      <c r="N253" s="197">
        <v>30.13</v>
      </c>
      <c r="O253" s="198">
        <f>M253*N253</f>
        <v>1355.85</v>
      </c>
      <c r="P253" s="127">
        <v>45</v>
      </c>
      <c r="Q253" s="125">
        <v>46.84</v>
      </c>
      <c r="R253" s="132">
        <v>2107.8000000000002</v>
      </c>
      <c r="S253" s="153">
        <f>J253+P253</f>
        <v>45</v>
      </c>
      <c r="T253" s="150"/>
      <c r="U253" s="148">
        <f>L253+R253</f>
        <v>2107.8000000000002</v>
      </c>
      <c r="V253" s="166">
        <v>45</v>
      </c>
      <c r="W253" s="9" t="s">
        <v>281</v>
      </c>
      <c r="X253" s="267"/>
    </row>
    <row r="254" spans="1:24" ht="15.75" x14ac:dyDescent="0.25">
      <c r="A254" s="268"/>
      <c r="B254" s="12"/>
      <c r="C254" s="105"/>
      <c r="D254" s="109"/>
      <c r="E254" s="106"/>
      <c r="F254" s="107"/>
      <c r="G254" s="201"/>
      <c r="H254" s="197"/>
      <c r="I254" s="198"/>
      <c r="J254" s="127"/>
      <c r="K254" s="106"/>
      <c r="L254" s="107"/>
      <c r="M254" s="67"/>
      <c r="N254" s="197"/>
      <c r="O254" s="198"/>
      <c r="P254" s="127"/>
      <c r="Q254" s="125"/>
      <c r="R254" s="132"/>
      <c r="S254" s="153"/>
      <c r="T254" s="150"/>
      <c r="U254" s="148"/>
      <c r="V254" s="4"/>
      <c r="W254" s="9"/>
      <c r="X254" s="267"/>
    </row>
    <row r="255" spans="1:24" ht="15.75" x14ac:dyDescent="0.25">
      <c r="A255" s="268"/>
      <c r="B255" s="12"/>
      <c r="C255" s="105"/>
      <c r="D255" s="109"/>
      <c r="E255" s="106"/>
      <c r="F255" s="107"/>
      <c r="G255" s="201"/>
      <c r="H255" s="197"/>
      <c r="I255" s="198"/>
      <c r="J255" s="127"/>
      <c r="K255" s="106"/>
      <c r="L255" s="107"/>
      <c r="M255" s="67"/>
      <c r="N255" s="197"/>
      <c r="O255" s="198"/>
      <c r="P255" s="127"/>
      <c r="Q255" s="125"/>
      <c r="R255" s="132"/>
      <c r="S255" s="153"/>
      <c r="T255" s="150"/>
      <c r="U255" s="148"/>
      <c r="V255" s="4"/>
      <c r="W255" s="9"/>
      <c r="X255" s="267"/>
    </row>
    <row r="256" spans="1:24" ht="15.75" x14ac:dyDescent="0.25">
      <c r="A256" s="268" t="s">
        <v>295</v>
      </c>
      <c r="B256" s="22" t="s">
        <v>296</v>
      </c>
      <c r="C256" s="105"/>
      <c r="D256" s="109"/>
      <c r="E256" s="106"/>
      <c r="F256" s="107"/>
      <c r="G256" s="201"/>
      <c r="H256" s="197"/>
      <c r="I256" s="198"/>
      <c r="J256" s="127"/>
      <c r="K256" s="106"/>
      <c r="L256" s="107"/>
      <c r="M256" s="67"/>
      <c r="N256" s="197"/>
      <c r="O256" s="198"/>
      <c r="P256" s="127"/>
      <c r="Q256" s="125"/>
      <c r="R256" s="132"/>
      <c r="S256" s="153"/>
      <c r="T256" s="150"/>
      <c r="U256" s="148"/>
      <c r="V256" s="4"/>
      <c r="W256" s="9"/>
      <c r="X256" s="267"/>
    </row>
    <row r="257" spans="1:24" ht="141.75" x14ac:dyDescent="0.25">
      <c r="A257" s="268"/>
      <c r="B257" s="12" t="s">
        <v>297</v>
      </c>
      <c r="C257" s="105"/>
      <c r="D257" s="109"/>
      <c r="E257" s="106"/>
      <c r="F257" s="107"/>
      <c r="G257" s="201"/>
      <c r="H257" s="197"/>
      <c r="I257" s="198"/>
      <c r="J257" s="127"/>
      <c r="K257" s="106"/>
      <c r="L257" s="107"/>
      <c r="M257" s="67"/>
      <c r="N257" s="197"/>
      <c r="O257" s="198"/>
      <c r="P257" s="127"/>
      <c r="Q257" s="125"/>
      <c r="R257" s="132"/>
      <c r="S257" s="153"/>
      <c r="T257" s="150"/>
      <c r="U257" s="148"/>
      <c r="V257" s="4"/>
      <c r="W257" s="9"/>
      <c r="X257" s="267"/>
    </row>
    <row r="258" spans="1:24" ht="15.75" x14ac:dyDescent="0.25">
      <c r="A258" s="268"/>
      <c r="B258" s="22"/>
      <c r="C258" s="105"/>
      <c r="D258" s="109"/>
      <c r="E258" s="106"/>
      <c r="F258" s="107"/>
      <c r="G258" s="201"/>
      <c r="H258" s="197"/>
      <c r="I258" s="198"/>
      <c r="J258" s="127"/>
      <c r="K258" s="106"/>
      <c r="L258" s="107"/>
      <c r="M258" s="67"/>
      <c r="N258" s="197"/>
      <c r="O258" s="198"/>
      <c r="P258" s="127"/>
      <c r="Q258" s="125"/>
      <c r="R258" s="132"/>
      <c r="S258" s="153"/>
      <c r="T258" s="150"/>
      <c r="U258" s="148"/>
      <c r="V258" s="4"/>
      <c r="W258" s="9"/>
      <c r="X258" s="267"/>
    </row>
    <row r="259" spans="1:24" ht="15.75" x14ac:dyDescent="0.25">
      <c r="A259" s="268"/>
      <c r="B259" s="27"/>
      <c r="C259" s="105"/>
      <c r="D259" s="109"/>
      <c r="E259" s="106"/>
      <c r="F259" s="107"/>
      <c r="G259" s="201"/>
      <c r="H259" s="197"/>
      <c r="I259" s="198"/>
      <c r="J259" s="127"/>
      <c r="K259" s="106"/>
      <c r="L259" s="107"/>
      <c r="M259" s="67"/>
      <c r="N259" s="197"/>
      <c r="O259" s="198"/>
      <c r="P259" s="127"/>
      <c r="Q259" s="125"/>
      <c r="R259" s="132"/>
      <c r="S259" s="153"/>
      <c r="T259" s="150"/>
      <c r="U259" s="148"/>
      <c r="V259" s="4"/>
      <c r="W259" s="9"/>
      <c r="X259" s="267"/>
    </row>
    <row r="260" spans="1:24" ht="31.5" x14ac:dyDescent="0.25">
      <c r="A260" s="268" t="s">
        <v>298</v>
      </c>
      <c r="B260" s="13" t="s">
        <v>299</v>
      </c>
      <c r="C260" s="105" t="s">
        <v>95</v>
      </c>
      <c r="D260" s="109">
        <f>(5*2+22+5*2+10+25)</f>
        <v>77</v>
      </c>
      <c r="E260" s="106">
        <v>9.07</v>
      </c>
      <c r="F260" s="107">
        <f>D260*E260</f>
        <v>698.39</v>
      </c>
      <c r="G260" s="201">
        <f>(5*2+22+5*2+10+25)</f>
        <v>77</v>
      </c>
      <c r="H260" s="197">
        <v>9.07</v>
      </c>
      <c r="I260" s="198">
        <f>G260*H260</f>
        <v>698.39</v>
      </c>
      <c r="J260" s="127">
        <v>0</v>
      </c>
      <c r="K260" s="106">
        <v>9.07</v>
      </c>
      <c r="L260" s="107">
        <f>J260*K260</f>
        <v>0</v>
      </c>
      <c r="M260" s="67">
        <v>77</v>
      </c>
      <c r="N260" s="197">
        <v>9.07</v>
      </c>
      <c r="O260" s="198">
        <f>M260*N260</f>
        <v>698.39</v>
      </c>
      <c r="P260" s="127">
        <v>77</v>
      </c>
      <c r="Q260" s="125">
        <v>12.29</v>
      </c>
      <c r="R260" s="132">
        <v>946.32999999999993</v>
      </c>
      <c r="S260" s="153">
        <f>J260+P260</f>
        <v>77</v>
      </c>
      <c r="T260" s="150"/>
      <c r="U260" s="148">
        <f>L260+R260</f>
        <v>946.32999999999993</v>
      </c>
      <c r="V260" s="166">
        <v>77</v>
      </c>
      <c r="W260" s="9" t="s">
        <v>300</v>
      </c>
      <c r="X260" s="267"/>
    </row>
    <row r="261" spans="1:24" ht="15.75" x14ac:dyDescent="0.25">
      <c r="A261" s="268"/>
      <c r="B261" s="27"/>
      <c r="C261" s="105"/>
      <c r="D261" s="109"/>
      <c r="E261" s="106"/>
      <c r="F261" s="107"/>
      <c r="G261" s="201"/>
      <c r="H261" s="197"/>
      <c r="I261" s="198"/>
      <c r="J261" s="127"/>
      <c r="K261" s="106"/>
      <c r="L261" s="107"/>
      <c r="M261" s="67"/>
      <c r="N261" s="197"/>
      <c r="O261" s="198"/>
      <c r="P261" s="127"/>
      <c r="Q261" s="125"/>
      <c r="R261" s="132"/>
      <c r="S261" s="153"/>
      <c r="T261" s="150"/>
      <c r="U261" s="148"/>
      <c r="V261" s="4"/>
      <c r="W261" s="9"/>
      <c r="X261" s="267"/>
    </row>
    <row r="262" spans="1:24" ht="15.75" x14ac:dyDescent="0.25">
      <c r="A262" s="268"/>
      <c r="B262" s="12"/>
      <c r="C262" s="105"/>
      <c r="D262" s="109"/>
      <c r="E262" s="106"/>
      <c r="F262" s="107"/>
      <c r="G262" s="201"/>
      <c r="H262" s="197"/>
      <c r="I262" s="198"/>
      <c r="J262" s="127"/>
      <c r="K262" s="106"/>
      <c r="L262" s="107"/>
      <c r="M262" s="67"/>
      <c r="N262" s="197"/>
      <c r="O262" s="198"/>
      <c r="P262" s="127"/>
      <c r="Q262" s="125"/>
      <c r="R262" s="132"/>
      <c r="S262" s="153"/>
      <c r="T262" s="150"/>
      <c r="U262" s="148"/>
      <c r="V262" s="4"/>
      <c r="W262" s="9"/>
      <c r="X262" s="267"/>
    </row>
    <row r="263" spans="1:24" ht="15.75" x14ac:dyDescent="0.25">
      <c r="A263" s="268"/>
      <c r="B263" s="12"/>
      <c r="C263" s="105"/>
      <c r="D263" s="109"/>
      <c r="E263" s="106"/>
      <c r="F263" s="107"/>
      <c r="G263" s="201"/>
      <c r="H263" s="197"/>
      <c r="I263" s="198"/>
      <c r="J263" s="127"/>
      <c r="K263" s="106"/>
      <c r="L263" s="107"/>
      <c r="M263" s="67"/>
      <c r="N263" s="197"/>
      <c r="O263" s="198"/>
      <c r="P263" s="127"/>
      <c r="Q263" s="125"/>
      <c r="R263" s="132"/>
      <c r="S263" s="153"/>
      <c r="T263" s="150"/>
      <c r="U263" s="148"/>
      <c r="V263" s="4"/>
      <c r="W263" s="9"/>
      <c r="X263" s="267"/>
    </row>
    <row r="264" spans="1:24" ht="15.75" x14ac:dyDescent="0.25">
      <c r="A264" s="268"/>
      <c r="B264" s="17"/>
      <c r="C264" s="105"/>
      <c r="D264" s="109"/>
      <c r="E264" s="106"/>
      <c r="F264" s="107"/>
      <c r="G264" s="201"/>
      <c r="H264" s="197"/>
      <c r="I264" s="198"/>
      <c r="J264" s="127"/>
      <c r="K264" s="106"/>
      <c r="L264" s="107"/>
      <c r="M264" s="67"/>
      <c r="N264" s="197"/>
      <c r="O264" s="198"/>
      <c r="P264" s="127"/>
      <c r="Q264" s="125"/>
      <c r="R264" s="132"/>
      <c r="S264" s="153"/>
      <c r="T264" s="150"/>
      <c r="U264" s="148"/>
      <c r="V264" s="4"/>
      <c r="W264" s="9"/>
      <c r="X264" s="267"/>
    </row>
    <row r="265" spans="1:24" ht="15.75" x14ac:dyDescent="0.25">
      <c r="A265" s="268" t="s">
        <v>301</v>
      </c>
      <c r="B265" s="17" t="s">
        <v>302</v>
      </c>
      <c r="C265" s="105" t="s">
        <v>21</v>
      </c>
      <c r="D265" s="109">
        <v>11</v>
      </c>
      <c r="E265" s="106">
        <v>7.89</v>
      </c>
      <c r="F265" s="107">
        <f>D265*E265</f>
        <v>86.789999999999992</v>
      </c>
      <c r="G265" s="201">
        <v>11</v>
      </c>
      <c r="H265" s="197">
        <v>7.89</v>
      </c>
      <c r="I265" s="198">
        <f>G265*H265</f>
        <v>86.789999999999992</v>
      </c>
      <c r="J265" s="127">
        <v>0</v>
      </c>
      <c r="K265" s="106">
        <v>7.89</v>
      </c>
      <c r="L265" s="107">
        <f>J265*K265</f>
        <v>0</v>
      </c>
      <c r="M265" s="67">
        <v>11</v>
      </c>
      <c r="N265" s="197">
        <v>7.89</v>
      </c>
      <c r="O265" s="198">
        <f>M265*N265</f>
        <v>86.789999999999992</v>
      </c>
      <c r="P265" s="127">
        <v>11</v>
      </c>
      <c r="Q265" s="125">
        <v>9.68</v>
      </c>
      <c r="R265" s="132">
        <v>106.47999999999999</v>
      </c>
      <c r="S265" s="153">
        <f>J265+P265</f>
        <v>11</v>
      </c>
      <c r="T265" s="150"/>
      <c r="U265" s="148">
        <f>L265+R265</f>
        <v>106.47999999999999</v>
      </c>
      <c r="V265" s="166">
        <v>11</v>
      </c>
      <c r="W265" s="9"/>
      <c r="X265" s="267"/>
    </row>
    <row r="266" spans="1:24" ht="63" x14ac:dyDescent="0.25">
      <c r="A266" s="268"/>
      <c r="B266" s="12" t="s">
        <v>303</v>
      </c>
      <c r="C266" s="105"/>
      <c r="D266" s="109"/>
      <c r="E266" s="106"/>
      <c r="F266" s="107"/>
      <c r="G266" s="201"/>
      <c r="H266" s="197"/>
      <c r="I266" s="198"/>
      <c r="J266" s="127"/>
      <c r="K266" s="106"/>
      <c r="L266" s="107"/>
      <c r="M266" s="67"/>
      <c r="N266" s="197"/>
      <c r="O266" s="198"/>
      <c r="P266" s="127"/>
      <c r="Q266" s="125"/>
      <c r="R266" s="132"/>
      <c r="S266" s="153"/>
      <c r="T266" s="150"/>
      <c r="U266" s="148"/>
      <c r="V266" s="4"/>
      <c r="W266" s="9"/>
      <c r="X266" s="267"/>
    </row>
    <row r="267" spans="1:24" ht="15.75" x14ac:dyDescent="0.25">
      <c r="A267" s="268"/>
      <c r="B267" s="12"/>
      <c r="C267" s="105"/>
      <c r="D267" s="109"/>
      <c r="E267" s="106"/>
      <c r="F267" s="107"/>
      <c r="G267" s="201"/>
      <c r="H267" s="197"/>
      <c r="I267" s="198"/>
      <c r="J267" s="127"/>
      <c r="K267" s="106"/>
      <c r="L267" s="107"/>
      <c r="M267" s="67"/>
      <c r="N267" s="197"/>
      <c r="O267" s="198"/>
      <c r="P267" s="127"/>
      <c r="Q267" s="125"/>
      <c r="R267" s="132"/>
      <c r="S267" s="153"/>
      <c r="T267" s="150"/>
      <c r="U267" s="148"/>
      <c r="V267" s="4"/>
      <c r="W267" s="9"/>
      <c r="X267" s="267"/>
    </row>
    <row r="268" spans="1:24" ht="15.75" x14ac:dyDescent="0.25">
      <c r="A268" s="268"/>
      <c r="B268" s="12"/>
      <c r="C268" s="105"/>
      <c r="D268" s="109"/>
      <c r="E268" s="106"/>
      <c r="F268" s="107"/>
      <c r="G268" s="201"/>
      <c r="H268" s="197"/>
      <c r="I268" s="198"/>
      <c r="J268" s="127"/>
      <c r="K268" s="106"/>
      <c r="L268" s="107"/>
      <c r="M268" s="67"/>
      <c r="N268" s="197"/>
      <c r="O268" s="198"/>
      <c r="P268" s="127"/>
      <c r="Q268" s="125"/>
      <c r="R268" s="132"/>
      <c r="S268" s="153"/>
      <c r="T268" s="150"/>
      <c r="U268" s="148"/>
      <c r="V268" s="4"/>
      <c r="W268" s="9"/>
      <c r="X268" s="267"/>
    </row>
    <row r="269" spans="1:24" ht="15.75" x14ac:dyDescent="0.25">
      <c r="A269" s="268" t="s">
        <v>304</v>
      </c>
      <c r="B269" s="17" t="s">
        <v>305</v>
      </c>
      <c r="C269" s="105" t="s">
        <v>21</v>
      </c>
      <c r="D269" s="109">
        <v>3</v>
      </c>
      <c r="E269" s="106">
        <v>8.68</v>
      </c>
      <c r="F269" s="107">
        <f>D269*E269</f>
        <v>26.04</v>
      </c>
      <c r="G269" s="201">
        <v>3</v>
      </c>
      <c r="H269" s="197">
        <v>8.68</v>
      </c>
      <c r="I269" s="198">
        <f>G269*H269</f>
        <v>26.04</v>
      </c>
      <c r="J269" s="127">
        <v>0</v>
      </c>
      <c r="K269" s="106">
        <v>8.68</v>
      </c>
      <c r="L269" s="107">
        <f>J269*K269</f>
        <v>0</v>
      </c>
      <c r="M269" s="67">
        <v>3</v>
      </c>
      <c r="N269" s="197">
        <v>8.68</v>
      </c>
      <c r="O269" s="198">
        <f>M269*N269</f>
        <v>26.04</v>
      </c>
      <c r="P269" s="127">
        <v>3</v>
      </c>
      <c r="Q269" s="125">
        <v>11.6</v>
      </c>
      <c r="R269" s="132">
        <v>34.799999999999997</v>
      </c>
      <c r="S269" s="153">
        <f>J269+P269</f>
        <v>3</v>
      </c>
      <c r="T269" s="150"/>
      <c r="U269" s="148">
        <f>L269+R269</f>
        <v>34.799999999999997</v>
      </c>
      <c r="V269" s="166">
        <v>3</v>
      </c>
      <c r="W269" s="9"/>
      <c r="X269" s="267"/>
    </row>
    <row r="270" spans="1:24" ht="78.75" x14ac:dyDescent="0.25">
      <c r="A270" s="268"/>
      <c r="B270" s="12" t="s">
        <v>306</v>
      </c>
      <c r="C270" s="105"/>
      <c r="D270" s="109"/>
      <c r="E270" s="106"/>
      <c r="F270" s="107"/>
      <c r="G270" s="201"/>
      <c r="H270" s="197"/>
      <c r="I270" s="198"/>
      <c r="J270" s="127"/>
      <c r="K270" s="106"/>
      <c r="L270" s="107"/>
      <c r="M270" s="67"/>
      <c r="N270" s="197"/>
      <c r="O270" s="198"/>
      <c r="P270" s="127"/>
      <c r="Q270" s="125"/>
      <c r="R270" s="132"/>
      <c r="S270" s="153"/>
      <c r="T270" s="150"/>
      <c r="U270" s="148"/>
      <c r="V270" s="8"/>
      <c r="W270" s="9"/>
      <c r="X270" s="267"/>
    </row>
    <row r="271" spans="1:24" ht="15.75" x14ac:dyDescent="0.25">
      <c r="A271" s="268"/>
      <c r="B271" s="12"/>
      <c r="C271" s="105"/>
      <c r="D271" s="109"/>
      <c r="E271" s="106"/>
      <c r="F271" s="107"/>
      <c r="G271" s="201"/>
      <c r="H271" s="197"/>
      <c r="I271" s="198"/>
      <c r="J271" s="127"/>
      <c r="K271" s="106"/>
      <c r="L271" s="107"/>
      <c r="M271" s="67"/>
      <c r="N271" s="197"/>
      <c r="O271" s="198"/>
      <c r="P271" s="127"/>
      <c r="Q271" s="125"/>
      <c r="R271" s="132"/>
      <c r="S271" s="153"/>
      <c r="T271" s="150"/>
      <c r="U271" s="148"/>
      <c r="V271" s="4"/>
      <c r="W271" s="9"/>
      <c r="X271" s="267"/>
    </row>
    <row r="272" spans="1:24" ht="15.75" x14ac:dyDescent="0.25">
      <c r="A272" s="268"/>
      <c r="B272" s="17"/>
      <c r="C272" s="105"/>
      <c r="D272" s="109"/>
      <c r="E272" s="106"/>
      <c r="F272" s="107"/>
      <c r="G272" s="201"/>
      <c r="H272" s="197"/>
      <c r="I272" s="198"/>
      <c r="J272" s="127"/>
      <c r="K272" s="106"/>
      <c r="L272" s="107"/>
      <c r="M272" s="67"/>
      <c r="N272" s="197"/>
      <c r="O272" s="198"/>
      <c r="P272" s="127"/>
      <c r="Q272" s="125"/>
      <c r="R272" s="132"/>
      <c r="S272" s="153"/>
      <c r="T272" s="150"/>
      <c r="U272" s="148"/>
      <c r="V272" s="4"/>
      <c r="W272" s="9"/>
      <c r="X272" s="267"/>
    </row>
    <row r="273" spans="1:24" ht="31.5" x14ac:dyDescent="0.25">
      <c r="A273" s="268" t="s">
        <v>307</v>
      </c>
      <c r="B273" s="17" t="s">
        <v>308</v>
      </c>
      <c r="C273" s="105" t="s">
        <v>21</v>
      </c>
      <c r="D273" s="109">
        <v>12</v>
      </c>
      <c r="E273" s="106">
        <v>432.73</v>
      </c>
      <c r="F273" s="107">
        <f>D273*E273</f>
        <v>5192.76</v>
      </c>
      <c r="G273" s="201">
        <v>12</v>
      </c>
      <c r="H273" s="197">
        <v>432.73</v>
      </c>
      <c r="I273" s="198">
        <f>G273*H273</f>
        <v>5192.76</v>
      </c>
      <c r="J273" s="127">
        <v>0</v>
      </c>
      <c r="K273" s="106">
        <v>432.73</v>
      </c>
      <c r="L273" s="107">
        <f>J273*K273</f>
        <v>0</v>
      </c>
      <c r="M273" s="67">
        <v>12</v>
      </c>
      <c r="N273" s="197">
        <v>432.73</v>
      </c>
      <c r="O273" s="198">
        <f>M273*N273</f>
        <v>5192.76</v>
      </c>
      <c r="P273" s="127">
        <v>12</v>
      </c>
      <c r="Q273" s="125">
        <v>516.41</v>
      </c>
      <c r="R273" s="132">
        <v>6196.92</v>
      </c>
      <c r="S273" s="153">
        <f>J273+P273</f>
        <v>12</v>
      </c>
      <c r="T273" s="150"/>
      <c r="U273" s="148">
        <f>L273+R273</f>
        <v>6196.92</v>
      </c>
      <c r="V273" s="166">
        <v>12</v>
      </c>
      <c r="W273" s="9"/>
      <c r="X273" s="267"/>
    </row>
    <row r="274" spans="1:24" ht="189" x14ac:dyDescent="0.25">
      <c r="A274" s="268"/>
      <c r="B274" s="12" t="s">
        <v>309</v>
      </c>
      <c r="C274" s="105"/>
      <c r="D274" s="109"/>
      <c r="E274" s="106"/>
      <c r="F274" s="107"/>
      <c r="G274" s="201"/>
      <c r="H274" s="197"/>
      <c r="I274" s="198"/>
      <c r="J274" s="127"/>
      <c r="K274" s="106"/>
      <c r="L274" s="107"/>
      <c r="M274" s="67"/>
      <c r="N274" s="197"/>
      <c r="O274" s="198"/>
      <c r="P274" s="127"/>
      <c r="Q274" s="125"/>
      <c r="R274" s="132"/>
      <c r="S274" s="153"/>
      <c r="T274" s="150"/>
      <c r="U274" s="148"/>
      <c r="V274" s="4"/>
      <c r="W274" s="9"/>
      <c r="X274" s="267"/>
    </row>
    <row r="275" spans="1:24" ht="15.75" x14ac:dyDescent="0.25">
      <c r="A275" s="268"/>
      <c r="B275" s="12"/>
      <c r="C275" s="105"/>
      <c r="D275" s="109"/>
      <c r="E275" s="106"/>
      <c r="F275" s="107"/>
      <c r="G275" s="201"/>
      <c r="H275" s="197"/>
      <c r="I275" s="198"/>
      <c r="J275" s="127"/>
      <c r="K275" s="106"/>
      <c r="L275" s="107"/>
      <c r="M275" s="67"/>
      <c r="N275" s="197"/>
      <c r="O275" s="198"/>
      <c r="P275" s="127"/>
      <c r="Q275" s="125"/>
      <c r="R275" s="132"/>
      <c r="S275" s="153"/>
      <c r="T275" s="150"/>
      <c r="U275" s="148"/>
      <c r="V275" s="4"/>
      <c r="W275" s="9"/>
      <c r="X275" s="267"/>
    </row>
    <row r="276" spans="1:24" ht="15.75" x14ac:dyDescent="0.25">
      <c r="A276" s="268"/>
      <c r="B276" s="17"/>
      <c r="C276" s="105"/>
      <c r="D276" s="109"/>
      <c r="E276" s="106"/>
      <c r="F276" s="107"/>
      <c r="G276" s="201"/>
      <c r="H276" s="197"/>
      <c r="I276" s="198"/>
      <c r="J276" s="127"/>
      <c r="K276" s="106"/>
      <c r="L276" s="107"/>
      <c r="M276" s="67"/>
      <c r="N276" s="197"/>
      <c r="O276" s="198"/>
      <c r="P276" s="127"/>
      <c r="Q276" s="125"/>
      <c r="R276" s="132"/>
      <c r="S276" s="153"/>
      <c r="T276" s="150"/>
      <c r="U276" s="148"/>
      <c r="V276" s="4"/>
      <c r="W276" s="9"/>
      <c r="X276" s="267"/>
    </row>
    <row r="277" spans="1:24" ht="15.75" x14ac:dyDescent="0.25">
      <c r="A277" s="268" t="s">
        <v>310</v>
      </c>
      <c r="B277" s="22" t="s">
        <v>311</v>
      </c>
      <c r="C277" s="105"/>
      <c r="D277" s="109"/>
      <c r="E277" s="106"/>
      <c r="F277" s="107"/>
      <c r="G277" s="201"/>
      <c r="H277" s="197"/>
      <c r="I277" s="198"/>
      <c r="J277" s="127"/>
      <c r="K277" s="106"/>
      <c r="L277" s="107"/>
      <c r="M277" s="67"/>
      <c r="N277" s="197"/>
      <c r="O277" s="198"/>
      <c r="P277" s="127"/>
      <c r="Q277" s="125"/>
      <c r="R277" s="132"/>
      <c r="S277" s="153"/>
      <c r="T277" s="150"/>
      <c r="U277" s="148"/>
      <c r="V277" s="4"/>
      <c r="W277" s="9"/>
      <c r="X277" s="267"/>
    </row>
    <row r="278" spans="1:24" ht="126" x14ac:dyDescent="0.25">
      <c r="A278" s="268"/>
      <c r="B278" s="12" t="s">
        <v>312</v>
      </c>
      <c r="C278" s="105"/>
      <c r="D278" s="109"/>
      <c r="E278" s="106"/>
      <c r="F278" s="107"/>
      <c r="G278" s="201"/>
      <c r="H278" s="197"/>
      <c r="I278" s="198"/>
      <c r="J278" s="127"/>
      <c r="K278" s="106"/>
      <c r="L278" s="107"/>
      <c r="M278" s="67"/>
      <c r="N278" s="197"/>
      <c r="O278" s="198"/>
      <c r="P278" s="127"/>
      <c r="Q278" s="125"/>
      <c r="R278" s="132"/>
      <c r="S278" s="153"/>
      <c r="T278" s="150"/>
      <c r="U278" s="148"/>
      <c r="V278" s="4"/>
      <c r="W278" s="9"/>
      <c r="X278" s="267"/>
    </row>
    <row r="279" spans="1:24" ht="15.75" x14ac:dyDescent="0.25">
      <c r="A279" s="268"/>
      <c r="B279" s="12"/>
      <c r="C279" s="105"/>
      <c r="D279" s="109"/>
      <c r="E279" s="106"/>
      <c r="F279" s="107"/>
      <c r="G279" s="201"/>
      <c r="H279" s="197"/>
      <c r="I279" s="198"/>
      <c r="J279" s="127"/>
      <c r="K279" s="106"/>
      <c r="L279" s="107"/>
      <c r="M279" s="67"/>
      <c r="N279" s="197"/>
      <c r="O279" s="198"/>
      <c r="P279" s="127"/>
      <c r="Q279" s="125"/>
      <c r="R279" s="132"/>
      <c r="S279" s="153"/>
      <c r="T279" s="150"/>
      <c r="U279" s="148"/>
      <c r="V279" s="4"/>
      <c r="W279" s="9"/>
      <c r="X279" s="267"/>
    </row>
    <row r="280" spans="1:24" ht="15.75" x14ac:dyDescent="0.25">
      <c r="A280" s="268"/>
      <c r="B280" s="12"/>
      <c r="C280" s="105"/>
      <c r="D280" s="109"/>
      <c r="E280" s="106"/>
      <c r="F280" s="107"/>
      <c r="G280" s="201"/>
      <c r="H280" s="197"/>
      <c r="I280" s="198"/>
      <c r="J280" s="127"/>
      <c r="K280" s="106"/>
      <c r="L280" s="107"/>
      <c r="M280" s="67"/>
      <c r="N280" s="197"/>
      <c r="O280" s="198"/>
      <c r="P280" s="127"/>
      <c r="Q280" s="125"/>
      <c r="R280" s="132"/>
      <c r="S280" s="153"/>
      <c r="T280" s="150"/>
      <c r="U280" s="148"/>
      <c r="V280" s="8"/>
      <c r="W280" s="9"/>
      <c r="X280" s="267"/>
    </row>
    <row r="281" spans="1:24" ht="31.5" x14ac:dyDescent="0.25">
      <c r="A281" s="268" t="s">
        <v>313</v>
      </c>
      <c r="B281" s="17" t="s">
        <v>522</v>
      </c>
      <c r="C281" s="105" t="s">
        <v>21</v>
      </c>
      <c r="D281" s="109">
        <v>1</v>
      </c>
      <c r="E281" s="106">
        <v>241.26</v>
      </c>
      <c r="F281" s="107">
        <f>D281*E281</f>
        <v>241.26</v>
      </c>
      <c r="G281" s="201">
        <v>1</v>
      </c>
      <c r="H281" s="197">
        <v>241.26</v>
      </c>
      <c r="I281" s="198">
        <f>G281*H281</f>
        <v>241.26</v>
      </c>
      <c r="J281" s="127">
        <v>0</v>
      </c>
      <c r="K281" s="106">
        <v>241.26</v>
      </c>
      <c r="L281" s="107">
        <f>J281*K281</f>
        <v>0</v>
      </c>
      <c r="M281" s="67">
        <v>1</v>
      </c>
      <c r="N281" s="197">
        <v>241.26</v>
      </c>
      <c r="O281" s="198">
        <f>M281*N281</f>
        <v>241.26</v>
      </c>
      <c r="P281" s="127">
        <v>1</v>
      </c>
      <c r="Q281" s="125">
        <v>286.64999999999998</v>
      </c>
      <c r="R281" s="132">
        <v>286.64999999999998</v>
      </c>
      <c r="S281" s="153">
        <f>J281+P281</f>
        <v>1</v>
      </c>
      <c r="T281" s="150"/>
      <c r="U281" s="148">
        <f>L281+R281</f>
        <v>286.64999999999998</v>
      </c>
      <c r="V281" s="8">
        <v>1</v>
      </c>
      <c r="W281" s="9"/>
      <c r="X281" s="267"/>
    </row>
    <row r="282" spans="1:24" ht="15.75" x14ac:dyDescent="0.25">
      <c r="A282" s="268"/>
      <c r="B282" s="12"/>
      <c r="C282" s="105"/>
      <c r="D282" s="109"/>
      <c r="E282" s="106"/>
      <c r="F282" s="107"/>
      <c r="G282" s="201"/>
      <c r="H282" s="197"/>
      <c r="I282" s="198"/>
      <c r="J282" s="127"/>
      <c r="K282" s="106"/>
      <c r="L282" s="107"/>
      <c r="M282" s="67"/>
      <c r="N282" s="197"/>
      <c r="O282" s="198"/>
      <c r="P282" s="127"/>
      <c r="Q282" s="125"/>
      <c r="R282" s="132"/>
      <c r="S282" s="154"/>
      <c r="T282" s="151"/>
      <c r="U282" s="148"/>
      <c r="V282" s="4"/>
      <c r="W282" s="9"/>
      <c r="X282" s="267"/>
    </row>
    <row r="283" spans="1:24" ht="15.75" x14ac:dyDescent="0.25">
      <c r="A283" s="276"/>
      <c r="B283" s="25"/>
      <c r="C283" s="322" t="s">
        <v>34</v>
      </c>
      <c r="D283" s="322"/>
      <c r="E283" s="322"/>
      <c r="F283" s="108">
        <f>SUM(F196:F282)</f>
        <v>15618.800000000001</v>
      </c>
      <c r="G283" s="326" t="s">
        <v>34</v>
      </c>
      <c r="H283" s="326"/>
      <c r="I283" s="199">
        <f>SUM(I196:I282)</f>
        <v>15618.800000000001</v>
      </c>
      <c r="J283" s="324" t="s">
        <v>34</v>
      </c>
      <c r="K283" s="324"/>
      <c r="L283" s="108">
        <f>SUM(L196:L282)</f>
        <v>0</v>
      </c>
      <c r="M283" s="326" t="s">
        <v>34</v>
      </c>
      <c r="N283" s="326"/>
      <c r="O283" s="199">
        <f>SUM(O196:O282)</f>
        <v>15618.800000000001</v>
      </c>
      <c r="P283" s="324" t="s">
        <v>34</v>
      </c>
      <c r="Q283" s="324"/>
      <c r="R283" s="133">
        <v>20173.560000000001</v>
      </c>
      <c r="S283" s="328" t="s">
        <v>34</v>
      </c>
      <c r="T283" s="326"/>
      <c r="U283" s="156">
        <f>L283+R283</f>
        <v>20173.560000000001</v>
      </c>
      <c r="V283" s="4"/>
      <c r="W283" s="9"/>
      <c r="X283" s="267"/>
    </row>
    <row r="284" spans="1:24" ht="15.75" x14ac:dyDescent="0.25">
      <c r="A284" s="264" t="s">
        <v>314</v>
      </c>
      <c r="B284" s="57" t="s">
        <v>315</v>
      </c>
      <c r="C284" s="114"/>
      <c r="D284" s="115"/>
      <c r="E284" s="103"/>
      <c r="F284" s="107"/>
      <c r="G284" s="210"/>
      <c r="H284" s="141"/>
      <c r="I284" s="198"/>
      <c r="J284" s="129"/>
      <c r="K284" s="103"/>
      <c r="L284" s="107"/>
      <c r="M284" s="72"/>
      <c r="N284" s="141"/>
      <c r="O284" s="198"/>
      <c r="P284" s="129"/>
      <c r="Q284" s="131"/>
      <c r="R284" s="132"/>
      <c r="S284" s="159"/>
      <c r="T284" s="155"/>
      <c r="U284" s="157"/>
      <c r="V284" s="4"/>
      <c r="W284" s="9"/>
      <c r="X284" s="267"/>
    </row>
    <row r="285" spans="1:24" ht="15.75" x14ac:dyDescent="0.25">
      <c r="A285" s="266" t="s">
        <v>316</v>
      </c>
      <c r="B285" s="26" t="s">
        <v>149</v>
      </c>
      <c r="C285" s="105"/>
      <c r="D285" s="109"/>
      <c r="E285" s="106"/>
      <c r="F285" s="107"/>
      <c r="G285" s="201"/>
      <c r="H285" s="197"/>
      <c r="I285" s="198"/>
      <c r="J285" s="127"/>
      <c r="K285" s="106"/>
      <c r="L285" s="107"/>
      <c r="M285" s="67"/>
      <c r="N285" s="197"/>
      <c r="O285" s="198"/>
      <c r="P285" s="127"/>
      <c r="Q285" s="125"/>
      <c r="R285" s="132"/>
      <c r="S285" s="153"/>
      <c r="T285" s="150"/>
      <c r="U285" s="148"/>
      <c r="V285" s="4"/>
      <c r="W285" s="9"/>
      <c r="X285" s="267"/>
    </row>
    <row r="286" spans="1:24" ht="31.5" x14ac:dyDescent="0.25">
      <c r="A286" s="268" t="s">
        <v>317</v>
      </c>
      <c r="B286" s="17" t="s">
        <v>318</v>
      </c>
      <c r="C286" s="105" t="s">
        <v>524</v>
      </c>
      <c r="D286" s="109">
        <f>0.8*2.1+1*2.1*2</f>
        <v>5.8800000000000008</v>
      </c>
      <c r="E286" s="106">
        <v>363.17</v>
      </c>
      <c r="F286" s="107">
        <f>D286*E286</f>
        <v>2135.4396000000002</v>
      </c>
      <c r="G286" s="201">
        <f>0.8*2.1+1*2.1*2</f>
        <v>5.8800000000000008</v>
      </c>
      <c r="H286" s="197">
        <v>363.17</v>
      </c>
      <c r="I286" s="198">
        <f>G286*H286</f>
        <v>2135.4396000000002</v>
      </c>
      <c r="J286" s="127">
        <v>0</v>
      </c>
      <c r="K286" s="106">
        <v>363.17</v>
      </c>
      <c r="L286" s="107">
        <f>J286*K286</f>
        <v>0</v>
      </c>
      <c r="M286" s="67">
        <v>5.8800000000000008</v>
      </c>
      <c r="N286" s="197">
        <v>363.17</v>
      </c>
      <c r="O286" s="198">
        <f>M286*N286</f>
        <v>2135.4396000000002</v>
      </c>
      <c r="P286" s="127">
        <v>5.8800000000000008</v>
      </c>
      <c r="Q286" s="125">
        <v>489.7</v>
      </c>
      <c r="R286" s="132">
        <v>2879.4360000000001</v>
      </c>
      <c r="S286" s="153">
        <f>J286+P286</f>
        <v>5.8800000000000008</v>
      </c>
      <c r="T286" s="150"/>
      <c r="U286" s="148">
        <f>L286+R286</f>
        <v>2879.4360000000001</v>
      </c>
      <c r="V286" s="4" t="s">
        <v>319</v>
      </c>
      <c r="W286" s="9" t="s">
        <v>320</v>
      </c>
      <c r="X286" s="267"/>
    </row>
    <row r="287" spans="1:24" ht="189" x14ac:dyDescent="0.25">
      <c r="A287" s="268"/>
      <c r="B287" s="12" t="s">
        <v>321</v>
      </c>
      <c r="C287" s="105"/>
      <c r="D287" s="109"/>
      <c r="E287" s="106"/>
      <c r="F287" s="107"/>
      <c r="G287" s="201"/>
      <c r="H287" s="197"/>
      <c r="I287" s="198"/>
      <c r="J287" s="127"/>
      <c r="K287" s="106"/>
      <c r="L287" s="107"/>
      <c r="M287" s="67"/>
      <c r="N287" s="197"/>
      <c r="O287" s="198"/>
      <c r="P287" s="127"/>
      <c r="Q287" s="125"/>
      <c r="R287" s="132"/>
      <c r="S287" s="153"/>
      <c r="T287" s="150"/>
      <c r="U287" s="148"/>
      <c r="V287" s="4"/>
      <c r="W287" s="9"/>
      <c r="X287" s="267"/>
    </row>
    <row r="288" spans="1:24" ht="15.75" x14ac:dyDescent="0.25">
      <c r="A288" s="268"/>
      <c r="B288" s="12"/>
      <c r="C288" s="105"/>
      <c r="D288" s="109"/>
      <c r="E288" s="106"/>
      <c r="F288" s="107"/>
      <c r="G288" s="201"/>
      <c r="H288" s="197"/>
      <c r="I288" s="198"/>
      <c r="J288" s="127"/>
      <c r="K288" s="106"/>
      <c r="L288" s="107"/>
      <c r="M288" s="67"/>
      <c r="N288" s="197"/>
      <c r="O288" s="198"/>
      <c r="P288" s="127"/>
      <c r="Q288" s="125"/>
      <c r="R288" s="132"/>
      <c r="S288" s="153"/>
      <c r="T288" s="150"/>
      <c r="U288" s="148"/>
      <c r="V288" s="4"/>
      <c r="W288" s="9"/>
      <c r="X288" s="267"/>
    </row>
    <row r="289" spans="1:24" ht="15.75" x14ac:dyDescent="0.25">
      <c r="A289" s="268"/>
      <c r="B289" s="12"/>
      <c r="C289" s="105"/>
      <c r="D289" s="109"/>
      <c r="E289" s="106"/>
      <c r="F289" s="107"/>
      <c r="G289" s="201"/>
      <c r="H289" s="197"/>
      <c r="I289" s="198"/>
      <c r="J289" s="127"/>
      <c r="K289" s="106"/>
      <c r="L289" s="107"/>
      <c r="M289" s="67"/>
      <c r="N289" s="197"/>
      <c r="O289" s="198"/>
      <c r="P289" s="127"/>
      <c r="Q289" s="125"/>
      <c r="R289" s="132"/>
      <c r="S289" s="153"/>
      <c r="T289" s="150"/>
      <c r="U289" s="148"/>
      <c r="V289" s="4"/>
      <c r="W289" s="9"/>
      <c r="X289" s="267"/>
    </row>
    <row r="290" spans="1:24" ht="31.5" x14ac:dyDescent="0.25">
      <c r="A290" s="268" t="s">
        <v>322</v>
      </c>
      <c r="B290" s="17" t="s">
        <v>323</v>
      </c>
      <c r="C290" s="105" t="s">
        <v>524</v>
      </c>
      <c r="D290" s="109">
        <f>0.8*1*4</f>
        <v>3.2</v>
      </c>
      <c r="E290" s="106">
        <v>530.42999999999995</v>
      </c>
      <c r="F290" s="107">
        <f>D290*E290</f>
        <v>1697.376</v>
      </c>
      <c r="G290" s="201">
        <f>0.8*1*4</f>
        <v>3.2</v>
      </c>
      <c r="H290" s="197">
        <v>530.42999999999995</v>
      </c>
      <c r="I290" s="198">
        <f>G290*H290</f>
        <v>1697.376</v>
      </c>
      <c r="J290" s="127">
        <v>0</v>
      </c>
      <c r="K290" s="106">
        <v>530.42999999999995</v>
      </c>
      <c r="L290" s="107">
        <f>J290*K290</f>
        <v>0</v>
      </c>
      <c r="M290" s="67">
        <v>3.2</v>
      </c>
      <c r="N290" s="197">
        <v>530.42999999999995</v>
      </c>
      <c r="O290" s="198">
        <f>M290*N290</f>
        <v>1697.376</v>
      </c>
      <c r="P290" s="127">
        <v>3.2</v>
      </c>
      <c r="Q290" s="125">
        <v>729.03</v>
      </c>
      <c r="R290" s="132">
        <v>2332.8960000000002</v>
      </c>
      <c r="S290" s="153">
        <f>J290+P290</f>
        <v>3.2</v>
      </c>
      <c r="T290" s="150"/>
      <c r="U290" s="148">
        <f>L290+R290</f>
        <v>2332.8960000000002</v>
      </c>
      <c r="V290" s="4" t="s">
        <v>324</v>
      </c>
      <c r="W290" s="9" t="s">
        <v>325</v>
      </c>
      <c r="X290" s="267"/>
    </row>
    <row r="291" spans="1:24" ht="189" x14ac:dyDescent="0.25">
      <c r="A291" s="268"/>
      <c r="B291" s="12" t="s">
        <v>326</v>
      </c>
      <c r="C291" s="105"/>
      <c r="D291" s="109"/>
      <c r="E291" s="106"/>
      <c r="F291" s="107"/>
      <c r="G291" s="201"/>
      <c r="H291" s="197"/>
      <c r="I291" s="198"/>
      <c r="J291" s="127"/>
      <c r="K291" s="106"/>
      <c r="L291" s="107"/>
      <c r="M291" s="67"/>
      <c r="N291" s="197"/>
      <c r="O291" s="198"/>
      <c r="P291" s="127"/>
      <c r="Q291" s="125"/>
      <c r="R291" s="132"/>
      <c r="S291" s="153"/>
      <c r="T291" s="150"/>
      <c r="U291" s="148"/>
      <c r="V291" s="4"/>
      <c r="W291" s="9"/>
      <c r="X291" s="267"/>
    </row>
    <row r="292" spans="1:24" ht="15.75" x14ac:dyDescent="0.25">
      <c r="A292" s="268"/>
      <c r="B292" s="12"/>
      <c r="C292" s="105"/>
      <c r="D292" s="109"/>
      <c r="E292" s="106"/>
      <c r="F292" s="107"/>
      <c r="G292" s="201"/>
      <c r="H292" s="197"/>
      <c r="I292" s="198"/>
      <c r="J292" s="127"/>
      <c r="K292" s="106"/>
      <c r="L292" s="107"/>
      <c r="M292" s="67"/>
      <c r="N292" s="197"/>
      <c r="O292" s="198"/>
      <c r="P292" s="127"/>
      <c r="Q292" s="125"/>
      <c r="R292" s="132"/>
      <c r="S292" s="154"/>
      <c r="T292" s="151"/>
      <c r="U292" s="148"/>
      <c r="V292" s="4"/>
      <c r="W292" s="9"/>
      <c r="X292" s="267"/>
    </row>
    <row r="293" spans="1:24" ht="15.75" x14ac:dyDescent="0.25">
      <c r="A293" s="276"/>
      <c r="B293" s="25"/>
      <c r="C293" s="322" t="s">
        <v>34</v>
      </c>
      <c r="D293" s="322"/>
      <c r="E293" s="322"/>
      <c r="F293" s="108">
        <f>SUM(F286:F292)</f>
        <v>3832.8155999999999</v>
      </c>
      <c r="G293" s="326" t="s">
        <v>34</v>
      </c>
      <c r="H293" s="326"/>
      <c r="I293" s="199">
        <f>SUM(I286:I292)</f>
        <v>3832.8155999999999</v>
      </c>
      <c r="J293" s="324" t="s">
        <v>34</v>
      </c>
      <c r="K293" s="324"/>
      <c r="L293" s="108">
        <f>SUM(L286:L292)</f>
        <v>0</v>
      </c>
      <c r="M293" s="326" t="s">
        <v>34</v>
      </c>
      <c r="N293" s="326"/>
      <c r="O293" s="199">
        <f>SUM(O286:O292)</f>
        <v>3832.8155999999999</v>
      </c>
      <c r="P293" s="324" t="s">
        <v>34</v>
      </c>
      <c r="Q293" s="324"/>
      <c r="R293" s="133">
        <v>5212.3320000000003</v>
      </c>
      <c r="S293" s="326" t="s">
        <v>34</v>
      </c>
      <c r="T293" s="326"/>
      <c r="U293" s="156">
        <f>L293+R293</f>
        <v>5212.3320000000003</v>
      </c>
      <c r="V293" s="4"/>
      <c r="W293" s="9"/>
      <c r="X293" s="267"/>
    </row>
    <row r="294" spans="1:24" ht="15.75" x14ac:dyDescent="0.25">
      <c r="A294" s="264">
        <v>130000</v>
      </c>
      <c r="B294" s="57" t="s">
        <v>327</v>
      </c>
      <c r="C294" s="101"/>
      <c r="D294" s="115"/>
      <c r="E294" s="103"/>
      <c r="F294" s="107"/>
      <c r="G294" s="210"/>
      <c r="H294" s="141"/>
      <c r="I294" s="198"/>
      <c r="J294" s="129"/>
      <c r="K294" s="103"/>
      <c r="L294" s="107"/>
      <c r="M294" s="72"/>
      <c r="N294" s="141"/>
      <c r="O294" s="198"/>
      <c r="P294" s="129"/>
      <c r="Q294" s="131"/>
      <c r="R294" s="132"/>
      <c r="S294" s="152"/>
      <c r="T294" s="155"/>
      <c r="U294" s="157"/>
      <c r="V294" s="4"/>
      <c r="W294" s="9"/>
      <c r="X294" s="267"/>
    </row>
    <row r="295" spans="1:24" ht="15.75" x14ac:dyDescent="0.25">
      <c r="A295" s="266">
        <v>130100</v>
      </c>
      <c r="B295" s="26" t="s">
        <v>328</v>
      </c>
      <c r="C295" s="105"/>
      <c r="D295" s="109"/>
      <c r="E295" s="106"/>
      <c r="F295" s="107"/>
      <c r="G295" s="201"/>
      <c r="H295" s="197"/>
      <c r="I295" s="198"/>
      <c r="J295" s="127"/>
      <c r="K295" s="106"/>
      <c r="L295" s="107"/>
      <c r="M295" s="67"/>
      <c r="N295" s="197"/>
      <c r="O295" s="198"/>
      <c r="P295" s="127"/>
      <c r="Q295" s="125"/>
      <c r="R295" s="132"/>
      <c r="S295" s="153"/>
      <c r="T295" s="150"/>
      <c r="U295" s="148"/>
      <c r="V295" s="4"/>
      <c r="W295" s="9"/>
      <c r="X295" s="267"/>
    </row>
    <row r="296" spans="1:24" ht="15.75" x14ac:dyDescent="0.25">
      <c r="A296" s="268"/>
      <c r="B296" s="12"/>
      <c r="C296" s="105"/>
      <c r="D296" s="106"/>
      <c r="E296" s="106"/>
      <c r="F296" s="107"/>
      <c r="G296" s="197"/>
      <c r="H296" s="197"/>
      <c r="I296" s="198"/>
      <c r="J296" s="125"/>
      <c r="K296" s="106"/>
      <c r="L296" s="107"/>
      <c r="M296" s="64"/>
      <c r="N296" s="197"/>
      <c r="O296" s="198"/>
      <c r="P296" s="125"/>
      <c r="Q296" s="125"/>
      <c r="R296" s="132"/>
      <c r="S296" s="153"/>
      <c r="T296" s="150"/>
      <c r="U296" s="148"/>
      <c r="V296" s="4"/>
      <c r="W296" s="9"/>
      <c r="X296" s="267"/>
    </row>
    <row r="297" spans="1:24" ht="15.75" x14ac:dyDescent="0.25">
      <c r="A297" s="268" t="s">
        <v>329</v>
      </c>
      <c r="B297" s="22" t="s">
        <v>330</v>
      </c>
      <c r="C297" s="105"/>
      <c r="D297" s="109"/>
      <c r="E297" s="106"/>
      <c r="F297" s="107"/>
      <c r="G297" s="201"/>
      <c r="H297" s="197"/>
      <c r="I297" s="198"/>
      <c r="J297" s="127"/>
      <c r="K297" s="106"/>
      <c r="L297" s="107"/>
      <c r="M297" s="67"/>
      <c r="N297" s="197"/>
      <c r="O297" s="198"/>
      <c r="P297" s="127"/>
      <c r="Q297" s="125"/>
      <c r="R297" s="132"/>
      <c r="S297" s="153"/>
      <c r="T297" s="150"/>
      <c r="U297" s="148"/>
      <c r="V297" s="4"/>
      <c r="W297" s="9"/>
      <c r="X297" s="267"/>
    </row>
    <row r="298" spans="1:24" ht="15.75" x14ac:dyDescent="0.25">
      <c r="A298" s="268" t="s">
        <v>331</v>
      </c>
      <c r="B298" s="17" t="s">
        <v>332</v>
      </c>
      <c r="C298" s="105" t="s">
        <v>21</v>
      </c>
      <c r="D298" s="109">
        <v>4</v>
      </c>
      <c r="E298" s="106">
        <v>226.13</v>
      </c>
      <c r="F298" s="107">
        <f>D298*E298</f>
        <v>904.52</v>
      </c>
      <c r="G298" s="201">
        <v>4</v>
      </c>
      <c r="H298" s="197">
        <v>226.13</v>
      </c>
      <c r="I298" s="198">
        <f>G298*H298</f>
        <v>904.52</v>
      </c>
      <c r="J298" s="127">
        <v>0</v>
      </c>
      <c r="K298" s="106">
        <v>226.13</v>
      </c>
      <c r="L298" s="107">
        <f>J298*K298</f>
        <v>0</v>
      </c>
      <c r="M298" s="67">
        <v>4</v>
      </c>
      <c r="N298" s="197">
        <v>226.13</v>
      </c>
      <c r="O298" s="198">
        <f>M298*N298</f>
        <v>904.52</v>
      </c>
      <c r="P298" s="127">
        <v>4</v>
      </c>
      <c r="Q298" s="125">
        <v>236.08</v>
      </c>
      <c r="R298" s="132">
        <v>944.32</v>
      </c>
      <c r="S298" s="153">
        <f>J298+P298</f>
        <v>4</v>
      </c>
      <c r="T298" s="150"/>
      <c r="U298" s="148">
        <f>L298+R298</f>
        <v>944.32</v>
      </c>
      <c r="V298" s="4">
        <v>4</v>
      </c>
      <c r="W298" s="9"/>
      <c r="X298" s="267"/>
    </row>
    <row r="299" spans="1:24" ht="126" x14ac:dyDescent="0.25">
      <c r="A299" s="268"/>
      <c r="B299" s="12" t="s">
        <v>333</v>
      </c>
      <c r="C299" s="105"/>
      <c r="D299" s="109"/>
      <c r="E299" s="106"/>
      <c r="F299" s="107"/>
      <c r="G299" s="201"/>
      <c r="H299" s="197"/>
      <c r="I299" s="198"/>
      <c r="J299" s="127"/>
      <c r="K299" s="106"/>
      <c r="L299" s="107"/>
      <c r="M299" s="67"/>
      <c r="N299" s="197"/>
      <c r="O299" s="198"/>
      <c r="P299" s="127"/>
      <c r="Q299" s="125"/>
      <c r="R299" s="132"/>
      <c r="S299" s="153"/>
      <c r="T299" s="150"/>
      <c r="U299" s="148"/>
      <c r="V299" s="4"/>
      <c r="W299" s="9"/>
      <c r="X299" s="267"/>
    </row>
    <row r="300" spans="1:24" ht="15.75" x14ac:dyDescent="0.25">
      <c r="A300" s="268"/>
      <c r="B300" s="17"/>
      <c r="C300" s="105"/>
      <c r="D300" s="109"/>
      <c r="E300" s="106"/>
      <c r="F300" s="107"/>
      <c r="G300" s="201"/>
      <c r="H300" s="197"/>
      <c r="I300" s="198"/>
      <c r="J300" s="127"/>
      <c r="K300" s="106"/>
      <c r="L300" s="107"/>
      <c r="M300" s="67"/>
      <c r="N300" s="197"/>
      <c r="O300" s="198"/>
      <c r="P300" s="127"/>
      <c r="Q300" s="125"/>
      <c r="R300" s="132"/>
      <c r="S300" s="153"/>
      <c r="T300" s="150"/>
      <c r="U300" s="148"/>
      <c r="V300" s="4"/>
      <c r="W300" s="9"/>
      <c r="X300" s="267"/>
    </row>
    <row r="301" spans="1:24" ht="31.5" x14ac:dyDescent="0.25">
      <c r="A301" s="268" t="s">
        <v>334</v>
      </c>
      <c r="B301" s="17" t="s">
        <v>335</v>
      </c>
      <c r="C301" s="105" t="s">
        <v>21</v>
      </c>
      <c r="D301" s="109">
        <v>2</v>
      </c>
      <c r="E301" s="106">
        <v>239.79</v>
      </c>
      <c r="F301" s="107">
        <f>D301*E301</f>
        <v>479.58</v>
      </c>
      <c r="G301" s="201">
        <v>2</v>
      </c>
      <c r="H301" s="197">
        <v>239.79</v>
      </c>
      <c r="I301" s="198">
        <f>G301*H301</f>
        <v>479.58</v>
      </c>
      <c r="J301" s="127">
        <v>0</v>
      </c>
      <c r="K301" s="106">
        <v>239.79</v>
      </c>
      <c r="L301" s="107">
        <f>J301*K301</f>
        <v>0</v>
      </c>
      <c r="M301" s="67">
        <v>2</v>
      </c>
      <c r="N301" s="197">
        <v>239.79</v>
      </c>
      <c r="O301" s="198">
        <f>M301*N301</f>
        <v>479.58</v>
      </c>
      <c r="P301" s="127">
        <v>2</v>
      </c>
      <c r="Q301" s="125">
        <v>226</v>
      </c>
      <c r="R301" s="132">
        <v>452</v>
      </c>
      <c r="S301" s="153">
        <f>J301+P301</f>
        <v>2</v>
      </c>
      <c r="T301" s="150"/>
      <c r="U301" s="148">
        <f>L301+R301</f>
        <v>452</v>
      </c>
      <c r="V301" s="4">
        <v>2</v>
      </c>
      <c r="W301" s="9"/>
      <c r="X301" s="267"/>
    </row>
    <row r="302" spans="1:24" ht="126" x14ac:dyDescent="0.25">
      <c r="A302" s="268"/>
      <c r="B302" s="12" t="s">
        <v>336</v>
      </c>
      <c r="C302" s="105"/>
      <c r="D302" s="109"/>
      <c r="E302" s="106"/>
      <c r="F302" s="107"/>
      <c r="G302" s="201"/>
      <c r="H302" s="197"/>
      <c r="I302" s="198"/>
      <c r="J302" s="127"/>
      <c r="K302" s="106"/>
      <c r="L302" s="107"/>
      <c r="M302" s="67"/>
      <c r="N302" s="197"/>
      <c r="O302" s="198"/>
      <c r="P302" s="127"/>
      <c r="Q302" s="125"/>
      <c r="R302" s="132"/>
      <c r="S302" s="153"/>
      <c r="T302" s="150"/>
      <c r="U302" s="148"/>
      <c r="V302" s="4"/>
      <c r="W302" s="9"/>
      <c r="X302" s="267"/>
    </row>
    <row r="303" spans="1:24" ht="15.75" x14ac:dyDescent="0.25">
      <c r="A303" s="268"/>
      <c r="B303" s="12"/>
      <c r="C303" s="105"/>
      <c r="D303" s="109"/>
      <c r="E303" s="106"/>
      <c r="F303" s="107"/>
      <c r="G303" s="201"/>
      <c r="H303" s="197"/>
      <c r="I303" s="198"/>
      <c r="J303" s="127"/>
      <c r="K303" s="106"/>
      <c r="L303" s="107"/>
      <c r="M303" s="67"/>
      <c r="N303" s="197"/>
      <c r="O303" s="198"/>
      <c r="P303" s="127"/>
      <c r="Q303" s="125"/>
      <c r="R303" s="132"/>
      <c r="S303" s="153"/>
      <c r="T303" s="150"/>
      <c r="U303" s="148"/>
      <c r="V303" s="4"/>
      <c r="W303" s="9"/>
      <c r="X303" s="267"/>
    </row>
    <row r="304" spans="1:24" ht="15.75" x14ac:dyDescent="0.25">
      <c r="A304" s="268"/>
      <c r="B304" s="12"/>
      <c r="C304" s="105"/>
      <c r="D304" s="109"/>
      <c r="E304" s="106"/>
      <c r="F304" s="107"/>
      <c r="G304" s="201"/>
      <c r="H304" s="197"/>
      <c r="I304" s="198"/>
      <c r="J304" s="127"/>
      <c r="K304" s="106"/>
      <c r="L304" s="107"/>
      <c r="M304" s="67"/>
      <c r="N304" s="197"/>
      <c r="O304" s="198"/>
      <c r="P304" s="127"/>
      <c r="Q304" s="125"/>
      <c r="R304" s="132"/>
      <c r="S304" s="153"/>
      <c r="T304" s="150"/>
      <c r="U304" s="148"/>
      <c r="V304" s="4"/>
      <c r="W304" s="9"/>
      <c r="X304" s="267"/>
    </row>
    <row r="305" spans="1:24" ht="31.5" x14ac:dyDescent="0.25">
      <c r="A305" s="268" t="s">
        <v>337</v>
      </c>
      <c r="B305" s="17" t="s">
        <v>338</v>
      </c>
      <c r="C305" s="105" t="s">
        <v>95</v>
      </c>
      <c r="D305" s="109">
        <f>2.35+1.36+1.36+3.89+1.6*4</f>
        <v>15.360000000000001</v>
      </c>
      <c r="E305" s="106">
        <v>110.01</v>
      </c>
      <c r="F305" s="107">
        <f>D305*E305</f>
        <v>1689.7536000000002</v>
      </c>
      <c r="G305" s="201">
        <f>2.35+1.36+1.36+3.89+1.6*4</f>
        <v>15.360000000000001</v>
      </c>
      <c r="H305" s="197">
        <v>110.01</v>
      </c>
      <c r="I305" s="198">
        <f>G305*H305</f>
        <v>1689.7536000000002</v>
      </c>
      <c r="J305" s="127">
        <v>0</v>
      </c>
      <c r="K305" s="106">
        <v>110.01</v>
      </c>
      <c r="L305" s="107">
        <f>J305*K305</f>
        <v>0</v>
      </c>
      <c r="M305" s="67">
        <v>15.360000000000001</v>
      </c>
      <c r="N305" s="197">
        <v>110.01</v>
      </c>
      <c r="O305" s="198">
        <f>M305*N305</f>
        <v>1689.7536000000002</v>
      </c>
      <c r="P305" s="127">
        <v>15.360000000000001</v>
      </c>
      <c r="Q305" s="125">
        <v>148.11000000000001</v>
      </c>
      <c r="R305" s="132">
        <v>2274.9696000000004</v>
      </c>
      <c r="S305" s="153">
        <f>J305+P305</f>
        <v>15.360000000000001</v>
      </c>
      <c r="T305" s="150"/>
      <c r="U305" s="148">
        <f>L305+R305</f>
        <v>2274.9696000000004</v>
      </c>
      <c r="V305" s="4" t="s">
        <v>339</v>
      </c>
      <c r="W305" s="9"/>
      <c r="X305" s="267"/>
    </row>
    <row r="306" spans="1:24" ht="252" x14ac:dyDescent="0.25">
      <c r="A306" s="268"/>
      <c r="B306" s="12" t="s">
        <v>340</v>
      </c>
      <c r="C306" s="105"/>
      <c r="D306" s="109"/>
      <c r="E306" s="106"/>
      <c r="F306" s="107"/>
      <c r="G306" s="201"/>
      <c r="H306" s="197"/>
      <c r="I306" s="198"/>
      <c r="J306" s="127"/>
      <c r="K306" s="106"/>
      <c r="L306" s="107"/>
      <c r="M306" s="67"/>
      <c r="N306" s="197"/>
      <c r="O306" s="198"/>
      <c r="P306" s="127"/>
      <c r="Q306" s="125"/>
      <c r="R306" s="132"/>
      <c r="S306" s="153"/>
      <c r="T306" s="150"/>
      <c r="U306" s="148"/>
      <c r="V306" s="4"/>
      <c r="W306" s="9"/>
      <c r="X306" s="267"/>
    </row>
    <row r="307" spans="1:24" ht="15.75" x14ac:dyDescent="0.25">
      <c r="A307" s="268"/>
      <c r="B307" s="12"/>
      <c r="C307" s="105"/>
      <c r="D307" s="109"/>
      <c r="E307" s="106"/>
      <c r="F307" s="107"/>
      <c r="G307" s="201"/>
      <c r="H307" s="197"/>
      <c r="I307" s="198"/>
      <c r="J307" s="127"/>
      <c r="K307" s="106"/>
      <c r="L307" s="107"/>
      <c r="M307" s="67"/>
      <c r="N307" s="197"/>
      <c r="O307" s="198"/>
      <c r="P307" s="127"/>
      <c r="Q307" s="125"/>
      <c r="R307" s="132"/>
      <c r="S307" s="153"/>
      <c r="T307" s="150"/>
      <c r="U307" s="148"/>
      <c r="V307" s="4"/>
      <c r="W307" s="9"/>
      <c r="X307" s="267"/>
    </row>
    <row r="308" spans="1:24" ht="15.75" x14ac:dyDescent="0.25">
      <c r="A308" s="268"/>
      <c r="B308" s="12"/>
      <c r="C308" s="105"/>
      <c r="D308" s="109"/>
      <c r="E308" s="106"/>
      <c r="F308" s="107"/>
      <c r="G308" s="201"/>
      <c r="H308" s="197"/>
      <c r="I308" s="198"/>
      <c r="J308" s="127"/>
      <c r="K308" s="106"/>
      <c r="L308" s="107"/>
      <c r="M308" s="67"/>
      <c r="N308" s="197"/>
      <c r="O308" s="198"/>
      <c r="P308" s="127"/>
      <c r="Q308" s="125"/>
      <c r="R308" s="132"/>
      <c r="S308" s="153"/>
      <c r="T308" s="150"/>
      <c r="U308" s="148"/>
      <c r="V308" s="4"/>
      <c r="W308" s="9"/>
      <c r="X308" s="267"/>
    </row>
    <row r="309" spans="1:24" ht="31.5" x14ac:dyDescent="0.25">
      <c r="A309" s="268" t="s">
        <v>341</v>
      </c>
      <c r="B309" s="17" t="s">
        <v>342</v>
      </c>
      <c r="C309" s="105" t="s">
        <v>95</v>
      </c>
      <c r="D309" s="109">
        <f>2.35+3.89+1.6*4</f>
        <v>12.64</v>
      </c>
      <c r="E309" s="106">
        <v>517.79999999999995</v>
      </c>
      <c r="F309" s="107">
        <f>D309*E309</f>
        <v>6544.9919999999993</v>
      </c>
      <c r="G309" s="201">
        <f>2.35+3.89+1.6*4</f>
        <v>12.64</v>
      </c>
      <c r="H309" s="197">
        <v>517.79999999999995</v>
      </c>
      <c r="I309" s="198">
        <f>G309*H309</f>
        <v>6544.9919999999993</v>
      </c>
      <c r="J309" s="127">
        <v>0</v>
      </c>
      <c r="K309" s="106">
        <v>517.79999999999995</v>
      </c>
      <c r="L309" s="107">
        <f>J309*K309</f>
        <v>0</v>
      </c>
      <c r="M309" s="67">
        <v>12.64</v>
      </c>
      <c r="N309" s="197">
        <v>517.79999999999995</v>
      </c>
      <c r="O309" s="198">
        <f>M309*N309</f>
        <v>6544.9919999999993</v>
      </c>
      <c r="P309" s="127">
        <v>12.64</v>
      </c>
      <c r="Q309" s="125">
        <v>699.79</v>
      </c>
      <c r="R309" s="132">
        <v>8845.3456000000006</v>
      </c>
      <c r="S309" s="153">
        <f>J309+P309</f>
        <v>12.64</v>
      </c>
      <c r="T309" s="150"/>
      <c r="U309" s="148">
        <f>L309+R309</f>
        <v>8845.3456000000006</v>
      </c>
      <c r="V309" s="4" t="s">
        <v>343</v>
      </c>
      <c r="W309" s="9"/>
      <c r="X309" s="267"/>
    </row>
    <row r="310" spans="1:24" ht="283.5" x14ac:dyDescent="0.25">
      <c r="A310" s="268"/>
      <c r="B310" s="12" t="s">
        <v>344</v>
      </c>
      <c r="C310" s="105"/>
      <c r="D310" s="109"/>
      <c r="E310" s="106"/>
      <c r="F310" s="107"/>
      <c r="G310" s="201"/>
      <c r="H310" s="197"/>
      <c r="I310" s="198"/>
      <c r="J310" s="127"/>
      <c r="K310" s="106"/>
      <c r="L310" s="107"/>
      <c r="M310" s="67"/>
      <c r="N310" s="197"/>
      <c r="O310" s="198"/>
      <c r="P310" s="127"/>
      <c r="Q310" s="125"/>
      <c r="R310" s="132"/>
      <c r="S310" s="154"/>
      <c r="T310" s="151"/>
      <c r="U310" s="148"/>
      <c r="V310" s="4"/>
      <c r="W310" s="9"/>
      <c r="X310" s="267"/>
    </row>
    <row r="311" spans="1:24" ht="15.75" x14ac:dyDescent="0.25">
      <c r="A311" s="276"/>
      <c r="B311" s="25"/>
      <c r="C311" s="322" t="s">
        <v>34</v>
      </c>
      <c r="D311" s="322"/>
      <c r="E311" s="322"/>
      <c r="F311" s="108">
        <f>SUM(F296:F310)</f>
        <v>9618.8456000000006</v>
      </c>
      <c r="G311" s="326" t="s">
        <v>34</v>
      </c>
      <c r="H311" s="326"/>
      <c r="I311" s="199">
        <f>SUM(I296:I310)</f>
        <v>9618.8456000000006</v>
      </c>
      <c r="J311" s="324" t="s">
        <v>34</v>
      </c>
      <c r="K311" s="324"/>
      <c r="L311" s="108">
        <f>SUM(L296:L310)</f>
        <v>0</v>
      </c>
      <c r="M311" s="326" t="s">
        <v>34</v>
      </c>
      <c r="N311" s="326"/>
      <c r="O311" s="199">
        <f>SUM(O296:O310)</f>
        <v>9618.8456000000006</v>
      </c>
      <c r="P311" s="324" t="s">
        <v>34</v>
      </c>
      <c r="Q311" s="324"/>
      <c r="R311" s="133">
        <v>12516.635200000001</v>
      </c>
      <c r="S311" s="326" t="s">
        <v>34</v>
      </c>
      <c r="T311" s="326"/>
      <c r="U311" s="66">
        <f>L311+R311</f>
        <v>12516.635200000001</v>
      </c>
      <c r="V311" s="4"/>
      <c r="W311" s="9"/>
      <c r="X311" s="267"/>
    </row>
    <row r="312" spans="1:24" ht="15.75" x14ac:dyDescent="0.25">
      <c r="A312" s="264">
        <v>140000</v>
      </c>
      <c r="B312" s="57" t="s">
        <v>345</v>
      </c>
      <c r="C312" s="101"/>
      <c r="D312" s="115"/>
      <c r="E312" s="103"/>
      <c r="F312" s="107"/>
      <c r="G312" s="210"/>
      <c r="H312" s="141"/>
      <c r="I312" s="198"/>
      <c r="J312" s="129"/>
      <c r="K312" s="103"/>
      <c r="L312" s="107"/>
      <c r="M312" s="72"/>
      <c r="N312" s="141"/>
      <c r="O312" s="198"/>
      <c r="P312" s="129"/>
      <c r="Q312" s="131"/>
      <c r="R312" s="132"/>
      <c r="S312" s="72"/>
      <c r="T312" s="60"/>
      <c r="U312" s="65"/>
      <c r="V312" s="4"/>
      <c r="W312" s="9"/>
      <c r="X312" s="267"/>
    </row>
    <row r="313" spans="1:24" ht="15.75" x14ac:dyDescent="0.25">
      <c r="A313" s="266">
        <v>140100</v>
      </c>
      <c r="B313" s="26" t="s">
        <v>113</v>
      </c>
      <c r="C313" s="105"/>
      <c r="D313" s="109"/>
      <c r="E313" s="106"/>
      <c r="F313" s="107"/>
      <c r="G313" s="201"/>
      <c r="H313" s="197"/>
      <c r="I313" s="198"/>
      <c r="J313" s="127"/>
      <c r="K313" s="106"/>
      <c r="L313" s="107"/>
      <c r="M313" s="67"/>
      <c r="N313" s="197"/>
      <c r="O313" s="198"/>
      <c r="P313" s="127"/>
      <c r="Q313" s="125"/>
      <c r="R313" s="132"/>
      <c r="S313" s="67"/>
      <c r="T313" s="64"/>
      <c r="U313" s="65"/>
      <c r="V313" s="4"/>
      <c r="W313" s="9"/>
      <c r="X313" s="267"/>
    </row>
    <row r="314" spans="1:24" ht="31.5" x14ac:dyDescent="0.25">
      <c r="A314" s="268">
        <v>140101</v>
      </c>
      <c r="B314" s="17" t="s">
        <v>346</v>
      </c>
      <c r="C314" s="105" t="s">
        <v>15</v>
      </c>
      <c r="D314" s="109">
        <f>(1.82*3*2+2.11*3*2)*2</f>
        <v>47.16</v>
      </c>
      <c r="E314" s="106">
        <v>26.65</v>
      </c>
      <c r="F314" s="107">
        <f>D314*E314</f>
        <v>1256.8139999999999</v>
      </c>
      <c r="G314" s="201">
        <f>(1.82*3*2+2.11*3*2)*2</f>
        <v>47.16</v>
      </c>
      <c r="H314" s="197">
        <v>26.65</v>
      </c>
      <c r="I314" s="198">
        <f>G314*H314</f>
        <v>1256.8139999999999</v>
      </c>
      <c r="J314" s="127">
        <v>0</v>
      </c>
      <c r="K314" s="106">
        <v>26.65</v>
      </c>
      <c r="L314" s="107">
        <f>J314*K314</f>
        <v>0</v>
      </c>
      <c r="M314" s="67">
        <v>47.16</v>
      </c>
      <c r="N314" s="197">
        <v>26.65</v>
      </c>
      <c r="O314" s="198">
        <f>M314*N314</f>
        <v>1256.8139999999999</v>
      </c>
      <c r="P314" s="127">
        <v>47.16</v>
      </c>
      <c r="Q314" s="125">
        <v>32.479999999999997</v>
      </c>
      <c r="R314" s="132">
        <v>1531.7567999999997</v>
      </c>
      <c r="S314" s="67">
        <f>J314+P314</f>
        <v>47.16</v>
      </c>
      <c r="T314" s="64"/>
      <c r="U314" s="65">
        <f>L314+R314</f>
        <v>1531.7567999999997</v>
      </c>
      <c r="V314" s="166" t="s">
        <v>347</v>
      </c>
      <c r="W314" s="9" t="s">
        <v>210</v>
      </c>
      <c r="X314" s="267"/>
    </row>
    <row r="315" spans="1:24" ht="78.75" x14ac:dyDescent="0.25">
      <c r="A315" s="268"/>
      <c r="B315" s="12" t="s">
        <v>348</v>
      </c>
      <c r="C315" s="105"/>
      <c r="D315" s="109"/>
      <c r="E315" s="106"/>
      <c r="F315" s="107"/>
      <c r="G315" s="201"/>
      <c r="H315" s="197"/>
      <c r="I315" s="198"/>
      <c r="J315" s="127"/>
      <c r="K315" s="106"/>
      <c r="L315" s="107"/>
      <c r="M315" s="67"/>
      <c r="N315" s="197"/>
      <c r="O315" s="198"/>
      <c r="P315" s="127"/>
      <c r="Q315" s="125"/>
      <c r="R315" s="132"/>
      <c r="S315" s="67"/>
      <c r="T315" s="64"/>
      <c r="U315" s="65"/>
      <c r="V315" s="4"/>
      <c r="W315" s="9"/>
      <c r="X315" s="267"/>
    </row>
    <row r="316" spans="1:24" ht="15.75" x14ac:dyDescent="0.25">
      <c r="A316" s="268"/>
      <c r="B316" s="12"/>
      <c r="C316" s="105"/>
      <c r="D316" s="109"/>
      <c r="E316" s="106"/>
      <c r="F316" s="107"/>
      <c r="G316" s="201"/>
      <c r="H316" s="197"/>
      <c r="I316" s="198"/>
      <c r="J316" s="127"/>
      <c r="K316" s="106"/>
      <c r="L316" s="107"/>
      <c r="M316" s="67"/>
      <c r="N316" s="197"/>
      <c r="O316" s="198"/>
      <c r="P316" s="127"/>
      <c r="Q316" s="125"/>
      <c r="R316" s="132"/>
      <c r="S316" s="67"/>
      <c r="T316" s="64"/>
      <c r="U316" s="65"/>
      <c r="V316" s="4"/>
      <c r="W316" s="9"/>
      <c r="X316" s="267"/>
    </row>
    <row r="317" spans="1:24" ht="157.5" x14ac:dyDescent="0.25">
      <c r="A317" s="268" t="s">
        <v>349</v>
      </c>
      <c r="B317" s="17" t="s">
        <v>350</v>
      </c>
      <c r="C317" s="105" t="s">
        <v>15</v>
      </c>
      <c r="D317" s="109">
        <f>D321-D314</f>
        <v>440.5415999999999</v>
      </c>
      <c r="E317" s="106">
        <v>26.09</v>
      </c>
      <c r="F317" s="107">
        <f>D317*E317</f>
        <v>11493.730343999998</v>
      </c>
      <c r="G317" s="201">
        <f>G321-G314</f>
        <v>440.5415999999999</v>
      </c>
      <c r="H317" s="197">
        <v>26.09</v>
      </c>
      <c r="I317" s="198">
        <f>G317*H317</f>
        <v>11493.730343999998</v>
      </c>
      <c r="J317" s="127">
        <v>0</v>
      </c>
      <c r="K317" s="106">
        <v>26.09</v>
      </c>
      <c r="L317" s="107">
        <f>J317*K317</f>
        <v>0</v>
      </c>
      <c r="M317" s="67">
        <f>G321-G314</f>
        <v>440.5415999999999</v>
      </c>
      <c r="N317" s="197">
        <v>26.09</v>
      </c>
      <c r="O317" s="198">
        <f>M317*N317</f>
        <v>11493.730343999998</v>
      </c>
      <c r="P317" s="127">
        <f>M317</f>
        <v>440.5415999999999</v>
      </c>
      <c r="Q317" s="125">
        <v>34.19</v>
      </c>
      <c r="R317" s="132">
        <v>14243.212100000001</v>
      </c>
      <c r="S317" s="67">
        <f>J317+P317</f>
        <v>440.5415999999999</v>
      </c>
      <c r="T317" s="64"/>
      <c r="U317" s="65">
        <f>L317+R317</f>
        <v>14243.212100000001</v>
      </c>
      <c r="V317" s="4" t="s">
        <v>351</v>
      </c>
      <c r="W317" s="9"/>
      <c r="X317" s="267"/>
    </row>
    <row r="318" spans="1:24" ht="78.75" x14ac:dyDescent="0.25">
      <c r="A318" s="268"/>
      <c r="B318" s="12" t="s">
        <v>352</v>
      </c>
      <c r="C318" s="105"/>
      <c r="D318" s="109"/>
      <c r="E318" s="106"/>
      <c r="F318" s="107"/>
      <c r="G318" s="201"/>
      <c r="H318" s="197"/>
      <c r="I318" s="198"/>
      <c r="J318" s="127"/>
      <c r="K318" s="106"/>
      <c r="L318" s="107"/>
      <c r="M318" s="67"/>
      <c r="N318" s="197"/>
      <c r="O318" s="198"/>
      <c r="P318" s="127"/>
      <c r="Q318" s="125"/>
      <c r="R318" s="132"/>
      <c r="S318" s="67"/>
      <c r="T318" s="64"/>
      <c r="U318" s="65"/>
      <c r="V318" s="4"/>
      <c r="W318" s="9"/>
      <c r="X318" s="267"/>
    </row>
    <row r="319" spans="1:24" ht="15.75" x14ac:dyDescent="0.25">
      <c r="A319" s="268"/>
      <c r="B319" s="12"/>
      <c r="C319" s="105"/>
      <c r="D319" s="109"/>
      <c r="E319" s="106"/>
      <c r="F319" s="107"/>
      <c r="G319" s="201"/>
      <c r="H319" s="197"/>
      <c r="I319" s="198"/>
      <c r="J319" s="127"/>
      <c r="K319" s="106"/>
      <c r="L319" s="107"/>
      <c r="M319" s="67"/>
      <c r="N319" s="197"/>
      <c r="O319" s="198"/>
      <c r="P319" s="127"/>
      <c r="Q319" s="125"/>
      <c r="R319" s="132"/>
      <c r="S319" s="67"/>
      <c r="T319" s="64"/>
      <c r="U319" s="65"/>
      <c r="V319" s="4"/>
      <c r="W319" s="9"/>
      <c r="X319" s="267"/>
    </row>
    <row r="320" spans="1:24" ht="15.75" x14ac:dyDescent="0.25">
      <c r="A320" s="268"/>
      <c r="B320" s="12"/>
      <c r="C320" s="105"/>
      <c r="D320" s="109"/>
      <c r="E320" s="106"/>
      <c r="F320" s="107"/>
      <c r="G320" s="201"/>
      <c r="H320" s="197"/>
      <c r="I320" s="198"/>
      <c r="J320" s="127"/>
      <c r="K320" s="106"/>
      <c r="L320" s="107"/>
      <c r="M320" s="67"/>
      <c r="N320" s="197"/>
      <c r="O320" s="198"/>
      <c r="P320" s="127"/>
      <c r="Q320" s="125"/>
      <c r="R320" s="132"/>
      <c r="S320" s="67"/>
      <c r="T320" s="64"/>
      <c r="U320" s="65"/>
      <c r="V320" s="4"/>
      <c r="W320" s="9"/>
      <c r="X320" s="267"/>
    </row>
    <row r="321" spans="1:24" ht="141.75" x14ac:dyDescent="0.25">
      <c r="A321" s="268" t="s">
        <v>353</v>
      </c>
      <c r="B321" s="17" t="s">
        <v>354</v>
      </c>
      <c r="C321" s="105" t="s">
        <v>15</v>
      </c>
      <c r="D321" s="109">
        <f>(28-4.7-1.6)*1.5*4+18*3+18*1.5*2+21.62*4*0.5+(3.75+1.66)*0.5*2+2.58*3+2.58*2.5*2+4.5*4*3+3.74*2.35*2+1.24*2.5+8.24*0.52+4.7*2*3+4.78*3*3+1.82*4+4.78*1.82+3.74*2.58-1.6*1.5+4.78*1+2.02*1</f>
        <v>487.70159999999993</v>
      </c>
      <c r="E321" s="106">
        <v>7.04</v>
      </c>
      <c r="F321" s="107">
        <f>D321*E321</f>
        <v>3433.4192639999997</v>
      </c>
      <c r="G321" s="201">
        <f>(28-4.7-1.6)*1.5*4+18*3+18*1.5*2+21.62*4*0.5+(3.75+1.66)*0.5*2+2.58*3+2.58*2.5*2+4.5*4*3+3.74*2.35*2+1.24*2.5+8.24*0.52+4.7*2*3+4.78*3*3+1.82*4+4.78*1.82+3.74*2.58-1.6*1.5+4.78*1+2.02*1</f>
        <v>487.70159999999993</v>
      </c>
      <c r="H321" s="197">
        <v>7.04</v>
      </c>
      <c r="I321" s="198">
        <f>G321*H321</f>
        <v>3433.4192639999997</v>
      </c>
      <c r="J321" s="127">
        <v>23.96</v>
      </c>
      <c r="K321" s="106">
        <v>7.04</v>
      </c>
      <c r="L321" s="107">
        <f>J321*K321</f>
        <v>168.67840000000001</v>
      </c>
      <c r="M321" s="67">
        <f>G321-J321</f>
        <v>463.74159999999995</v>
      </c>
      <c r="N321" s="197">
        <v>7.04</v>
      </c>
      <c r="O321" s="198">
        <f>M321*N321</f>
        <v>3264.7408639999999</v>
      </c>
      <c r="P321" s="127">
        <f>M321</f>
        <v>463.74159999999995</v>
      </c>
      <c r="Q321" s="125">
        <v>9.0500000000000007</v>
      </c>
      <c r="R321" s="132">
        <v>4196.9375</v>
      </c>
      <c r="S321" s="67">
        <f>J321+P321</f>
        <v>487.70159999999993</v>
      </c>
      <c r="T321" s="64"/>
      <c r="U321" s="65">
        <f>L321+R321</f>
        <v>4365.6158999999998</v>
      </c>
      <c r="V321" s="4" t="s">
        <v>355</v>
      </c>
      <c r="W321" s="9"/>
      <c r="X321" s="267"/>
    </row>
    <row r="322" spans="1:24" ht="78.75" x14ac:dyDescent="0.25">
      <c r="A322" s="268"/>
      <c r="B322" s="12" t="s">
        <v>356</v>
      </c>
      <c r="C322" s="105"/>
      <c r="D322" s="109"/>
      <c r="E322" s="106"/>
      <c r="F322" s="107"/>
      <c r="G322" s="201"/>
      <c r="H322" s="197"/>
      <c r="I322" s="198"/>
      <c r="J322" s="127"/>
      <c r="K322" s="106"/>
      <c r="L322" s="107"/>
      <c r="M322" s="67"/>
      <c r="N322" s="197"/>
      <c r="O322" s="198"/>
      <c r="P322" s="127"/>
      <c r="Q322" s="125"/>
      <c r="R322" s="132"/>
      <c r="S322" s="67"/>
      <c r="T322" s="64"/>
      <c r="U322" s="65"/>
      <c r="V322" s="4"/>
      <c r="W322" s="9"/>
      <c r="X322" s="267"/>
    </row>
    <row r="323" spans="1:24" ht="15.75" x14ac:dyDescent="0.25">
      <c r="A323" s="268"/>
      <c r="B323" s="17"/>
      <c r="C323" s="105"/>
      <c r="D323" s="109"/>
      <c r="E323" s="106"/>
      <c r="F323" s="107"/>
      <c r="G323" s="201"/>
      <c r="H323" s="197"/>
      <c r="I323" s="198"/>
      <c r="J323" s="127"/>
      <c r="K323" s="106"/>
      <c r="L323" s="107"/>
      <c r="M323" s="67"/>
      <c r="N323" s="197"/>
      <c r="O323" s="198"/>
      <c r="P323" s="127"/>
      <c r="Q323" s="125"/>
      <c r="R323" s="132"/>
      <c r="S323" s="67"/>
      <c r="T323" s="64"/>
      <c r="U323" s="65"/>
      <c r="V323" s="4"/>
      <c r="W323" s="9"/>
      <c r="X323" s="267"/>
    </row>
    <row r="324" spans="1:24" ht="15.75" x14ac:dyDescent="0.25">
      <c r="A324" s="268"/>
      <c r="B324" s="17"/>
      <c r="C324" s="105"/>
      <c r="D324" s="109"/>
      <c r="E324" s="106"/>
      <c r="F324" s="107"/>
      <c r="G324" s="201"/>
      <c r="H324" s="197"/>
      <c r="I324" s="198"/>
      <c r="J324" s="127"/>
      <c r="K324" s="106"/>
      <c r="L324" s="107"/>
      <c r="M324" s="67"/>
      <c r="N324" s="197"/>
      <c r="O324" s="198"/>
      <c r="P324" s="127"/>
      <c r="Q324" s="125"/>
      <c r="R324" s="132"/>
      <c r="S324" s="67"/>
      <c r="T324" s="64"/>
      <c r="U324" s="65"/>
      <c r="V324" s="4"/>
      <c r="W324" s="9"/>
      <c r="X324" s="267"/>
    </row>
    <row r="325" spans="1:24" ht="31.5" x14ac:dyDescent="0.25">
      <c r="A325" s="268" t="s">
        <v>357</v>
      </c>
      <c r="B325" s="29" t="s">
        <v>358</v>
      </c>
      <c r="C325" s="105" t="s">
        <v>15</v>
      </c>
      <c r="D325" s="109">
        <f>D314</f>
        <v>47.16</v>
      </c>
      <c r="E325" s="106">
        <v>52.15</v>
      </c>
      <c r="F325" s="107">
        <f>D325*E325</f>
        <v>2459.3939999999998</v>
      </c>
      <c r="G325" s="201">
        <f>G314</f>
        <v>47.16</v>
      </c>
      <c r="H325" s="197">
        <v>52.15</v>
      </c>
      <c r="I325" s="198">
        <f>G325*H325</f>
        <v>2459.3939999999998</v>
      </c>
      <c r="J325" s="127">
        <v>0</v>
      </c>
      <c r="K325" s="106">
        <v>52.15</v>
      </c>
      <c r="L325" s="107">
        <f>J325*K325</f>
        <v>0</v>
      </c>
      <c r="M325" s="67">
        <v>47.16</v>
      </c>
      <c r="N325" s="197">
        <v>52.15</v>
      </c>
      <c r="O325" s="198">
        <f>M325*N325</f>
        <v>2459.3939999999998</v>
      </c>
      <c r="P325" s="127">
        <v>47.16</v>
      </c>
      <c r="Q325" s="125">
        <v>87.89</v>
      </c>
      <c r="R325" s="132">
        <v>4144.8923999999997</v>
      </c>
      <c r="S325" s="67">
        <f>J325+P325</f>
        <v>47.16</v>
      </c>
      <c r="T325" s="64"/>
      <c r="U325" s="65">
        <f>L325+R325</f>
        <v>4144.8923999999997</v>
      </c>
      <c r="V325" s="166" t="s">
        <v>347</v>
      </c>
      <c r="W325" s="9" t="s">
        <v>210</v>
      </c>
      <c r="X325" s="267"/>
    </row>
    <row r="326" spans="1:24" ht="315" x14ac:dyDescent="0.25">
      <c r="A326" s="268"/>
      <c r="B326" s="14" t="s">
        <v>359</v>
      </c>
      <c r="C326" s="105"/>
      <c r="D326" s="109"/>
      <c r="E326" s="106"/>
      <c r="F326" s="107"/>
      <c r="G326" s="201"/>
      <c r="H326" s="197"/>
      <c r="I326" s="198"/>
      <c r="J326" s="127"/>
      <c r="K326" s="106"/>
      <c r="L326" s="107"/>
      <c r="M326" s="67"/>
      <c r="N326" s="197"/>
      <c r="O326" s="198"/>
      <c r="P326" s="127"/>
      <c r="Q326" s="125"/>
      <c r="R326" s="132"/>
      <c r="S326" s="67"/>
      <c r="T326" s="64"/>
      <c r="U326" s="65"/>
      <c r="V326" s="4"/>
      <c r="W326" s="9"/>
      <c r="X326" s="267"/>
    </row>
    <row r="327" spans="1:24" ht="15.75" x14ac:dyDescent="0.25">
      <c r="A327" s="268"/>
      <c r="B327" s="30"/>
      <c r="C327" s="105"/>
      <c r="D327" s="109"/>
      <c r="E327" s="106"/>
      <c r="F327" s="107"/>
      <c r="G327" s="201"/>
      <c r="H327" s="197"/>
      <c r="I327" s="198"/>
      <c r="J327" s="127"/>
      <c r="K327" s="106"/>
      <c r="L327" s="107"/>
      <c r="M327" s="67"/>
      <c r="N327" s="197"/>
      <c r="O327" s="198"/>
      <c r="P327" s="127"/>
      <c r="Q327" s="125"/>
      <c r="R327" s="132"/>
      <c r="S327" s="67"/>
      <c r="T327" s="64"/>
      <c r="U327" s="65"/>
      <c r="V327" s="4"/>
      <c r="W327" s="9"/>
      <c r="X327" s="267"/>
    </row>
    <row r="328" spans="1:24" ht="15.75" x14ac:dyDescent="0.25">
      <c r="A328" s="276"/>
      <c r="B328" s="25"/>
      <c r="C328" s="322" t="s">
        <v>34</v>
      </c>
      <c r="D328" s="322"/>
      <c r="E328" s="322"/>
      <c r="F328" s="108">
        <f>SUM(F314:F327)</f>
        <v>18643.357607999998</v>
      </c>
      <c r="G328" s="326" t="s">
        <v>34</v>
      </c>
      <c r="H328" s="326"/>
      <c r="I328" s="199">
        <f>SUM(I314:I327)</f>
        <v>18643.357607999998</v>
      </c>
      <c r="J328" s="324" t="s">
        <v>34</v>
      </c>
      <c r="K328" s="324"/>
      <c r="L328" s="108">
        <f>SUM(L314:L327)</f>
        <v>168.67840000000001</v>
      </c>
      <c r="M328" s="326" t="s">
        <v>34</v>
      </c>
      <c r="N328" s="326"/>
      <c r="O328" s="199">
        <f>SUM(O314:O327)</f>
        <v>18474.679207999998</v>
      </c>
      <c r="P328" s="324" t="s">
        <v>34</v>
      </c>
      <c r="Q328" s="324"/>
      <c r="R328" s="133">
        <v>24116.7988</v>
      </c>
      <c r="S328" s="326" t="s">
        <v>34</v>
      </c>
      <c r="T328" s="326"/>
      <c r="U328" s="66">
        <f>L328+R328</f>
        <v>24285.477200000001</v>
      </c>
      <c r="V328" s="4"/>
      <c r="W328" s="9"/>
      <c r="X328" s="267"/>
    </row>
    <row r="329" spans="1:24" ht="15.75" x14ac:dyDescent="0.25">
      <c r="A329" s="264">
        <v>150000</v>
      </c>
      <c r="B329" s="57" t="s">
        <v>360</v>
      </c>
      <c r="C329" s="101"/>
      <c r="D329" s="115"/>
      <c r="E329" s="106"/>
      <c r="F329" s="107"/>
      <c r="G329" s="210"/>
      <c r="H329" s="197"/>
      <c r="I329" s="198"/>
      <c r="J329" s="129"/>
      <c r="K329" s="106"/>
      <c r="L329" s="107"/>
      <c r="M329" s="72"/>
      <c r="N329" s="197"/>
      <c r="O329" s="198"/>
      <c r="P329" s="129"/>
      <c r="Q329" s="125"/>
      <c r="R329" s="132"/>
      <c r="S329" s="72"/>
      <c r="T329" s="64"/>
      <c r="U329" s="65"/>
      <c r="V329" s="4"/>
      <c r="W329" s="9"/>
      <c r="X329" s="267"/>
    </row>
    <row r="330" spans="1:24" ht="15.75" x14ac:dyDescent="0.25">
      <c r="A330" s="266">
        <v>150100</v>
      </c>
      <c r="B330" s="26" t="s">
        <v>361</v>
      </c>
      <c r="C330" s="105"/>
      <c r="D330" s="109"/>
      <c r="E330" s="106"/>
      <c r="F330" s="107"/>
      <c r="G330" s="201"/>
      <c r="H330" s="197"/>
      <c r="I330" s="198"/>
      <c r="J330" s="127"/>
      <c r="K330" s="106"/>
      <c r="L330" s="107"/>
      <c r="M330" s="67"/>
      <c r="N330" s="197"/>
      <c r="O330" s="198"/>
      <c r="P330" s="127"/>
      <c r="Q330" s="125"/>
      <c r="R330" s="132"/>
      <c r="S330" s="67"/>
      <c r="T330" s="64"/>
      <c r="U330" s="65"/>
      <c r="V330" s="4"/>
      <c r="W330" s="9"/>
      <c r="X330" s="267"/>
    </row>
    <row r="331" spans="1:24" ht="15.75" x14ac:dyDescent="0.25">
      <c r="A331" s="268"/>
      <c r="B331" s="12"/>
      <c r="C331" s="105"/>
      <c r="D331" s="109"/>
      <c r="E331" s="106"/>
      <c r="F331" s="107"/>
      <c r="G331" s="201"/>
      <c r="H331" s="197"/>
      <c r="I331" s="198"/>
      <c r="J331" s="127"/>
      <c r="K331" s="106"/>
      <c r="L331" s="107"/>
      <c r="M331" s="67"/>
      <c r="N331" s="197"/>
      <c r="O331" s="198"/>
      <c r="P331" s="127"/>
      <c r="Q331" s="125"/>
      <c r="R331" s="132"/>
      <c r="S331" s="67"/>
      <c r="T331" s="64"/>
      <c r="U331" s="65"/>
      <c r="V331" s="4"/>
      <c r="W331" s="9"/>
      <c r="X331" s="267"/>
    </row>
    <row r="332" spans="1:24" ht="63" x14ac:dyDescent="0.25">
      <c r="A332" s="268" t="s">
        <v>362</v>
      </c>
      <c r="B332" s="13" t="s">
        <v>363</v>
      </c>
      <c r="C332" s="105" t="s">
        <v>524</v>
      </c>
      <c r="D332" s="109">
        <f>2.11*1.82*2</f>
        <v>7.6803999999999997</v>
      </c>
      <c r="E332" s="106">
        <v>74.38</v>
      </c>
      <c r="F332" s="107">
        <f>D332*E332</f>
        <v>571.26815199999999</v>
      </c>
      <c r="G332" s="201">
        <f>2.11*1.82*2</f>
        <v>7.6803999999999997</v>
      </c>
      <c r="H332" s="197">
        <v>74.38</v>
      </c>
      <c r="I332" s="198">
        <f>G332*H332</f>
        <v>571.26815199999999</v>
      </c>
      <c r="J332" s="127">
        <v>0</v>
      </c>
      <c r="K332" s="106">
        <v>74.38</v>
      </c>
      <c r="L332" s="107">
        <f>J332*K332</f>
        <v>0</v>
      </c>
      <c r="M332" s="67">
        <v>7.6803999999999997</v>
      </c>
      <c r="N332" s="197">
        <v>74.38</v>
      </c>
      <c r="O332" s="198">
        <f>M332*N332</f>
        <v>571.26815199999999</v>
      </c>
      <c r="P332" s="127">
        <v>7.6803999999999997</v>
      </c>
      <c r="Q332" s="125">
        <v>89.96</v>
      </c>
      <c r="R332" s="132">
        <v>690.92878399999995</v>
      </c>
      <c r="S332" s="67">
        <f>J332+P332</f>
        <v>7.6803999999999997</v>
      </c>
      <c r="T332" s="64"/>
      <c r="U332" s="65">
        <f>L332+R332</f>
        <v>690.92878399999995</v>
      </c>
      <c r="V332" s="4" t="s">
        <v>364</v>
      </c>
      <c r="W332" s="9" t="s">
        <v>192</v>
      </c>
      <c r="X332" s="267"/>
    </row>
    <row r="333" spans="1:24" ht="393.75" x14ac:dyDescent="0.25">
      <c r="A333" s="268"/>
      <c r="B333" s="12" t="s">
        <v>365</v>
      </c>
      <c r="C333" s="105"/>
      <c r="D333" s="109"/>
      <c r="E333" s="106"/>
      <c r="F333" s="107"/>
      <c r="G333" s="201"/>
      <c r="H333" s="197"/>
      <c r="I333" s="198"/>
      <c r="J333" s="127"/>
      <c r="K333" s="106"/>
      <c r="L333" s="107"/>
      <c r="M333" s="67"/>
      <c r="N333" s="197"/>
      <c r="O333" s="198"/>
      <c r="P333" s="127"/>
      <c r="Q333" s="125"/>
      <c r="R333" s="132"/>
      <c r="S333" s="67"/>
      <c r="T333" s="64"/>
      <c r="U333" s="65"/>
      <c r="V333" s="4"/>
      <c r="W333" s="9"/>
      <c r="X333" s="267"/>
    </row>
    <row r="334" spans="1:24" ht="15.75" x14ac:dyDescent="0.25">
      <c r="A334" s="268"/>
      <c r="B334" s="12"/>
      <c r="C334" s="105"/>
      <c r="D334" s="109"/>
      <c r="E334" s="106"/>
      <c r="F334" s="107"/>
      <c r="G334" s="201"/>
      <c r="H334" s="197"/>
      <c r="I334" s="198"/>
      <c r="J334" s="127"/>
      <c r="K334" s="106"/>
      <c r="L334" s="107"/>
      <c r="M334" s="67"/>
      <c r="N334" s="197"/>
      <c r="O334" s="198"/>
      <c r="P334" s="127"/>
      <c r="Q334" s="125"/>
      <c r="R334" s="132"/>
      <c r="S334" s="67"/>
      <c r="T334" s="64"/>
      <c r="U334" s="65"/>
      <c r="V334" s="4"/>
      <c r="W334" s="9"/>
      <c r="X334" s="267"/>
    </row>
    <row r="335" spans="1:24" ht="15.75" x14ac:dyDescent="0.25">
      <c r="A335" s="268"/>
      <c r="B335" s="17"/>
      <c r="C335" s="105"/>
      <c r="D335" s="109"/>
      <c r="E335" s="106"/>
      <c r="F335" s="107"/>
      <c r="G335" s="201"/>
      <c r="H335" s="197"/>
      <c r="I335" s="198"/>
      <c r="J335" s="127"/>
      <c r="K335" s="106"/>
      <c r="L335" s="107"/>
      <c r="M335" s="67"/>
      <c r="N335" s="197"/>
      <c r="O335" s="198"/>
      <c r="P335" s="127"/>
      <c r="Q335" s="125"/>
      <c r="R335" s="132"/>
      <c r="S335" s="67"/>
      <c r="T335" s="64"/>
      <c r="U335" s="65"/>
      <c r="V335" s="4"/>
      <c r="W335" s="9"/>
      <c r="X335" s="267"/>
    </row>
    <row r="336" spans="1:24" ht="47.25" x14ac:dyDescent="0.25">
      <c r="A336" s="268" t="s">
        <v>366</v>
      </c>
      <c r="B336" s="17" t="s">
        <v>367</v>
      </c>
      <c r="C336" s="105" t="s">
        <v>15</v>
      </c>
      <c r="D336" s="109">
        <f>31*2*0.4+21*2*0.4+1.5*8*0.4+1.24*0.4+2.5*0.4+0.6*0.4*2+1.36*0.4</f>
        <v>48.92</v>
      </c>
      <c r="E336" s="106">
        <v>77.91</v>
      </c>
      <c r="F336" s="107">
        <f>D336*E336</f>
        <v>3811.3571999999999</v>
      </c>
      <c r="G336" s="201">
        <f>31*2*0.4+21*2*0.4+1.5*8*0.4+1.24*0.4+2.5*0.4+0.6*0.4*2+1.36*0.4</f>
        <v>48.92</v>
      </c>
      <c r="H336" s="197">
        <v>77.91</v>
      </c>
      <c r="I336" s="198">
        <f>G336*H336</f>
        <v>3811.3571999999999</v>
      </c>
      <c r="J336" s="127">
        <v>0</v>
      </c>
      <c r="K336" s="106">
        <v>77.91</v>
      </c>
      <c r="L336" s="107">
        <f>J336*K336</f>
        <v>0</v>
      </c>
      <c r="M336" s="67">
        <v>48.92</v>
      </c>
      <c r="N336" s="197">
        <v>77.91</v>
      </c>
      <c r="O336" s="198">
        <f>M336*N336</f>
        <v>3811.3571999999999</v>
      </c>
      <c r="P336" s="127">
        <v>48.92</v>
      </c>
      <c r="Q336" s="125">
        <v>128.16</v>
      </c>
      <c r="R336" s="132">
        <v>6269.5871999999999</v>
      </c>
      <c r="S336" s="67">
        <f>J336+P336</f>
        <v>48.92</v>
      </c>
      <c r="T336" s="64"/>
      <c r="U336" s="65">
        <f>L336+R336</f>
        <v>6269.5871999999999</v>
      </c>
      <c r="V336" s="4" t="s">
        <v>368</v>
      </c>
      <c r="W336" s="9" t="s">
        <v>369</v>
      </c>
      <c r="X336" s="267"/>
    </row>
    <row r="337" spans="1:24" ht="173.25" x14ac:dyDescent="0.25">
      <c r="A337" s="268"/>
      <c r="B337" s="12" t="s">
        <v>370</v>
      </c>
      <c r="C337" s="105"/>
      <c r="D337" s="109"/>
      <c r="E337" s="106"/>
      <c r="F337" s="107"/>
      <c r="G337" s="201"/>
      <c r="H337" s="197"/>
      <c r="I337" s="198"/>
      <c r="J337" s="127"/>
      <c r="K337" s="106"/>
      <c r="L337" s="107"/>
      <c r="M337" s="67"/>
      <c r="N337" s="197"/>
      <c r="O337" s="198"/>
      <c r="P337" s="127"/>
      <c r="Q337" s="125"/>
      <c r="R337" s="132"/>
      <c r="S337" s="67"/>
      <c r="T337" s="64"/>
      <c r="U337" s="65"/>
      <c r="V337" s="4"/>
      <c r="W337" s="9"/>
      <c r="X337" s="267"/>
    </row>
    <row r="338" spans="1:24" ht="15.75" x14ac:dyDescent="0.25">
      <c r="A338" s="268"/>
      <c r="B338" s="12"/>
      <c r="C338" s="105"/>
      <c r="D338" s="109"/>
      <c r="E338" s="106"/>
      <c r="F338" s="107"/>
      <c r="G338" s="201"/>
      <c r="H338" s="197"/>
      <c r="I338" s="198"/>
      <c r="J338" s="127"/>
      <c r="K338" s="106"/>
      <c r="L338" s="107"/>
      <c r="M338" s="67"/>
      <c r="N338" s="197"/>
      <c r="O338" s="198"/>
      <c r="P338" s="127"/>
      <c r="Q338" s="125"/>
      <c r="R338" s="132"/>
      <c r="S338" s="67"/>
      <c r="T338" s="64"/>
      <c r="U338" s="65"/>
      <c r="V338" s="4"/>
      <c r="W338" s="9"/>
      <c r="X338" s="267"/>
    </row>
    <row r="339" spans="1:24" ht="15.75" x14ac:dyDescent="0.25">
      <c r="A339" s="268" t="s">
        <v>371</v>
      </c>
      <c r="B339" s="22" t="s">
        <v>372</v>
      </c>
      <c r="C339" s="105"/>
      <c r="D339" s="109"/>
      <c r="E339" s="106"/>
      <c r="F339" s="107"/>
      <c r="G339" s="201"/>
      <c r="H339" s="197"/>
      <c r="I339" s="198"/>
      <c r="J339" s="127"/>
      <c r="K339" s="106"/>
      <c r="L339" s="107"/>
      <c r="M339" s="67"/>
      <c r="N339" s="197"/>
      <c r="O339" s="198"/>
      <c r="P339" s="127"/>
      <c r="Q339" s="125"/>
      <c r="R339" s="132"/>
      <c r="S339" s="67"/>
      <c r="T339" s="64"/>
      <c r="U339" s="65"/>
      <c r="V339" s="4"/>
      <c r="W339" s="9"/>
      <c r="X339" s="267"/>
    </row>
    <row r="340" spans="1:24" ht="31.5" x14ac:dyDescent="0.25">
      <c r="A340" s="268" t="s">
        <v>373</v>
      </c>
      <c r="B340" s="17" t="s">
        <v>84</v>
      </c>
      <c r="C340" s="105" t="s">
        <v>524</v>
      </c>
      <c r="D340" s="109">
        <f>1.82*2.11*2+0.64*0.36*2</f>
        <v>8.1411999999999995</v>
      </c>
      <c r="E340" s="106">
        <v>44.98</v>
      </c>
      <c r="F340" s="107">
        <f>D340*E340</f>
        <v>366.19117599999993</v>
      </c>
      <c r="G340" s="201">
        <f>1.82*2.11*2+0.64*0.36*2</f>
        <v>8.1411999999999995</v>
      </c>
      <c r="H340" s="197">
        <v>44.98</v>
      </c>
      <c r="I340" s="198">
        <f>G340*H340</f>
        <v>366.19117599999993</v>
      </c>
      <c r="J340" s="127">
        <v>0</v>
      </c>
      <c r="K340" s="106">
        <v>44.98</v>
      </c>
      <c r="L340" s="107">
        <f>J340*K340</f>
        <v>0</v>
      </c>
      <c r="M340" s="67">
        <v>8.1411999999999995</v>
      </c>
      <c r="N340" s="197">
        <v>44.98</v>
      </c>
      <c r="O340" s="198">
        <f>M340*N340</f>
        <v>366.19117599999993</v>
      </c>
      <c r="P340" s="127">
        <v>8.1411999999999995</v>
      </c>
      <c r="Q340" s="125">
        <v>58.52</v>
      </c>
      <c r="R340" s="132">
        <v>476.423024</v>
      </c>
      <c r="S340" s="67">
        <f>J340+P340</f>
        <v>8.1411999999999995</v>
      </c>
      <c r="T340" s="64"/>
      <c r="U340" s="65">
        <f>L340+R340</f>
        <v>476.423024</v>
      </c>
      <c r="V340" s="4" t="s">
        <v>374</v>
      </c>
      <c r="W340" s="9" t="s">
        <v>375</v>
      </c>
      <c r="X340" s="267"/>
    </row>
    <row r="341" spans="1:24" ht="63" x14ac:dyDescent="0.25">
      <c r="A341" s="268"/>
      <c r="B341" s="12" t="s">
        <v>376</v>
      </c>
      <c r="C341" s="105"/>
      <c r="D341" s="109"/>
      <c r="E341" s="106"/>
      <c r="F341" s="107"/>
      <c r="G341" s="201"/>
      <c r="H341" s="197"/>
      <c r="I341" s="198"/>
      <c r="J341" s="127"/>
      <c r="K341" s="106"/>
      <c r="L341" s="107"/>
      <c r="M341" s="67"/>
      <c r="N341" s="197"/>
      <c r="O341" s="198"/>
      <c r="P341" s="127"/>
      <c r="Q341" s="125"/>
      <c r="R341" s="132"/>
      <c r="S341" s="67"/>
      <c r="T341" s="64"/>
      <c r="U341" s="65"/>
      <c r="V341" s="4"/>
      <c r="W341" s="9"/>
      <c r="X341" s="267"/>
    </row>
    <row r="342" spans="1:24" ht="15.75" x14ac:dyDescent="0.25">
      <c r="A342" s="268"/>
      <c r="B342" s="12"/>
      <c r="C342" s="105"/>
      <c r="D342" s="109"/>
      <c r="E342" s="106"/>
      <c r="F342" s="107"/>
      <c r="G342" s="201"/>
      <c r="H342" s="197"/>
      <c r="I342" s="198"/>
      <c r="J342" s="127"/>
      <c r="K342" s="106"/>
      <c r="L342" s="107"/>
      <c r="M342" s="67"/>
      <c r="N342" s="197"/>
      <c r="O342" s="198"/>
      <c r="P342" s="127"/>
      <c r="Q342" s="125"/>
      <c r="R342" s="132"/>
      <c r="S342" s="67"/>
      <c r="T342" s="64"/>
      <c r="U342" s="65"/>
      <c r="V342" s="4"/>
      <c r="W342" s="9"/>
      <c r="X342" s="267"/>
    </row>
    <row r="343" spans="1:24" ht="15.75" x14ac:dyDescent="0.25">
      <c r="A343" s="268"/>
      <c r="B343" s="12"/>
      <c r="C343" s="105"/>
      <c r="D343" s="109"/>
      <c r="E343" s="106"/>
      <c r="F343" s="107"/>
      <c r="G343" s="201"/>
      <c r="H343" s="197"/>
      <c r="I343" s="198"/>
      <c r="J343" s="127"/>
      <c r="K343" s="106"/>
      <c r="L343" s="107"/>
      <c r="M343" s="67"/>
      <c r="N343" s="197"/>
      <c r="O343" s="198"/>
      <c r="P343" s="127"/>
      <c r="Q343" s="125"/>
      <c r="R343" s="132"/>
      <c r="S343" s="67"/>
      <c r="T343" s="64"/>
      <c r="U343" s="65"/>
      <c r="V343" s="4"/>
      <c r="W343" s="9"/>
      <c r="X343" s="267"/>
    </row>
    <row r="344" spans="1:24" ht="63" x14ac:dyDescent="0.25">
      <c r="A344" s="268" t="s">
        <v>377</v>
      </c>
      <c r="B344" s="17" t="s">
        <v>378</v>
      </c>
      <c r="C344" s="105" t="s">
        <v>524</v>
      </c>
      <c r="D344" s="109">
        <f>31*2*1.5+18*1.5*2+1.2*15.8+9*1.78+(28-1.82)*2.3-15.8*1.1+2.04*16+(2.35+1.36+1.36+3.89)*1.36</f>
        <v>269.63960000000003</v>
      </c>
      <c r="E344" s="106">
        <v>55.2</v>
      </c>
      <c r="F344" s="107">
        <f>D344*E344</f>
        <v>14884.105920000002</v>
      </c>
      <c r="G344" s="201">
        <f>31*2*1.5+18*1.5*2+1.2*15.8+9*1.78+(28-1.82)*2.3-15.8*1.1+2.04*16+(2.35+1.36+1.36+3.89)*1.36</f>
        <v>269.63960000000003</v>
      </c>
      <c r="H344" s="197">
        <v>55.2</v>
      </c>
      <c r="I344" s="198">
        <f>G344*H344</f>
        <v>14884.105920000002</v>
      </c>
      <c r="J344" s="127">
        <v>0</v>
      </c>
      <c r="K344" s="106">
        <v>55.2</v>
      </c>
      <c r="L344" s="107">
        <f>J344*K344</f>
        <v>0</v>
      </c>
      <c r="M344" s="67">
        <v>269.63960000000003</v>
      </c>
      <c r="N344" s="197">
        <v>55.2</v>
      </c>
      <c r="O344" s="198">
        <f>M344*N344</f>
        <v>14884.105920000002</v>
      </c>
      <c r="P344" s="127">
        <v>269.63960000000003</v>
      </c>
      <c r="Q344" s="125">
        <v>70.08</v>
      </c>
      <c r="R344" s="132">
        <v>18896.343168000003</v>
      </c>
      <c r="S344" s="67">
        <f>J344+P344</f>
        <v>269.63960000000003</v>
      </c>
      <c r="T344" s="64"/>
      <c r="U344" s="65">
        <f>L344+R344</f>
        <v>18896.343168000003</v>
      </c>
      <c r="V344" s="4" t="s">
        <v>379</v>
      </c>
      <c r="W344" s="9" t="s">
        <v>380</v>
      </c>
      <c r="X344" s="267"/>
    </row>
    <row r="345" spans="1:24" ht="94.5" x14ac:dyDescent="0.25">
      <c r="A345" s="268"/>
      <c r="B345" s="12" t="s">
        <v>381</v>
      </c>
      <c r="C345" s="105"/>
      <c r="D345" s="109"/>
      <c r="E345" s="106"/>
      <c r="F345" s="107"/>
      <c r="G345" s="201"/>
      <c r="H345" s="197"/>
      <c r="I345" s="198"/>
      <c r="J345" s="127"/>
      <c r="K345" s="106"/>
      <c r="L345" s="107"/>
      <c r="M345" s="67"/>
      <c r="N345" s="197"/>
      <c r="O345" s="198"/>
      <c r="P345" s="127"/>
      <c r="Q345" s="125"/>
      <c r="R345" s="132"/>
      <c r="S345" s="67"/>
      <c r="T345" s="64"/>
      <c r="U345" s="65"/>
      <c r="V345" s="4"/>
      <c r="W345" s="9"/>
      <c r="X345" s="267"/>
    </row>
    <row r="346" spans="1:24" ht="15.75" x14ac:dyDescent="0.25">
      <c r="A346" s="268"/>
      <c r="B346" s="12"/>
      <c r="C346" s="112"/>
      <c r="D346" s="109"/>
      <c r="E346" s="119"/>
      <c r="F346" s="107"/>
      <c r="G346" s="201"/>
      <c r="H346" s="203"/>
      <c r="I346" s="198"/>
      <c r="J346" s="127"/>
      <c r="K346" s="119"/>
      <c r="L346" s="107"/>
      <c r="M346" s="67"/>
      <c r="N346" s="203"/>
      <c r="O346" s="198"/>
      <c r="P346" s="127"/>
      <c r="Q346" s="137"/>
      <c r="R346" s="132"/>
      <c r="S346" s="67"/>
      <c r="T346" s="77"/>
      <c r="U346" s="65"/>
      <c r="V346" s="4"/>
      <c r="W346" s="9"/>
      <c r="X346" s="267"/>
    </row>
    <row r="347" spans="1:24" ht="15.75" x14ac:dyDescent="0.25">
      <c r="A347" s="276"/>
      <c r="B347" s="25"/>
      <c r="C347" s="322" t="s">
        <v>34</v>
      </c>
      <c r="D347" s="322"/>
      <c r="E347" s="322"/>
      <c r="F347" s="108">
        <f>SUM(F329:F346)</f>
        <v>19632.922448000001</v>
      </c>
      <c r="G347" s="326" t="s">
        <v>34</v>
      </c>
      <c r="H347" s="326"/>
      <c r="I347" s="199">
        <f>SUM(I329:I346)</f>
        <v>19632.922448000001</v>
      </c>
      <c r="J347" s="324" t="s">
        <v>34</v>
      </c>
      <c r="K347" s="324"/>
      <c r="L347" s="108">
        <f>SUM(L329:L346)</f>
        <v>0</v>
      </c>
      <c r="M347" s="326" t="s">
        <v>34</v>
      </c>
      <c r="N347" s="326"/>
      <c r="O347" s="199">
        <f>SUM(O329:O346)</f>
        <v>19632.922448000001</v>
      </c>
      <c r="P347" s="324" t="s">
        <v>34</v>
      </c>
      <c r="Q347" s="324"/>
      <c r="R347" s="133">
        <v>26333.282176000001</v>
      </c>
      <c r="S347" s="326" t="s">
        <v>34</v>
      </c>
      <c r="T347" s="326"/>
      <c r="U347" s="66">
        <f>L347+R347</f>
        <v>26333.282176000001</v>
      </c>
      <c r="V347" s="4"/>
      <c r="W347" s="9"/>
      <c r="X347" s="267"/>
    </row>
    <row r="348" spans="1:24" ht="15.75" x14ac:dyDescent="0.25">
      <c r="A348" s="278">
        <v>170000</v>
      </c>
      <c r="B348" s="57" t="s">
        <v>382</v>
      </c>
      <c r="C348" s="113"/>
      <c r="D348" s="115"/>
      <c r="E348" s="103"/>
      <c r="F348" s="107"/>
      <c r="G348" s="210"/>
      <c r="H348" s="141"/>
      <c r="I348" s="198"/>
      <c r="J348" s="129"/>
      <c r="K348" s="103"/>
      <c r="L348" s="107"/>
      <c r="M348" s="72"/>
      <c r="N348" s="141"/>
      <c r="O348" s="198"/>
      <c r="P348" s="129"/>
      <c r="Q348" s="131"/>
      <c r="R348" s="132"/>
      <c r="S348" s="72"/>
      <c r="T348" s="60"/>
      <c r="U348" s="65"/>
      <c r="V348" s="4"/>
      <c r="W348" s="9"/>
      <c r="X348" s="267"/>
    </row>
    <row r="349" spans="1:24" ht="15.75" x14ac:dyDescent="0.25">
      <c r="A349" s="279">
        <v>170100</v>
      </c>
      <c r="B349" s="26" t="s">
        <v>383</v>
      </c>
      <c r="C349" s="105"/>
      <c r="D349" s="109"/>
      <c r="E349" s="106"/>
      <c r="F349" s="107"/>
      <c r="G349" s="201"/>
      <c r="H349" s="197"/>
      <c r="I349" s="198"/>
      <c r="J349" s="127"/>
      <c r="K349" s="106"/>
      <c r="L349" s="107"/>
      <c r="M349" s="67"/>
      <c r="N349" s="197"/>
      <c r="O349" s="198"/>
      <c r="P349" s="127"/>
      <c r="Q349" s="125"/>
      <c r="R349" s="132"/>
      <c r="S349" s="67"/>
      <c r="T349" s="64"/>
      <c r="U349" s="65"/>
      <c r="V349" s="4"/>
      <c r="W349" s="9"/>
      <c r="X349" s="267"/>
    </row>
    <row r="350" spans="1:24" ht="15.75" x14ac:dyDescent="0.25">
      <c r="A350" s="280"/>
      <c r="B350" s="17"/>
      <c r="C350" s="105"/>
      <c r="D350" s="109"/>
      <c r="E350" s="106"/>
      <c r="F350" s="107"/>
      <c r="G350" s="201"/>
      <c r="H350" s="197"/>
      <c r="I350" s="198"/>
      <c r="J350" s="127"/>
      <c r="K350" s="106"/>
      <c r="L350" s="107"/>
      <c r="M350" s="67"/>
      <c r="N350" s="197"/>
      <c r="O350" s="198"/>
      <c r="P350" s="127"/>
      <c r="Q350" s="125"/>
      <c r="R350" s="132"/>
      <c r="S350" s="67"/>
      <c r="T350" s="64"/>
      <c r="U350" s="65"/>
      <c r="V350" s="4"/>
      <c r="W350" s="9"/>
      <c r="X350" s="267"/>
    </row>
    <row r="351" spans="1:24" ht="18" x14ac:dyDescent="0.25">
      <c r="A351" s="280">
        <v>170103</v>
      </c>
      <c r="B351" s="17" t="s">
        <v>384</v>
      </c>
      <c r="C351" s="105" t="s">
        <v>524</v>
      </c>
      <c r="D351" s="109">
        <f>1.82*2.11*2+3.74*2.58</f>
        <v>17.329599999999999</v>
      </c>
      <c r="E351" s="106">
        <v>16.66</v>
      </c>
      <c r="F351" s="107">
        <f>D351*E351</f>
        <v>288.71113600000001</v>
      </c>
      <c r="G351" s="201">
        <f>1.82*2.11*2+3.74*2.58</f>
        <v>17.329599999999999</v>
      </c>
      <c r="H351" s="197">
        <v>16.66</v>
      </c>
      <c r="I351" s="198">
        <f>G351*H351</f>
        <v>288.71113600000001</v>
      </c>
      <c r="J351" s="127">
        <v>0</v>
      </c>
      <c r="K351" s="106">
        <v>16.66</v>
      </c>
      <c r="L351" s="107">
        <f>J351*K351</f>
        <v>0</v>
      </c>
      <c r="M351" s="67">
        <v>17.329599999999999</v>
      </c>
      <c r="N351" s="197">
        <v>16.66</v>
      </c>
      <c r="O351" s="198">
        <f>M351*N351</f>
        <v>288.71113600000001</v>
      </c>
      <c r="P351" s="127">
        <v>17.329599999999999</v>
      </c>
      <c r="Q351" s="125">
        <v>21.45</v>
      </c>
      <c r="R351" s="132">
        <v>371.71991999999995</v>
      </c>
      <c r="S351" s="67">
        <f>J351+P351</f>
        <v>17.329599999999999</v>
      </c>
      <c r="T351" s="64"/>
      <c r="U351" s="65">
        <f>L351+R351</f>
        <v>371.71991999999995</v>
      </c>
      <c r="V351" s="4" t="s">
        <v>385</v>
      </c>
      <c r="W351" s="9" t="s">
        <v>386</v>
      </c>
      <c r="X351" s="267"/>
    </row>
    <row r="352" spans="1:24" ht="173.25" x14ac:dyDescent="0.25">
      <c r="A352" s="280"/>
      <c r="B352" s="12" t="s">
        <v>387</v>
      </c>
      <c r="C352" s="105"/>
      <c r="D352" s="109"/>
      <c r="E352" s="106"/>
      <c r="F352" s="107"/>
      <c r="G352" s="201"/>
      <c r="H352" s="197"/>
      <c r="I352" s="198"/>
      <c r="J352" s="127"/>
      <c r="K352" s="106"/>
      <c r="L352" s="107"/>
      <c r="M352" s="67"/>
      <c r="N352" s="197"/>
      <c r="O352" s="198"/>
      <c r="P352" s="127"/>
      <c r="Q352" s="125"/>
      <c r="R352" s="132"/>
      <c r="S352" s="67"/>
      <c r="T352" s="64"/>
      <c r="U352" s="65"/>
      <c r="V352" s="4"/>
      <c r="W352" s="9"/>
      <c r="X352" s="267"/>
    </row>
    <row r="353" spans="1:24" ht="15.75" x14ac:dyDescent="0.25">
      <c r="A353" s="280"/>
      <c r="B353" s="12"/>
      <c r="C353" s="105"/>
      <c r="D353" s="109"/>
      <c r="E353" s="106"/>
      <c r="F353" s="107"/>
      <c r="G353" s="201"/>
      <c r="H353" s="197"/>
      <c r="I353" s="198"/>
      <c r="J353" s="127"/>
      <c r="K353" s="106"/>
      <c r="L353" s="107"/>
      <c r="M353" s="67"/>
      <c r="N353" s="197"/>
      <c r="O353" s="198"/>
      <c r="P353" s="127"/>
      <c r="Q353" s="125"/>
      <c r="R353" s="132"/>
      <c r="S353" s="67"/>
      <c r="T353" s="64"/>
      <c r="U353" s="65"/>
      <c r="V353" s="4"/>
      <c r="W353" s="9"/>
      <c r="X353" s="267"/>
    </row>
    <row r="354" spans="1:24" ht="15.75" x14ac:dyDescent="0.25">
      <c r="A354" s="280"/>
      <c r="B354" s="12"/>
      <c r="C354" s="105"/>
      <c r="D354" s="109"/>
      <c r="E354" s="106"/>
      <c r="F354" s="107"/>
      <c r="G354" s="201"/>
      <c r="H354" s="197"/>
      <c r="I354" s="198"/>
      <c r="J354" s="127"/>
      <c r="K354" s="106"/>
      <c r="L354" s="107"/>
      <c r="M354" s="67"/>
      <c r="N354" s="197"/>
      <c r="O354" s="198"/>
      <c r="P354" s="127"/>
      <c r="Q354" s="125"/>
      <c r="R354" s="132"/>
      <c r="S354" s="67"/>
      <c r="T354" s="64"/>
      <c r="U354" s="65"/>
      <c r="V354" s="4"/>
      <c r="W354" s="9"/>
      <c r="X354" s="267"/>
    </row>
    <row r="355" spans="1:24" ht="173.25" x14ac:dyDescent="0.25">
      <c r="A355" s="280">
        <v>170203</v>
      </c>
      <c r="B355" s="17" t="s">
        <v>388</v>
      </c>
      <c r="C355" s="105" t="s">
        <v>15</v>
      </c>
      <c r="D355" s="109">
        <f>(28-4.7-1.6)*1.5*4+18*3+18*1.5*2+21.62*4*0.5+(3.75+1.66)*0.5*2+2.58*3+2.58*2.5*2+4.5*4*3+3.74*2.35*2+1.24*2.5+8.24*0.52+4.7*2*3+4.78*3*3+1.82*4+4.78*1.82+3.74*2.58-1.6*1.5+4.78*1+2.02*1-(1.82*3*2+2.11*3*2)*2-D351</f>
        <v>423.21199999999988</v>
      </c>
      <c r="E355" s="106">
        <v>21.9</v>
      </c>
      <c r="F355" s="107">
        <f>D355*E355</f>
        <v>9268.3427999999967</v>
      </c>
      <c r="G355" s="201">
        <f>(28-4.7-1.6)*1.5*4+18*3+18*1.5*2+21.62*4*0.5+(3.75+1.66)*0.5*2+2.58*3+2.58*2.5*2+4.5*4*3+3.74*2.35*2+1.24*2.5+8.24*0.52+4.7*2*3+4.78*3*3+1.82*4+4.78*1.82+3.74*2.58-1.6*1.5+4.78*1+2.02*1-(1.82*3*2+2.11*3*2)*2-G351</f>
        <v>423.21199999999988</v>
      </c>
      <c r="H355" s="197">
        <v>21.9</v>
      </c>
      <c r="I355" s="198">
        <f>G355*H355</f>
        <v>9268.3427999999967</v>
      </c>
      <c r="J355" s="127">
        <v>0</v>
      </c>
      <c r="K355" s="106">
        <v>21.9</v>
      </c>
      <c r="L355" s="107">
        <f>J355*K355</f>
        <v>0</v>
      </c>
      <c r="M355" s="67">
        <v>423.21199999999988</v>
      </c>
      <c r="N355" s="197">
        <v>21.9</v>
      </c>
      <c r="O355" s="198">
        <f>M355*N355</f>
        <v>9268.3427999999967</v>
      </c>
      <c r="P355" s="127">
        <v>423.21199999999988</v>
      </c>
      <c r="Q355" s="125">
        <v>28.66</v>
      </c>
      <c r="R355" s="132">
        <v>12129.255919999996</v>
      </c>
      <c r="S355" s="67">
        <f>J355+P355</f>
        <v>423.21199999999988</v>
      </c>
      <c r="T355" s="64"/>
      <c r="U355" s="65">
        <f>L355+R355</f>
        <v>12129.255919999996</v>
      </c>
      <c r="V355" s="4" t="s">
        <v>389</v>
      </c>
      <c r="W355" s="9" t="s">
        <v>117</v>
      </c>
      <c r="X355" s="267"/>
    </row>
    <row r="356" spans="1:24" ht="126" x14ac:dyDescent="0.25">
      <c r="A356" s="280"/>
      <c r="B356" s="12" t="s">
        <v>390</v>
      </c>
      <c r="C356" s="105"/>
      <c r="D356" s="109"/>
      <c r="E356" s="106"/>
      <c r="F356" s="107"/>
      <c r="G356" s="201"/>
      <c r="H356" s="197"/>
      <c r="I356" s="198"/>
      <c r="J356" s="127"/>
      <c r="K356" s="106"/>
      <c r="L356" s="107"/>
      <c r="M356" s="67"/>
      <c r="N356" s="197"/>
      <c r="O356" s="198"/>
      <c r="P356" s="127"/>
      <c r="Q356" s="125"/>
      <c r="R356" s="132"/>
      <c r="S356" s="67"/>
      <c r="T356" s="64"/>
      <c r="U356" s="65"/>
      <c r="V356" s="4"/>
      <c r="W356" s="9"/>
      <c r="X356" s="267"/>
    </row>
    <row r="357" spans="1:24" ht="15.75" x14ac:dyDescent="0.25">
      <c r="A357" s="280"/>
      <c r="B357" s="17"/>
      <c r="C357" s="105"/>
      <c r="D357" s="109"/>
      <c r="E357" s="106"/>
      <c r="F357" s="107"/>
      <c r="G357" s="201"/>
      <c r="H357" s="197"/>
      <c r="I357" s="198"/>
      <c r="J357" s="127"/>
      <c r="K357" s="106"/>
      <c r="L357" s="107"/>
      <c r="M357" s="67"/>
      <c r="N357" s="197"/>
      <c r="O357" s="198"/>
      <c r="P357" s="127"/>
      <c r="Q357" s="125"/>
      <c r="R357" s="132"/>
      <c r="S357" s="67"/>
      <c r="T357" s="64"/>
      <c r="U357" s="65"/>
      <c r="V357" s="4"/>
      <c r="W357" s="9"/>
      <c r="X357" s="267"/>
    </row>
    <row r="358" spans="1:24" ht="15.75" x14ac:dyDescent="0.25">
      <c r="A358" s="281"/>
      <c r="B358" s="36"/>
      <c r="C358" s="322" t="s">
        <v>34</v>
      </c>
      <c r="D358" s="322"/>
      <c r="E358" s="322"/>
      <c r="F358" s="108">
        <f>SUM(F350:F357)</f>
        <v>9557.0539359999966</v>
      </c>
      <c r="G358" s="326" t="s">
        <v>34</v>
      </c>
      <c r="H358" s="326"/>
      <c r="I358" s="199">
        <f>SUM(I350:I357)</f>
        <v>9557.0539359999966</v>
      </c>
      <c r="J358" s="324" t="s">
        <v>34</v>
      </c>
      <c r="K358" s="324"/>
      <c r="L358" s="108">
        <f>SUM(L350:L357)</f>
        <v>0</v>
      </c>
      <c r="M358" s="326" t="s">
        <v>34</v>
      </c>
      <c r="N358" s="326"/>
      <c r="O358" s="199">
        <f>SUM(O350:O357)</f>
        <v>9557.0539359999966</v>
      </c>
      <c r="P358" s="324" t="s">
        <v>34</v>
      </c>
      <c r="Q358" s="324"/>
      <c r="R358" s="133">
        <v>12500.975839999996</v>
      </c>
      <c r="S358" s="326" t="s">
        <v>34</v>
      </c>
      <c r="T358" s="326"/>
      <c r="U358" s="66">
        <f>L358+R358</f>
        <v>12500.975839999996</v>
      </c>
      <c r="V358" s="4"/>
      <c r="W358" s="9"/>
      <c r="X358" s="267"/>
    </row>
    <row r="359" spans="1:24" ht="15.75" x14ac:dyDescent="0.25">
      <c r="A359" s="264">
        <v>180000</v>
      </c>
      <c r="B359" s="57" t="s">
        <v>391</v>
      </c>
      <c r="C359" s="114"/>
      <c r="D359" s="115"/>
      <c r="E359" s="103"/>
      <c r="F359" s="107"/>
      <c r="G359" s="210"/>
      <c r="H359" s="141"/>
      <c r="I359" s="198"/>
      <c r="J359" s="129"/>
      <c r="K359" s="103"/>
      <c r="L359" s="107"/>
      <c r="M359" s="72"/>
      <c r="N359" s="141"/>
      <c r="O359" s="198"/>
      <c r="P359" s="129"/>
      <c r="Q359" s="131"/>
      <c r="R359" s="132"/>
      <c r="S359" s="72"/>
      <c r="T359" s="60"/>
      <c r="U359" s="65"/>
      <c r="V359" s="4"/>
      <c r="W359" s="9"/>
      <c r="X359" s="267"/>
    </row>
    <row r="360" spans="1:24" ht="15.75" x14ac:dyDescent="0.25">
      <c r="A360" s="266">
        <v>180100</v>
      </c>
      <c r="B360" s="26" t="s">
        <v>392</v>
      </c>
      <c r="C360" s="105"/>
      <c r="D360" s="109"/>
      <c r="E360" s="106"/>
      <c r="F360" s="107"/>
      <c r="G360" s="201"/>
      <c r="H360" s="197"/>
      <c r="I360" s="198"/>
      <c r="J360" s="127"/>
      <c r="K360" s="106"/>
      <c r="L360" s="107"/>
      <c r="M360" s="67"/>
      <c r="N360" s="197"/>
      <c r="O360" s="198"/>
      <c r="P360" s="127"/>
      <c r="Q360" s="125"/>
      <c r="R360" s="132"/>
      <c r="S360" s="67"/>
      <c r="T360" s="64"/>
      <c r="U360" s="65"/>
      <c r="V360" s="4"/>
      <c r="W360" s="9"/>
      <c r="X360" s="267"/>
    </row>
    <row r="361" spans="1:24" ht="15.75" x14ac:dyDescent="0.25">
      <c r="A361" s="268"/>
      <c r="B361" s="17"/>
      <c r="C361" s="105"/>
      <c r="D361" s="109"/>
      <c r="E361" s="106"/>
      <c r="F361" s="107"/>
      <c r="G361" s="201"/>
      <c r="H361" s="197"/>
      <c r="I361" s="198"/>
      <c r="J361" s="127"/>
      <c r="K361" s="106"/>
      <c r="L361" s="107"/>
      <c r="M361" s="67"/>
      <c r="N361" s="197"/>
      <c r="O361" s="198"/>
      <c r="P361" s="127"/>
      <c r="Q361" s="125"/>
      <c r="R361" s="132"/>
      <c r="S361" s="67"/>
      <c r="T361" s="64"/>
      <c r="U361" s="65"/>
      <c r="V361" s="4"/>
      <c r="W361" s="9"/>
      <c r="X361" s="267"/>
    </row>
    <row r="362" spans="1:24" ht="15.75" x14ac:dyDescent="0.25">
      <c r="A362" s="268"/>
      <c r="B362" s="12"/>
      <c r="C362" s="105"/>
      <c r="D362" s="109"/>
      <c r="E362" s="106"/>
      <c r="F362" s="107"/>
      <c r="G362" s="201"/>
      <c r="H362" s="197"/>
      <c r="I362" s="198"/>
      <c r="J362" s="127"/>
      <c r="K362" s="106"/>
      <c r="L362" s="107"/>
      <c r="M362" s="67"/>
      <c r="N362" s="197"/>
      <c r="O362" s="198"/>
      <c r="P362" s="127"/>
      <c r="Q362" s="125"/>
      <c r="R362" s="132"/>
      <c r="S362" s="67"/>
      <c r="T362" s="64"/>
      <c r="U362" s="65"/>
      <c r="V362" s="4"/>
      <c r="W362" s="9"/>
      <c r="X362" s="267"/>
    </row>
    <row r="363" spans="1:24" ht="15.75" x14ac:dyDescent="0.25">
      <c r="A363" s="268" t="s">
        <v>393</v>
      </c>
      <c r="B363" s="17" t="s">
        <v>394</v>
      </c>
      <c r="C363" s="105" t="s">
        <v>15</v>
      </c>
      <c r="D363" s="109">
        <f>1*0.2*2</f>
        <v>0.4</v>
      </c>
      <c r="E363" s="106">
        <v>211.48</v>
      </c>
      <c r="F363" s="107">
        <f>D363*E363</f>
        <v>84.591999999999999</v>
      </c>
      <c r="G363" s="201">
        <f>1*0.2*2</f>
        <v>0.4</v>
      </c>
      <c r="H363" s="197">
        <v>211.48</v>
      </c>
      <c r="I363" s="198">
        <f>G363*H363</f>
        <v>84.591999999999999</v>
      </c>
      <c r="J363" s="127">
        <v>0</v>
      </c>
      <c r="K363" s="106">
        <v>211.48</v>
      </c>
      <c r="L363" s="107">
        <f>J363*K363</f>
        <v>0</v>
      </c>
      <c r="M363" s="67">
        <v>0.4</v>
      </c>
      <c r="N363" s="197">
        <v>211.48</v>
      </c>
      <c r="O363" s="198">
        <f>M363*N363</f>
        <v>84.591999999999999</v>
      </c>
      <c r="P363" s="127">
        <v>0.4</v>
      </c>
      <c r="Q363" s="125">
        <v>301.01</v>
      </c>
      <c r="R363" s="132">
        <v>120.404</v>
      </c>
      <c r="S363" s="67">
        <f>J363+P363</f>
        <v>0.4</v>
      </c>
      <c r="T363" s="64"/>
      <c r="U363" s="65">
        <f>L363+R363</f>
        <v>120.404</v>
      </c>
      <c r="V363" s="4" t="s">
        <v>395</v>
      </c>
      <c r="W363" s="9" t="s">
        <v>192</v>
      </c>
      <c r="X363" s="267"/>
    </row>
    <row r="364" spans="1:24" ht="94.5" x14ac:dyDescent="0.25">
      <c r="A364" s="268"/>
      <c r="B364" s="12" t="s">
        <v>396</v>
      </c>
      <c r="C364" s="105"/>
      <c r="D364" s="109"/>
      <c r="E364" s="106"/>
      <c r="F364" s="107"/>
      <c r="G364" s="201"/>
      <c r="H364" s="197"/>
      <c r="I364" s="198"/>
      <c r="J364" s="127"/>
      <c r="K364" s="106"/>
      <c r="L364" s="107"/>
      <c r="M364" s="67"/>
      <c r="N364" s="197"/>
      <c r="O364" s="198"/>
      <c r="P364" s="127"/>
      <c r="Q364" s="125"/>
      <c r="R364" s="132"/>
      <c r="S364" s="67"/>
      <c r="T364" s="64"/>
      <c r="U364" s="65"/>
      <c r="V364" s="4"/>
      <c r="W364" s="9"/>
      <c r="X364" s="267"/>
    </row>
    <row r="365" spans="1:24" ht="15.75" x14ac:dyDescent="0.25">
      <c r="A365" s="268"/>
      <c r="B365" s="12"/>
      <c r="C365" s="105"/>
      <c r="D365" s="109"/>
      <c r="E365" s="106"/>
      <c r="F365" s="107"/>
      <c r="G365" s="201"/>
      <c r="H365" s="197"/>
      <c r="I365" s="198"/>
      <c r="J365" s="127"/>
      <c r="K365" s="106"/>
      <c r="L365" s="107"/>
      <c r="M365" s="67"/>
      <c r="N365" s="197"/>
      <c r="O365" s="198"/>
      <c r="P365" s="127"/>
      <c r="Q365" s="125"/>
      <c r="R365" s="132"/>
      <c r="S365" s="67"/>
      <c r="T365" s="64"/>
      <c r="U365" s="65"/>
      <c r="V365" s="4"/>
      <c r="W365" s="9"/>
      <c r="X365" s="267"/>
    </row>
    <row r="366" spans="1:24" ht="15.75" x14ac:dyDescent="0.25">
      <c r="A366" s="268"/>
      <c r="B366" s="12"/>
      <c r="C366" s="105"/>
      <c r="D366" s="109"/>
      <c r="E366" s="116"/>
      <c r="F366" s="107"/>
      <c r="G366" s="201"/>
      <c r="H366" s="202"/>
      <c r="I366" s="198"/>
      <c r="J366" s="127"/>
      <c r="K366" s="116"/>
      <c r="L366" s="107"/>
      <c r="M366" s="67"/>
      <c r="N366" s="202"/>
      <c r="O366" s="198"/>
      <c r="P366" s="127"/>
      <c r="Q366" s="136"/>
      <c r="R366" s="132"/>
      <c r="S366" s="67"/>
      <c r="T366" s="73"/>
      <c r="U366" s="65"/>
      <c r="V366" s="4"/>
      <c r="W366" s="9"/>
      <c r="X366" s="267"/>
    </row>
    <row r="367" spans="1:24" ht="15.75" x14ac:dyDescent="0.25">
      <c r="A367" s="268"/>
      <c r="B367" s="12"/>
      <c r="C367" s="105"/>
      <c r="D367" s="109"/>
      <c r="E367" s="106"/>
      <c r="F367" s="107"/>
      <c r="G367" s="201"/>
      <c r="H367" s="197"/>
      <c r="I367" s="198"/>
      <c r="J367" s="127"/>
      <c r="K367" s="106"/>
      <c r="L367" s="107"/>
      <c r="M367" s="67"/>
      <c r="N367" s="197"/>
      <c r="O367" s="198"/>
      <c r="P367" s="127"/>
      <c r="Q367" s="125"/>
      <c r="R367" s="132"/>
      <c r="S367" s="67"/>
      <c r="T367" s="64"/>
      <c r="U367" s="65"/>
      <c r="V367" s="4"/>
      <c r="W367" s="9"/>
      <c r="X367" s="267"/>
    </row>
    <row r="368" spans="1:24" ht="15.75" x14ac:dyDescent="0.25">
      <c r="A368" s="276"/>
      <c r="B368" s="25"/>
      <c r="C368" s="322" t="s">
        <v>34</v>
      </c>
      <c r="D368" s="322"/>
      <c r="E368" s="322"/>
      <c r="F368" s="108">
        <f>SUM(F361:F367)</f>
        <v>84.591999999999999</v>
      </c>
      <c r="G368" s="326" t="s">
        <v>34</v>
      </c>
      <c r="H368" s="326"/>
      <c r="I368" s="199">
        <f>SUM(I361:I367)</f>
        <v>84.591999999999999</v>
      </c>
      <c r="J368" s="324" t="s">
        <v>34</v>
      </c>
      <c r="K368" s="324"/>
      <c r="L368" s="108">
        <f>SUM(L361:L367)</f>
        <v>0</v>
      </c>
      <c r="M368" s="326" t="s">
        <v>34</v>
      </c>
      <c r="N368" s="326"/>
      <c r="O368" s="199">
        <f>SUM(O361:O367)</f>
        <v>84.591999999999999</v>
      </c>
      <c r="P368" s="324" t="s">
        <v>34</v>
      </c>
      <c r="Q368" s="324"/>
      <c r="R368" s="133">
        <v>120.404</v>
      </c>
      <c r="S368" s="326" t="s">
        <v>34</v>
      </c>
      <c r="T368" s="326"/>
      <c r="U368" s="66">
        <f>L368+R368</f>
        <v>120.404</v>
      </c>
      <c r="V368" s="4"/>
      <c r="W368" s="9"/>
      <c r="X368" s="267"/>
    </row>
    <row r="369" spans="1:24" ht="15.75" x14ac:dyDescent="0.25">
      <c r="A369" s="264">
        <v>200000</v>
      </c>
      <c r="B369" s="7" t="s">
        <v>397</v>
      </c>
      <c r="C369" s="114"/>
      <c r="D369" s="115"/>
      <c r="E369" s="103"/>
      <c r="F369" s="107"/>
      <c r="G369" s="210"/>
      <c r="H369" s="141"/>
      <c r="I369" s="198"/>
      <c r="J369" s="129"/>
      <c r="K369" s="103"/>
      <c r="L369" s="107"/>
      <c r="M369" s="72"/>
      <c r="N369" s="141"/>
      <c r="O369" s="198"/>
      <c r="P369" s="129"/>
      <c r="Q369" s="131"/>
      <c r="R369" s="132"/>
      <c r="S369" s="72"/>
      <c r="T369" s="60"/>
      <c r="U369" s="65"/>
      <c r="V369" s="4"/>
      <c r="W369" s="9"/>
      <c r="X369" s="267"/>
    </row>
    <row r="370" spans="1:24" ht="15.75" x14ac:dyDescent="0.25">
      <c r="A370" s="282">
        <v>200100</v>
      </c>
      <c r="B370" s="26" t="s">
        <v>113</v>
      </c>
      <c r="C370" s="120"/>
      <c r="D370" s="109"/>
      <c r="E370" s="106"/>
      <c r="F370" s="107"/>
      <c r="G370" s="201"/>
      <c r="H370" s="197"/>
      <c r="I370" s="198"/>
      <c r="J370" s="127"/>
      <c r="K370" s="106"/>
      <c r="L370" s="107"/>
      <c r="M370" s="67"/>
      <c r="N370" s="197"/>
      <c r="O370" s="198"/>
      <c r="P370" s="127"/>
      <c r="Q370" s="125"/>
      <c r="R370" s="132"/>
      <c r="S370" s="67"/>
      <c r="T370" s="64"/>
      <c r="U370" s="65"/>
      <c r="V370" s="4"/>
      <c r="W370" s="9"/>
      <c r="X370" s="267"/>
    </row>
    <row r="371" spans="1:24" ht="15.75" x14ac:dyDescent="0.25">
      <c r="A371" s="268"/>
      <c r="B371" s="12"/>
      <c r="C371" s="105"/>
      <c r="D371" s="109"/>
      <c r="E371" s="106"/>
      <c r="F371" s="107"/>
      <c r="G371" s="201"/>
      <c r="H371" s="197"/>
      <c r="I371" s="198"/>
      <c r="J371" s="127"/>
      <c r="K371" s="106"/>
      <c r="L371" s="107"/>
      <c r="M371" s="67"/>
      <c r="N371" s="197"/>
      <c r="O371" s="198"/>
      <c r="P371" s="127"/>
      <c r="Q371" s="125"/>
      <c r="R371" s="132"/>
      <c r="S371" s="67"/>
      <c r="T371" s="64"/>
      <c r="U371" s="65"/>
      <c r="V371" s="4"/>
      <c r="W371" s="9"/>
      <c r="X371" s="267"/>
    </row>
    <row r="372" spans="1:24" ht="31.5" x14ac:dyDescent="0.25">
      <c r="A372" s="280">
        <v>200105</v>
      </c>
      <c r="B372" s="17" t="s">
        <v>398</v>
      </c>
      <c r="C372" s="105" t="s">
        <v>524</v>
      </c>
      <c r="D372" s="109">
        <f>(18.6+3.02)*(11.2+1.2+1.2)</f>
        <v>294.03199999999998</v>
      </c>
      <c r="E372" s="106">
        <v>18.84</v>
      </c>
      <c r="F372" s="107">
        <f>D372*E372</f>
        <v>5539.5628799999995</v>
      </c>
      <c r="G372" s="201">
        <f>(18.6+3.02)*(11.2+1.2+1.2)</f>
        <v>294.03199999999998</v>
      </c>
      <c r="H372" s="197">
        <v>18.84</v>
      </c>
      <c r="I372" s="198">
        <f>G372*H372</f>
        <v>5539.5628799999995</v>
      </c>
      <c r="J372" s="127">
        <v>0</v>
      </c>
      <c r="K372" s="106">
        <v>18.84</v>
      </c>
      <c r="L372" s="107">
        <f>J372*K372</f>
        <v>0</v>
      </c>
      <c r="M372" s="67">
        <v>294.03199999999998</v>
      </c>
      <c r="N372" s="197">
        <v>18.84</v>
      </c>
      <c r="O372" s="198">
        <f>M372*N372</f>
        <v>5539.5628799999995</v>
      </c>
      <c r="P372" s="127">
        <v>294.03199999999998</v>
      </c>
      <c r="Q372" s="125">
        <v>27.21</v>
      </c>
      <c r="R372" s="132">
        <v>8000.6107199999997</v>
      </c>
      <c r="S372" s="67">
        <f>J372+P372</f>
        <v>294.03199999999998</v>
      </c>
      <c r="T372" s="64"/>
      <c r="U372" s="65">
        <f>L372+R372</f>
        <v>8000.6107199999997</v>
      </c>
      <c r="V372" s="4" t="s">
        <v>399</v>
      </c>
      <c r="W372" s="9" t="s">
        <v>400</v>
      </c>
      <c r="X372" s="267"/>
    </row>
    <row r="373" spans="1:24" ht="141.75" x14ac:dyDescent="0.25">
      <c r="A373" s="280"/>
      <c r="B373" s="12" t="s">
        <v>401</v>
      </c>
      <c r="C373" s="105"/>
      <c r="D373" s="109"/>
      <c r="E373" s="106"/>
      <c r="F373" s="107"/>
      <c r="G373" s="201"/>
      <c r="H373" s="197"/>
      <c r="I373" s="198"/>
      <c r="J373" s="127"/>
      <c r="K373" s="106"/>
      <c r="L373" s="107"/>
      <c r="M373" s="67"/>
      <c r="N373" s="197"/>
      <c r="O373" s="198"/>
      <c r="P373" s="127"/>
      <c r="Q373" s="125"/>
      <c r="R373" s="132"/>
      <c r="S373" s="67"/>
      <c r="T373" s="64"/>
      <c r="U373" s="65"/>
      <c r="V373" s="4"/>
      <c r="W373" s="9"/>
      <c r="X373" s="267"/>
    </row>
    <row r="374" spans="1:24" ht="15.75" x14ac:dyDescent="0.25">
      <c r="A374" s="280"/>
      <c r="B374" s="12"/>
      <c r="C374" s="105"/>
      <c r="D374" s="109"/>
      <c r="E374" s="106"/>
      <c r="F374" s="107"/>
      <c r="G374" s="201"/>
      <c r="H374" s="197"/>
      <c r="I374" s="198"/>
      <c r="J374" s="127"/>
      <c r="K374" s="106"/>
      <c r="L374" s="107"/>
      <c r="M374" s="67"/>
      <c r="N374" s="197"/>
      <c r="O374" s="198"/>
      <c r="P374" s="127"/>
      <c r="Q374" s="125"/>
      <c r="R374" s="132"/>
      <c r="S374" s="67"/>
      <c r="T374" s="64"/>
      <c r="U374" s="65"/>
      <c r="V374" s="4"/>
      <c r="W374" s="9"/>
      <c r="X374" s="267"/>
    </row>
    <row r="375" spans="1:24" ht="31.5" x14ac:dyDescent="0.25">
      <c r="A375" s="280">
        <v>200106</v>
      </c>
      <c r="B375" s="38" t="s">
        <v>402</v>
      </c>
      <c r="C375" s="105" t="s">
        <v>95</v>
      </c>
      <c r="D375" s="109">
        <v>180</v>
      </c>
      <c r="E375" s="106">
        <v>3.89</v>
      </c>
      <c r="F375" s="107">
        <f>D375*E375</f>
        <v>700.2</v>
      </c>
      <c r="G375" s="201">
        <v>180</v>
      </c>
      <c r="H375" s="197">
        <v>3.89</v>
      </c>
      <c r="I375" s="198">
        <f>G375*H375</f>
        <v>700.2</v>
      </c>
      <c r="J375" s="127">
        <v>0</v>
      </c>
      <c r="K375" s="106">
        <v>3.89</v>
      </c>
      <c r="L375" s="107">
        <f>J375*K375</f>
        <v>0</v>
      </c>
      <c r="M375" s="67">
        <v>180</v>
      </c>
      <c r="N375" s="197">
        <v>3.89</v>
      </c>
      <c r="O375" s="198">
        <f>M375*N375</f>
        <v>700.2</v>
      </c>
      <c r="P375" s="127">
        <v>180</v>
      </c>
      <c r="Q375" s="125">
        <v>4.7699999999999996</v>
      </c>
      <c r="R375" s="132">
        <v>858.59999999999991</v>
      </c>
      <c r="S375" s="67">
        <f>J375+P375</f>
        <v>180</v>
      </c>
      <c r="T375" s="64"/>
      <c r="U375" s="65">
        <f>L375+R375</f>
        <v>858.59999999999991</v>
      </c>
      <c r="V375" s="4">
        <v>180</v>
      </c>
      <c r="W375" s="9" t="s">
        <v>400</v>
      </c>
      <c r="X375" s="267"/>
    </row>
    <row r="376" spans="1:24" ht="110.25" x14ac:dyDescent="0.25">
      <c r="A376" s="280"/>
      <c r="B376" s="39" t="s">
        <v>403</v>
      </c>
      <c r="C376" s="105"/>
      <c r="D376" s="109"/>
      <c r="E376" s="106"/>
      <c r="F376" s="107"/>
      <c r="G376" s="201"/>
      <c r="H376" s="197"/>
      <c r="I376" s="198"/>
      <c r="J376" s="127"/>
      <c r="K376" s="106"/>
      <c r="L376" s="107"/>
      <c r="M376" s="67"/>
      <c r="N376" s="197"/>
      <c r="O376" s="198"/>
      <c r="P376" s="127"/>
      <c r="Q376" s="125"/>
      <c r="R376" s="132"/>
      <c r="S376" s="67"/>
      <c r="T376" s="64"/>
      <c r="U376" s="65"/>
      <c r="V376" s="4"/>
      <c r="W376" s="9"/>
      <c r="X376" s="267"/>
    </row>
    <row r="377" spans="1:24" ht="15.75" x14ac:dyDescent="0.25">
      <c r="A377" s="280"/>
      <c r="B377" s="39"/>
      <c r="C377" s="105"/>
      <c r="D377" s="109"/>
      <c r="E377" s="106"/>
      <c r="F377" s="107"/>
      <c r="G377" s="201"/>
      <c r="H377" s="197"/>
      <c r="I377" s="198"/>
      <c r="J377" s="127"/>
      <c r="K377" s="106"/>
      <c r="L377" s="107"/>
      <c r="M377" s="67"/>
      <c r="N377" s="197"/>
      <c r="O377" s="198"/>
      <c r="P377" s="127"/>
      <c r="Q377" s="125"/>
      <c r="R377" s="132"/>
      <c r="S377" s="67"/>
      <c r="T377" s="64"/>
      <c r="U377" s="65"/>
      <c r="V377" s="4"/>
      <c r="W377" s="9"/>
      <c r="X377" s="267"/>
    </row>
    <row r="378" spans="1:24" ht="15.75" x14ac:dyDescent="0.25">
      <c r="A378" s="280">
        <v>200200</v>
      </c>
      <c r="B378" s="40" t="s">
        <v>404</v>
      </c>
      <c r="C378" s="105"/>
      <c r="D378" s="109"/>
      <c r="E378" s="106"/>
      <c r="F378" s="107"/>
      <c r="G378" s="201"/>
      <c r="H378" s="197"/>
      <c r="I378" s="198"/>
      <c r="J378" s="127"/>
      <c r="K378" s="106"/>
      <c r="L378" s="107"/>
      <c r="M378" s="67"/>
      <c r="N378" s="197"/>
      <c r="O378" s="198"/>
      <c r="P378" s="127"/>
      <c r="Q378" s="125"/>
      <c r="R378" s="132"/>
      <c r="S378" s="67"/>
      <c r="T378" s="64"/>
      <c r="U378" s="65"/>
      <c r="V378" s="4"/>
      <c r="W378" s="9"/>
      <c r="X378" s="267"/>
    </row>
    <row r="379" spans="1:24" ht="393.75" x14ac:dyDescent="0.25">
      <c r="A379" s="280"/>
      <c r="B379" s="12" t="s">
        <v>405</v>
      </c>
      <c r="C379" s="105"/>
      <c r="D379" s="109"/>
      <c r="E379" s="106"/>
      <c r="F379" s="107"/>
      <c r="G379" s="201"/>
      <c r="H379" s="197"/>
      <c r="I379" s="198"/>
      <c r="J379" s="127"/>
      <c r="K379" s="106"/>
      <c r="L379" s="107"/>
      <c r="M379" s="67"/>
      <c r="N379" s="197"/>
      <c r="O379" s="198"/>
      <c r="P379" s="127"/>
      <c r="Q379" s="125"/>
      <c r="R379" s="132"/>
      <c r="S379" s="67"/>
      <c r="T379" s="64"/>
      <c r="U379" s="65"/>
      <c r="V379" s="4"/>
      <c r="W379" s="9"/>
      <c r="X379" s="267"/>
    </row>
    <row r="380" spans="1:24" ht="15.75" x14ac:dyDescent="0.25">
      <c r="A380" s="280"/>
      <c r="B380" s="40"/>
      <c r="C380" s="105"/>
      <c r="D380" s="109"/>
      <c r="E380" s="106"/>
      <c r="F380" s="107"/>
      <c r="G380" s="201"/>
      <c r="H380" s="197"/>
      <c r="I380" s="198"/>
      <c r="J380" s="127"/>
      <c r="K380" s="106"/>
      <c r="L380" s="107"/>
      <c r="M380" s="67"/>
      <c r="N380" s="197"/>
      <c r="O380" s="198"/>
      <c r="P380" s="127"/>
      <c r="Q380" s="125"/>
      <c r="R380" s="132"/>
      <c r="S380" s="67"/>
      <c r="T380" s="64"/>
      <c r="U380" s="65"/>
      <c r="V380" s="4"/>
      <c r="W380" s="9"/>
      <c r="X380" s="267"/>
    </row>
    <row r="381" spans="1:24" ht="31.5" x14ac:dyDescent="0.25">
      <c r="A381" s="268" t="s">
        <v>406</v>
      </c>
      <c r="B381" s="17" t="s">
        <v>407</v>
      </c>
      <c r="C381" s="105" t="s">
        <v>95</v>
      </c>
      <c r="D381" s="109">
        <v>10.24</v>
      </c>
      <c r="E381" s="106">
        <v>147.72999999999999</v>
      </c>
      <c r="F381" s="107">
        <f>D381*E381</f>
        <v>1512.7551999999998</v>
      </c>
      <c r="G381" s="201">
        <v>10.24</v>
      </c>
      <c r="H381" s="197">
        <v>147.72999999999999</v>
      </c>
      <c r="I381" s="198">
        <f>G381*H381</f>
        <v>1512.7551999999998</v>
      </c>
      <c r="J381" s="127">
        <v>0</v>
      </c>
      <c r="K381" s="106">
        <v>147.72999999999999</v>
      </c>
      <c r="L381" s="107">
        <f>J381*K381</f>
        <v>0</v>
      </c>
      <c r="M381" s="67">
        <v>10.24</v>
      </c>
      <c r="N381" s="197">
        <v>147.72999999999999</v>
      </c>
      <c r="O381" s="198">
        <f>M381*N381</f>
        <v>1512.7551999999998</v>
      </c>
      <c r="P381" s="127">
        <v>10.24</v>
      </c>
      <c r="Q381" s="125">
        <v>336.36</v>
      </c>
      <c r="R381" s="132">
        <v>3444.3264000000004</v>
      </c>
      <c r="S381" s="67">
        <f>J381+P381</f>
        <v>10.24</v>
      </c>
      <c r="T381" s="64"/>
      <c r="U381" s="65">
        <f>L381+R381</f>
        <v>3444.3264000000004</v>
      </c>
      <c r="V381" s="4">
        <v>10.24</v>
      </c>
      <c r="W381" s="9" t="s">
        <v>408</v>
      </c>
      <c r="X381" s="267"/>
    </row>
    <row r="382" spans="1:24" ht="15.75" x14ac:dyDescent="0.25">
      <c r="A382" s="268"/>
      <c r="B382" s="12"/>
      <c r="C382" s="105"/>
      <c r="D382" s="109"/>
      <c r="E382" s="106"/>
      <c r="F382" s="107"/>
      <c r="G382" s="201"/>
      <c r="H382" s="197"/>
      <c r="I382" s="198"/>
      <c r="J382" s="127"/>
      <c r="K382" s="106"/>
      <c r="L382" s="107"/>
      <c r="M382" s="67"/>
      <c r="N382" s="197"/>
      <c r="O382" s="198"/>
      <c r="P382" s="127"/>
      <c r="Q382" s="125"/>
      <c r="R382" s="132"/>
      <c r="S382" s="67"/>
      <c r="T382" s="64"/>
      <c r="U382" s="65"/>
      <c r="V382" s="4"/>
      <c r="W382" s="9"/>
      <c r="X382" s="267"/>
    </row>
    <row r="383" spans="1:24" ht="47.25" x14ac:dyDescent="0.25">
      <c r="A383" s="268" t="s">
        <v>409</v>
      </c>
      <c r="B383" s="17" t="s">
        <v>535</v>
      </c>
      <c r="C383" s="105" t="s">
        <v>95</v>
      </c>
      <c r="D383" s="109">
        <f>(28-4.7)*2+18+21.62*2-3.9-4.5+3.75+1.66</f>
        <v>104.85</v>
      </c>
      <c r="E383" s="106">
        <v>247.86</v>
      </c>
      <c r="F383" s="107">
        <f>D383*E383</f>
        <v>25988.120999999999</v>
      </c>
      <c r="G383" s="201">
        <f>(28-4.7)*2+18+21.62*2-3.9-4.5+3.75+1.66</f>
        <v>104.85</v>
      </c>
      <c r="H383" s="197">
        <v>247.86</v>
      </c>
      <c r="I383" s="198">
        <f>G383*H383</f>
        <v>25988.120999999999</v>
      </c>
      <c r="J383" s="127">
        <v>0</v>
      </c>
      <c r="K383" s="106">
        <v>247.86</v>
      </c>
      <c r="L383" s="107">
        <f>J383*K383</f>
        <v>0</v>
      </c>
      <c r="M383" s="67">
        <v>104.85</v>
      </c>
      <c r="N383" s="197">
        <v>247.86</v>
      </c>
      <c r="O383" s="198">
        <f>M383*N383</f>
        <v>25988.120999999999</v>
      </c>
      <c r="P383" s="127">
        <v>104.85</v>
      </c>
      <c r="Q383" s="125">
        <v>517.34</v>
      </c>
      <c r="R383" s="132">
        <v>54243.099000000002</v>
      </c>
      <c r="S383" s="67">
        <f>J383+P383</f>
        <v>104.85</v>
      </c>
      <c r="T383" s="64"/>
      <c r="U383" s="65">
        <f>L383+R383</f>
        <v>54243.099000000002</v>
      </c>
      <c r="V383" s="4" t="s">
        <v>410</v>
      </c>
      <c r="W383" s="9" t="s">
        <v>411</v>
      </c>
      <c r="X383" s="267"/>
    </row>
    <row r="384" spans="1:24" ht="15.75" x14ac:dyDescent="0.25">
      <c r="A384" s="268"/>
      <c r="B384" s="12"/>
      <c r="C384" s="105"/>
      <c r="D384" s="109"/>
      <c r="E384" s="106"/>
      <c r="F384" s="107"/>
      <c r="G384" s="201"/>
      <c r="H384" s="197"/>
      <c r="I384" s="198"/>
      <c r="J384" s="127"/>
      <c r="K384" s="106"/>
      <c r="L384" s="107"/>
      <c r="M384" s="67"/>
      <c r="N384" s="197"/>
      <c r="O384" s="198"/>
      <c r="P384" s="127"/>
      <c r="Q384" s="125"/>
      <c r="R384" s="132"/>
      <c r="S384" s="67"/>
      <c r="T384" s="64"/>
      <c r="U384" s="65"/>
      <c r="V384" s="8"/>
      <c r="W384" s="9"/>
      <c r="X384" s="267"/>
    </row>
    <row r="385" spans="1:24" ht="15.75" x14ac:dyDescent="0.25">
      <c r="A385" s="268"/>
      <c r="B385" s="12"/>
      <c r="C385" s="105"/>
      <c r="D385" s="109"/>
      <c r="E385" s="106"/>
      <c r="F385" s="107"/>
      <c r="G385" s="201"/>
      <c r="H385" s="197"/>
      <c r="I385" s="198"/>
      <c r="J385" s="127"/>
      <c r="K385" s="106"/>
      <c r="L385" s="107"/>
      <c r="M385" s="67"/>
      <c r="N385" s="197"/>
      <c r="O385" s="198"/>
      <c r="P385" s="127"/>
      <c r="Q385" s="125"/>
      <c r="R385" s="132"/>
      <c r="S385" s="67"/>
      <c r="T385" s="64"/>
      <c r="U385" s="65"/>
      <c r="V385" s="4"/>
      <c r="W385" s="9"/>
      <c r="X385" s="267"/>
    </row>
    <row r="386" spans="1:24" ht="31.5" x14ac:dyDescent="0.25">
      <c r="A386" s="268" t="s">
        <v>412</v>
      </c>
      <c r="B386" s="17" t="s">
        <v>413</v>
      </c>
      <c r="C386" s="105" t="s">
        <v>15</v>
      </c>
      <c r="D386" s="109">
        <f>1.5*3.5*3+3*1.3*2.5+4.05*2.5*2</f>
        <v>45.75</v>
      </c>
      <c r="E386" s="106">
        <v>351.33</v>
      </c>
      <c r="F386" s="107">
        <f>D386*E386</f>
        <v>16073.3475</v>
      </c>
      <c r="G386" s="201">
        <f>1.5*3.5*3+3*1.3*2.5+4.05*2.5*2</f>
        <v>45.75</v>
      </c>
      <c r="H386" s="197">
        <v>351.33</v>
      </c>
      <c r="I386" s="198">
        <f>G386*H386</f>
        <v>16073.3475</v>
      </c>
      <c r="J386" s="127">
        <v>0</v>
      </c>
      <c r="K386" s="106">
        <v>351.33</v>
      </c>
      <c r="L386" s="107">
        <f>J386*K386</f>
        <v>0</v>
      </c>
      <c r="M386" s="67">
        <v>45.75</v>
      </c>
      <c r="N386" s="197">
        <v>351.33</v>
      </c>
      <c r="O386" s="198">
        <f>M386*N386</f>
        <v>16073.3475</v>
      </c>
      <c r="P386" s="127">
        <v>45.75</v>
      </c>
      <c r="Q386" s="125">
        <v>436.55</v>
      </c>
      <c r="R386" s="132">
        <v>19972.162500000002</v>
      </c>
      <c r="S386" s="67">
        <f>J386+P386</f>
        <v>45.75</v>
      </c>
      <c r="T386" s="64"/>
      <c r="U386" s="65">
        <f>L386+R386</f>
        <v>19972.162500000002</v>
      </c>
      <c r="V386" s="9" t="s">
        <v>414</v>
      </c>
      <c r="W386" s="62"/>
      <c r="X386" s="267"/>
    </row>
    <row r="387" spans="1:24" ht="189" x14ac:dyDescent="0.25">
      <c r="A387" s="268"/>
      <c r="B387" s="12" t="s">
        <v>415</v>
      </c>
      <c r="C387" s="105"/>
      <c r="D387" s="109"/>
      <c r="E387" s="106"/>
      <c r="F387" s="107"/>
      <c r="G387" s="201"/>
      <c r="H387" s="197"/>
      <c r="I387" s="198"/>
      <c r="J387" s="127"/>
      <c r="K387" s="106"/>
      <c r="L387" s="107"/>
      <c r="M387" s="67"/>
      <c r="N387" s="197"/>
      <c r="O387" s="198"/>
      <c r="P387" s="127"/>
      <c r="Q387" s="125"/>
      <c r="R387" s="132"/>
      <c r="S387" s="67"/>
      <c r="T387" s="64"/>
      <c r="U387" s="65"/>
      <c r="V387" s="4"/>
      <c r="W387" s="9"/>
      <c r="X387" s="267"/>
    </row>
    <row r="388" spans="1:24" ht="15.75" x14ac:dyDescent="0.25">
      <c r="A388" s="268"/>
      <c r="B388" s="12"/>
      <c r="C388" s="105"/>
      <c r="D388" s="109"/>
      <c r="E388" s="106"/>
      <c r="F388" s="107"/>
      <c r="G388" s="201"/>
      <c r="H388" s="197"/>
      <c r="I388" s="198"/>
      <c r="J388" s="127"/>
      <c r="K388" s="106"/>
      <c r="L388" s="107"/>
      <c r="M388" s="67"/>
      <c r="N388" s="197"/>
      <c r="O388" s="198"/>
      <c r="P388" s="127"/>
      <c r="Q388" s="125"/>
      <c r="R388" s="132"/>
      <c r="S388" s="67"/>
      <c r="T388" s="64"/>
      <c r="U388" s="65"/>
      <c r="V388" s="4"/>
      <c r="W388" s="9"/>
      <c r="X388" s="267"/>
    </row>
    <row r="389" spans="1:24" ht="15.75" x14ac:dyDescent="0.25">
      <c r="A389" s="268" t="s">
        <v>416</v>
      </c>
      <c r="B389" s="22" t="s">
        <v>417</v>
      </c>
      <c r="C389" s="105"/>
      <c r="D389" s="109"/>
      <c r="E389" s="106"/>
      <c r="F389" s="107"/>
      <c r="G389" s="201"/>
      <c r="H389" s="197"/>
      <c r="I389" s="198"/>
      <c r="J389" s="127"/>
      <c r="K389" s="106"/>
      <c r="L389" s="107"/>
      <c r="M389" s="67"/>
      <c r="N389" s="197"/>
      <c r="O389" s="198"/>
      <c r="P389" s="127"/>
      <c r="Q389" s="125"/>
      <c r="R389" s="132"/>
      <c r="S389" s="67"/>
      <c r="T389" s="64"/>
      <c r="U389" s="65"/>
      <c r="V389" s="4"/>
      <c r="W389" s="9"/>
      <c r="X389" s="267"/>
    </row>
    <row r="390" spans="1:24" ht="15.75" x14ac:dyDescent="0.25">
      <c r="A390" s="268" t="s">
        <v>418</v>
      </c>
      <c r="B390" s="17" t="s">
        <v>419</v>
      </c>
      <c r="C390" s="105" t="s">
        <v>420</v>
      </c>
      <c r="D390" s="109">
        <v>1</v>
      </c>
      <c r="E390" s="116">
        <v>4376.12</v>
      </c>
      <c r="F390" s="107">
        <f>D390*E390</f>
        <v>4376.12</v>
      </c>
      <c r="G390" s="201">
        <v>1</v>
      </c>
      <c r="H390" s="202">
        <v>4376.12</v>
      </c>
      <c r="I390" s="198">
        <f>G390*H390</f>
        <v>4376.12</v>
      </c>
      <c r="J390" s="127">
        <v>0</v>
      </c>
      <c r="K390" s="116">
        <v>4376.12</v>
      </c>
      <c r="L390" s="107">
        <f>J390*K390</f>
        <v>0</v>
      </c>
      <c r="M390" s="67">
        <v>1</v>
      </c>
      <c r="N390" s="202">
        <v>4376.12</v>
      </c>
      <c r="O390" s="198">
        <f>M390*N390</f>
        <v>4376.12</v>
      </c>
      <c r="P390" s="127">
        <v>1</v>
      </c>
      <c r="Q390" s="136">
        <v>12078.02</v>
      </c>
      <c r="R390" s="132">
        <v>12078.02</v>
      </c>
      <c r="S390" s="67">
        <f>J390+P390</f>
        <v>1</v>
      </c>
      <c r="T390" s="73"/>
      <c r="U390" s="65">
        <f>L390+R390</f>
        <v>12078.02</v>
      </c>
      <c r="V390" s="4">
        <v>1</v>
      </c>
      <c r="W390" s="9"/>
      <c r="X390" s="267"/>
    </row>
    <row r="391" spans="1:24" ht="409.5" x14ac:dyDescent="0.25">
      <c r="A391" s="283"/>
      <c r="B391" s="12" t="s">
        <v>421</v>
      </c>
      <c r="C391" s="284"/>
      <c r="D391" s="109"/>
      <c r="E391" s="106"/>
      <c r="F391" s="107"/>
      <c r="G391" s="201"/>
      <c r="H391" s="197"/>
      <c r="I391" s="198"/>
      <c r="J391" s="127"/>
      <c r="K391" s="106"/>
      <c r="L391" s="107"/>
      <c r="M391" s="67"/>
      <c r="N391" s="197"/>
      <c r="O391" s="198"/>
      <c r="P391" s="127"/>
      <c r="Q391" s="125"/>
      <c r="R391" s="132"/>
      <c r="S391" s="67"/>
      <c r="T391" s="64"/>
      <c r="U391" s="65"/>
      <c r="V391" s="4"/>
      <c r="W391" s="9"/>
      <c r="X391" s="267"/>
    </row>
    <row r="392" spans="1:24" ht="15.75" x14ac:dyDescent="0.25">
      <c r="A392" s="268"/>
      <c r="B392" s="12"/>
      <c r="C392" s="105"/>
      <c r="D392" s="109"/>
      <c r="E392" s="106"/>
      <c r="F392" s="107"/>
      <c r="G392" s="201"/>
      <c r="H392" s="197"/>
      <c r="I392" s="198"/>
      <c r="J392" s="127"/>
      <c r="K392" s="106"/>
      <c r="L392" s="107"/>
      <c r="M392" s="67"/>
      <c r="N392" s="197"/>
      <c r="O392" s="198"/>
      <c r="P392" s="127"/>
      <c r="Q392" s="125"/>
      <c r="R392" s="132"/>
      <c r="S392" s="67"/>
      <c r="T392" s="64"/>
      <c r="U392" s="65"/>
      <c r="V392" s="4"/>
      <c r="W392" s="9"/>
      <c r="X392" s="267"/>
    </row>
    <row r="393" spans="1:24" ht="31.5" x14ac:dyDescent="0.25">
      <c r="A393" s="268" t="s">
        <v>422</v>
      </c>
      <c r="B393" s="17" t="s">
        <v>423</v>
      </c>
      <c r="C393" s="105" t="s">
        <v>80</v>
      </c>
      <c r="D393" s="109">
        <f>(18.6+3.02)*(11.2+1.2+1.2)*0.05</f>
        <v>14.701599999999999</v>
      </c>
      <c r="E393" s="106">
        <v>116.26</v>
      </c>
      <c r="F393" s="107">
        <f>D393*E393</f>
        <v>1709.208016</v>
      </c>
      <c r="G393" s="201">
        <f>(18.6+3.02)*(11.2+1.2+1.2)*0.05</f>
        <v>14.701599999999999</v>
      </c>
      <c r="H393" s="197">
        <v>116.26</v>
      </c>
      <c r="I393" s="198">
        <f>G393*H393</f>
        <v>1709.208016</v>
      </c>
      <c r="J393" s="127">
        <v>0</v>
      </c>
      <c r="K393" s="106">
        <v>116.26</v>
      </c>
      <c r="L393" s="107">
        <f>J393*K393</f>
        <v>0</v>
      </c>
      <c r="M393" s="67">
        <v>14.701599999999999</v>
      </c>
      <c r="N393" s="197">
        <v>116.26</v>
      </c>
      <c r="O393" s="198">
        <f>M393*N393</f>
        <v>1709.208016</v>
      </c>
      <c r="P393" s="127">
        <v>14.701599999999999</v>
      </c>
      <c r="Q393" s="125">
        <v>173.46</v>
      </c>
      <c r="R393" s="132">
        <v>2550.1395360000001</v>
      </c>
      <c r="S393" s="67">
        <f>J393+P393</f>
        <v>14.701599999999999</v>
      </c>
      <c r="T393" s="64"/>
      <c r="U393" s="65">
        <f>L393+R393</f>
        <v>2550.1395360000001</v>
      </c>
      <c r="V393" s="4" t="s">
        <v>424</v>
      </c>
      <c r="W393" s="9" t="s">
        <v>425</v>
      </c>
      <c r="X393" s="267"/>
    </row>
    <row r="394" spans="1:24" ht="94.5" x14ac:dyDescent="0.25">
      <c r="A394" s="268"/>
      <c r="B394" s="12" t="s">
        <v>426</v>
      </c>
      <c r="C394" s="105"/>
      <c r="D394" s="109"/>
      <c r="E394" s="106"/>
      <c r="F394" s="107"/>
      <c r="G394" s="201"/>
      <c r="H394" s="197"/>
      <c r="I394" s="198"/>
      <c r="J394" s="127"/>
      <c r="K394" s="106"/>
      <c r="L394" s="107"/>
      <c r="M394" s="67"/>
      <c r="N394" s="197"/>
      <c r="O394" s="198"/>
      <c r="P394" s="127"/>
      <c r="Q394" s="125"/>
      <c r="R394" s="132"/>
      <c r="S394" s="67"/>
      <c r="T394" s="64"/>
      <c r="U394" s="65"/>
      <c r="V394" s="4"/>
      <c r="W394" s="9"/>
      <c r="X394" s="267"/>
    </row>
    <row r="395" spans="1:24" ht="15.75" x14ac:dyDescent="0.25">
      <c r="A395" s="268"/>
      <c r="B395" s="12"/>
      <c r="C395" s="105"/>
      <c r="D395" s="109"/>
      <c r="E395" s="106"/>
      <c r="F395" s="107"/>
      <c r="G395" s="201"/>
      <c r="H395" s="197"/>
      <c r="I395" s="198"/>
      <c r="J395" s="127"/>
      <c r="K395" s="106"/>
      <c r="L395" s="107"/>
      <c r="M395" s="67"/>
      <c r="N395" s="197"/>
      <c r="O395" s="198"/>
      <c r="P395" s="127"/>
      <c r="Q395" s="125"/>
      <c r="R395" s="132"/>
      <c r="S395" s="67"/>
      <c r="T395" s="64"/>
      <c r="U395" s="65"/>
      <c r="V395" s="4"/>
      <c r="W395" s="9"/>
      <c r="X395" s="267"/>
    </row>
    <row r="396" spans="1:24" ht="15.75" x14ac:dyDescent="0.25">
      <c r="A396" s="268"/>
      <c r="B396" s="12"/>
      <c r="C396" s="105"/>
      <c r="D396" s="109"/>
      <c r="E396" s="106"/>
      <c r="F396" s="107"/>
      <c r="G396" s="201"/>
      <c r="H396" s="197"/>
      <c r="I396" s="198"/>
      <c r="J396" s="127"/>
      <c r="K396" s="106"/>
      <c r="L396" s="107"/>
      <c r="M396" s="67"/>
      <c r="N396" s="197"/>
      <c r="O396" s="198"/>
      <c r="P396" s="127"/>
      <c r="Q396" s="125"/>
      <c r="R396" s="132"/>
      <c r="S396" s="67"/>
      <c r="T396" s="64"/>
      <c r="U396" s="65"/>
      <c r="V396" s="4"/>
      <c r="W396" s="9"/>
      <c r="X396" s="267"/>
    </row>
    <row r="397" spans="1:24" ht="31.5" x14ac:dyDescent="0.25">
      <c r="A397" s="268" t="s">
        <v>427</v>
      </c>
      <c r="B397" s="17" t="s">
        <v>428</v>
      </c>
      <c r="C397" s="105" t="s">
        <v>65</v>
      </c>
      <c r="D397" s="109">
        <f>(18.6+3.02)*(11.2+1.2+1.2)*2.2</f>
        <v>646.87040000000002</v>
      </c>
      <c r="E397" s="106">
        <v>19.14</v>
      </c>
      <c r="F397" s="107">
        <f>D397*E397</f>
        <v>12381.099456</v>
      </c>
      <c r="G397" s="201">
        <f>(18.6+3.02)*(11.2+1.2+1.2)*2.2</f>
        <v>646.87040000000002</v>
      </c>
      <c r="H397" s="197">
        <v>19.14</v>
      </c>
      <c r="I397" s="198">
        <f>G397*H397</f>
        <v>12381.099456</v>
      </c>
      <c r="J397" s="127">
        <v>0</v>
      </c>
      <c r="K397" s="106">
        <v>19.14</v>
      </c>
      <c r="L397" s="107">
        <f>J397*K397</f>
        <v>0</v>
      </c>
      <c r="M397" s="67">
        <v>646.87040000000002</v>
      </c>
      <c r="N397" s="197">
        <v>19.14</v>
      </c>
      <c r="O397" s="198">
        <f>M397*N397</f>
        <v>12381.099456</v>
      </c>
      <c r="P397" s="127">
        <v>646.87040000000002</v>
      </c>
      <c r="Q397" s="125">
        <v>34.729999999999997</v>
      </c>
      <c r="R397" s="132">
        <v>22465.808991999998</v>
      </c>
      <c r="S397" s="67">
        <f>J397+P397</f>
        <v>646.87040000000002</v>
      </c>
      <c r="T397" s="64"/>
      <c r="U397" s="65">
        <f>L397+R397</f>
        <v>22465.808991999998</v>
      </c>
      <c r="V397" s="166" t="s">
        <v>429</v>
      </c>
      <c r="W397" s="9" t="s">
        <v>430</v>
      </c>
      <c r="X397" s="267"/>
    </row>
    <row r="398" spans="1:24" ht="94.5" x14ac:dyDescent="0.25">
      <c r="A398" s="268"/>
      <c r="B398" s="12" t="s">
        <v>431</v>
      </c>
      <c r="C398" s="105"/>
      <c r="D398" s="109"/>
      <c r="E398" s="106"/>
      <c r="F398" s="107"/>
      <c r="G398" s="201"/>
      <c r="H398" s="197"/>
      <c r="I398" s="198"/>
      <c r="J398" s="127"/>
      <c r="K398" s="106"/>
      <c r="L398" s="107"/>
      <c r="M398" s="67"/>
      <c r="N398" s="197"/>
      <c r="O398" s="198"/>
      <c r="P398" s="127"/>
      <c r="Q398" s="125"/>
      <c r="R398" s="132"/>
      <c r="S398" s="67"/>
      <c r="T398" s="64"/>
      <c r="U398" s="65"/>
      <c r="V398" s="4"/>
      <c r="W398" s="9"/>
      <c r="X398" s="267"/>
    </row>
    <row r="399" spans="1:24" ht="15.75" x14ac:dyDescent="0.25">
      <c r="A399" s="268"/>
      <c r="B399" s="12"/>
      <c r="C399" s="105"/>
      <c r="D399" s="109"/>
      <c r="E399" s="106"/>
      <c r="F399" s="107"/>
      <c r="G399" s="201"/>
      <c r="H399" s="197"/>
      <c r="I399" s="198"/>
      <c r="J399" s="127"/>
      <c r="K399" s="106"/>
      <c r="L399" s="107"/>
      <c r="M399" s="67"/>
      <c r="N399" s="197"/>
      <c r="O399" s="198"/>
      <c r="P399" s="127"/>
      <c r="Q399" s="125"/>
      <c r="R399" s="132"/>
      <c r="S399" s="67"/>
      <c r="T399" s="64"/>
      <c r="U399" s="65"/>
      <c r="V399" s="4"/>
      <c r="W399" s="9"/>
      <c r="X399" s="267"/>
    </row>
    <row r="400" spans="1:24" ht="47.25" x14ac:dyDescent="0.25">
      <c r="A400" s="268" t="s">
        <v>432</v>
      </c>
      <c r="B400" s="17" t="s">
        <v>433</v>
      </c>
      <c r="C400" s="105" t="s">
        <v>80</v>
      </c>
      <c r="D400" s="109">
        <f>(18.6+3.02)*(11.2+1.2+1.2)*0.08</f>
        <v>23.522559999999999</v>
      </c>
      <c r="E400" s="106">
        <v>546.16999999999996</v>
      </c>
      <c r="F400" s="107">
        <f>D400*E400</f>
        <v>12847.316595199998</v>
      </c>
      <c r="G400" s="201">
        <f>(18.6+3.02)*(11.2+1.2+1.2)*0.08</f>
        <v>23.522559999999999</v>
      </c>
      <c r="H400" s="197">
        <v>546.16999999999996</v>
      </c>
      <c r="I400" s="198">
        <f>G400*H400</f>
        <v>12847.316595199998</v>
      </c>
      <c r="J400" s="127">
        <v>0</v>
      </c>
      <c r="K400" s="106">
        <v>546.16999999999996</v>
      </c>
      <c r="L400" s="107">
        <f>J400*K400</f>
        <v>0</v>
      </c>
      <c r="M400" s="67">
        <v>23.522559999999999</v>
      </c>
      <c r="N400" s="197">
        <v>546.16999999999996</v>
      </c>
      <c r="O400" s="198">
        <f>M400*N400</f>
        <v>12847.316595199998</v>
      </c>
      <c r="P400" s="127">
        <v>23.522559999999999</v>
      </c>
      <c r="Q400" s="125">
        <v>747.85</v>
      </c>
      <c r="R400" s="132">
        <v>17591.346495999998</v>
      </c>
      <c r="S400" s="67">
        <f>J400+P400</f>
        <v>23.522559999999999</v>
      </c>
      <c r="T400" s="64"/>
      <c r="U400" s="65">
        <f>L400+R400</f>
        <v>17591.346495999998</v>
      </c>
      <c r="V400" s="4" t="s">
        <v>434</v>
      </c>
      <c r="W400" s="9" t="s">
        <v>435</v>
      </c>
      <c r="X400" s="267"/>
    </row>
    <row r="401" spans="1:24" ht="189" x14ac:dyDescent="0.25">
      <c r="A401" s="268"/>
      <c r="B401" s="12" t="s">
        <v>436</v>
      </c>
      <c r="C401" s="105"/>
      <c r="D401" s="109"/>
      <c r="E401" s="106"/>
      <c r="F401" s="107"/>
      <c r="G401" s="201"/>
      <c r="H401" s="197"/>
      <c r="I401" s="198"/>
      <c r="J401" s="127"/>
      <c r="K401" s="106"/>
      <c r="L401" s="107"/>
      <c r="M401" s="67"/>
      <c r="N401" s="197"/>
      <c r="O401" s="198"/>
      <c r="P401" s="127"/>
      <c r="Q401" s="125"/>
      <c r="R401" s="132"/>
      <c r="S401" s="67"/>
      <c r="T401" s="64"/>
      <c r="U401" s="65"/>
      <c r="V401" s="9"/>
      <c r="W401" s="9"/>
      <c r="X401" s="267"/>
    </row>
    <row r="402" spans="1:24" ht="63" customHeight="1" x14ac:dyDescent="0.25">
      <c r="A402" s="268" t="s">
        <v>437</v>
      </c>
      <c r="B402" s="17" t="s">
        <v>438</v>
      </c>
      <c r="C402" s="105" t="s">
        <v>15</v>
      </c>
      <c r="D402" s="109">
        <f>18*28+4.78*2.22</f>
        <v>514.61159999999995</v>
      </c>
      <c r="E402" s="106">
        <v>20</v>
      </c>
      <c r="F402" s="107">
        <f>D402*E402</f>
        <v>10292.232</v>
      </c>
      <c r="G402" s="201">
        <f>18*28+4.78*2.22</f>
        <v>514.61159999999995</v>
      </c>
      <c r="H402" s="197">
        <v>20</v>
      </c>
      <c r="I402" s="198">
        <f>G402*H402</f>
        <v>10292.232</v>
      </c>
      <c r="J402" s="127">
        <v>0</v>
      </c>
      <c r="K402" s="106">
        <v>20</v>
      </c>
      <c r="L402" s="107">
        <f>J402*K402</f>
        <v>0</v>
      </c>
      <c r="M402" s="67">
        <v>514.61159999999995</v>
      </c>
      <c r="N402" s="197">
        <v>20</v>
      </c>
      <c r="O402" s="198">
        <f>M402*N402</f>
        <v>10292.232</v>
      </c>
      <c r="P402" s="127">
        <v>514.61159999999995</v>
      </c>
      <c r="Q402" s="125">
        <v>20</v>
      </c>
      <c r="R402" s="132">
        <v>10292.232</v>
      </c>
      <c r="S402" s="67">
        <f>J402+P402</f>
        <v>514.61159999999995</v>
      </c>
      <c r="T402" s="64"/>
      <c r="U402" s="65">
        <f>L402+R402</f>
        <v>10292.232</v>
      </c>
      <c r="V402" s="9" t="s">
        <v>439</v>
      </c>
      <c r="W402" s="9" t="s">
        <v>440</v>
      </c>
      <c r="X402" s="267"/>
    </row>
    <row r="403" spans="1:24" ht="63" x14ac:dyDescent="0.25">
      <c r="A403" s="268"/>
      <c r="B403" s="12" t="s">
        <v>441</v>
      </c>
      <c r="C403" s="105"/>
      <c r="D403" s="109"/>
      <c r="E403" s="106"/>
      <c r="F403" s="107"/>
      <c r="G403" s="201"/>
      <c r="H403" s="197"/>
      <c r="I403" s="198"/>
      <c r="J403" s="127"/>
      <c r="K403" s="106"/>
      <c r="L403" s="107"/>
      <c r="M403" s="67"/>
      <c r="N403" s="197"/>
      <c r="O403" s="198"/>
      <c r="P403" s="127"/>
      <c r="Q403" s="125"/>
      <c r="R403" s="132"/>
      <c r="S403" s="67"/>
      <c r="T403" s="64"/>
      <c r="U403" s="65"/>
      <c r="V403" s="4"/>
      <c r="W403" s="9"/>
      <c r="X403" s="267"/>
    </row>
    <row r="404" spans="1:24" ht="15.75" x14ac:dyDescent="0.25">
      <c r="A404" s="268"/>
      <c r="B404" s="12"/>
      <c r="C404" s="105"/>
      <c r="D404" s="109"/>
      <c r="E404" s="106"/>
      <c r="F404" s="107"/>
      <c r="G404" s="201"/>
      <c r="H404" s="197"/>
      <c r="I404" s="198"/>
      <c r="J404" s="127"/>
      <c r="K404" s="106"/>
      <c r="L404" s="107"/>
      <c r="M404" s="67"/>
      <c r="N404" s="197"/>
      <c r="O404" s="198"/>
      <c r="P404" s="127"/>
      <c r="Q404" s="125"/>
      <c r="R404" s="132"/>
      <c r="S404" s="67"/>
      <c r="T404" s="64"/>
      <c r="U404" s="65"/>
      <c r="V404" s="4"/>
      <c r="W404" s="9"/>
      <c r="X404" s="267"/>
    </row>
    <row r="405" spans="1:24" ht="31.5" x14ac:dyDescent="0.25">
      <c r="A405" s="268" t="s">
        <v>442</v>
      </c>
      <c r="B405" s="17" t="s">
        <v>443</v>
      </c>
      <c r="C405" s="105" t="s">
        <v>15</v>
      </c>
      <c r="D405" s="109">
        <f>18*28</f>
        <v>504</v>
      </c>
      <c r="E405" s="106">
        <v>174.65</v>
      </c>
      <c r="F405" s="107">
        <f>D405*E405</f>
        <v>88023.6</v>
      </c>
      <c r="G405" s="201">
        <f>18*28</f>
        <v>504</v>
      </c>
      <c r="H405" s="197">
        <v>174.65</v>
      </c>
      <c r="I405" s="198">
        <f>G405*H405</f>
        <v>88023.6</v>
      </c>
      <c r="J405" s="127">
        <v>504</v>
      </c>
      <c r="K405" s="106">
        <v>174.65</v>
      </c>
      <c r="L405" s="107">
        <f>J405*K405</f>
        <v>88023.6</v>
      </c>
      <c r="M405" s="67">
        <v>0</v>
      </c>
      <c r="N405" s="197">
        <v>174.65</v>
      </c>
      <c r="O405" s="198">
        <f>M405*N405</f>
        <v>0</v>
      </c>
      <c r="P405" s="127">
        <v>0</v>
      </c>
      <c r="Q405" s="125">
        <v>211.58</v>
      </c>
      <c r="R405" s="132">
        <v>0</v>
      </c>
      <c r="S405" s="67">
        <f>J405+P405</f>
        <v>504</v>
      </c>
      <c r="T405" s="64"/>
      <c r="U405" s="65">
        <f>L405+R405</f>
        <v>88023.6</v>
      </c>
      <c r="V405" s="4" t="s">
        <v>444</v>
      </c>
      <c r="W405" s="9" t="s">
        <v>17</v>
      </c>
      <c r="X405" s="267"/>
    </row>
    <row r="406" spans="1:24" ht="189" x14ac:dyDescent="0.25">
      <c r="A406" s="268"/>
      <c r="B406" s="27" t="s">
        <v>445</v>
      </c>
      <c r="C406" s="105"/>
      <c r="D406" s="109"/>
      <c r="E406" s="106"/>
      <c r="F406" s="107"/>
      <c r="G406" s="201"/>
      <c r="H406" s="197"/>
      <c r="I406" s="198"/>
      <c r="J406" s="127"/>
      <c r="K406" s="106"/>
      <c r="L406" s="107"/>
      <c r="M406" s="67"/>
      <c r="N406" s="197"/>
      <c r="O406" s="198"/>
      <c r="P406" s="127"/>
      <c r="Q406" s="125"/>
      <c r="R406" s="132"/>
      <c r="S406" s="67"/>
      <c r="T406" s="64"/>
      <c r="U406" s="65"/>
      <c r="V406" s="4"/>
      <c r="W406" s="9"/>
      <c r="X406" s="267"/>
    </row>
    <row r="407" spans="1:24" ht="15.75" x14ac:dyDescent="0.25">
      <c r="A407" s="268"/>
      <c r="B407" s="12"/>
      <c r="C407" s="105"/>
      <c r="D407" s="109"/>
      <c r="E407" s="106"/>
      <c r="F407" s="107"/>
      <c r="G407" s="201"/>
      <c r="H407" s="197"/>
      <c r="I407" s="198"/>
      <c r="J407" s="127"/>
      <c r="K407" s="106"/>
      <c r="L407" s="107"/>
      <c r="M407" s="67"/>
      <c r="N407" s="197"/>
      <c r="O407" s="198"/>
      <c r="P407" s="127"/>
      <c r="Q407" s="125"/>
      <c r="R407" s="132"/>
      <c r="S407" s="67"/>
      <c r="T407" s="64"/>
      <c r="U407" s="65"/>
      <c r="V407" s="4"/>
      <c r="W407" s="9"/>
      <c r="X407" s="267"/>
    </row>
    <row r="408" spans="1:24" ht="47.25" x14ac:dyDescent="0.25">
      <c r="A408" s="268" t="s">
        <v>446</v>
      </c>
      <c r="B408" s="13" t="s">
        <v>447</v>
      </c>
      <c r="C408" s="105" t="s">
        <v>15</v>
      </c>
      <c r="D408" s="109">
        <f>18*28*1.034+28*2*2+18*3.1*2</f>
        <v>744.73599999999999</v>
      </c>
      <c r="E408" s="106">
        <v>84.99</v>
      </c>
      <c r="F408" s="107">
        <f>D408*E408</f>
        <v>63295.112639999992</v>
      </c>
      <c r="G408" s="201">
        <f>18*28*1.034+28*2*2+18*3.1*2</f>
        <v>744.73599999999999</v>
      </c>
      <c r="H408" s="197">
        <v>84.99</v>
      </c>
      <c r="I408" s="198">
        <f>G408*H408</f>
        <v>63295.112639999992</v>
      </c>
      <c r="J408" s="127">
        <v>0</v>
      </c>
      <c r="K408" s="106">
        <v>84.99</v>
      </c>
      <c r="L408" s="107">
        <f>J408*K408</f>
        <v>0</v>
      </c>
      <c r="M408" s="67">
        <v>744.73599999999999</v>
      </c>
      <c r="N408" s="197">
        <v>84.99</v>
      </c>
      <c r="O408" s="198">
        <f>M408*N408</f>
        <v>63295.112639999992</v>
      </c>
      <c r="P408" s="127">
        <v>744.73599999999999</v>
      </c>
      <c r="Q408" s="125">
        <v>97.61</v>
      </c>
      <c r="R408" s="132">
        <v>72693.680959999998</v>
      </c>
      <c r="S408" s="67">
        <f>J408+P408</f>
        <v>744.73599999999999</v>
      </c>
      <c r="T408" s="64"/>
      <c r="U408" s="65">
        <f>L408+R408</f>
        <v>72693.680959999998</v>
      </c>
      <c r="V408" s="4" t="s">
        <v>448</v>
      </c>
      <c r="W408" s="9" t="s">
        <v>449</v>
      </c>
      <c r="X408" s="267"/>
    </row>
    <row r="409" spans="1:24" ht="110.25" x14ac:dyDescent="0.25">
      <c r="A409" s="268"/>
      <c r="B409" s="27" t="s">
        <v>450</v>
      </c>
      <c r="C409" s="105"/>
      <c r="D409" s="109"/>
      <c r="E409" s="106"/>
      <c r="F409" s="107"/>
      <c r="G409" s="201"/>
      <c r="H409" s="197"/>
      <c r="I409" s="198"/>
      <c r="J409" s="127"/>
      <c r="K409" s="106"/>
      <c r="L409" s="107"/>
      <c r="M409" s="67"/>
      <c r="N409" s="197"/>
      <c r="O409" s="198"/>
      <c r="P409" s="127"/>
      <c r="Q409" s="125"/>
      <c r="R409" s="132"/>
      <c r="S409" s="67"/>
      <c r="T409" s="64"/>
      <c r="U409" s="65"/>
      <c r="V409" s="4"/>
      <c r="W409" s="9"/>
      <c r="X409" s="267"/>
    </row>
    <row r="410" spans="1:24" ht="15.75" x14ac:dyDescent="0.25">
      <c r="A410" s="268"/>
      <c r="B410" s="12"/>
      <c r="C410" s="105"/>
      <c r="D410" s="109"/>
      <c r="E410" s="106"/>
      <c r="F410" s="107"/>
      <c r="G410" s="201"/>
      <c r="H410" s="197"/>
      <c r="I410" s="198"/>
      <c r="J410" s="127"/>
      <c r="K410" s="106"/>
      <c r="L410" s="107"/>
      <c r="M410" s="67"/>
      <c r="N410" s="197"/>
      <c r="O410" s="198"/>
      <c r="P410" s="127"/>
      <c r="Q410" s="125"/>
      <c r="R410" s="132"/>
      <c r="S410" s="67"/>
      <c r="T410" s="64"/>
      <c r="U410" s="65"/>
      <c r="V410" s="4"/>
      <c r="W410" s="9"/>
      <c r="X410" s="267"/>
    </row>
    <row r="411" spans="1:24" ht="15.75" x14ac:dyDescent="0.25">
      <c r="A411" s="268"/>
      <c r="B411" s="25"/>
      <c r="C411" s="322" t="s">
        <v>34</v>
      </c>
      <c r="D411" s="322"/>
      <c r="E411" s="322"/>
      <c r="F411" s="108">
        <f>SUM(F370:F410)</f>
        <v>242738.67528720002</v>
      </c>
      <c r="G411" s="326" t="s">
        <v>34</v>
      </c>
      <c r="H411" s="326"/>
      <c r="I411" s="199">
        <f>SUM(I370:I410)</f>
        <v>242738.67528720002</v>
      </c>
      <c r="J411" s="324" t="s">
        <v>34</v>
      </c>
      <c r="K411" s="324"/>
      <c r="L411" s="108">
        <f>SUM(L370:L410)</f>
        <v>88023.6</v>
      </c>
      <c r="M411" s="326" t="s">
        <v>34</v>
      </c>
      <c r="N411" s="326"/>
      <c r="O411" s="199">
        <f>SUM(O370:O410)</f>
        <v>154715.07528719999</v>
      </c>
      <c r="P411" s="324" t="s">
        <v>34</v>
      </c>
      <c r="Q411" s="324"/>
      <c r="R411" s="133">
        <v>224190.02660400001</v>
      </c>
      <c r="S411" s="326" t="s">
        <v>34</v>
      </c>
      <c r="T411" s="326"/>
      <c r="U411" s="66">
        <f>L411+R411</f>
        <v>312213.62660399999</v>
      </c>
      <c r="V411" s="4"/>
      <c r="W411" s="9"/>
      <c r="X411" s="267"/>
    </row>
    <row r="412" spans="1:24" ht="15.75" x14ac:dyDescent="0.25">
      <c r="A412" s="264" t="s">
        <v>451</v>
      </c>
      <c r="B412" s="57" t="s">
        <v>452</v>
      </c>
      <c r="C412" s="101"/>
      <c r="D412" s="115"/>
      <c r="E412" s="103"/>
      <c r="F412" s="107"/>
      <c r="G412" s="210"/>
      <c r="H412" s="141"/>
      <c r="I412" s="198"/>
      <c r="J412" s="129"/>
      <c r="K412" s="103"/>
      <c r="L412" s="107"/>
      <c r="M412" s="72"/>
      <c r="N412" s="141"/>
      <c r="O412" s="198"/>
      <c r="P412" s="129"/>
      <c r="Q412" s="131"/>
      <c r="R412" s="132"/>
      <c r="S412" s="72"/>
      <c r="T412" s="60"/>
      <c r="U412" s="65"/>
      <c r="V412" s="4"/>
      <c r="W412" s="9"/>
      <c r="X412" s="267"/>
    </row>
    <row r="413" spans="1:24" ht="15.75" x14ac:dyDescent="0.25">
      <c r="A413" s="266" t="s">
        <v>453</v>
      </c>
      <c r="B413" s="26" t="s">
        <v>454</v>
      </c>
      <c r="C413" s="105"/>
      <c r="D413" s="109"/>
      <c r="E413" s="106"/>
      <c r="F413" s="107"/>
      <c r="G413" s="201"/>
      <c r="H413" s="197"/>
      <c r="I413" s="198"/>
      <c r="J413" s="127"/>
      <c r="K413" s="106"/>
      <c r="L413" s="107"/>
      <c r="M413" s="67"/>
      <c r="N413" s="197"/>
      <c r="O413" s="198"/>
      <c r="P413" s="127"/>
      <c r="Q413" s="125"/>
      <c r="R413" s="132"/>
      <c r="S413" s="67"/>
      <c r="T413" s="64"/>
      <c r="U413" s="65"/>
      <c r="V413" s="4"/>
      <c r="W413" s="9"/>
      <c r="X413" s="267"/>
    </row>
    <row r="414" spans="1:24" ht="15.75" x14ac:dyDescent="0.25">
      <c r="A414" s="268" t="s">
        <v>455</v>
      </c>
      <c r="B414" s="17" t="s">
        <v>456</v>
      </c>
      <c r="C414" s="105" t="s">
        <v>15</v>
      </c>
      <c r="D414" s="109">
        <f>18*28</f>
        <v>504</v>
      </c>
      <c r="E414" s="106">
        <v>5.32</v>
      </c>
      <c r="F414" s="107">
        <f>D414*E414</f>
        <v>2681.28</v>
      </c>
      <c r="G414" s="201">
        <f>18*28</f>
        <v>504</v>
      </c>
      <c r="H414" s="197">
        <v>5.32</v>
      </c>
      <c r="I414" s="198">
        <f>G414*H414</f>
        <v>2681.28</v>
      </c>
      <c r="J414" s="127">
        <v>0</v>
      </c>
      <c r="K414" s="106">
        <v>5.32</v>
      </c>
      <c r="L414" s="107">
        <f>J414*K414</f>
        <v>0</v>
      </c>
      <c r="M414" s="67">
        <v>504</v>
      </c>
      <c r="N414" s="197">
        <v>5.32</v>
      </c>
      <c r="O414" s="198">
        <f>M414*N414</f>
        <v>2681.28</v>
      </c>
      <c r="P414" s="127">
        <v>504</v>
      </c>
      <c r="Q414" s="125">
        <v>7.08</v>
      </c>
      <c r="R414" s="132">
        <v>3568.32</v>
      </c>
      <c r="S414" s="67">
        <f>J414+P414</f>
        <v>504</v>
      </c>
      <c r="T414" s="64"/>
      <c r="U414" s="65">
        <f>L414+R414</f>
        <v>3568.32</v>
      </c>
      <c r="V414" s="4" t="s">
        <v>444</v>
      </c>
      <c r="W414" s="9"/>
      <c r="X414" s="267"/>
    </row>
    <row r="415" spans="1:24" ht="78.75" x14ac:dyDescent="0.25">
      <c r="A415" s="268"/>
      <c r="B415" s="12" t="s">
        <v>457</v>
      </c>
      <c r="C415" s="105"/>
      <c r="D415" s="109"/>
      <c r="E415" s="106"/>
      <c r="F415" s="107"/>
      <c r="G415" s="201"/>
      <c r="H415" s="197"/>
      <c r="I415" s="198"/>
      <c r="J415" s="127"/>
      <c r="K415" s="106"/>
      <c r="L415" s="107"/>
      <c r="M415" s="67"/>
      <c r="N415" s="197"/>
      <c r="O415" s="198"/>
      <c r="P415" s="127"/>
      <c r="Q415" s="125"/>
      <c r="R415" s="132"/>
      <c r="S415" s="67"/>
      <c r="T415" s="64"/>
      <c r="U415" s="65"/>
      <c r="V415" s="4"/>
      <c r="W415" s="9"/>
      <c r="X415" s="267"/>
    </row>
    <row r="416" spans="1:24" ht="15.75" x14ac:dyDescent="0.25">
      <c r="A416" s="268"/>
      <c r="B416" s="22"/>
      <c r="C416" s="105"/>
      <c r="D416" s="113"/>
      <c r="E416" s="106"/>
      <c r="F416" s="107"/>
      <c r="G416" s="209"/>
      <c r="H416" s="197"/>
      <c r="I416" s="198"/>
      <c r="J416" s="126"/>
      <c r="K416" s="106"/>
      <c r="L416" s="107"/>
      <c r="M416" s="32"/>
      <c r="N416" s="197"/>
      <c r="O416" s="198"/>
      <c r="P416" s="126"/>
      <c r="Q416" s="125"/>
      <c r="R416" s="132"/>
      <c r="S416" s="32"/>
      <c r="T416" s="64"/>
      <c r="U416" s="65"/>
      <c r="V416" s="4"/>
      <c r="W416" s="9"/>
      <c r="X416" s="267"/>
    </row>
    <row r="417" spans="1:24" ht="31.5" x14ac:dyDescent="0.25">
      <c r="A417" s="268" t="s">
        <v>458</v>
      </c>
      <c r="B417" s="17" t="s">
        <v>459</v>
      </c>
      <c r="C417" s="105" t="s">
        <v>80</v>
      </c>
      <c r="D417" s="109">
        <v>40</v>
      </c>
      <c r="E417" s="106">
        <v>39.4</v>
      </c>
      <c r="F417" s="107">
        <f>D417*E417</f>
        <v>1576</v>
      </c>
      <c r="G417" s="201">
        <v>40</v>
      </c>
      <c r="H417" s="197">
        <v>39.4</v>
      </c>
      <c r="I417" s="198">
        <f>G417*H417</f>
        <v>1576</v>
      </c>
      <c r="J417" s="127">
        <v>0</v>
      </c>
      <c r="K417" s="106">
        <v>39.4</v>
      </c>
      <c r="L417" s="107">
        <f>J417*K417</f>
        <v>0</v>
      </c>
      <c r="M417" s="67">
        <v>40</v>
      </c>
      <c r="N417" s="197">
        <v>39.4</v>
      </c>
      <c r="O417" s="198">
        <f>M417*N417</f>
        <v>1576</v>
      </c>
      <c r="P417" s="127">
        <v>40</v>
      </c>
      <c r="Q417" s="125">
        <v>73.37</v>
      </c>
      <c r="R417" s="132">
        <v>2934.8</v>
      </c>
      <c r="S417" s="67">
        <f>J417+P417</f>
        <v>40</v>
      </c>
      <c r="T417" s="64"/>
      <c r="U417" s="65">
        <f>L417+R417</f>
        <v>2934.8</v>
      </c>
      <c r="V417" s="4">
        <v>40</v>
      </c>
      <c r="W417" s="9"/>
      <c r="X417" s="267"/>
    </row>
    <row r="418" spans="1:24" ht="15.75" x14ac:dyDescent="0.25">
      <c r="A418" s="268"/>
      <c r="B418" s="12"/>
      <c r="C418" s="105"/>
      <c r="D418" s="109"/>
      <c r="E418" s="106"/>
      <c r="F418" s="107"/>
      <c r="G418" s="201"/>
      <c r="H418" s="197"/>
      <c r="I418" s="198"/>
      <c r="J418" s="127"/>
      <c r="K418" s="106"/>
      <c r="L418" s="107"/>
      <c r="M418" s="67"/>
      <c r="N418" s="197"/>
      <c r="O418" s="198"/>
      <c r="P418" s="127"/>
      <c r="Q418" s="125"/>
      <c r="R418" s="132"/>
      <c r="S418" s="67"/>
      <c r="T418" s="64"/>
      <c r="U418" s="65"/>
      <c r="V418" s="4"/>
      <c r="W418" s="9"/>
      <c r="X418" s="267"/>
    </row>
    <row r="419" spans="1:24" ht="15.75" x14ac:dyDescent="0.25">
      <c r="A419" s="285"/>
      <c r="B419" s="81"/>
      <c r="C419" s="322" t="s">
        <v>34</v>
      </c>
      <c r="D419" s="322"/>
      <c r="E419" s="322"/>
      <c r="F419" s="108">
        <f>SUM(F413:F418)</f>
        <v>4257.2800000000007</v>
      </c>
      <c r="G419" s="326" t="s">
        <v>34</v>
      </c>
      <c r="H419" s="326"/>
      <c r="I419" s="199">
        <f>SUM(I413:I418)</f>
        <v>4257.2800000000007</v>
      </c>
      <c r="J419" s="324" t="s">
        <v>34</v>
      </c>
      <c r="K419" s="324"/>
      <c r="L419" s="108">
        <f>SUM(L413:L418)</f>
        <v>0</v>
      </c>
      <c r="M419" s="326" t="s">
        <v>34</v>
      </c>
      <c r="N419" s="326"/>
      <c r="O419" s="199">
        <f>SUM(O413:O418)</f>
        <v>4257.2800000000007</v>
      </c>
      <c r="P419" s="324" t="s">
        <v>34</v>
      </c>
      <c r="Q419" s="324"/>
      <c r="R419" s="133">
        <v>6503.1200000000008</v>
      </c>
      <c r="S419" s="326" t="s">
        <v>34</v>
      </c>
      <c r="T419" s="326"/>
      <c r="U419" s="66">
        <f>L419+R419</f>
        <v>6503.1200000000008</v>
      </c>
      <c r="V419" s="4"/>
      <c r="W419" s="9"/>
      <c r="X419" s="267"/>
    </row>
    <row r="420" spans="1:24" ht="15.75" x14ac:dyDescent="0.25">
      <c r="A420" s="264" t="s">
        <v>460</v>
      </c>
      <c r="B420" s="57" t="s">
        <v>461</v>
      </c>
      <c r="C420" s="101"/>
      <c r="D420" s="115"/>
      <c r="E420" s="103"/>
      <c r="F420" s="107"/>
      <c r="G420" s="210"/>
      <c r="H420" s="141"/>
      <c r="I420" s="198"/>
      <c r="J420" s="129"/>
      <c r="K420" s="103"/>
      <c r="L420" s="107"/>
      <c r="M420" s="72"/>
      <c r="N420" s="141"/>
      <c r="O420" s="198"/>
      <c r="P420" s="129"/>
      <c r="Q420" s="131"/>
      <c r="R420" s="132"/>
      <c r="S420" s="72"/>
      <c r="T420" s="60"/>
      <c r="U420" s="65"/>
      <c r="V420" s="4"/>
      <c r="W420" s="9"/>
      <c r="X420" s="267"/>
    </row>
    <row r="421" spans="1:24" ht="15.75" x14ac:dyDescent="0.25">
      <c r="A421" s="268" t="s">
        <v>462</v>
      </c>
      <c r="B421" s="22" t="s">
        <v>463</v>
      </c>
      <c r="C421" s="105"/>
      <c r="D421" s="109"/>
      <c r="E421" s="116"/>
      <c r="F421" s="107"/>
      <c r="G421" s="201"/>
      <c r="H421" s="202"/>
      <c r="I421" s="198"/>
      <c r="J421" s="127"/>
      <c r="K421" s="116"/>
      <c r="L421" s="107"/>
      <c r="M421" s="67"/>
      <c r="N421" s="202"/>
      <c r="O421" s="198"/>
      <c r="P421" s="127"/>
      <c r="Q421" s="136"/>
      <c r="R421" s="132"/>
      <c r="S421" s="67"/>
      <c r="T421" s="73"/>
      <c r="U421" s="65"/>
      <c r="V421" s="4"/>
      <c r="W421" s="9"/>
      <c r="X421" s="267"/>
    </row>
    <row r="422" spans="1:24" ht="409.5" x14ac:dyDescent="0.25">
      <c r="A422" s="268"/>
      <c r="B422" s="12" t="s">
        <v>464</v>
      </c>
      <c r="C422" s="105"/>
      <c r="D422" s="109"/>
      <c r="E422" s="116"/>
      <c r="F422" s="107"/>
      <c r="G422" s="201"/>
      <c r="H422" s="202"/>
      <c r="I422" s="198"/>
      <c r="J422" s="127"/>
      <c r="K422" s="116"/>
      <c r="L422" s="107"/>
      <c r="M422" s="67"/>
      <c r="N422" s="202"/>
      <c r="O422" s="198"/>
      <c r="P422" s="127"/>
      <c r="Q422" s="136"/>
      <c r="R422" s="132"/>
      <c r="S422" s="67"/>
      <c r="T422" s="73"/>
      <c r="U422" s="65"/>
      <c r="V422" s="4"/>
      <c r="W422" s="9"/>
      <c r="X422" s="267"/>
    </row>
    <row r="423" spans="1:24" ht="15.75" x14ac:dyDescent="0.25">
      <c r="A423" s="268"/>
      <c r="B423" s="22"/>
      <c r="C423" s="105"/>
      <c r="D423" s="109"/>
      <c r="E423" s="116"/>
      <c r="F423" s="107"/>
      <c r="G423" s="201"/>
      <c r="H423" s="202"/>
      <c r="I423" s="198"/>
      <c r="J423" s="127"/>
      <c r="K423" s="116"/>
      <c r="L423" s="107"/>
      <c r="M423" s="67"/>
      <c r="N423" s="202"/>
      <c r="O423" s="198"/>
      <c r="P423" s="127"/>
      <c r="Q423" s="136"/>
      <c r="R423" s="132"/>
      <c r="S423" s="67"/>
      <c r="T423" s="73"/>
      <c r="U423" s="65"/>
      <c r="V423" s="4"/>
      <c r="W423" s="9"/>
      <c r="X423" s="267"/>
    </row>
    <row r="424" spans="1:24" ht="31.5" x14ac:dyDescent="0.25">
      <c r="A424" s="268" t="s">
        <v>465</v>
      </c>
      <c r="B424" s="17" t="s">
        <v>466</v>
      </c>
      <c r="C424" s="105" t="s">
        <v>21</v>
      </c>
      <c r="D424" s="109">
        <v>1</v>
      </c>
      <c r="E424" s="106">
        <v>992.16</v>
      </c>
      <c r="F424" s="107">
        <f>D424*E424</f>
        <v>992.16</v>
      </c>
      <c r="G424" s="201">
        <v>1</v>
      </c>
      <c r="H424" s="197">
        <v>992.16</v>
      </c>
      <c r="I424" s="198">
        <f>G424*H424</f>
        <v>992.16</v>
      </c>
      <c r="J424" s="127">
        <v>1</v>
      </c>
      <c r="K424" s="106">
        <v>992.16</v>
      </c>
      <c r="L424" s="107">
        <f>J424*K424</f>
        <v>992.16</v>
      </c>
      <c r="M424" s="67">
        <v>0</v>
      </c>
      <c r="N424" s="197">
        <v>992.16</v>
      </c>
      <c r="O424" s="198">
        <f>M424*N424</f>
        <v>0</v>
      </c>
      <c r="P424" s="127">
        <v>0</v>
      </c>
      <c r="Q424" s="125">
        <v>1064.01</v>
      </c>
      <c r="R424" s="132">
        <f>P424*Q424</f>
        <v>0</v>
      </c>
      <c r="S424" s="67">
        <f>J424+P424</f>
        <v>1</v>
      </c>
      <c r="T424" s="64"/>
      <c r="U424" s="65">
        <f>L424+R424</f>
        <v>992.16</v>
      </c>
      <c r="V424" s="4">
        <v>1</v>
      </c>
      <c r="W424" s="9"/>
      <c r="X424" s="267"/>
    </row>
    <row r="425" spans="1:24" ht="15.75" x14ac:dyDescent="0.25">
      <c r="A425" s="268"/>
      <c r="B425" s="17"/>
      <c r="C425" s="105"/>
      <c r="D425" s="109"/>
      <c r="E425" s="116"/>
      <c r="F425" s="107"/>
      <c r="G425" s="201"/>
      <c r="H425" s="202"/>
      <c r="I425" s="198"/>
      <c r="J425" s="127"/>
      <c r="K425" s="116"/>
      <c r="L425" s="107"/>
      <c r="M425" s="67"/>
      <c r="N425" s="202"/>
      <c r="O425" s="198"/>
      <c r="P425" s="127"/>
      <c r="Q425" s="136"/>
      <c r="R425" s="132"/>
      <c r="S425" s="67"/>
      <c r="T425" s="73"/>
      <c r="U425" s="65"/>
      <c r="V425" s="4"/>
      <c r="W425" s="9"/>
      <c r="X425" s="267"/>
    </row>
    <row r="426" spans="1:24" ht="15.75" x14ac:dyDescent="0.25">
      <c r="A426" s="268" t="s">
        <v>467</v>
      </c>
      <c r="B426" s="22" t="s">
        <v>468</v>
      </c>
      <c r="C426" s="105"/>
      <c r="D426" s="109"/>
      <c r="E426" s="116"/>
      <c r="F426" s="107"/>
      <c r="G426" s="201"/>
      <c r="H426" s="202"/>
      <c r="I426" s="198"/>
      <c r="J426" s="127"/>
      <c r="K426" s="116"/>
      <c r="L426" s="107"/>
      <c r="M426" s="67"/>
      <c r="N426" s="202"/>
      <c r="O426" s="198"/>
      <c r="P426" s="127"/>
      <c r="Q426" s="136"/>
      <c r="R426" s="132"/>
      <c r="S426" s="67"/>
      <c r="T426" s="73"/>
      <c r="U426" s="65"/>
      <c r="V426" s="4"/>
      <c r="W426" s="9"/>
      <c r="X426" s="267"/>
    </row>
    <row r="427" spans="1:24" ht="409.5" x14ac:dyDescent="0.25">
      <c r="A427" s="268"/>
      <c r="B427" s="12" t="s">
        <v>469</v>
      </c>
      <c r="C427" s="105"/>
      <c r="D427" s="109"/>
      <c r="E427" s="116"/>
      <c r="F427" s="107"/>
      <c r="G427" s="201"/>
      <c r="H427" s="202"/>
      <c r="I427" s="198"/>
      <c r="J427" s="127"/>
      <c r="K427" s="116"/>
      <c r="L427" s="107"/>
      <c r="M427" s="67"/>
      <c r="N427" s="202"/>
      <c r="O427" s="198"/>
      <c r="P427" s="127"/>
      <c r="Q427" s="136"/>
      <c r="R427" s="132"/>
      <c r="S427" s="67"/>
      <c r="T427" s="73"/>
      <c r="U427" s="65"/>
      <c r="V427" s="4"/>
      <c r="W427" s="9"/>
      <c r="X427" s="267"/>
    </row>
    <row r="428" spans="1:24" ht="15.75" x14ac:dyDescent="0.25">
      <c r="A428" s="268"/>
      <c r="B428" s="12"/>
      <c r="C428" s="105"/>
      <c r="D428" s="109"/>
      <c r="E428" s="116"/>
      <c r="F428" s="107"/>
      <c r="G428" s="201"/>
      <c r="H428" s="202"/>
      <c r="I428" s="198"/>
      <c r="J428" s="127"/>
      <c r="K428" s="116"/>
      <c r="L428" s="107"/>
      <c r="M428" s="67"/>
      <c r="N428" s="202"/>
      <c r="O428" s="198"/>
      <c r="P428" s="127"/>
      <c r="Q428" s="136"/>
      <c r="R428" s="132"/>
      <c r="S428" s="67"/>
      <c r="T428" s="73"/>
      <c r="U428" s="65"/>
      <c r="V428" s="4"/>
      <c r="W428" s="9"/>
      <c r="X428" s="267"/>
    </row>
    <row r="429" spans="1:24" ht="15.75" x14ac:dyDescent="0.25">
      <c r="A429" s="268" t="s">
        <v>470</v>
      </c>
      <c r="B429" s="17" t="s">
        <v>471</v>
      </c>
      <c r="C429" s="105" t="s">
        <v>21</v>
      </c>
      <c r="D429" s="109">
        <v>1</v>
      </c>
      <c r="E429" s="106">
        <v>1571.81</v>
      </c>
      <c r="F429" s="107">
        <f>D429*E429</f>
        <v>1571.81</v>
      </c>
      <c r="G429" s="201">
        <v>1</v>
      </c>
      <c r="H429" s="197">
        <v>1571.81</v>
      </c>
      <c r="I429" s="198">
        <f>G429*H429</f>
        <v>1571.81</v>
      </c>
      <c r="J429" s="127">
        <v>0</v>
      </c>
      <c r="K429" s="106">
        <v>1571.81</v>
      </c>
      <c r="L429" s="107">
        <f>J429*K429</f>
        <v>0</v>
      </c>
      <c r="M429" s="67">
        <v>1</v>
      </c>
      <c r="N429" s="197">
        <v>1571.81</v>
      </c>
      <c r="O429" s="198">
        <f>M429*N429</f>
        <v>1571.81</v>
      </c>
      <c r="P429" s="127">
        <v>1</v>
      </c>
      <c r="Q429" s="125">
        <v>1397.22</v>
      </c>
      <c r="R429" s="132">
        <v>1397.22</v>
      </c>
      <c r="S429" s="67">
        <f>J429+P429</f>
        <v>1</v>
      </c>
      <c r="T429" s="64"/>
      <c r="U429" s="65">
        <f>L429+R429</f>
        <v>1397.22</v>
      </c>
      <c r="V429" s="4">
        <v>1</v>
      </c>
      <c r="W429" s="9"/>
      <c r="X429" s="267"/>
    </row>
    <row r="430" spans="1:24" ht="15.75" x14ac:dyDescent="0.25">
      <c r="A430" s="268"/>
      <c r="B430" s="14"/>
      <c r="C430" s="105"/>
      <c r="D430" s="109"/>
      <c r="E430" s="116"/>
      <c r="F430" s="107"/>
      <c r="G430" s="201"/>
      <c r="H430" s="202"/>
      <c r="I430" s="198"/>
      <c r="J430" s="127"/>
      <c r="K430" s="116"/>
      <c r="L430" s="107"/>
      <c r="M430" s="67"/>
      <c r="N430" s="202"/>
      <c r="O430" s="198"/>
      <c r="P430" s="127"/>
      <c r="Q430" s="136"/>
      <c r="R430" s="132"/>
      <c r="S430" s="67"/>
      <c r="T430" s="73"/>
      <c r="U430" s="65"/>
      <c r="V430" s="4"/>
      <c r="W430" s="9"/>
      <c r="X430" s="267"/>
    </row>
    <row r="431" spans="1:24" ht="15.75" x14ac:dyDescent="0.25">
      <c r="A431" s="268" t="s">
        <v>472</v>
      </c>
      <c r="B431" s="20" t="s">
        <v>473</v>
      </c>
      <c r="C431" s="105" t="s">
        <v>21</v>
      </c>
      <c r="D431" s="109">
        <v>1</v>
      </c>
      <c r="E431" s="106">
        <v>1387.24</v>
      </c>
      <c r="F431" s="107">
        <f>D431*E431</f>
        <v>1387.24</v>
      </c>
      <c r="G431" s="201">
        <v>1</v>
      </c>
      <c r="H431" s="197">
        <v>1387.24</v>
      </c>
      <c r="I431" s="198">
        <f>G431*H431</f>
        <v>1387.24</v>
      </c>
      <c r="J431" s="127">
        <v>1</v>
      </c>
      <c r="K431" s="106">
        <v>1387.24</v>
      </c>
      <c r="L431" s="107">
        <f>J431*K431</f>
        <v>1387.24</v>
      </c>
      <c r="M431" s="67">
        <v>0</v>
      </c>
      <c r="N431" s="197">
        <v>1387.24</v>
      </c>
      <c r="O431" s="198">
        <f>M431*N431</f>
        <v>0</v>
      </c>
      <c r="P431" s="127">
        <v>0</v>
      </c>
      <c r="Q431" s="125">
        <v>1985.29</v>
      </c>
      <c r="R431" s="132">
        <v>0</v>
      </c>
      <c r="S431" s="67">
        <f>J431+P431</f>
        <v>1</v>
      </c>
      <c r="T431" s="64"/>
      <c r="U431" s="65">
        <f>L431+R431</f>
        <v>1387.24</v>
      </c>
      <c r="V431" s="4">
        <v>1</v>
      </c>
      <c r="W431" s="9"/>
      <c r="X431" s="267"/>
    </row>
    <row r="432" spans="1:24" ht="15.75" x14ac:dyDescent="0.25">
      <c r="A432" s="268"/>
      <c r="B432" s="14"/>
      <c r="C432" s="105"/>
      <c r="D432" s="109"/>
      <c r="E432" s="116"/>
      <c r="F432" s="107"/>
      <c r="G432" s="201"/>
      <c r="H432" s="202"/>
      <c r="I432" s="198"/>
      <c r="J432" s="127"/>
      <c r="K432" s="116"/>
      <c r="L432" s="107"/>
      <c r="M432" s="67"/>
      <c r="N432" s="202"/>
      <c r="O432" s="198"/>
      <c r="P432" s="127"/>
      <c r="Q432" s="136"/>
      <c r="R432" s="132"/>
      <c r="S432" s="67"/>
      <c r="T432" s="73"/>
      <c r="U432" s="65"/>
      <c r="V432" s="4"/>
      <c r="W432" s="9"/>
      <c r="X432" s="267"/>
    </row>
    <row r="433" spans="1:27" ht="15.75" x14ac:dyDescent="0.25">
      <c r="A433" s="268" t="s">
        <v>474</v>
      </c>
      <c r="B433" s="20" t="s">
        <v>475</v>
      </c>
      <c r="C433" s="105" t="s">
        <v>21</v>
      </c>
      <c r="D433" s="109">
        <v>1</v>
      </c>
      <c r="E433" s="106">
        <v>1464.96</v>
      </c>
      <c r="F433" s="107">
        <f>D433*E433</f>
        <v>1464.96</v>
      </c>
      <c r="G433" s="201">
        <v>1</v>
      </c>
      <c r="H433" s="197">
        <v>1464.96</v>
      </c>
      <c r="I433" s="198">
        <f>G433*H433</f>
        <v>1464.96</v>
      </c>
      <c r="J433" s="127">
        <v>0</v>
      </c>
      <c r="K433" s="106">
        <v>1464.96</v>
      </c>
      <c r="L433" s="107">
        <f>J433*K433</f>
        <v>0</v>
      </c>
      <c r="M433" s="67">
        <v>1</v>
      </c>
      <c r="N433" s="197">
        <v>1464.96</v>
      </c>
      <c r="O433" s="198">
        <f>M433*N433</f>
        <v>1464.96</v>
      </c>
      <c r="P433" s="127">
        <v>1</v>
      </c>
      <c r="Q433" s="125">
        <v>2040.69</v>
      </c>
      <c r="R433" s="132">
        <v>2040.69</v>
      </c>
      <c r="S433" s="67">
        <f>J433+P433</f>
        <v>1</v>
      </c>
      <c r="T433" s="64"/>
      <c r="U433" s="65">
        <f>L433+R433</f>
        <v>2040.69</v>
      </c>
      <c r="V433" s="4">
        <v>1</v>
      </c>
      <c r="W433" s="9"/>
      <c r="X433" s="267"/>
    </row>
    <row r="434" spans="1:27" ht="15.75" x14ac:dyDescent="0.25">
      <c r="A434" s="268"/>
      <c r="B434" s="14"/>
      <c r="C434" s="105"/>
      <c r="D434" s="109"/>
      <c r="E434" s="116"/>
      <c r="F434" s="107"/>
      <c r="G434" s="201"/>
      <c r="H434" s="202"/>
      <c r="I434" s="198"/>
      <c r="J434" s="127"/>
      <c r="K434" s="116"/>
      <c r="L434" s="107"/>
      <c r="M434" s="67"/>
      <c r="N434" s="202"/>
      <c r="O434" s="198"/>
      <c r="P434" s="127"/>
      <c r="Q434" s="136"/>
      <c r="R434" s="132"/>
      <c r="S434" s="67"/>
      <c r="T434" s="73"/>
      <c r="U434" s="65"/>
      <c r="V434" s="4"/>
      <c r="W434" s="9"/>
      <c r="X434" s="267"/>
    </row>
    <row r="435" spans="1:27" ht="15.75" x14ac:dyDescent="0.25">
      <c r="A435" s="268" t="s">
        <v>476</v>
      </c>
      <c r="B435" s="20" t="s">
        <v>477</v>
      </c>
      <c r="C435" s="105" t="s">
        <v>21</v>
      </c>
      <c r="D435" s="109">
        <v>2</v>
      </c>
      <c r="E435" s="106">
        <v>1309.31</v>
      </c>
      <c r="F435" s="107">
        <f>D435*E435</f>
        <v>2618.62</v>
      </c>
      <c r="G435" s="201">
        <v>2</v>
      </c>
      <c r="H435" s="197">
        <v>1309.31</v>
      </c>
      <c r="I435" s="198">
        <f>G435*H435</f>
        <v>2618.62</v>
      </c>
      <c r="J435" s="127">
        <v>0</v>
      </c>
      <c r="K435" s="106">
        <v>1309.31</v>
      </c>
      <c r="L435" s="107">
        <f>J435*K435</f>
        <v>0</v>
      </c>
      <c r="M435" s="67">
        <v>2</v>
      </c>
      <c r="N435" s="197">
        <v>1309.31</v>
      </c>
      <c r="O435" s="198">
        <f>M435*N435</f>
        <v>2618.62</v>
      </c>
      <c r="P435" s="127">
        <v>2</v>
      </c>
      <c r="Q435" s="125">
        <v>1807.42</v>
      </c>
      <c r="R435" s="132">
        <v>3614.84</v>
      </c>
      <c r="S435" s="67">
        <f>J435+P435</f>
        <v>2</v>
      </c>
      <c r="T435" s="64"/>
      <c r="U435" s="65">
        <f>L435+R435</f>
        <v>3614.84</v>
      </c>
      <c r="V435" s="4">
        <v>2</v>
      </c>
      <c r="W435" s="9"/>
      <c r="X435" s="267"/>
    </row>
    <row r="436" spans="1:27" ht="15.75" x14ac:dyDescent="0.25">
      <c r="A436" s="268"/>
      <c r="B436" s="14"/>
      <c r="C436" s="105"/>
      <c r="D436" s="109"/>
      <c r="E436" s="116"/>
      <c r="F436" s="107"/>
      <c r="G436" s="201"/>
      <c r="H436" s="202"/>
      <c r="I436" s="198"/>
      <c r="J436" s="127"/>
      <c r="K436" s="116"/>
      <c r="L436" s="107"/>
      <c r="M436" s="67"/>
      <c r="N436" s="202"/>
      <c r="O436" s="198"/>
      <c r="P436" s="127"/>
      <c r="Q436" s="136"/>
      <c r="R436" s="132"/>
      <c r="S436" s="67"/>
      <c r="T436" s="73"/>
      <c r="U436" s="65"/>
      <c r="V436" s="4"/>
      <c r="W436" s="9"/>
      <c r="X436" s="267"/>
    </row>
    <row r="437" spans="1:27" ht="15.75" x14ac:dyDescent="0.25">
      <c r="A437" s="268" t="s">
        <v>478</v>
      </c>
      <c r="B437" s="20" t="s">
        <v>479</v>
      </c>
      <c r="C437" s="105" t="s">
        <v>21</v>
      </c>
      <c r="D437" s="109">
        <v>2</v>
      </c>
      <c r="E437" s="106">
        <v>1781.79</v>
      </c>
      <c r="F437" s="107">
        <f>D437*E437</f>
        <v>3563.58</v>
      </c>
      <c r="G437" s="201">
        <v>2</v>
      </c>
      <c r="H437" s="197">
        <v>1781.79</v>
      </c>
      <c r="I437" s="198">
        <f>G437*H437</f>
        <v>3563.58</v>
      </c>
      <c r="J437" s="127">
        <v>2</v>
      </c>
      <c r="K437" s="106">
        <v>1781.79</v>
      </c>
      <c r="L437" s="107">
        <f>J437*K437</f>
        <v>3563.58</v>
      </c>
      <c r="M437" s="67">
        <v>0</v>
      </c>
      <c r="N437" s="197">
        <v>1781.79</v>
      </c>
      <c r="O437" s="198">
        <f>M437*N437</f>
        <v>0</v>
      </c>
      <c r="P437" s="127">
        <v>0</v>
      </c>
      <c r="Q437" s="125">
        <v>2401.91</v>
      </c>
      <c r="R437" s="132">
        <v>0</v>
      </c>
      <c r="S437" s="67">
        <f>J437+P437</f>
        <v>2</v>
      </c>
      <c r="T437" s="64"/>
      <c r="U437" s="65">
        <f>L437+R437</f>
        <v>3563.58</v>
      </c>
      <c r="V437" s="4">
        <v>2</v>
      </c>
      <c r="W437" s="9"/>
      <c r="X437" s="267"/>
    </row>
    <row r="438" spans="1:27" ht="15.75" x14ac:dyDescent="0.25">
      <c r="A438" s="268"/>
      <c r="B438" s="20"/>
      <c r="C438" s="105"/>
      <c r="D438" s="109"/>
      <c r="E438" s="106"/>
      <c r="F438" s="107"/>
      <c r="G438" s="201"/>
      <c r="H438" s="197"/>
      <c r="I438" s="198"/>
      <c r="J438" s="127"/>
      <c r="K438" s="106"/>
      <c r="L438" s="107"/>
      <c r="M438" s="67"/>
      <c r="N438" s="197"/>
      <c r="O438" s="198"/>
      <c r="P438" s="127"/>
      <c r="Q438" s="125"/>
      <c r="R438" s="132"/>
      <c r="S438" s="67"/>
      <c r="T438" s="64"/>
      <c r="U438" s="65"/>
      <c r="V438" s="4"/>
      <c r="W438" s="9"/>
      <c r="X438" s="267"/>
    </row>
    <row r="439" spans="1:27" ht="15.75" x14ac:dyDescent="0.25">
      <c r="A439" s="268" t="s">
        <v>480</v>
      </c>
      <c r="B439" s="20" t="s">
        <v>481</v>
      </c>
      <c r="C439" s="105" t="s">
        <v>21</v>
      </c>
      <c r="D439" s="109">
        <v>1</v>
      </c>
      <c r="E439" s="106">
        <v>1183.78</v>
      </c>
      <c r="F439" s="107">
        <f>D439*E439</f>
        <v>1183.78</v>
      </c>
      <c r="G439" s="201">
        <v>1</v>
      </c>
      <c r="H439" s="197">
        <v>1183.78</v>
      </c>
      <c r="I439" s="198">
        <f>G439*H439</f>
        <v>1183.78</v>
      </c>
      <c r="J439" s="127">
        <v>1</v>
      </c>
      <c r="K439" s="106">
        <v>1183.78</v>
      </c>
      <c r="L439" s="107">
        <f>J439*K439</f>
        <v>1183.78</v>
      </c>
      <c r="M439" s="67">
        <v>0</v>
      </c>
      <c r="N439" s="197">
        <v>1183.78</v>
      </c>
      <c r="O439" s="198">
        <f>M439*N439</f>
        <v>0</v>
      </c>
      <c r="P439" s="127">
        <v>0</v>
      </c>
      <c r="Q439" s="125">
        <v>1624.1</v>
      </c>
      <c r="R439" s="132">
        <v>0</v>
      </c>
      <c r="S439" s="67">
        <f>J439+P439</f>
        <v>1</v>
      </c>
      <c r="T439" s="64"/>
      <c r="U439" s="65">
        <f>L439+R439</f>
        <v>1183.78</v>
      </c>
      <c r="V439" s="4">
        <v>1</v>
      </c>
      <c r="W439" s="9"/>
      <c r="X439" s="267"/>
    </row>
    <row r="440" spans="1:27" ht="15.75" x14ac:dyDescent="0.25">
      <c r="A440" s="268"/>
      <c r="B440" s="20"/>
      <c r="C440" s="322" t="s">
        <v>34</v>
      </c>
      <c r="D440" s="322"/>
      <c r="E440" s="322"/>
      <c r="F440" s="108">
        <f>F424+F429+F431+F433+F435+F437+F439</f>
        <v>12782.15</v>
      </c>
      <c r="G440" s="326" t="s">
        <v>34</v>
      </c>
      <c r="H440" s="326"/>
      <c r="I440" s="199">
        <f>I424+I429+I431+I433+I435+I437+I439</f>
        <v>12782.15</v>
      </c>
      <c r="J440" s="324" t="s">
        <v>34</v>
      </c>
      <c r="K440" s="324"/>
      <c r="L440" s="108">
        <f>L424+L429+L431+L433+L435+L437+L439</f>
        <v>7126.7599999999993</v>
      </c>
      <c r="M440" s="326" t="s">
        <v>34</v>
      </c>
      <c r="N440" s="326"/>
      <c r="O440" s="199">
        <f>O424+O429+O431+O433+O435+O437+O439</f>
        <v>5655.3899999999994</v>
      </c>
      <c r="P440" s="324" t="s">
        <v>34</v>
      </c>
      <c r="Q440" s="324"/>
      <c r="R440" s="108">
        <f>R424+R429+R431+R433+R435+R437+R439</f>
        <v>7052.75</v>
      </c>
      <c r="S440" s="326" t="s">
        <v>34</v>
      </c>
      <c r="T440" s="326"/>
      <c r="U440" s="66">
        <f>L440+R440</f>
        <v>14179.509999999998</v>
      </c>
      <c r="V440" s="4"/>
      <c r="W440" s="9"/>
      <c r="X440" s="267"/>
    </row>
    <row r="441" spans="1:27" ht="15.75" x14ac:dyDescent="0.25">
      <c r="A441" s="264" t="s">
        <v>482</v>
      </c>
      <c r="B441" s="57" t="s">
        <v>483</v>
      </c>
      <c r="C441" s="105"/>
      <c r="D441" s="109"/>
      <c r="E441" s="116"/>
      <c r="F441" s="107"/>
      <c r="G441" s="201"/>
      <c r="H441" s="202"/>
      <c r="I441" s="198"/>
      <c r="J441" s="127"/>
      <c r="K441" s="116"/>
      <c r="L441" s="107"/>
      <c r="M441" s="67"/>
      <c r="N441" s="202"/>
      <c r="O441" s="198"/>
      <c r="P441" s="127"/>
      <c r="Q441" s="136"/>
      <c r="R441" s="132"/>
      <c r="S441" s="67"/>
      <c r="T441" s="73"/>
      <c r="U441" s="65"/>
      <c r="V441" s="4"/>
      <c r="W441" s="9"/>
      <c r="X441" s="267"/>
    </row>
    <row r="442" spans="1:27" ht="51.75" customHeight="1" x14ac:dyDescent="0.25">
      <c r="A442" s="268" t="s">
        <v>484</v>
      </c>
      <c r="B442" s="20" t="s">
        <v>485</v>
      </c>
      <c r="C442" s="105" t="s">
        <v>95</v>
      </c>
      <c r="D442" s="109">
        <f>4.26+0.36+2.18</f>
        <v>6.8000000000000007</v>
      </c>
      <c r="E442" s="106">
        <v>16.8</v>
      </c>
      <c r="F442" s="107">
        <f>D442*E442</f>
        <v>114.24000000000002</v>
      </c>
      <c r="G442" s="201">
        <f>4.26+0.36+2.18</f>
        <v>6.8000000000000007</v>
      </c>
      <c r="H442" s="197">
        <v>16.8</v>
      </c>
      <c r="I442" s="198">
        <f>G442*H442</f>
        <v>114.24000000000002</v>
      </c>
      <c r="J442" s="127">
        <v>0</v>
      </c>
      <c r="K442" s="106">
        <v>16.8</v>
      </c>
      <c r="L442" s="107">
        <f>J442*K442</f>
        <v>0</v>
      </c>
      <c r="M442" s="67">
        <v>6.8000000000000007</v>
      </c>
      <c r="N442" s="197">
        <v>16.8</v>
      </c>
      <c r="O442" s="198">
        <f>M442*N442</f>
        <v>114.24000000000002</v>
      </c>
      <c r="P442" s="127">
        <v>6.8000000000000007</v>
      </c>
      <c r="Q442" s="125">
        <v>20.25</v>
      </c>
      <c r="R442" s="132">
        <v>137.70000000000002</v>
      </c>
      <c r="S442" s="67">
        <f>J442+P442</f>
        <v>6.8000000000000007</v>
      </c>
      <c r="T442" s="64"/>
      <c r="U442" s="65">
        <f>L442+R442</f>
        <v>137.70000000000002</v>
      </c>
      <c r="V442" s="4" t="s">
        <v>486</v>
      </c>
      <c r="W442" s="9" t="s">
        <v>487</v>
      </c>
      <c r="X442" s="267"/>
    </row>
    <row r="443" spans="1:27" ht="15.75" hidden="1" x14ac:dyDescent="0.25">
      <c r="A443" s="268"/>
      <c r="B443" s="14"/>
      <c r="C443" s="105"/>
      <c r="D443" s="109"/>
      <c r="E443" s="116"/>
      <c r="F443" s="107"/>
      <c r="G443" s="201"/>
      <c r="H443" s="202"/>
      <c r="I443" s="198"/>
      <c r="J443" s="127"/>
      <c r="K443" s="116"/>
      <c r="L443" s="107"/>
      <c r="M443" s="67"/>
      <c r="N443" s="202"/>
      <c r="O443" s="198"/>
      <c r="P443" s="127"/>
      <c r="Q443" s="136"/>
      <c r="R443" s="132"/>
      <c r="S443" s="67"/>
      <c r="T443" s="73"/>
      <c r="U443" s="65"/>
      <c r="V443" s="4"/>
      <c r="W443" s="9"/>
      <c r="X443" s="267"/>
    </row>
    <row r="444" spans="1:27" ht="15.75" x14ac:dyDescent="0.25">
      <c r="A444" s="285"/>
      <c r="B444" s="81"/>
      <c r="C444" s="322" t="s">
        <v>34</v>
      </c>
      <c r="D444" s="322"/>
      <c r="E444" s="329"/>
      <c r="F444" s="108">
        <f>F442</f>
        <v>114.24000000000002</v>
      </c>
      <c r="G444" s="326" t="s">
        <v>34</v>
      </c>
      <c r="H444" s="326"/>
      <c r="I444" s="199">
        <f>I442</f>
        <v>114.24000000000002</v>
      </c>
      <c r="J444" s="322" t="s">
        <v>34</v>
      </c>
      <c r="K444" s="322"/>
      <c r="L444" s="108">
        <f>L442</f>
        <v>0</v>
      </c>
      <c r="M444" s="326" t="s">
        <v>34</v>
      </c>
      <c r="N444" s="326"/>
      <c r="O444" s="199">
        <f>O442</f>
        <v>114.24000000000002</v>
      </c>
      <c r="P444" s="324" t="s">
        <v>34</v>
      </c>
      <c r="Q444" s="324"/>
      <c r="R444" s="133">
        <v>137.70000000000002</v>
      </c>
      <c r="S444" s="326" t="s">
        <v>34</v>
      </c>
      <c r="T444" s="326"/>
      <c r="U444" s="66">
        <f>L444+R444</f>
        <v>137.70000000000002</v>
      </c>
      <c r="V444" s="4"/>
      <c r="W444" s="9"/>
      <c r="X444" s="267"/>
    </row>
    <row r="445" spans="1:27" ht="15.75" x14ac:dyDescent="0.25">
      <c r="A445" s="286"/>
      <c r="B445" s="83"/>
      <c r="C445" s="322" t="s">
        <v>488</v>
      </c>
      <c r="D445" s="322"/>
      <c r="E445" s="322"/>
      <c r="F445" s="187">
        <f>F444+F419+F411+F368+F358+F347+F328+F310+F311+F293+F282+F283+F194+F172+F96+F81+F74+F64+F40+F21+F440</f>
        <v>465953.00781871995</v>
      </c>
      <c r="G445" s="323"/>
      <c r="H445" s="323"/>
      <c r="I445" s="199">
        <f>I444+I419+I411+I368+I358+I347+I328+I310+I311+I293+I282+I283+I194+I172+I96+I81+I74+I64+I40+I21+I440</f>
        <v>465878.38772671996</v>
      </c>
      <c r="J445" s="322"/>
      <c r="K445" s="329"/>
      <c r="L445" s="187">
        <f>L444+L419+L411+L368+L358+L347+L328+L310+L311+L293+L282+L283+L194+L172+L96+L81+L74+L64+L40+L21+L440</f>
        <v>166881.97869056003</v>
      </c>
      <c r="M445" s="323"/>
      <c r="N445" s="323"/>
      <c r="O445" s="199">
        <f>O444+O419+O411+O368+O358+O347+O328+O310+O311+O293+O282+O283+O194+O172+O96+O81+O74+O64+O40+O21+O440</f>
        <v>298996.40903615992</v>
      </c>
      <c r="P445" s="322"/>
      <c r="Q445" s="329"/>
      <c r="R445" s="138">
        <f>R444+R419+R411+R368+R358+R347+R328+R310+R311+R293+R282+R283+R194+R172+R96+R81+R74+R64+R40+R21+R440</f>
        <v>413382.59505599999</v>
      </c>
      <c r="S445" s="323"/>
      <c r="T445" s="323"/>
      <c r="U445" s="66">
        <f>U444+U419+U411+U368+U358+U347+U328+U310+U311+U293+U282+U283+U194+U172+U96+U81+U74+U64+U40+U21+U440</f>
        <v>580264.57374655991</v>
      </c>
      <c r="V445" s="4"/>
      <c r="W445" s="41"/>
      <c r="X445" s="287"/>
    </row>
    <row r="446" spans="1:27" ht="15.75" x14ac:dyDescent="0.25">
      <c r="A446" s="286"/>
      <c r="B446" s="20"/>
      <c r="C446" s="121">
        <f>IF(+D3=2%,24.93%,IF(D3=3%,24.93%,IF(D3=4%,24.93%,IF(D3=5%,24.93%,0))))</f>
        <v>0.24929999999999999</v>
      </c>
      <c r="D446" s="332" t="s">
        <v>489</v>
      </c>
      <c r="E446" s="337"/>
      <c r="F446" s="186">
        <f>F440*C446</f>
        <v>3186.5899949999998</v>
      </c>
      <c r="G446" s="338">
        <f>IF(+D3=2%,24.93%,IF(D3=3%,24.93%,IF(D3=4%,24.93%,IF(D3=5%,24.93%,0))))</f>
        <v>0.24929999999999999</v>
      </c>
      <c r="H446" s="339"/>
      <c r="I446" s="199">
        <f>I440*G446</f>
        <v>3186.5899949999998</v>
      </c>
      <c r="J446" s="340">
        <f>IF(+D3=2%,24.93%,IF(D3=3%,24.93%,IF(D3=4%,24.93%,IF(D3=5%,24.93%,0))))</f>
        <v>0.24929999999999999</v>
      </c>
      <c r="K446" s="337"/>
      <c r="L446" s="186">
        <f>L440*J446</f>
        <v>1776.7012679999998</v>
      </c>
      <c r="M446" s="338">
        <f>IF(+D3=2%,24.93%,IF(D3=3%,24.93%,IF(D3=4%,24.93%,IF(D3=5%,24.93%,0))))</f>
        <v>0.24929999999999999</v>
      </c>
      <c r="N446" s="339"/>
      <c r="O446" s="199">
        <f>O440*M446</f>
        <v>1409.8887269999998</v>
      </c>
      <c r="P446" s="340">
        <f>IF(+D3=2%,25.89%,IF(D3=3%,25.89%,IF(D3=4%,25.89%,IF(D3=5%,25.89%,0))))</f>
        <v>0.25890000000000002</v>
      </c>
      <c r="Q446" s="341"/>
      <c r="R446" s="138">
        <f>R440*P446</f>
        <v>1825.9569750000001</v>
      </c>
      <c r="S446" s="338" t="s">
        <v>536</v>
      </c>
      <c r="T446" s="339"/>
      <c r="U446" s="66">
        <f>L446+R446</f>
        <v>3602.6582429999999</v>
      </c>
      <c r="V446" s="43"/>
      <c r="W446" s="41"/>
      <c r="X446" s="287"/>
    </row>
    <row r="447" spans="1:27" ht="15.75" x14ac:dyDescent="0.25">
      <c r="A447" s="286"/>
      <c r="B447" s="20"/>
      <c r="C447" s="121">
        <f>IF(+D3=2%,20.94%,IF(D3=3%,21.58%,IF(D3=4%,22.23%,IF(D3=5%,22.88%,0))))</f>
        <v>0.2288</v>
      </c>
      <c r="D447" s="332" t="s">
        <v>490</v>
      </c>
      <c r="E447" s="322"/>
      <c r="F447" s="187">
        <f>(F445-F440)*C447</f>
        <v>103685.49226892312</v>
      </c>
      <c r="G447" s="333">
        <f>IF(+D3=2%,20.94%,IF(D3=3%,21.58%,IF(D3=4%,22.23%,IF(D3=5%,22.88%,0))))</f>
        <v>0.2288</v>
      </c>
      <c r="H447" s="334"/>
      <c r="I447" s="199">
        <f>(I445-I440)*G447</f>
        <v>103668.41919187352</v>
      </c>
      <c r="J447" s="335">
        <f>IF(+D3=2%,20.94%,IF(D3=3%,21.58%,IF(D3=4%,22.23%,IF(D3=5%,22.88%,0))))</f>
        <v>0.2288</v>
      </c>
      <c r="K447" s="336"/>
      <c r="L447" s="187">
        <f>(L445-L440)*J447</f>
        <v>36551.994036400138</v>
      </c>
      <c r="M447" s="333">
        <f>IF(+D3=2%,20.94%,IF(D3=3%,21.58%,IF(D3=4%,22.23%,IF(D3=5%,22.88%,0))))</f>
        <v>0.2288</v>
      </c>
      <c r="N447" s="334"/>
      <c r="O447" s="199">
        <f>(O445-O440)*M447</f>
        <v>67116.425155473393</v>
      </c>
      <c r="P447" s="335">
        <f>IF(+D3=2%,22.67%,IF(D3=3%,23.32%,IF(D3=4%,23.97%,IF(D3=5%,24.64%,0))))</f>
        <v>0.24640000000000001</v>
      </c>
      <c r="Q447" s="336"/>
      <c r="R447" s="187">
        <f>(R445-R440)*P447</f>
        <v>100119.67382179839</v>
      </c>
      <c r="S447" s="333" t="s">
        <v>536</v>
      </c>
      <c r="T447" s="334"/>
      <c r="U447" s="66">
        <f>L447+R447</f>
        <v>136671.66785819852</v>
      </c>
      <c r="V447" s="43"/>
      <c r="W447" s="41"/>
      <c r="X447" s="287"/>
      <c r="AA447" s="216"/>
    </row>
    <row r="448" spans="1:27" ht="16.5" thickBot="1" x14ac:dyDescent="0.3">
      <c r="A448" s="288"/>
      <c r="B448" s="160"/>
      <c r="C448" s="349" t="s">
        <v>533</v>
      </c>
      <c r="D448" s="350"/>
      <c r="E448" s="350"/>
      <c r="F448" s="185">
        <f>SUM(F445:F447)</f>
        <v>572825.09008264309</v>
      </c>
      <c r="G448" s="330"/>
      <c r="H448" s="331"/>
      <c r="I448" s="184">
        <f>SUM(I445:I447)</f>
        <v>572733.3969135934</v>
      </c>
      <c r="J448" s="351"/>
      <c r="K448" s="352"/>
      <c r="L448" s="185">
        <f>SUM(L445:L447)</f>
        <v>205210.67399496018</v>
      </c>
      <c r="M448" s="330"/>
      <c r="N448" s="331"/>
      <c r="O448" s="184">
        <f>SUM(O445:O447)</f>
        <v>367522.72291863331</v>
      </c>
      <c r="P448" s="351"/>
      <c r="Q448" s="353"/>
      <c r="R448" s="161">
        <f>SUM(R445:R447)</f>
        <v>515328.22585279838</v>
      </c>
      <c r="S448" s="330"/>
      <c r="T448" s="331"/>
      <c r="U448" s="162">
        <f>U445+U446+U447</f>
        <v>720538.89984775847</v>
      </c>
      <c r="V448" s="163"/>
      <c r="W448" s="164"/>
      <c r="X448" s="289"/>
    </row>
    <row r="449" spans="1:24" ht="45" customHeight="1" thickBot="1" x14ac:dyDescent="0.3">
      <c r="A449" s="342" t="s">
        <v>492</v>
      </c>
      <c r="B449" s="343"/>
      <c r="C449" s="343"/>
      <c r="D449" s="343"/>
      <c r="E449" s="343"/>
      <c r="F449" s="343"/>
      <c r="G449" s="343"/>
      <c r="H449" s="174"/>
      <c r="I449" s="171"/>
      <c r="J449" s="172"/>
      <c r="K449" s="172"/>
      <c r="L449" s="172"/>
      <c r="M449" s="172"/>
      <c r="N449" s="172"/>
      <c r="O449" s="172"/>
      <c r="P449" s="172"/>
      <c r="Q449" s="354" t="s">
        <v>582</v>
      </c>
      <c r="R449" s="355"/>
      <c r="S449" s="172"/>
      <c r="T449" s="172"/>
      <c r="U449" s="173"/>
      <c r="V449" s="173"/>
      <c r="W449" s="174" t="s">
        <v>540</v>
      </c>
      <c r="X449" s="175" t="s">
        <v>541</v>
      </c>
    </row>
    <row r="450" spans="1:24" ht="45" customHeight="1" thickBot="1" x14ac:dyDescent="0.3">
      <c r="A450" s="344" t="s">
        <v>542</v>
      </c>
      <c r="B450" s="345"/>
      <c r="C450" s="345"/>
      <c r="D450" s="345"/>
      <c r="E450" s="346" t="s">
        <v>544</v>
      </c>
      <c r="F450" s="346"/>
      <c r="G450" s="346"/>
      <c r="H450" s="346"/>
      <c r="I450" s="346"/>
      <c r="J450" s="172"/>
      <c r="K450" s="172"/>
      <c r="L450" s="172"/>
      <c r="M450" s="172"/>
      <c r="N450" s="172"/>
      <c r="O450" s="258"/>
      <c r="P450" s="172"/>
      <c r="Q450" s="172"/>
      <c r="R450" s="293"/>
      <c r="S450" s="172"/>
      <c r="T450" s="172"/>
      <c r="U450" s="176"/>
      <c r="V450" s="176"/>
      <c r="W450" s="177" t="s">
        <v>495</v>
      </c>
      <c r="X450" s="188">
        <v>45706</v>
      </c>
    </row>
    <row r="451" spans="1:24" ht="45" customHeight="1" thickBot="1" x14ac:dyDescent="0.3">
      <c r="A451" s="347" t="s">
        <v>543</v>
      </c>
      <c r="B451" s="348"/>
      <c r="C451" s="348"/>
      <c r="D451" s="348"/>
      <c r="E451" s="290"/>
      <c r="F451" s="291"/>
      <c r="G451" s="292"/>
      <c r="H451" s="179"/>
      <c r="I451" s="178"/>
      <c r="J451" s="172"/>
      <c r="K451" s="172"/>
      <c r="L451" s="172"/>
      <c r="M451" s="172"/>
      <c r="N451" s="172"/>
      <c r="O451" s="172"/>
      <c r="P451" s="172"/>
      <c r="Q451" s="172"/>
      <c r="R451" s="294"/>
      <c r="S451" s="172"/>
      <c r="T451" s="172"/>
      <c r="U451" s="176"/>
      <c r="V451" s="176"/>
      <c r="W451" s="179"/>
      <c r="X451" s="180"/>
    </row>
    <row r="452" spans="1:24" x14ac:dyDescent="0.25">
      <c r="U452" s="217"/>
    </row>
  </sheetData>
  <mergeCells count="158">
    <mergeCell ref="A449:G449"/>
    <mergeCell ref="A450:D450"/>
    <mergeCell ref="E450:I450"/>
    <mergeCell ref="A451:D451"/>
    <mergeCell ref="C448:E448"/>
    <mergeCell ref="G448:H448"/>
    <mergeCell ref="J448:K448"/>
    <mergeCell ref="M448:N448"/>
    <mergeCell ref="P448:Q448"/>
    <mergeCell ref="Q449:R449"/>
    <mergeCell ref="S448:T448"/>
    <mergeCell ref="D447:E447"/>
    <mergeCell ref="G447:H447"/>
    <mergeCell ref="J447:K447"/>
    <mergeCell ref="M447:N447"/>
    <mergeCell ref="P447:Q447"/>
    <mergeCell ref="S447:T447"/>
    <mergeCell ref="D446:E446"/>
    <mergeCell ref="G446:H446"/>
    <mergeCell ref="J446:K446"/>
    <mergeCell ref="M446:N446"/>
    <mergeCell ref="P446:Q446"/>
    <mergeCell ref="S446:T446"/>
    <mergeCell ref="C445:E445"/>
    <mergeCell ref="G445:H445"/>
    <mergeCell ref="J445:K445"/>
    <mergeCell ref="M445:N445"/>
    <mergeCell ref="P445:Q445"/>
    <mergeCell ref="S445:T445"/>
    <mergeCell ref="C444:E444"/>
    <mergeCell ref="G444:H444"/>
    <mergeCell ref="J444:K444"/>
    <mergeCell ref="M444:N444"/>
    <mergeCell ref="P444:Q444"/>
    <mergeCell ref="S444:T444"/>
    <mergeCell ref="C440:E440"/>
    <mergeCell ref="G440:H440"/>
    <mergeCell ref="J440:K440"/>
    <mergeCell ref="M440:N440"/>
    <mergeCell ref="P440:Q440"/>
    <mergeCell ref="S440:T440"/>
    <mergeCell ref="C419:E419"/>
    <mergeCell ref="G419:H419"/>
    <mergeCell ref="J419:K419"/>
    <mergeCell ref="M419:N419"/>
    <mergeCell ref="P419:Q419"/>
    <mergeCell ref="S419:T419"/>
    <mergeCell ref="C411:E411"/>
    <mergeCell ref="G411:H411"/>
    <mergeCell ref="J411:K411"/>
    <mergeCell ref="M411:N411"/>
    <mergeCell ref="P411:Q411"/>
    <mergeCell ref="S411:T411"/>
    <mergeCell ref="C368:E368"/>
    <mergeCell ref="G368:H368"/>
    <mergeCell ref="J368:K368"/>
    <mergeCell ref="M368:N368"/>
    <mergeCell ref="P368:Q368"/>
    <mergeCell ref="S368:T368"/>
    <mergeCell ref="C358:E358"/>
    <mergeCell ref="G358:H358"/>
    <mergeCell ref="J358:K358"/>
    <mergeCell ref="M358:N358"/>
    <mergeCell ref="P358:Q358"/>
    <mergeCell ref="S358:T358"/>
    <mergeCell ref="C347:E347"/>
    <mergeCell ref="G347:H347"/>
    <mergeCell ref="J347:K347"/>
    <mergeCell ref="M347:N347"/>
    <mergeCell ref="P347:Q347"/>
    <mergeCell ref="S347:T347"/>
    <mergeCell ref="C328:E328"/>
    <mergeCell ref="G328:H328"/>
    <mergeCell ref="J328:K328"/>
    <mergeCell ref="M328:N328"/>
    <mergeCell ref="P328:Q328"/>
    <mergeCell ref="S328:T328"/>
    <mergeCell ref="C311:E311"/>
    <mergeCell ref="G311:H311"/>
    <mergeCell ref="J311:K311"/>
    <mergeCell ref="M311:N311"/>
    <mergeCell ref="P311:Q311"/>
    <mergeCell ref="S311:T311"/>
    <mergeCell ref="C293:E293"/>
    <mergeCell ref="G293:H293"/>
    <mergeCell ref="J293:K293"/>
    <mergeCell ref="M293:N293"/>
    <mergeCell ref="P293:Q293"/>
    <mergeCell ref="S293:T293"/>
    <mergeCell ref="C283:E283"/>
    <mergeCell ref="G283:H283"/>
    <mergeCell ref="J283:K283"/>
    <mergeCell ref="M283:N283"/>
    <mergeCell ref="P283:Q283"/>
    <mergeCell ref="S283:T283"/>
    <mergeCell ref="C194:E194"/>
    <mergeCell ref="G194:H194"/>
    <mergeCell ref="J194:K194"/>
    <mergeCell ref="M194:N194"/>
    <mergeCell ref="P194:Q194"/>
    <mergeCell ref="S194:T194"/>
    <mergeCell ref="C172:E172"/>
    <mergeCell ref="G172:H172"/>
    <mergeCell ref="J172:K172"/>
    <mergeCell ref="M172:N172"/>
    <mergeCell ref="P172:Q172"/>
    <mergeCell ref="S172:T172"/>
    <mergeCell ref="C96:E96"/>
    <mergeCell ref="G96:H96"/>
    <mergeCell ref="J96:K96"/>
    <mergeCell ref="M96:N96"/>
    <mergeCell ref="P96:Q96"/>
    <mergeCell ref="S96:T96"/>
    <mergeCell ref="C81:E81"/>
    <mergeCell ref="G81:H81"/>
    <mergeCell ref="J81:K81"/>
    <mergeCell ref="M81:N81"/>
    <mergeCell ref="P81:Q81"/>
    <mergeCell ref="S81:T81"/>
    <mergeCell ref="C74:E74"/>
    <mergeCell ref="G74:H74"/>
    <mergeCell ref="J74:K74"/>
    <mergeCell ref="M74:N74"/>
    <mergeCell ref="P74:Q74"/>
    <mergeCell ref="S74:T74"/>
    <mergeCell ref="C64:E64"/>
    <mergeCell ref="G64:H64"/>
    <mergeCell ref="J64:K64"/>
    <mergeCell ref="M64:N64"/>
    <mergeCell ref="P64:Q64"/>
    <mergeCell ref="S64:T64"/>
    <mergeCell ref="C40:E40"/>
    <mergeCell ref="G40:H40"/>
    <mergeCell ref="J40:K40"/>
    <mergeCell ref="M40:N40"/>
    <mergeCell ref="P40:Q40"/>
    <mergeCell ref="S40:T40"/>
    <mergeCell ref="C21:E21"/>
    <mergeCell ref="G21:H21"/>
    <mergeCell ref="J21:K21"/>
    <mergeCell ref="M21:N21"/>
    <mergeCell ref="P21:Q21"/>
    <mergeCell ref="S21:T21"/>
    <mergeCell ref="J4:K4"/>
    <mergeCell ref="M4:N4"/>
    <mergeCell ref="P4:Q4"/>
    <mergeCell ref="S4:T4"/>
    <mergeCell ref="V4:X4"/>
    <mergeCell ref="V5:X5"/>
    <mergeCell ref="B1:X1"/>
    <mergeCell ref="A3:B3"/>
    <mergeCell ref="E3:X3"/>
    <mergeCell ref="A4:A5"/>
    <mergeCell ref="B4:B5"/>
    <mergeCell ref="C4:C5"/>
    <mergeCell ref="D4:E4"/>
    <mergeCell ref="G4:H4"/>
    <mergeCell ref="L2:U2"/>
  </mergeCells>
  <dataValidations count="1">
    <dataValidation type="list" allowBlank="1" showErrorMessage="1" sqref="D3" xr:uid="{00000000-0002-0000-0000-000000000000}">
      <formula1>"0%,2%,3%,4%,5%"</formula1>
      <formula2>0</formula2>
    </dataValidation>
  </dataValidations>
  <pageMargins left="0.23622047244094491" right="0.23622047244094491" top="0.59055118110236227" bottom="0.59055118110236227" header="0.31496062992125984" footer="0.31496062992125984"/>
  <pageSetup paperSize="9" scale="56"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521"/>
  <sheetViews>
    <sheetView tabSelected="1" topLeftCell="A381" zoomScaleNormal="100" zoomScaleSheetLayoutView="90" workbookViewId="0">
      <selection activeCell="E71" sqref="E71"/>
    </sheetView>
  </sheetViews>
  <sheetFormatPr defaultColWidth="8.42578125" defaultRowHeight="15.75" x14ac:dyDescent="0.25"/>
  <cols>
    <col min="1" max="1" width="10.7109375" style="90" customWidth="1"/>
    <col min="2" max="2" width="96.85546875" style="94" bestFit="1" customWidth="1"/>
    <col min="3" max="3" width="10.5703125" style="91" bestFit="1" customWidth="1"/>
    <col min="4" max="4" width="13.140625" style="92" bestFit="1" customWidth="1"/>
    <col min="5" max="5" width="19.85546875" style="93" bestFit="1" customWidth="1"/>
    <col min="6" max="6" width="17.28515625" style="92" bestFit="1" customWidth="1"/>
    <col min="7" max="7" width="36.7109375" style="49" bestFit="1" customWidth="1"/>
    <col min="8" max="8" width="24" style="52" bestFit="1" customWidth="1"/>
    <col min="9" max="9" width="12.28515625" style="53" bestFit="1" customWidth="1"/>
    <col min="10" max="17" width="8.42578125" style="53" bestFit="1" customWidth="1"/>
    <col min="18" max="18" width="8.42578125" style="86" bestFit="1"/>
    <col min="19" max="16384" width="8.42578125" style="86"/>
  </cols>
  <sheetData>
    <row r="1" spans="1:17" s="53" customFormat="1" ht="50.1" customHeight="1" x14ac:dyDescent="0.25">
      <c r="A1" s="54"/>
      <c r="B1" s="368" t="s">
        <v>0</v>
      </c>
      <c r="C1" s="368"/>
      <c r="D1" s="368"/>
      <c r="E1" s="368"/>
      <c r="F1" s="368"/>
      <c r="G1" s="368"/>
      <c r="H1" s="368"/>
      <c r="I1" s="368"/>
    </row>
    <row r="2" spans="1:17" s="53" customFormat="1" ht="24.95" customHeight="1" x14ac:dyDescent="0.25">
      <c r="A2" s="369" t="s">
        <v>517</v>
      </c>
      <c r="B2" s="369"/>
      <c r="C2" s="370"/>
      <c r="D2" s="370"/>
      <c r="E2" s="55"/>
      <c r="F2" s="56"/>
      <c r="G2" s="371"/>
      <c r="H2" s="371"/>
      <c r="I2" s="371"/>
    </row>
    <row r="3" spans="1:17" s="53" customFormat="1" ht="24.95" customHeight="1" x14ac:dyDescent="0.25">
      <c r="A3" s="372" t="s">
        <v>545</v>
      </c>
      <c r="B3" s="372"/>
      <c r="C3" s="189" t="s">
        <v>1</v>
      </c>
      <c r="D3" s="190">
        <v>0.05</v>
      </c>
      <c r="E3" s="364" t="s">
        <v>539</v>
      </c>
      <c r="F3" s="365"/>
      <c r="G3" s="365"/>
      <c r="H3" s="365"/>
      <c r="I3" s="366"/>
    </row>
    <row r="4" spans="1:17" s="53" customFormat="1" ht="24.95" customHeight="1" x14ac:dyDescent="0.25">
      <c r="A4" s="358" t="s">
        <v>2</v>
      </c>
      <c r="B4" s="359" t="s">
        <v>3</v>
      </c>
      <c r="C4" s="359" t="s">
        <v>4</v>
      </c>
      <c r="D4" s="362" t="s">
        <v>5</v>
      </c>
      <c r="E4" s="362"/>
      <c r="F4" s="191">
        <f>F453</f>
        <v>515328.22585279838</v>
      </c>
      <c r="G4" s="363" t="s">
        <v>6</v>
      </c>
      <c r="H4" s="363"/>
      <c r="I4" s="363"/>
    </row>
    <row r="5" spans="1:17" s="51" customFormat="1" ht="24.95" customHeight="1" x14ac:dyDescent="0.25">
      <c r="A5" s="358"/>
      <c r="B5" s="359"/>
      <c r="C5" s="359"/>
      <c r="D5" s="192" t="s">
        <v>7</v>
      </c>
      <c r="E5" s="193" t="s">
        <v>8</v>
      </c>
      <c r="F5" s="192" t="s">
        <v>9</v>
      </c>
      <c r="G5" s="367" t="s">
        <v>10</v>
      </c>
      <c r="H5" s="367"/>
      <c r="I5" s="367"/>
      <c r="J5" s="53"/>
      <c r="K5" s="53"/>
      <c r="L5" s="53"/>
      <c r="M5" s="53"/>
      <c r="N5" s="53"/>
      <c r="O5" s="53"/>
      <c r="P5" s="53"/>
      <c r="Q5" s="53"/>
    </row>
    <row r="6" spans="1:17" s="62" customFormat="1" x14ac:dyDescent="0.25">
      <c r="A6" s="3" t="s">
        <v>11</v>
      </c>
      <c r="B6" s="57" t="s">
        <v>12</v>
      </c>
      <c r="C6" s="58"/>
      <c r="D6" s="59"/>
      <c r="E6" s="60"/>
      <c r="F6" s="61"/>
      <c r="G6" s="4"/>
      <c r="H6" s="4"/>
      <c r="I6" s="5"/>
      <c r="J6" s="53"/>
      <c r="K6" s="53"/>
      <c r="L6" s="53"/>
      <c r="M6" s="53"/>
      <c r="N6" s="53"/>
      <c r="O6" s="53"/>
      <c r="P6" s="53"/>
      <c r="Q6" s="53"/>
    </row>
    <row r="7" spans="1:17" s="62" customFormat="1" ht="31.5" x14ac:dyDescent="0.25">
      <c r="A7" s="6" t="s">
        <v>13</v>
      </c>
      <c r="B7" s="7" t="s">
        <v>14</v>
      </c>
      <c r="C7" s="63" t="s">
        <v>15</v>
      </c>
      <c r="D7" s="64">
        <v>0</v>
      </c>
      <c r="E7" s="64">
        <v>9.5399999999999991</v>
      </c>
      <c r="F7" s="65">
        <f>D7*E7</f>
        <v>0</v>
      </c>
      <c r="G7" s="8" t="s">
        <v>552</v>
      </c>
      <c r="H7" s="9" t="s">
        <v>17</v>
      </c>
      <c r="I7" s="10"/>
      <c r="J7" s="53"/>
      <c r="K7" s="53"/>
      <c r="L7" s="53"/>
      <c r="M7" s="53"/>
      <c r="N7" s="53"/>
      <c r="O7" s="53"/>
      <c r="P7" s="53"/>
      <c r="Q7" s="53"/>
    </row>
    <row r="8" spans="1:17" s="62" customFormat="1" ht="93.75" customHeight="1" x14ac:dyDescent="0.25">
      <c r="A8" s="11"/>
      <c r="B8" s="12" t="s">
        <v>18</v>
      </c>
      <c r="C8" s="63"/>
      <c r="D8" s="64"/>
      <c r="E8" s="64"/>
      <c r="F8" s="65"/>
      <c r="G8" s="18"/>
      <c r="H8" s="19"/>
      <c r="I8" s="10"/>
      <c r="J8" s="53"/>
      <c r="K8" s="53"/>
      <c r="L8" s="53"/>
      <c r="M8" s="53"/>
      <c r="N8" s="53"/>
      <c r="O8" s="53"/>
      <c r="P8" s="53"/>
      <c r="Q8" s="53"/>
    </row>
    <row r="9" spans="1:17" s="62" customFormat="1" x14ac:dyDescent="0.25">
      <c r="A9" s="11"/>
      <c r="B9" s="12"/>
      <c r="C9" s="63"/>
      <c r="D9" s="64"/>
      <c r="E9" s="64"/>
      <c r="F9" s="65"/>
      <c r="G9" s="4"/>
      <c r="H9" s="9"/>
      <c r="I9" s="10"/>
      <c r="J9" s="53"/>
      <c r="K9" s="53"/>
      <c r="L9" s="53"/>
      <c r="M9" s="53"/>
      <c r="N9" s="53"/>
      <c r="O9" s="53"/>
      <c r="P9" s="53"/>
      <c r="Q9" s="53"/>
    </row>
    <row r="10" spans="1:17" s="62" customFormat="1" x14ac:dyDescent="0.25">
      <c r="A10" s="11"/>
      <c r="B10" s="12"/>
      <c r="C10" s="63"/>
      <c r="D10" s="64"/>
      <c r="E10" s="64"/>
      <c r="F10" s="65"/>
      <c r="G10" s="4"/>
      <c r="H10" s="9"/>
      <c r="I10" s="10"/>
      <c r="J10" s="53"/>
      <c r="K10" s="53"/>
      <c r="L10" s="53"/>
      <c r="M10" s="53"/>
      <c r="N10" s="53"/>
      <c r="O10" s="53"/>
      <c r="P10" s="53"/>
      <c r="Q10" s="53"/>
    </row>
    <row r="11" spans="1:17" s="62" customFormat="1" ht="31.5" x14ac:dyDescent="0.25">
      <c r="A11" s="11" t="s">
        <v>19</v>
      </c>
      <c r="B11" s="13" t="s">
        <v>20</v>
      </c>
      <c r="C11" s="63" t="s">
        <v>21</v>
      </c>
      <c r="D11" s="64">
        <v>0</v>
      </c>
      <c r="E11" s="64">
        <v>1419.25</v>
      </c>
      <c r="F11" s="65">
        <f>D11*E11</f>
        <v>0</v>
      </c>
      <c r="G11" s="4" t="s">
        <v>553</v>
      </c>
      <c r="H11" s="9" t="s">
        <v>22</v>
      </c>
      <c r="I11" s="10"/>
      <c r="J11" s="53"/>
      <c r="K11" s="53"/>
      <c r="L11" s="53"/>
      <c r="M11" s="53"/>
      <c r="N11" s="53"/>
      <c r="O11" s="53"/>
      <c r="P11" s="53"/>
      <c r="Q11" s="53"/>
    </row>
    <row r="12" spans="1:17" s="62" customFormat="1" ht="126" x14ac:dyDescent="0.25">
      <c r="A12" s="11"/>
      <c r="B12" s="14" t="s">
        <v>23</v>
      </c>
      <c r="C12" s="63"/>
      <c r="D12" s="64"/>
      <c r="E12" s="64"/>
      <c r="F12" s="65"/>
      <c r="G12" s="15"/>
      <c r="H12" s="16"/>
      <c r="I12" s="10"/>
      <c r="J12" s="53"/>
      <c r="K12" s="53"/>
      <c r="L12" s="53"/>
      <c r="M12" s="53"/>
      <c r="N12" s="53"/>
      <c r="O12" s="53"/>
      <c r="P12" s="53"/>
      <c r="Q12" s="53"/>
    </row>
    <row r="13" spans="1:17" s="62" customFormat="1" x14ac:dyDescent="0.25">
      <c r="A13" s="11"/>
      <c r="B13" s="17"/>
      <c r="C13" s="63"/>
      <c r="D13" s="64"/>
      <c r="E13" s="64"/>
      <c r="F13" s="65"/>
      <c r="G13" s="4"/>
      <c r="H13" s="9"/>
      <c r="I13" s="10"/>
      <c r="J13" s="53"/>
      <c r="K13" s="53"/>
      <c r="L13" s="53"/>
      <c r="M13" s="53"/>
      <c r="N13" s="53"/>
      <c r="O13" s="53"/>
      <c r="P13" s="53"/>
      <c r="Q13" s="53"/>
    </row>
    <row r="14" spans="1:17" s="62" customFormat="1" ht="31.5" x14ac:dyDescent="0.25">
      <c r="A14" s="11" t="s">
        <v>24</v>
      </c>
      <c r="B14" s="17" t="s">
        <v>25</v>
      </c>
      <c r="C14" s="63" t="s">
        <v>524</v>
      </c>
      <c r="D14" s="64">
        <v>0</v>
      </c>
      <c r="E14" s="64">
        <v>1.31</v>
      </c>
      <c r="F14" s="65">
        <f>D14*E14</f>
        <v>0</v>
      </c>
      <c r="G14" s="4" t="s">
        <v>554</v>
      </c>
      <c r="H14" s="9" t="s">
        <v>27</v>
      </c>
      <c r="I14" s="10"/>
      <c r="J14" s="53"/>
      <c r="K14" s="53"/>
      <c r="L14" s="53"/>
      <c r="M14" s="53"/>
      <c r="N14" s="53"/>
      <c r="O14" s="53"/>
      <c r="P14" s="53"/>
      <c r="Q14" s="53"/>
    </row>
    <row r="15" spans="1:17" s="62" customFormat="1" ht="126" x14ac:dyDescent="0.25">
      <c r="A15" s="11"/>
      <c r="B15" s="12" t="s">
        <v>28</v>
      </c>
      <c r="C15" s="63"/>
      <c r="D15" s="64"/>
      <c r="E15" s="64"/>
      <c r="F15" s="65"/>
      <c r="G15" s="18"/>
      <c r="H15" s="19"/>
      <c r="I15" s="10"/>
      <c r="J15" s="53"/>
      <c r="K15" s="53"/>
      <c r="L15" s="53"/>
      <c r="M15" s="53"/>
      <c r="N15" s="53"/>
      <c r="O15" s="53"/>
      <c r="P15" s="53"/>
      <c r="Q15" s="53"/>
    </row>
    <row r="16" spans="1:17" s="62" customFormat="1" x14ac:dyDescent="0.25">
      <c r="A16" s="11"/>
      <c r="B16" s="17"/>
      <c r="C16" s="63"/>
      <c r="D16" s="64"/>
      <c r="E16" s="64"/>
      <c r="F16" s="65"/>
      <c r="G16" s="4"/>
      <c r="H16" s="9"/>
      <c r="I16" s="10"/>
      <c r="J16" s="53"/>
      <c r="K16" s="53"/>
      <c r="L16" s="53"/>
      <c r="M16" s="53"/>
      <c r="N16" s="53"/>
      <c r="O16" s="53"/>
      <c r="P16" s="53"/>
      <c r="Q16" s="53"/>
    </row>
    <row r="17" spans="1:17" s="62" customFormat="1" x14ac:dyDescent="0.25">
      <c r="A17" s="11"/>
      <c r="B17" s="17"/>
      <c r="C17" s="63"/>
      <c r="D17" s="64"/>
      <c r="E17" s="64"/>
      <c r="F17" s="65"/>
      <c r="G17" s="4"/>
      <c r="H17" s="9"/>
      <c r="I17" s="10"/>
      <c r="J17" s="53"/>
      <c r="K17" s="53"/>
      <c r="L17" s="53"/>
      <c r="M17" s="53"/>
      <c r="N17" s="53"/>
      <c r="O17" s="53"/>
      <c r="P17" s="53"/>
      <c r="Q17" s="53"/>
    </row>
    <row r="18" spans="1:17" s="62" customFormat="1" ht="32.450000000000003" customHeight="1" x14ac:dyDescent="0.25">
      <c r="A18" s="11" t="s">
        <v>29</v>
      </c>
      <c r="B18" s="17" t="s">
        <v>30</v>
      </c>
      <c r="C18" s="63" t="s">
        <v>15</v>
      </c>
      <c r="D18" s="64">
        <v>0</v>
      </c>
      <c r="E18" s="64">
        <v>551.03</v>
      </c>
      <c r="F18" s="65">
        <f>D18*E18</f>
        <v>0</v>
      </c>
      <c r="G18" s="4" t="s">
        <v>555</v>
      </c>
      <c r="H18" s="9" t="s">
        <v>32</v>
      </c>
      <c r="I18" s="10"/>
      <c r="J18" s="53"/>
      <c r="K18" s="53"/>
      <c r="L18" s="53"/>
      <c r="M18" s="53"/>
      <c r="N18" s="53"/>
      <c r="O18" s="53"/>
      <c r="P18" s="53"/>
      <c r="Q18" s="53"/>
    </row>
    <row r="19" spans="1:17" s="62" customFormat="1" ht="220.5" x14ac:dyDescent="0.25">
      <c r="A19" s="11"/>
      <c r="B19" s="12" t="s">
        <v>33</v>
      </c>
      <c r="C19" s="63"/>
      <c r="D19" s="64"/>
      <c r="E19" s="64"/>
      <c r="F19" s="65"/>
      <c r="G19" s="18"/>
      <c r="H19" s="19"/>
      <c r="I19" s="10"/>
      <c r="J19" s="53"/>
      <c r="K19" s="53"/>
      <c r="L19" s="53"/>
      <c r="M19" s="53"/>
      <c r="N19" s="53"/>
      <c r="O19" s="53"/>
      <c r="P19" s="53"/>
      <c r="Q19" s="53"/>
    </row>
    <row r="20" spans="1:17" s="62" customFormat="1" x14ac:dyDescent="0.25">
      <c r="A20" s="11"/>
      <c r="B20" s="12"/>
      <c r="C20" s="63"/>
      <c r="D20" s="64"/>
      <c r="E20" s="64"/>
      <c r="F20" s="65"/>
      <c r="G20" s="4"/>
      <c r="H20" s="9"/>
      <c r="I20" s="10"/>
      <c r="J20" s="53"/>
      <c r="K20" s="53"/>
      <c r="L20" s="53"/>
      <c r="M20" s="53"/>
      <c r="N20" s="53"/>
      <c r="O20" s="53"/>
      <c r="P20" s="53"/>
      <c r="Q20" s="53"/>
    </row>
    <row r="21" spans="1:17" s="62" customFormat="1" ht="18" customHeight="1" x14ac:dyDescent="0.25">
      <c r="A21" s="11"/>
      <c r="B21" s="17"/>
      <c r="C21" s="361" t="s">
        <v>34</v>
      </c>
      <c r="D21" s="361"/>
      <c r="E21" s="361"/>
      <c r="F21" s="66">
        <f>SUM(F7:F20)</f>
        <v>0</v>
      </c>
      <c r="G21" s="4"/>
      <c r="H21" s="9"/>
      <c r="I21" s="10"/>
      <c r="J21" s="53"/>
      <c r="K21" s="53"/>
      <c r="L21" s="53"/>
      <c r="M21" s="53"/>
      <c r="N21" s="53"/>
      <c r="O21" s="53"/>
      <c r="P21" s="53"/>
      <c r="Q21" s="53"/>
    </row>
    <row r="22" spans="1:17" s="62" customFormat="1" x14ac:dyDescent="0.25">
      <c r="A22" s="3" t="s">
        <v>35</v>
      </c>
      <c r="B22" s="57" t="s">
        <v>36</v>
      </c>
      <c r="C22" s="58"/>
      <c r="D22" s="58"/>
      <c r="E22" s="64"/>
      <c r="F22" s="65"/>
      <c r="G22" s="4"/>
      <c r="H22" s="9"/>
      <c r="I22" s="10"/>
      <c r="J22" s="53"/>
      <c r="K22" s="53"/>
      <c r="L22" s="53"/>
      <c r="M22" s="53"/>
      <c r="N22" s="53"/>
      <c r="O22" s="53"/>
      <c r="P22" s="53"/>
      <c r="Q22" s="53"/>
    </row>
    <row r="23" spans="1:17" s="62" customFormat="1" ht="150" customHeight="1" x14ac:dyDescent="0.25">
      <c r="A23" s="11" t="s">
        <v>37</v>
      </c>
      <c r="B23" s="17" t="s">
        <v>38</v>
      </c>
      <c r="C23" s="63" t="s">
        <v>525</v>
      </c>
      <c r="D23" s="67">
        <v>0</v>
      </c>
      <c r="E23" s="64">
        <v>67.39</v>
      </c>
      <c r="F23" s="65">
        <f>D23*E23</f>
        <v>0</v>
      </c>
      <c r="G23" s="4" t="s">
        <v>556</v>
      </c>
      <c r="H23" s="9" t="s">
        <v>40</v>
      </c>
      <c r="I23" s="10"/>
      <c r="J23" s="53"/>
      <c r="K23" s="53"/>
      <c r="L23" s="53"/>
      <c r="M23" s="53"/>
      <c r="N23" s="53"/>
      <c r="O23" s="53"/>
      <c r="P23" s="53"/>
      <c r="Q23" s="53"/>
    </row>
    <row r="24" spans="1:17" s="62" customFormat="1" ht="63" x14ac:dyDescent="0.25">
      <c r="A24" s="11"/>
      <c r="B24" s="12" t="s">
        <v>41</v>
      </c>
      <c r="C24" s="63"/>
      <c r="D24" s="67"/>
      <c r="E24" s="64"/>
      <c r="F24" s="65"/>
      <c r="G24" s="4"/>
      <c r="H24" s="9"/>
      <c r="I24" s="10"/>
      <c r="J24" s="53"/>
      <c r="K24" s="53"/>
      <c r="L24" s="53"/>
      <c r="M24" s="53"/>
      <c r="N24" s="53"/>
      <c r="O24" s="53"/>
      <c r="P24" s="53"/>
      <c r="Q24" s="53"/>
    </row>
    <row r="25" spans="1:17" s="62" customFormat="1" x14ac:dyDescent="0.25">
      <c r="A25" s="11"/>
      <c r="B25" s="17"/>
      <c r="C25" s="63"/>
      <c r="D25" s="67"/>
      <c r="E25" s="64"/>
      <c r="F25" s="65"/>
      <c r="G25" s="4"/>
      <c r="H25" s="9"/>
      <c r="I25" s="10"/>
      <c r="J25" s="53"/>
      <c r="K25" s="53"/>
      <c r="L25" s="53"/>
      <c r="M25" s="53"/>
      <c r="N25" s="53"/>
      <c r="O25" s="53"/>
      <c r="P25" s="53"/>
      <c r="Q25" s="53"/>
    </row>
    <row r="26" spans="1:17" s="62" customFormat="1" ht="141.75" x14ac:dyDescent="0.25">
      <c r="A26" s="11" t="s">
        <v>42</v>
      </c>
      <c r="B26" s="17" t="s">
        <v>43</v>
      </c>
      <c r="C26" s="63" t="s">
        <v>525</v>
      </c>
      <c r="D26" s="64">
        <v>0</v>
      </c>
      <c r="E26" s="64">
        <v>67.39</v>
      </c>
      <c r="F26" s="65">
        <f>D26*E26</f>
        <v>0</v>
      </c>
      <c r="G26" s="165" t="s">
        <v>557</v>
      </c>
      <c r="H26" s="9" t="s">
        <v>45</v>
      </c>
      <c r="I26" s="10"/>
      <c r="J26" s="53"/>
      <c r="K26" s="53"/>
      <c r="L26" s="53"/>
      <c r="M26" s="53"/>
      <c r="N26" s="53"/>
      <c r="O26" s="53"/>
      <c r="P26" s="53"/>
      <c r="Q26" s="53"/>
    </row>
    <row r="27" spans="1:17" s="62" customFormat="1" ht="63" x14ac:dyDescent="0.25">
      <c r="A27" s="11"/>
      <c r="B27" s="12" t="s">
        <v>46</v>
      </c>
      <c r="C27" s="63"/>
      <c r="D27" s="64"/>
      <c r="E27" s="64"/>
      <c r="F27" s="65"/>
      <c r="G27" s="4"/>
      <c r="H27" s="9"/>
      <c r="I27" s="10"/>
      <c r="J27" s="53"/>
      <c r="K27" s="53"/>
      <c r="L27" s="53"/>
      <c r="M27" s="53"/>
      <c r="N27" s="53"/>
      <c r="O27" s="53"/>
      <c r="P27" s="53"/>
      <c r="Q27" s="53"/>
    </row>
    <row r="28" spans="1:17" s="62" customFormat="1" x14ac:dyDescent="0.25">
      <c r="A28" s="11"/>
      <c r="B28" s="17"/>
      <c r="C28" s="63"/>
      <c r="D28" s="64"/>
      <c r="E28" s="64"/>
      <c r="F28" s="65"/>
      <c r="G28" s="4"/>
      <c r="H28" s="9"/>
      <c r="I28" s="10"/>
      <c r="J28" s="53"/>
      <c r="K28" s="53"/>
      <c r="L28" s="53"/>
      <c r="M28" s="53"/>
      <c r="N28" s="53"/>
      <c r="O28" s="53"/>
      <c r="P28" s="53"/>
      <c r="Q28" s="53"/>
    </row>
    <row r="29" spans="1:17" s="62" customFormat="1" ht="31.5" x14ac:dyDescent="0.25">
      <c r="A29" s="11" t="s">
        <v>47</v>
      </c>
      <c r="B29" s="17" t="s">
        <v>48</v>
      </c>
      <c r="C29" s="63" t="s">
        <v>525</v>
      </c>
      <c r="D29" s="64">
        <v>0</v>
      </c>
      <c r="E29" s="64">
        <v>39.479999999999997</v>
      </c>
      <c r="F29" s="65">
        <f>D29*E29</f>
        <v>0</v>
      </c>
      <c r="G29" s="4" t="s">
        <v>558</v>
      </c>
      <c r="H29" s="9" t="s">
        <v>50</v>
      </c>
      <c r="I29" s="10"/>
      <c r="J29" s="53"/>
      <c r="K29" s="53"/>
      <c r="L29" s="53"/>
      <c r="M29" s="53"/>
      <c r="N29" s="53"/>
      <c r="O29" s="53"/>
      <c r="P29" s="53"/>
      <c r="Q29" s="53"/>
    </row>
    <row r="30" spans="1:17" s="62" customFormat="1" ht="47.25" x14ac:dyDescent="0.25">
      <c r="A30" s="11"/>
      <c r="B30" s="12" t="s">
        <v>51</v>
      </c>
      <c r="C30" s="63"/>
      <c r="D30" s="64"/>
      <c r="E30" s="64"/>
      <c r="F30" s="65"/>
      <c r="G30" s="4"/>
      <c r="H30" s="9"/>
      <c r="I30" s="10"/>
      <c r="J30" s="53"/>
      <c r="K30" s="53"/>
      <c r="L30" s="53"/>
      <c r="M30" s="53"/>
      <c r="N30" s="53"/>
      <c r="O30" s="53"/>
      <c r="P30" s="53"/>
      <c r="Q30" s="53"/>
    </row>
    <row r="31" spans="1:17" s="62" customFormat="1" x14ac:dyDescent="0.25">
      <c r="A31" s="11"/>
      <c r="B31" s="17"/>
      <c r="C31" s="63"/>
      <c r="D31" s="64"/>
      <c r="E31" s="64"/>
      <c r="F31" s="65"/>
      <c r="G31" s="4"/>
      <c r="H31" s="9"/>
      <c r="I31" s="10"/>
      <c r="J31" s="53"/>
      <c r="K31" s="53"/>
      <c r="L31" s="53"/>
      <c r="M31" s="53"/>
      <c r="N31" s="53"/>
      <c r="O31" s="53"/>
      <c r="P31" s="53"/>
      <c r="Q31" s="53"/>
    </row>
    <row r="32" spans="1:17" s="62" customFormat="1" x14ac:dyDescent="0.25">
      <c r="A32" s="11"/>
      <c r="B32" s="17"/>
      <c r="C32" s="63"/>
      <c r="D32" s="64"/>
      <c r="E32" s="64"/>
      <c r="F32" s="65"/>
      <c r="G32" s="4"/>
      <c r="H32" s="9"/>
      <c r="I32" s="10"/>
      <c r="J32" s="53"/>
      <c r="K32" s="53"/>
      <c r="L32" s="53"/>
      <c r="M32" s="53"/>
      <c r="N32" s="53"/>
      <c r="O32" s="53"/>
      <c r="P32" s="53"/>
      <c r="Q32" s="53"/>
    </row>
    <row r="33" spans="1:17" s="62" customFormat="1" ht="141.75" x14ac:dyDescent="0.25">
      <c r="A33" s="11" t="s">
        <v>52</v>
      </c>
      <c r="B33" s="17" t="s">
        <v>53</v>
      </c>
      <c r="C33" s="63" t="s">
        <v>525</v>
      </c>
      <c r="D33" s="64">
        <v>0</v>
      </c>
      <c r="E33" s="64">
        <v>67.39</v>
      </c>
      <c r="F33" s="65">
        <f>D33*E33</f>
        <v>0</v>
      </c>
      <c r="G33" s="4" t="s">
        <v>559</v>
      </c>
      <c r="H33" s="9" t="s">
        <v>45</v>
      </c>
      <c r="I33" s="10"/>
      <c r="J33" s="53"/>
      <c r="K33" s="53"/>
      <c r="L33" s="53"/>
      <c r="M33" s="53"/>
      <c r="N33" s="53"/>
      <c r="O33" s="53"/>
      <c r="P33" s="53"/>
      <c r="Q33" s="53"/>
    </row>
    <row r="34" spans="1:17" s="62" customFormat="1" ht="46.5" customHeight="1" x14ac:dyDescent="0.25">
      <c r="A34" s="11"/>
      <c r="B34" s="12" t="s">
        <v>55</v>
      </c>
      <c r="C34" s="63"/>
      <c r="D34" s="64"/>
      <c r="E34" s="64"/>
      <c r="F34" s="65"/>
      <c r="G34" s="4"/>
      <c r="H34" s="9"/>
      <c r="I34" s="10"/>
      <c r="J34" s="53"/>
      <c r="K34" s="53"/>
      <c r="L34" s="53"/>
      <c r="M34" s="53"/>
      <c r="N34" s="53"/>
      <c r="O34" s="53"/>
      <c r="P34" s="53"/>
      <c r="Q34" s="53"/>
    </row>
    <row r="35" spans="1:17" s="62" customFormat="1" x14ac:dyDescent="0.25">
      <c r="A35" s="11"/>
      <c r="B35" s="17"/>
      <c r="C35" s="63"/>
      <c r="D35" s="64"/>
      <c r="E35" s="64"/>
      <c r="F35" s="65"/>
      <c r="G35" s="4"/>
      <c r="H35" s="9"/>
      <c r="I35" s="10"/>
      <c r="J35" s="53"/>
      <c r="K35" s="53"/>
      <c r="L35" s="53"/>
      <c r="M35" s="53"/>
      <c r="N35" s="53"/>
      <c r="O35" s="53"/>
      <c r="P35" s="53"/>
      <c r="Q35" s="53"/>
    </row>
    <row r="36" spans="1:17" s="62" customFormat="1" x14ac:dyDescent="0.25">
      <c r="A36" s="11"/>
      <c r="B36" s="12"/>
      <c r="C36" s="63"/>
      <c r="D36" s="67"/>
      <c r="E36" s="64"/>
      <c r="F36" s="65"/>
      <c r="G36" s="4"/>
      <c r="H36" s="9"/>
      <c r="I36" s="10"/>
      <c r="J36" s="53"/>
      <c r="K36" s="53"/>
      <c r="L36" s="53"/>
      <c r="M36" s="53"/>
      <c r="N36" s="53"/>
      <c r="O36" s="53"/>
      <c r="P36" s="53"/>
      <c r="Q36" s="53"/>
    </row>
    <row r="37" spans="1:17" s="62" customFormat="1" ht="31.5" x14ac:dyDescent="0.25">
      <c r="A37" s="11" t="s">
        <v>56</v>
      </c>
      <c r="B37" s="17" t="s">
        <v>57</v>
      </c>
      <c r="C37" s="63" t="s">
        <v>525</v>
      </c>
      <c r="D37" s="64">
        <v>0</v>
      </c>
      <c r="E37" s="64">
        <v>327</v>
      </c>
      <c r="F37" s="65">
        <f>D37*E37</f>
        <v>0</v>
      </c>
      <c r="G37" s="4" t="s">
        <v>560</v>
      </c>
      <c r="H37" s="9" t="s">
        <v>59</v>
      </c>
      <c r="I37" s="10"/>
      <c r="J37" s="53"/>
      <c r="K37" s="53"/>
      <c r="L37" s="53"/>
      <c r="M37" s="53"/>
      <c r="N37" s="53"/>
      <c r="O37" s="53"/>
      <c r="P37" s="53"/>
      <c r="Q37" s="53"/>
    </row>
    <row r="38" spans="1:17" s="62" customFormat="1" ht="78.75" x14ac:dyDescent="0.25">
      <c r="A38" s="11"/>
      <c r="B38" s="12" t="s">
        <v>60</v>
      </c>
      <c r="C38" s="63"/>
      <c r="D38" s="64"/>
      <c r="E38" s="64"/>
      <c r="F38" s="65"/>
      <c r="G38" s="4"/>
      <c r="H38" s="9"/>
      <c r="I38" s="10"/>
      <c r="J38" s="53"/>
      <c r="K38" s="53"/>
      <c r="L38" s="53"/>
      <c r="M38" s="53"/>
      <c r="N38" s="53"/>
      <c r="O38" s="53"/>
      <c r="P38" s="53"/>
      <c r="Q38" s="53"/>
    </row>
    <row r="39" spans="1:17" s="62" customFormat="1" x14ac:dyDescent="0.25">
      <c r="A39" s="11"/>
      <c r="B39" s="17"/>
      <c r="C39" s="63"/>
      <c r="D39" s="64"/>
      <c r="E39" s="64"/>
      <c r="F39" s="65"/>
      <c r="G39" s="4"/>
      <c r="H39" s="9"/>
      <c r="I39" s="10"/>
      <c r="J39" s="53"/>
      <c r="K39" s="53"/>
      <c r="L39" s="53"/>
      <c r="M39" s="53"/>
      <c r="N39" s="53"/>
      <c r="O39" s="53"/>
      <c r="P39" s="53"/>
      <c r="Q39" s="53"/>
    </row>
    <row r="40" spans="1:17" s="62" customFormat="1" ht="18" customHeight="1" x14ac:dyDescent="0.25">
      <c r="A40" s="11"/>
      <c r="B40" s="25" t="s">
        <v>61</v>
      </c>
      <c r="C40" s="361" t="s">
        <v>34</v>
      </c>
      <c r="D40" s="361"/>
      <c r="E40" s="361"/>
      <c r="F40" s="66">
        <f>SUM(F23:F39)</f>
        <v>0</v>
      </c>
      <c r="G40" s="4"/>
      <c r="H40" s="9"/>
      <c r="I40" s="10"/>
      <c r="J40" s="53"/>
      <c r="K40" s="53"/>
      <c r="L40" s="53"/>
      <c r="M40" s="53"/>
      <c r="N40" s="53"/>
      <c r="O40" s="53"/>
      <c r="P40" s="53"/>
      <c r="Q40" s="53"/>
    </row>
    <row r="41" spans="1:17" s="62" customFormat="1" x14ac:dyDescent="0.25">
      <c r="A41" s="3" t="s">
        <v>62</v>
      </c>
      <c r="B41" s="57" t="s">
        <v>63</v>
      </c>
      <c r="C41" s="58"/>
      <c r="D41" s="59"/>
      <c r="E41" s="60"/>
      <c r="F41" s="65"/>
      <c r="G41" s="4"/>
      <c r="H41" s="9"/>
      <c r="I41" s="10"/>
      <c r="J41" s="53"/>
      <c r="K41" s="53"/>
      <c r="L41" s="53"/>
      <c r="M41" s="53"/>
      <c r="N41" s="53"/>
      <c r="O41" s="53"/>
      <c r="P41" s="53"/>
      <c r="Q41" s="53"/>
    </row>
    <row r="42" spans="1:17" s="62" customFormat="1" x14ac:dyDescent="0.25">
      <c r="A42" s="11" t="s">
        <v>64</v>
      </c>
      <c r="B42" s="7" t="s">
        <v>518</v>
      </c>
      <c r="C42" s="63" t="s">
        <v>65</v>
      </c>
      <c r="D42" s="68">
        <v>96.4</v>
      </c>
      <c r="E42" s="64">
        <v>13.88</v>
      </c>
      <c r="F42" s="65">
        <f>D42*E42</f>
        <v>1338.0320000000002</v>
      </c>
      <c r="G42" s="4" t="s">
        <v>561</v>
      </c>
      <c r="H42" s="9" t="s">
        <v>67</v>
      </c>
      <c r="I42" s="10"/>
      <c r="J42" s="53"/>
      <c r="K42" s="53"/>
      <c r="L42" s="53"/>
      <c r="M42" s="53"/>
      <c r="N42" s="53"/>
      <c r="O42" s="53"/>
      <c r="P42" s="53"/>
      <c r="Q42" s="53"/>
    </row>
    <row r="43" spans="1:17" s="62" customFormat="1" ht="78.75" x14ac:dyDescent="0.25">
      <c r="A43" s="11"/>
      <c r="B43" s="12" t="s">
        <v>68</v>
      </c>
      <c r="C43" s="63"/>
      <c r="D43" s="68"/>
      <c r="E43" s="64"/>
      <c r="F43" s="65"/>
      <c r="G43" s="4"/>
      <c r="H43" s="9"/>
      <c r="I43" s="10"/>
      <c r="J43" s="53"/>
      <c r="K43" s="53"/>
      <c r="L43" s="53"/>
      <c r="M43" s="53"/>
      <c r="N43" s="53"/>
      <c r="O43" s="53"/>
      <c r="P43" s="53"/>
      <c r="Q43" s="53"/>
    </row>
    <row r="44" spans="1:17" s="62" customFormat="1" x14ac:dyDescent="0.25">
      <c r="A44" s="11"/>
      <c r="B44" s="12"/>
      <c r="C44" s="63"/>
      <c r="D44" s="68"/>
      <c r="E44" s="64"/>
      <c r="F44" s="65"/>
      <c r="G44" s="4"/>
      <c r="H44" s="9"/>
      <c r="I44" s="10"/>
      <c r="J44" s="53"/>
      <c r="K44" s="53"/>
      <c r="L44" s="53"/>
      <c r="M44" s="53"/>
      <c r="N44" s="53"/>
      <c r="O44" s="53"/>
      <c r="P44" s="53"/>
      <c r="Q44" s="53"/>
    </row>
    <row r="45" spans="1:17" s="62" customFormat="1" ht="78.75" x14ac:dyDescent="0.25">
      <c r="A45" s="11" t="s">
        <v>69</v>
      </c>
      <c r="B45" s="17" t="s">
        <v>70</v>
      </c>
      <c r="C45" s="63" t="s">
        <v>524</v>
      </c>
      <c r="D45" s="8">
        <v>31.52</v>
      </c>
      <c r="E45" s="64">
        <v>60.61</v>
      </c>
      <c r="F45" s="65">
        <f>D45*E45</f>
        <v>1910.4271999999999</v>
      </c>
      <c r="G45" s="4" t="s">
        <v>562</v>
      </c>
      <c r="H45" s="9" t="s">
        <v>67</v>
      </c>
      <c r="I45" s="10"/>
      <c r="J45" s="53"/>
      <c r="K45" s="53"/>
      <c r="L45" s="53"/>
      <c r="M45" s="53"/>
      <c r="N45" s="53"/>
      <c r="O45" s="53"/>
      <c r="P45" s="53"/>
      <c r="Q45" s="53"/>
    </row>
    <row r="46" spans="1:17" s="62" customFormat="1" ht="64.5" customHeight="1" x14ac:dyDescent="0.25">
      <c r="A46" s="11"/>
      <c r="B46" s="12" t="s">
        <v>72</v>
      </c>
      <c r="C46" s="63"/>
      <c r="D46" s="64"/>
      <c r="E46" s="64"/>
      <c r="F46" s="65"/>
      <c r="G46" s="4"/>
      <c r="H46" s="9"/>
      <c r="I46" s="10"/>
      <c r="J46" s="53"/>
      <c r="K46" s="53"/>
      <c r="L46" s="53"/>
      <c r="M46" s="53"/>
      <c r="N46" s="53"/>
      <c r="O46" s="53"/>
      <c r="P46" s="53"/>
      <c r="Q46" s="53"/>
    </row>
    <row r="47" spans="1:17" s="62" customFormat="1" x14ac:dyDescent="0.25">
      <c r="A47" s="11"/>
      <c r="B47" s="12"/>
      <c r="C47" s="63"/>
      <c r="D47" s="64"/>
      <c r="E47" s="64"/>
      <c r="F47" s="65"/>
      <c r="G47" s="4"/>
      <c r="H47" s="9"/>
      <c r="I47" s="10"/>
      <c r="J47" s="53"/>
      <c r="K47" s="53"/>
      <c r="L47" s="53"/>
      <c r="M47" s="53"/>
      <c r="N47" s="53"/>
      <c r="O47" s="53"/>
      <c r="P47" s="53"/>
      <c r="Q47" s="53"/>
    </row>
    <row r="48" spans="1:17" s="62" customFormat="1" ht="31.5" x14ac:dyDescent="0.25">
      <c r="A48" s="11" t="s">
        <v>73</v>
      </c>
      <c r="B48" s="17" t="s">
        <v>74</v>
      </c>
      <c r="C48" s="63" t="s">
        <v>525</v>
      </c>
      <c r="D48" s="64">
        <v>0</v>
      </c>
      <c r="E48" s="64">
        <v>2147.9</v>
      </c>
      <c r="F48" s="65">
        <f>D48*E48</f>
        <v>0</v>
      </c>
      <c r="G48" s="4" t="s">
        <v>563</v>
      </c>
      <c r="H48" s="9" t="s">
        <v>76</v>
      </c>
      <c r="I48" s="10"/>
      <c r="J48" s="53"/>
      <c r="K48" s="53"/>
      <c r="L48" s="53"/>
      <c r="M48" s="53"/>
      <c r="N48" s="53"/>
      <c r="O48" s="53"/>
      <c r="P48" s="53"/>
      <c r="Q48" s="53"/>
    </row>
    <row r="49" spans="1:17" s="62" customFormat="1" ht="174.75" customHeight="1" x14ac:dyDescent="0.25">
      <c r="A49" s="11"/>
      <c r="B49" s="12" t="s">
        <v>77</v>
      </c>
      <c r="C49" s="63"/>
      <c r="D49" s="64"/>
      <c r="E49" s="64"/>
      <c r="F49" s="69"/>
      <c r="G49" s="4"/>
      <c r="H49" s="9"/>
      <c r="I49" s="10"/>
      <c r="J49" s="53"/>
      <c r="K49" s="53"/>
      <c r="L49" s="53"/>
      <c r="M49" s="53"/>
      <c r="N49" s="53"/>
      <c r="O49" s="53"/>
      <c r="P49" s="53"/>
      <c r="Q49" s="53"/>
    </row>
    <row r="50" spans="1:17" s="62" customFormat="1" x14ac:dyDescent="0.25">
      <c r="A50" s="11"/>
      <c r="B50" s="20"/>
      <c r="C50" s="63"/>
      <c r="D50" s="64"/>
      <c r="E50" s="64"/>
      <c r="F50" s="69"/>
      <c r="G50" s="4"/>
      <c r="H50" s="9"/>
      <c r="I50" s="10"/>
      <c r="J50" s="53"/>
      <c r="K50" s="53"/>
      <c r="L50" s="53"/>
      <c r="M50" s="53"/>
      <c r="N50" s="53"/>
      <c r="O50" s="53"/>
      <c r="P50" s="53"/>
      <c r="Q50" s="53"/>
    </row>
    <row r="51" spans="1:17" s="62" customFormat="1" ht="141.75" x14ac:dyDescent="0.25">
      <c r="A51" s="11" t="s">
        <v>78</v>
      </c>
      <c r="B51" s="17" t="s">
        <v>79</v>
      </c>
      <c r="C51" s="63" t="s">
        <v>80</v>
      </c>
      <c r="D51" s="21">
        <v>0</v>
      </c>
      <c r="E51" s="64">
        <v>691.42</v>
      </c>
      <c r="F51" s="65">
        <f>D51*E51</f>
        <v>0</v>
      </c>
      <c r="G51" s="4" t="s">
        <v>564</v>
      </c>
      <c r="H51" s="9" t="s">
        <v>67</v>
      </c>
      <c r="I51" s="10"/>
      <c r="J51" s="53"/>
      <c r="K51" s="53"/>
      <c r="L51" s="53"/>
      <c r="M51" s="53"/>
      <c r="N51" s="53"/>
      <c r="O51" s="53"/>
      <c r="P51" s="53"/>
      <c r="Q51" s="53"/>
    </row>
    <row r="52" spans="1:17" s="62" customFormat="1" ht="78" customHeight="1" x14ac:dyDescent="0.25">
      <c r="A52" s="11"/>
      <c r="B52" s="12" t="s">
        <v>82</v>
      </c>
      <c r="C52" s="63"/>
      <c r="D52" s="64"/>
      <c r="E52" s="64"/>
      <c r="F52" s="65"/>
      <c r="G52" s="4"/>
      <c r="H52" s="9"/>
      <c r="I52" s="10"/>
      <c r="J52" s="53"/>
      <c r="K52" s="53"/>
      <c r="L52" s="53"/>
      <c r="M52" s="53"/>
      <c r="N52" s="53"/>
      <c r="O52" s="53"/>
      <c r="P52" s="53"/>
      <c r="Q52" s="53"/>
    </row>
    <row r="53" spans="1:17" s="62" customFormat="1" x14ac:dyDescent="0.25">
      <c r="A53" s="11"/>
      <c r="B53" s="12"/>
      <c r="C53" s="63"/>
      <c r="D53" s="64"/>
      <c r="E53" s="64"/>
      <c r="F53" s="65"/>
      <c r="G53" s="4"/>
      <c r="H53" s="9"/>
      <c r="I53" s="10"/>
      <c r="J53" s="53"/>
      <c r="K53" s="53"/>
      <c r="L53" s="53"/>
      <c r="M53" s="53"/>
      <c r="N53" s="53"/>
      <c r="O53" s="53"/>
      <c r="P53" s="53"/>
      <c r="Q53" s="53"/>
    </row>
    <row r="54" spans="1:17" s="62" customFormat="1" ht="111" customHeight="1" x14ac:dyDescent="0.25">
      <c r="A54" s="11" t="s">
        <v>83</v>
      </c>
      <c r="B54" s="17" t="s">
        <v>84</v>
      </c>
      <c r="C54" s="63" t="s">
        <v>524</v>
      </c>
      <c r="D54" s="64">
        <f>28*0.25*2+18*0.25*2+(18.6+3.02)*0.25*2+(4.46+2.25+2.41+2.25+2.41+0.2)*0.25+0.4*0.25*2+15.4*0.25*2+1.1*0.25*2+(3.75+1.66)*0.25+(2.58+3.74)*0.25+1.24*0.25+4.7*0.25+(2.11*2+0.18*3)*0.25+1.82*0.25+14*0.7*0.7+15*0.4*0.4+1.3*1.3*3.14</f>
        <v>66.384099999999989</v>
      </c>
      <c r="E54" s="64">
        <v>58.52</v>
      </c>
      <c r="F54" s="65">
        <f>D54*E54</f>
        <v>3884.7975319999996</v>
      </c>
      <c r="G54" s="4" t="s">
        <v>85</v>
      </c>
      <c r="H54" s="9" t="s">
        <v>67</v>
      </c>
      <c r="I54" s="10"/>
      <c r="J54" s="53"/>
      <c r="K54" s="53"/>
      <c r="L54" s="53"/>
      <c r="M54" s="53"/>
      <c r="N54" s="53"/>
      <c r="O54" s="53"/>
      <c r="P54" s="53"/>
      <c r="Q54" s="53"/>
    </row>
    <row r="55" spans="1:17" s="62" customFormat="1" ht="47.25" x14ac:dyDescent="0.25">
      <c r="A55" s="11"/>
      <c r="B55" s="12" t="s">
        <v>86</v>
      </c>
      <c r="C55" s="63"/>
      <c r="D55" s="64"/>
      <c r="E55" s="64"/>
      <c r="F55" s="65"/>
      <c r="G55" s="4"/>
      <c r="H55" s="9"/>
      <c r="I55" s="10"/>
      <c r="J55" s="53"/>
      <c r="K55" s="53"/>
      <c r="L55" s="53"/>
      <c r="M55" s="53"/>
      <c r="N55" s="53"/>
      <c r="O55" s="53"/>
      <c r="P55" s="53"/>
      <c r="Q55" s="53"/>
    </row>
    <row r="56" spans="1:17" s="62" customFormat="1" x14ac:dyDescent="0.25">
      <c r="A56" s="11"/>
      <c r="B56" s="12"/>
      <c r="C56" s="63"/>
      <c r="D56" s="64"/>
      <c r="E56" s="64"/>
      <c r="F56" s="65"/>
      <c r="G56" s="4"/>
      <c r="H56" s="9"/>
      <c r="I56" s="10"/>
      <c r="J56" s="53"/>
      <c r="K56" s="53"/>
      <c r="L56" s="53"/>
      <c r="M56" s="53"/>
      <c r="N56" s="53"/>
      <c r="O56" s="53"/>
      <c r="P56" s="53"/>
      <c r="Q56" s="53"/>
    </row>
    <row r="57" spans="1:17" s="62" customFormat="1" x14ac:dyDescent="0.25">
      <c r="A57" s="11"/>
      <c r="B57" s="14"/>
      <c r="C57" s="70"/>
      <c r="D57" s="32"/>
      <c r="E57" s="64"/>
      <c r="F57" s="69"/>
      <c r="G57" s="8"/>
      <c r="H57" s="9"/>
      <c r="I57" s="10"/>
      <c r="J57" s="53"/>
      <c r="K57" s="53"/>
      <c r="L57" s="53"/>
      <c r="M57" s="53"/>
      <c r="N57" s="53"/>
      <c r="O57" s="53"/>
      <c r="P57" s="53"/>
      <c r="Q57" s="53"/>
    </row>
    <row r="58" spans="1:17" s="62" customFormat="1" x14ac:dyDescent="0.25">
      <c r="A58" s="11" t="s">
        <v>87</v>
      </c>
      <c r="B58" s="22" t="s">
        <v>88</v>
      </c>
      <c r="C58" s="63"/>
      <c r="D58" s="67"/>
      <c r="E58" s="64"/>
      <c r="F58" s="65"/>
      <c r="G58" s="8"/>
      <c r="H58" s="9"/>
      <c r="I58" s="10"/>
      <c r="J58" s="53"/>
      <c r="K58" s="53"/>
      <c r="L58" s="53"/>
      <c r="M58" s="53"/>
      <c r="N58" s="53"/>
      <c r="O58" s="53"/>
      <c r="P58" s="53"/>
      <c r="Q58" s="53"/>
    </row>
    <row r="59" spans="1:17" s="62" customFormat="1" x14ac:dyDescent="0.25">
      <c r="A59" s="11" t="s">
        <v>89</v>
      </c>
      <c r="B59" s="17" t="s">
        <v>90</v>
      </c>
      <c r="C59" s="63" t="s">
        <v>21</v>
      </c>
      <c r="D59" s="67">
        <v>0</v>
      </c>
      <c r="E59" s="64">
        <v>693.08</v>
      </c>
      <c r="F59" s="65">
        <f>D59*E59</f>
        <v>0</v>
      </c>
      <c r="G59" s="166" t="s">
        <v>553</v>
      </c>
      <c r="H59" s="9" t="s">
        <v>91</v>
      </c>
      <c r="I59" s="10"/>
      <c r="J59" s="53"/>
      <c r="K59" s="53"/>
      <c r="L59" s="53"/>
      <c r="M59" s="53"/>
      <c r="N59" s="53"/>
      <c r="O59" s="53"/>
      <c r="P59" s="53"/>
      <c r="Q59" s="53"/>
    </row>
    <row r="60" spans="1:17" s="62" customFormat="1" ht="63" x14ac:dyDescent="0.25">
      <c r="A60" s="11"/>
      <c r="B60" s="12" t="s">
        <v>92</v>
      </c>
      <c r="C60" s="63"/>
      <c r="D60" s="67"/>
      <c r="E60" s="64"/>
      <c r="F60" s="65"/>
      <c r="G60" s="8"/>
      <c r="H60" s="9"/>
      <c r="I60" s="10"/>
      <c r="J60" s="53"/>
      <c r="K60" s="53"/>
      <c r="L60" s="53"/>
      <c r="M60" s="53"/>
      <c r="N60" s="53"/>
      <c r="O60" s="53"/>
      <c r="P60" s="53"/>
      <c r="Q60" s="53"/>
    </row>
    <row r="61" spans="1:17" s="62" customFormat="1" x14ac:dyDescent="0.25">
      <c r="A61" s="11"/>
      <c r="B61" s="12"/>
      <c r="C61" s="63"/>
      <c r="D61" s="67"/>
      <c r="E61" s="64"/>
      <c r="F61" s="65"/>
      <c r="G61" s="8"/>
      <c r="H61" s="9"/>
      <c r="I61" s="10"/>
      <c r="J61" s="53"/>
      <c r="K61" s="53"/>
      <c r="L61" s="53"/>
      <c r="M61" s="53"/>
      <c r="N61" s="53"/>
      <c r="O61" s="53"/>
      <c r="P61" s="53"/>
      <c r="Q61" s="53"/>
    </row>
    <row r="62" spans="1:17" s="62" customFormat="1" ht="78.75" x14ac:dyDescent="0.25">
      <c r="A62" s="11" t="s">
        <v>93</v>
      </c>
      <c r="B62" s="17" t="s">
        <v>94</v>
      </c>
      <c r="C62" s="63" t="s">
        <v>95</v>
      </c>
      <c r="D62" s="67">
        <v>0</v>
      </c>
      <c r="E62" s="64">
        <v>72.5</v>
      </c>
      <c r="F62" s="65">
        <f>D62*E62</f>
        <v>0</v>
      </c>
      <c r="G62" s="8" t="s">
        <v>565</v>
      </c>
      <c r="H62" s="9" t="s">
        <v>96</v>
      </c>
      <c r="I62" s="10"/>
      <c r="J62" s="53"/>
      <c r="K62" s="53"/>
      <c r="L62" s="53"/>
      <c r="M62" s="53"/>
      <c r="N62" s="53"/>
      <c r="O62" s="53"/>
      <c r="P62" s="53"/>
      <c r="Q62" s="53"/>
    </row>
    <row r="63" spans="1:17" s="62" customFormat="1" ht="63" x14ac:dyDescent="0.25">
      <c r="A63" s="11"/>
      <c r="B63" s="12" t="s">
        <v>97</v>
      </c>
      <c r="C63" s="63"/>
      <c r="D63" s="67"/>
      <c r="E63" s="64"/>
      <c r="F63" s="65"/>
      <c r="G63" s="8"/>
      <c r="H63" s="9"/>
      <c r="I63" s="10"/>
      <c r="J63" s="53"/>
      <c r="K63" s="53"/>
      <c r="L63" s="53"/>
      <c r="M63" s="53"/>
      <c r="N63" s="53"/>
      <c r="O63" s="53"/>
      <c r="P63" s="53"/>
      <c r="Q63" s="53"/>
    </row>
    <row r="64" spans="1:17" s="62" customFormat="1" ht="18" customHeight="1" x14ac:dyDescent="0.25">
      <c r="A64" s="23"/>
      <c r="B64" s="24"/>
      <c r="C64" s="361" t="s">
        <v>34</v>
      </c>
      <c r="D64" s="361"/>
      <c r="E64" s="361"/>
      <c r="F64" s="66">
        <f>SUM(F42:F63)</f>
        <v>7133.2567319999998</v>
      </c>
      <c r="G64" s="4"/>
      <c r="H64" s="9"/>
      <c r="I64" s="10"/>
      <c r="J64" s="53"/>
      <c r="K64" s="53"/>
      <c r="L64" s="53"/>
      <c r="M64" s="53"/>
      <c r="N64" s="53"/>
      <c r="O64" s="53"/>
      <c r="P64" s="53"/>
      <c r="Q64" s="53"/>
    </row>
    <row r="65" spans="1:17" s="62" customFormat="1" x14ac:dyDescent="0.25">
      <c r="A65" s="3" t="s">
        <v>98</v>
      </c>
      <c r="B65" s="57" t="s">
        <v>99</v>
      </c>
      <c r="C65" s="58"/>
      <c r="D65" s="58"/>
      <c r="E65" s="64"/>
      <c r="F65" s="65"/>
      <c r="G65" s="4"/>
      <c r="H65" s="9"/>
      <c r="I65" s="10"/>
      <c r="J65" s="53"/>
      <c r="K65" s="53"/>
      <c r="L65" s="53"/>
      <c r="M65" s="53"/>
      <c r="N65" s="53"/>
      <c r="O65" s="53"/>
      <c r="P65" s="53"/>
      <c r="Q65" s="53"/>
    </row>
    <row r="66" spans="1:17" s="62" customFormat="1" x14ac:dyDescent="0.25">
      <c r="A66" s="11"/>
      <c r="B66" s="12"/>
      <c r="C66" s="63"/>
      <c r="D66" s="67"/>
      <c r="E66" s="64"/>
      <c r="F66" s="65"/>
      <c r="G66" s="4"/>
      <c r="H66" s="9"/>
      <c r="I66" s="10"/>
      <c r="J66" s="53"/>
      <c r="K66" s="53"/>
      <c r="L66" s="53"/>
      <c r="M66" s="53"/>
      <c r="N66" s="53"/>
      <c r="O66" s="53"/>
      <c r="P66" s="53"/>
      <c r="Q66" s="53"/>
    </row>
    <row r="67" spans="1:17" s="62" customFormat="1" ht="63" x14ac:dyDescent="0.25">
      <c r="A67" s="11" t="s">
        <v>100</v>
      </c>
      <c r="B67" s="17" t="s">
        <v>101</v>
      </c>
      <c r="C67" s="63" t="s">
        <v>525</v>
      </c>
      <c r="D67" s="64">
        <v>0.62</v>
      </c>
      <c r="E67" s="64">
        <v>3009.71</v>
      </c>
      <c r="F67" s="65">
        <f>D67*E67</f>
        <v>1866.0201999999999</v>
      </c>
      <c r="G67" s="4" t="s">
        <v>566</v>
      </c>
      <c r="H67" s="9" t="s">
        <v>103</v>
      </c>
      <c r="I67" s="10"/>
      <c r="J67" s="53"/>
      <c r="K67" s="53"/>
      <c r="L67" s="53"/>
      <c r="M67" s="53"/>
      <c r="N67" s="53"/>
      <c r="O67" s="53"/>
      <c r="P67" s="53"/>
      <c r="Q67" s="53"/>
    </row>
    <row r="68" spans="1:17" s="62" customFormat="1" ht="180" customHeight="1" x14ac:dyDescent="0.25">
      <c r="A68" s="11"/>
      <c r="B68" s="12" t="s">
        <v>104</v>
      </c>
      <c r="C68" s="63"/>
      <c r="D68" s="64"/>
      <c r="E68" s="64"/>
      <c r="F68" s="65"/>
      <c r="G68" s="4"/>
      <c r="H68" s="9"/>
      <c r="I68" s="10"/>
      <c r="J68" s="53"/>
      <c r="K68" s="53"/>
      <c r="L68" s="53"/>
      <c r="M68" s="53"/>
      <c r="N68" s="53"/>
      <c r="O68" s="53"/>
      <c r="P68" s="53"/>
      <c r="Q68" s="53"/>
    </row>
    <row r="69" spans="1:17" s="62" customFormat="1" x14ac:dyDescent="0.25">
      <c r="A69" s="11"/>
      <c r="B69" s="17"/>
      <c r="C69" s="63"/>
      <c r="D69" s="64"/>
      <c r="E69" s="64"/>
      <c r="F69" s="65"/>
      <c r="G69" s="4"/>
      <c r="H69" s="9"/>
      <c r="I69" s="10"/>
      <c r="J69" s="53"/>
      <c r="K69" s="53"/>
      <c r="L69" s="53"/>
      <c r="M69" s="53"/>
      <c r="N69" s="53"/>
      <c r="O69" s="53"/>
      <c r="P69" s="53"/>
      <c r="Q69" s="53"/>
    </row>
    <row r="70" spans="1:17" s="62" customFormat="1" x14ac:dyDescent="0.25">
      <c r="A70" s="11"/>
      <c r="B70" s="12"/>
      <c r="C70" s="63"/>
      <c r="D70" s="67"/>
      <c r="E70" s="64"/>
      <c r="F70" s="65"/>
      <c r="G70" s="4"/>
      <c r="H70" s="9"/>
      <c r="I70" s="10"/>
      <c r="J70" s="53"/>
      <c r="K70" s="53"/>
      <c r="L70" s="53"/>
      <c r="M70" s="53"/>
      <c r="N70" s="53"/>
      <c r="O70" s="53"/>
      <c r="P70" s="53"/>
      <c r="Q70" s="53"/>
    </row>
    <row r="71" spans="1:17" s="62" customFormat="1" ht="63" x14ac:dyDescent="0.25">
      <c r="A71" s="11" t="s">
        <v>105</v>
      </c>
      <c r="B71" s="17" t="s">
        <v>106</v>
      </c>
      <c r="C71" s="63" t="s">
        <v>524</v>
      </c>
      <c r="D71" s="67">
        <f>(4.46+2.25+2.41+2.4+2.46)*0.4+15.8*0.7+15.8*0.4+(2.11*2+0.2+0.36)*2.2+2.96*4.14+10.24*3.74-2.35*1.36-1.36*4.89+2.58*3.74</f>
        <v>83.842799999999983</v>
      </c>
      <c r="E71" s="64">
        <v>295.43</v>
      </c>
      <c r="F71" s="65">
        <f>D71*E71</f>
        <v>24769.678403999995</v>
      </c>
      <c r="G71" s="4" t="s">
        <v>107</v>
      </c>
      <c r="H71" s="9" t="s">
        <v>108</v>
      </c>
      <c r="I71" s="10"/>
      <c r="J71" s="53"/>
      <c r="K71" s="53"/>
      <c r="L71" s="53"/>
      <c r="M71" s="53"/>
      <c r="N71" s="53"/>
      <c r="O71" s="53"/>
      <c r="P71" s="53"/>
      <c r="Q71" s="53"/>
    </row>
    <row r="72" spans="1:17" s="62" customFormat="1" ht="141.75" x14ac:dyDescent="0.25">
      <c r="A72" s="11"/>
      <c r="B72" s="12" t="s">
        <v>109</v>
      </c>
      <c r="C72" s="63"/>
      <c r="D72" s="67"/>
      <c r="E72" s="64"/>
      <c r="F72" s="65"/>
      <c r="G72" s="4"/>
      <c r="H72" s="9"/>
      <c r="I72" s="10"/>
      <c r="J72" s="53"/>
      <c r="K72" s="53"/>
      <c r="L72" s="53"/>
      <c r="M72" s="53"/>
      <c r="N72" s="53"/>
      <c r="O72" s="53"/>
      <c r="P72" s="53"/>
      <c r="Q72" s="53"/>
    </row>
    <row r="73" spans="1:17" s="62" customFormat="1" x14ac:dyDescent="0.25">
      <c r="A73" s="11"/>
      <c r="B73" s="12"/>
      <c r="C73" s="63"/>
      <c r="D73" s="67"/>
      <c r="E73" s="64"/>
      <c r="F73" s="65"/>
      <c r="G73" s="4"/>
      <c r="H73" s="9"/>
      <c r="I73" s="10"/>
      <c r="J73" s="53"/>
      <c r="K73" s="53"/>
      <c r="L73" s="53"/>
      <c r="M73" s="53"/>
      <c r="N73" s="53"/>
      <c r="O73" s="53"/>
      <c r="P73" s="53"/>
      <c r="Q73" s="53"/>
    </row>
    <row r="74" spans="1:17" s="62" customFormat="1" ht="18" customHeight="1" x14ac:dyDescent="0.25">
      <c r="A74" s="23"/>
      <c r="B74" s="25"/>
      <c r="C74" s="361" t="s">
        <v>34</v>
      </c>
      <c r="D74" s="361"/>
      <c r="E74" s="361"/>
      <c r="F74" s="66">
        <f>SUM(F66:F73)</f>
        <v>26635.698603999994</v>
      </c>
      <c r="G74" s="4"/>
      <c r="H74" s="9"/>
      <c r="I74" s="10"/>
      <c r="J74" s="53"/>
      <c r="K74" s="53"/>
      <c r="L74" s="53"/>
      <c r="M74" s="53"/>
      <c r="N74" s="53"/>
      <c r="O74" s="53"/>
      <c r="P74" s="53"/>
      <c r="Q74" s="53"/>
    </row>
    <row r="75" spans="1:17" s="62" customFormat="1" x14ac:dyDescent="0.25">
      <c r="A75" s="3" t="s">
        <v>110</v>
      </c>
      <c r="B75" s="57" t="s">
        <v>111</v>
      </c>
      <c r="C75" s="71"/>
      <c r="D75" s="72"/>
      <c r="E75" s="60"/>
      <c r="F75" s="65"/>
      <c r="G75" s="4"/>
      <c r="H75" s="9"/>
      <c r="I75" s="10"/>
      <c r="J75" s="53"/>
      <c r="K75" s="53"/>
      <c r="L75" s="53"/>
      <c r="M75" s="53"/>
      <c r="N75" s="53"/>
      <c r="O75" s="53"/>
      <c r="P75" s="53"/>
      <c r="Q75" s="53"/>
    </row>
    <row r="76" spans="1:17" s="62" customFormat="1" x14ac:dyDescent="0.25">
      <c r="A76" s="6" t="s">
        <v>112</v>
      </c>
      <c r="B76" s="26" t="s">
        <v>113</v>
      </c>
      <c r="C76" s="63"/>
      <c r="D76" s="67"/>
      <c r="E76" s="73"/>
      <c r="F76" s="65"/>
      <c r="G76" s="4"/>
      <c r="H76" s="9"/>
      <c r="I76" s="10"/>
      <c r="J76" s="53"/>
      <c r="K76" s="53"/>
      <c r="L76" s="53"/>
      <c r="M76" s="53"/>
      <c r="N76" s="53"/>
      <c r="O76" s="53"/>
      <c r="P76" s="53"/>
      <c r="Q76" s="53"/>
    </row>
    <row r="77" spans="1:17" s="62" customFormat="1" x14ac:dyDescent="0.25">
      <c r="A77" s="11"/>
      <c r="B77" s="12"/>
      <c r="C77" s="63"/>
      <c r="D77" s="67"/>
      <c r="E77" s="64"/>
      <c r="F77" s="65"/>
      <c r="G77" s="4"/>
      <c r="H77" s="9"/>
      <c r="I77" s="10"/>
      <c r="J77" s="53"/>
      <c r="K77" s="53"/>
      <c r="L77" s="53"/>
      <c r="M77" s="53"/>
      <c r="N77" s="53"/>
      <c r="O77" s="53"/>
      <c r="P77" s="53"/>
      <c r="Q77" s="53"/>
    </row>
    <row r="78" spans="1:17" s="62" customFormat="1" ht="126" x14ac:dyDescent="0.25">
      <c r="A78" s="11" t="s">
        <v>114</v>
      </c>
      <c r="B78" s="17" t="s">
        <v>115</v>
      </c>
      <c r="C78" s="63" t="s">
        <v>524</v>
      </c>
      <c r="D78" s="8">
        <v>50.79</v>
      </c>
      <c r="E78" s="64">
        <v>64.69</v>
      </c>
      <c r="F78" s="65">
        <f>D78*E78</f>
        <v>3285.6050999999998</v>
      </c>
      <c r="G78" s="4" t="s">
        <v>567</v>
      </c>
      <c r="H78" s="9" t="s">
        <v>117</v>
      </c>
      <c r="I78" s="10"/>
      <c r="J78" s="53"/>
      <c r="K78" s="53"/>
      <c r="L78" s="53"/>
      <c r="M78" s="53"/>
      <c r="N78" s="53"/>
      <c r="O78" s="53"/>
      <c r="P78" s="53"/>
      <c r="Q78" s="53"/>
    </row>
    <row r="79" spans="1:17" s="74" customFormat="1" ht="94.5" customHeight="1" x14ac:dyDescent="0.25">
      <c r="A79" s="11"/>
      <c r="B79" s="12" t="s">
        <v>118</v>
      </c>
      <c r="C79" s="63"/>
      <c r="D79" s="67"/>
      <c r="E79" s="64"/>
      <c r="F79" s="65"/>
      <c r="G79" s="4"/>
      <c r="H79" s="9"/>
      <c r="I79" s="10"/>
      <c r="J79" s="53"/>
      <c r="K79" s="53"/>
      <c r="L79" s="53"/>
      <c r="M79" s="53"/>
      <c r="N79" s="53"/>
      <c r="O79" s="53"/>
      <c r="P79" s="53"/>
      <c r="Q79" s="53"/>
    </row>
    <row r="80" spans="1:17" s="74" customFormat="1" x14ac:dyDescent="0.25">
      <c r="A80" s="11"/>
      <c r="B80" s="12"/>
      <c r="C80" s="63"/>
      <c r="D80" s="67"/>
      <c r="E80" s="64"/>
      <c r="F80" s="65"/>
      <c r="G80" s="4"/>
      <c r="H80" s="9"/>
      <c r="I80" s="10"/>
      <c r="J80" s="53"/>
      <c r="K80" s="53"/>
      <c r="L80" s="53"/>
      <c r="M80" s="53"/>
      <c r="N80" s="53"/>
      <c r="O80" s="53"/>
      <c r="P80" s="53"/>
      <c r="Q80" s="53"/>
    </row>
    <row r="81" spans="1:17" s="62" customFormat="1" ht="18" customHeight="1" x14ac:dyDescent="0.25">
      <c r="A81" s="23"/>
      <c r="B81" s="25"/>
      <c r="C81" s="361" t="s">
        <v>34</v>
      </c>
      <c r="D81" s="361"/>
      <c r="E81" s="361"/>
      <c r="F81" s="66">
        <f>SUM(F77:F80)</f>
        <v>3285.6050999999998</v>
      </c>
      <c r="G81" s="4"/>
      <c r="H81" s="9"/>
      <c r="I81" s="10"/>
      <c r="J81" s="53"/>
      <c r="K81" s="53"/>
      <c r="L81" s="53"/>
      <c r="M81" s="53"/>
      <c r="N81" s="53"/>
      <c r="O81" s="53"/>
      <c r="P81" s="53"/>
      <c r="Q81" s="53"/>
    </row>
    <row r="82" spans="1:17" s="62" customFormat="1" x14ac:dyDescent="0.25">
      <c r="A82" s="3" t="s">
        <v>119</v>
      </c>
      <c r="B82" s="57" t="s">
        <v>120</v>
      </c>
      <c r="C82" s="58"/>
      <c r="D82" s="72"/>
      <c r="E82" s="64"/>
      <c r="F82" s="65"/>
      <c r="G82" s="4"/>
      <c r="H82" s="9"/>
      <c r="I82" s="10"/>
      <c r="J82" s="53"/>
      <c r="K82" s="53"/>
      <c r="L82" s="53"/>
      <c r="M82" s="53"/>
      <c r="N82" s="53"/>
      <c r="O82" s="53"/>
      <c r="P82" s="53"/>
      <c r="Q82" s="53"/>
    </row>
    <row r="83" spans="1:17" s="62" customFormat="1" x14ac:dyDescent="0.25">
      <c r="A83" s="6" t="s">
        <v>121</v>
      </c>
      <c r="B83" s="26" t="s">
        <v>122</v>
      </c>
      <c r="C83" s="63"/>
      <c r="D83" s="67"/>
      <c r="E83" s="64"/>
      <c r="F83" s="65"/>
      <c r="G83" s="4"/>
      <c r="H83" s="9"/>
      <c r="I83" s="10"/>
      <c r="J83" s="53"/>
      <c r="K83" s="53"/>
      <c r="L83" s="53"/>
      <c r="M83" s="53"/>
      <c r="N83" s="53"/>
      <c r="O83" s="53"/>
      <c r="P83" s="53"/>
      <c r="Q83" s="53"/>
    </row>
    <row r="84" spans="1:17" s="62" customFormat="1" x14ac:dyDescent="0.25">
      <c r="A84" s="11" t="s">
        <v>123</v>
      </c>
      <c r="B84" s="22" t="s">
        <v>124</v>
      </c>
      <c r="C84" s="63"/>
      <c r="D84" s="67"/>
      <c r="E84" s="64"/>
      <c r="F84" s="65"/>
      <c r="G84" s="4"/>
      <c r="H84" s="9"/>
      <c r="I84" s="10"/>
      <c r="J84" s="53"/>
      <c r="K84" s="53"/>
      <c r="L84" s="53"/>
      <c r="M84" s="53"/>
      <c r="N84" s="53"/>
      <c r="O84" s="53"/>
      <c r="P84" s="53"/>
      <c r="Q84" s="53"/>
    </row>
    <row r="85" spans="1:17" s="62" customFormat="1" ht="67.5" customHeight="1" x14ac:dyDescent="0.25">
      <c r="A85" s="11"/>
      <c r="B85" s="12" t="s">
        <v>125</v>
      </c>
      <c r="C85" s="63"/>
      <c r="D85" s="67"/>
      <c r="E85" s="64"/>
      <c r="F85" s="65"/>
      <c r="G85" s="4"/>
      <c r="H85" s="9"/>
      <c r="I85" s="10"/>
      <c r="J85" s="53"/>
      <c r="K85" s="53"/>
      <c r="L85" s="53"/>
      <c r="M85" s="53"/>
      <c r="N85" s="53"/>
      <c r="O85" s="53"/>
      <c r="P85" s="53"/>
      <c r="Q85" s="53"/>
    </row>
    <row r="86" spans="1:17" s="62" customFormat="1" x14ac:dyDescent="0.25">
      <c r="A86" s="11"/>
      <c r="B86" s="12"/>
      <c r="C86" s="63"/>
      <c r="D86" s="67"/>
      <c r="E86" s="64"/>
      <c r="F86" s="65"/>
      <c r="G86" s="4"/>
      <c r="H86" s="9"/>
      <c r="I86" s="10"/>
      <c r="J86" s="53"/>
      <c r="K86" s="53"/>
      <c r="L86" s="53"/>
      <c r="M86" s="53"/>
      <c r="N86" s="53"/>
      <c r="O86" s="53"/>
      <c r="P86" s="53"/>
      <c r="Q86" s="53"/>
    </row>
    <row r="87" spans="1:17" s="62" customFormat="1" x14ac:dyDescent="0.25">
      <c r="A87" s="11"/>
      <c r="B87" s="12"/>
      <c r="C87" s="63"/>
      <c r="D87" s="67"/>
      <c r="E87" s="64"/>
      <c r="F87" s="65"/>
      <c r="G87" s="4"/>
      <c r="H87" s="9"/>
      <c r="I87" s="10"/>
      <c r="J87" s="53"/>
      <c r="K87" s="53"/>
      <c r="L87" s="53"/>
      <c r="M87" s="53"/>
      <c r="N87" s="53"/>
      <c r="O87" s="53"/>
      <c r="P87" s="53"/>
      <c r="Q87" s="53"/>
    </row>
    <row r="88" spans="1:17" s="62" customFormat="1" ht="31.5" x14ac:dyDescent="0.25">
      <c r="A88" s="11" t="s">
        <v>126</v>
      </c>
      <c r="B88" s="17" t="s">
        <v>127</v>
      </c>
      <c r="C88" s="63" t="s">
        <v>95</v>
      </c>
      <c r="D88" s="67">
        <f>28*2</f>
        <v>56</v>
      </c>
      <c r="E88" s="64">
        <v>93.63</v>
      </c>
      <c r="F88" s="65">
        <f>D88*E88</f>
        <v>5243.28</v>
      </c>
      <c r="G88" s="166" t="s">
        <v>128</v>
      </c>
      <c r="H88" s="9" t="s">
        <v>129</v>
      </c>
      <c r="I88" s="10"/>
      <c r="J88" s="53"/>
      <c r="K88" s="53"/>
      <c r="L88" s="53"/>
      <c r="M88" s="53"/>
      <c r="N88" s="53"/>
      <c r="O88" s="53"/>
      <c r="P88" s="53"/>
      <c r="Q88" s="53"/>
    </row>
    <row r="89" spans="1:17" s="62" customFormat="1" x14ac:dyDescent="0.25">
      <c r="A89" s="11"/>
      <c r="B89" s="17"/>
      <c r="C89" s="63"/>
      <c r="D89" s="67"/>
      <c r="E89" s="64"/>
      <c r="F89" s="65"/>
      <c r="G89" s="4"/>
      <c r="H89" s="9"/>
      <c r="I89" s="10"/>
      <c r="J89" s="53"/>
      <c r="K89" s="53"/>
      <c r="L89" s="53"/>
      <c r="M89" s="53"/>
      <c r="N89" s="53"/>
      <c r="O89" s="53"/>
      <c r="P89" s="53"/>
      <c r="Q89" s="53"/>
    </row>
    <row r="90" spans="1:17" s="62" customFormat="1" x14ac:dyDescent="0.25">
      <c r="A90" s="11" t="s">
        <v>130</v>
      </c>
      <c r="B90" s="22" t="s">
        <v>131</v>
      </c>
      <c r="C90" s="63"/>
      <c r="D90" s="67"/>
      <c r="E90" s="64"/>
      <c r="F90" s="65"/>
      <c r="G90" s="4"/>
      <c r="H90" s="9"/>
      <c r="I90" s="10"/>
      <c r="J90" s="53"/>
      <c r="K90" s="53"/>
      <c r="L90" s="53"/>
      <c r="M90" s="53"/>
      <c r="N90" s="53"/>
      <c r="O90" s="53"/>
      <c r="P90" s="53"/>
      <c r="Q90" s="53"/>
    </row>
    <row r="91" spans="1:17" s="62" customFormat="1" ht="66.75" customHeight="1" x14ac:dyDescent="0.25">
      <c r="A91" s="11"/>
      <c r="B91" s="12" t="s">
        <v>132</v>
      </c>
      <c r="C91" s="63"/>
      <c r="D91" s="67"/>
      <c r="E91" s="64"/>
      <c r="F91" s="65"/>
      <c r="G91" s="4"/>
      <c r="H91" s="9"/>
      <c r="I91" s="10"/>
      <c r="J91" s="53"/>
      <c r="K91" s="53"/>
      <c r="L91" s="53"/>
      <c r="M91" s="53"/>
      <c r="N91" s="53"/>
      <c r="O91" s="53"/>
      <c r="P91" s="53"/>
      <c r="Q91" s="53"/>
    </row>
    <row r="92" spans="1:17" s="62" customFormat="1" x14ac:dyDescent="0.25">
      <c r="A92" s="11"/>
      <c r="B92" s="12"/>
      <c r="C92" s="63"/>
      <c r="D92" s="67"/>
      <c r="E92" s="64"/>
      <c r="F92" s="65"/>
      <c r="G92" s="4"/>
      <c r="H92" s="9"/>
      <c r="I92" s="10"/>
      <c r="J92" s="53"/>
      <c r="K92" s="53"/>
      <c r="L92" s="53"/>
      <c r="M92" s="53"/>
      <c r="N92" s="53"/>
      <c r="O92" s="53"/>
      <c r="P92" s="53"/>
      <c r="Q92" s="53"/>
    </row>
    <row r="93" spans="1:17" s="62" customFormat="1" x14ac:dyDescent="0.25">
      <c r="A93" s="11"/>
      <c r="B93" s="12"/>
      <c r="C93" s="63"/>
      <c r="D93" s="67"/>
      <c r="E93" s="64"/>
      <c r="F93" s="65"/>
      <c r="G93" s="4"/>
      <c r="H93" s="9"/>
      <c r="I93" s="10"/>
      <c r="J93" s="53"/>
      <c r="K93" s="53"/>
      <c r="L93" s="53"/>
      <c r="M93" s="53"/>
      <c r="N93" s="53"/>
      <c r="O93" s="53"/>
      <c r="P93" s="53"/>
      <c r="Q93" s="53"/>
    </row>
    <row r="94" spans="1:17" s="62" customFormat="1" ht="31.5" x14ac:dyDescent="0.25">
      <c r="A94" s="11" t="s">
        <v>133</v>
      </c>
      <c r="B94" s="17" t="s">
        <v>134</v>
      </c>
      <c r="C94" s="63" t="s">
        <v>95</v>
      </c>
      <c r="D94" s="67">
        <v>48</v>
      </c>
      <c r="E94" s="64">
        <v>100.03</v>
      </c>
      <c r="F94" s="65">
        <f>D94*E94</f>
        <v>4801.4400000000005</v>
      </c>
      <c r="G94" s="4" t="s">
        <v>135</v>
      </c>
      <c r="H94" s="9" t="s">
        <v>136</v>
      </c>
      <c r="I94" s="10"/>
      <c r="J94" s="53"/>
      <c r="K94" s="53"/>
      <c r="L94" s="53"/>
      <c r="M94" s="53"/>
      <c r="N94" s="53"/>
      <c r="O94" s="53"/>
      <c r="P94" s="53"/>
      <c r="Q94" s="53"/>
    </row>
    <row r="95" spans="1:17" s="74" customFormat="1" x14ac:dyDescent="0.25">
      <c r="A95" s="11"/>
      <c r="B95" s="12"/>
      <c r="C95" s="63"/>
      <c r="D95" s="67"/>
      <c r="E95" s="64"/>
      <c r="F95" s="65"/>
      <c r="G95" s="4"/>
      <c r="H95" s="9"/>
      <c r="I95" s="10"/>
      <c r="J95" s="53"/>
      <c r="K95" s="53"/>
      <c r="L95" s="53"/>
      <c r="M95" s="53"/>
      <c r="N95" s="53"/>
      <c r="O95" s="53"/>
      <c r="P95" s="53"/>
      <c r="Q95" s="53"/>
    </row>
    <row r="96" spans="1:17" s="62" customFormat="1" ht="18" customHeight="1" x14ac:dyDescent="0.25">
      <c r="A96" s="23"/>
      <c r="B96" s="25"/>
      <c r="C96" s="361" t="s">
        <v>34</v>
      </c>
      <c r="D96" s="361"/>
      <c r="E96" s="361"/>
      <c r="F96" s="66">
        <f>SUM(F84:F95)</f>
        <v>10044.720000000001</v>
      </c>
      <c r="G96" s="4"/>
      <c r="H96" s="9"/>
      <c r="I96" s="10"/>
      <c r="J96" s="53"/>
      <c r="K96" s="53"/>
      <c r="L96" s="53"/>
      <c r="M96" s="53"/>
      <c r="N96" s="53"/>
      <c r="O96" s="53"/>
      <c r="P96" s="53"/>
      <c r="Q96" s="53"/>
    </row>
    <row r="97" spans="1:17" s="62" customFormat="1" ht="18" customHeight="1" x14ac:dyDescent="0.25">
      <c r="A97" s="3" t="s">
        <v>137</v>
      </c>
      <c r="B97" s="57" t="s">
        <v>138</v>
      </c>
      <c r="C97" s="58"/>
      <c r="D97" s="67"/>
      <c r="E97" s="64"/>
      <c r="F97" s="65"/>
      <c r="G97" s="4"/>
      <c r="H97" s="9"/>
      <c r="I97" s="10"/>
      <c r="J97" s="53"/>
      <c r="K97" s="53"/>
      <c r="L97" s="53"/>
      <c r="M97" s="53"/>
      <c r="N97" s="53"/>
      <c r="O97" s="53"/>
      <c r="P97" s="53"/>
      <c r="Q97" s="53"/>
    </row>
    <row r="98" spans="1:17" s="62" customFormat="1" x14ac:dyDescent="0.25">
      <c r="A98" s="6" t="s">
        <v>139</v>
      </c>
      <c r="B98" s="26" t="s">
        <v>140</v>
      </c>
      <c r="C98" s="63"/>
      <c r="D98" s="67"/>
      <c r="E98" s="64"/>
      <c r="F98" s="65"/>
      <c r="G98" s="4"/>
      <c r="H98" s="9"/>
      <c r="I98" s="10"/>
      <c r="J98" s="53"/>
      <c r="K98" s="53"/>
      <c r="L98" s="53"/>
      <c r="M98" s="53"/>
      <c r="N98" s="53"/>
      <c r="O98" s="53"/>
      <c r="P98" s="53"/>
      <c r="Q98" s="53"/>
    </row>
    <row r="99" spans="1:17" s="62" customFormat="1" ht="31.5" x14ac:dyDescent="0.25">
      <c r="A99" s="11" t="s">
        <v>141</v>
      </c>
      <c r="B99" s="17" t="s">
        <v>142</v>
      </c>
      <c r="C99" s="63" t="s">
        <v>21</v>
      </c>
      <c r="D99" s="67">
        <v>1</v>
      </c>
      <c r="E99" s="64">
        <v>45</v>
      </c>
      <c r="F99" s="65">
        <f>D99*E99</f>
        <v>45</v>
      </c>
      <c r="G99" s="4">
        <v>1</v>
      </c>
      <c r="H99" s="9" t="s">
        <v>50</v>
      </c>
      <c r="I99" s="10"/>
      <c r="J99" s="53"/>
      <c r="K99" s="53"/>
      <c r="L99" s="53"/>
      <c r="M99" s="53"/>
      <c r="N99" s="53"/>
      <c r="O99" s="53"/>
      <c r="P99" s="53"/>
      <c r="Q99" s="53"/>
    </row>
    <row r="100" spans="1:17" s="62" customFormat="1" ht="63" x14ac:dyDescent="0.25">
      <c r="A100" s="11"/>
      <c r="B100" s="12" t="s">
        <v>143</v>
      </c>
      <c r="C100" s="63"/>
      <c r="D100" s="67"/>
      <c r="E100" s="64"/>
      <c r="F100" s="65"/>
      <c r="G100" s="4"/>
      <c r="H100" s="9"/>
      <c r="I100" s="10"/>
      <c r="J100" s="53"/>
      <c r="K100" s="53"/>
      <c r="L100" s="53"/>
      <c r="M100" s="53"/>
      <c r="N100" s="53"/>
      <c r="O100" s="53"/>
      <c r="P100" s="53"/>
      <c r="Q100" s="53"/>
    </row>
    <row r="101" spans="1:17" s="62" customFormat="1" x14ac:dyDescent="0.25">
      <c r="A101" s="11"/>
      <c r="B101" s="17"/>
      <c r="C101" s="63"/>
      <c r="D101" s="67"/>
      <c r="E101" s="64"/>
      <c r="F101" s="65"/>
      <c r="G101" s="4"/>
      <c r="H101" s="9"/>
      <c r="I101" s="10"/>
      <c r="J101" s="53"/>
      <c r="K101" s="53"/>
      <c r="L101" s="53"/>
      <c r="M101" s="53"/>
      <c r="N101" s="53"/>
      <c r="O101" s="53"/>
      <c r="P101" s="53"/>
      <c r="Q101" s="53"/>
    </row>
    <row r="102" spans="1:17" s="62" customFormat="1" x14ac:dyDescent="0.25">
      <c r="A102" s="11"/>
      <c r="B102" s="12"/>
      <c r="C102" s="63"/>
      <c r="D102" s="67"/>
      <c r="E102" s="64"/>
      <c r="F102" s="65"/>
      <c r="G102" s="4"/>
      <c r="H102" s="9"/>
      <c r="I102" s="10"/>
      <c r="J102" s="53"/>
      <c r="K102" s="53"/>
      <c r="L102" s="53"/>
      <c r="M102" s="53"/>
      <c r="N102" s="53"/>
      <c r="O102" s="53"/>
      <c r="P102" s="53"/>
      <c r="Q102" s="53"/>
    </row>
    <row r="103" spans="1:17" s="62" customFormat="1" x14ac:dyDescent="0.25">
      <c r="A103" s="11" t="s">
        <v>144</v>
      </c>
      <c r="B103" s="17" t="s">
        <v>145</v>
      </c>
      <c r="C103" s="63" t="s">
        <v>21</v>
      </c>
      <c r="D103" s="67">
        <v>1</v>
      </c>
      <c r="E103" s="64">
        <v>188.31</v>
      </c>
      <c r="F103" s="65">
        <f>D103*E103</f>
        <v>188.31</v>
      </c>
      <c r="G103" s="4">
        <v>1</v>
      </c>
      <c r="H103" s="9" t="s">
        <v>146</v>
      </c>
      <c r="I103" s="10"/>
      <c r="J103" s="53"/>
      <c r="K103" s="53"/>
      <c r="L103" s="53"/>
      <c r="M103" s="53"/>
      <c r="N103" s="53"/>
      <c r="O103" s="53"/>
      <c r="P103" s="53"/>
      <c r="Q103" s="53"/>
    </row>
    <row r="104" spans="1:17" s="62" customFormat="1" ht="47.25" x14ac:dyDescent="0.25">
      <c r="A104" s="11"/>
      <c r="B104" s="12" t="s">
        <v>147</v>
      </c>
      <c r="C104" s="63"/>
      <c r="D104" s="67"/>
      <c r="E104" s="64"/>
      <c r="F104" s="65"/>
      <c r="G104" s="4"/>
      <c r="H104" s="9"/>
      <c r="I104" s="10"/>
      <c r="J104" s="53"/>
      <c r="K104" s="53"/>
      <c r="L104" s="53"/>
      <c r="M104" s="53"/>
      <c r="N104" s="53"/>
      <c r="O104" s="53"/>
      <c r="P104" s="53"/>
      <c r="Q104" s="53"/>
    </row>
    <row r="105" spans="1:17" s="62" customFormat="1" x14ac:dyDescent="0.25">
      <c r="A105" s="11"/>
      <c r="B105" s="12"/>
      <c r="C105" s="63"/>
      <c r="D105" s="67"/>
      <c r="E105" s="64"/>
      <c r="F105" s="65"/>
      <c r="G105" s="4"/>
      <c r="H105" s="9"/>
      <c r="I105" s="10"/>
      <c r="J105" s="53"/>
      <c r="K105" s="53"/>
      <c r="L105" s="53"/>
      <c r="M105" s="53"/>
      <c r="N105" s="53"/>
      <c r="O105" s="53"/>
      <c r="P105" s="53"/>
      <c r="Q105" s="53"/>
    </row>
    <row r="106" spans="1:17" s="62" customFormat="1" x14ac:dyDescent="0.25">
      <c r="A106" s="11"/>
      <c r="B106" s="12"/>
      <c r="C106" s="63"/>
      <c r="D106" s="67"/>
      <c r="E106" s="64"/>
      <c r="F106" s="65"/>
      <c r="G106" s="4"/>
      <c r="H106" s="9"/>
      <c r="I106" s="10"/>
      <c r="J106" s="53"/>
      <c r="K106" s="53"/>
      <c r="L106" s="53"/>
      <c r="M106" s="53"/>
      <c r="N106" s="53"/>
      <c r="O106" s="53"/>
      <c r="P106" s="53"/>
      <c r="Q106" s="53"/>
    </row>
    <row r="107" spans="1:17" s="62" customFormat="1" x14ac:dyDescent="0.25">
      <c r="A107" s="11" t="s">
        <v>148</v>
      </c>
      <c r="B107" s="22" t="s">
        <v>149</v>
      </c>
      <c r="C107" s="63"/>
      <c r="D107" s="67"/>
      <c r="E107" s="64"/>
      <c r="F107" s="65"/>
      <c r="G107" s="4"/>
      <c r="H107" s="9"/>
      <c r="I107" s="10"/>
      <c r="J107" s="53"/>
      <c r="K107" s="53"/>
      <c r="L107" s="53"/>
      <c r="M107" s="53"/>
      <c r="N107" s="53"/>
      <c r="O107" s="53"/>
      <c r="P107" s="53"/>
      <c r="Q107" s="53"/>
    </row>
    <row r="108" spans="1:17" s="62" customFormat="1" x14ac:dyDescent="0.25">
      <c r="A108" s="11" t="s">
        <v>150</v>
      </c>
      <c r="B108" s="17" t="s">
        <v>151</v>
      </c>
      <c r="C108" s="63" t="s">
        <v>21</v>
      </c>
      <c r="D108" s="67">
        <v>2</v>
      </c>
      <c r="E108" s="64">
        <v>229.88</v>
      </c>
      <c r="F108" s="65">
        <f>D108*E108</f>
        <v>459.76</v>
      </c>
      <c r="G108" s="4">
        <v>2</v>
      </c>
      <c r="H108" s="9" t="s">
        <v>152</v>
      </c>
      <c r="I108" s="10"/>
      <c r="J108" s="53"/>
      <c r="K108" s="53"/>
      <c r="L108" s="53"/>
      <c r="M108" s="53"/>
      <c r="N108" s="53"/>
      <c r="O108" s="53"/>
      <c r="P108" s="53"/>
      <c r="Q108" s="53"/>
    </row>
    <row r="109" spans="1:17" s="62" customFormat="1" ht="85.15" customHeight="1" x14ac:dyDescent="0.25">
      <c r="A109" s="11"/>
      <c r="B109" s="12" t="s">
        <v>153</v>
      </c>
      <c r="C109" s="63"/>
      <c r="D109" s="67"/>
      <c r="E109" s="64"/>
      <c r="F109" s="65"/>
      <c r="G109" s="4"/>
      <c r="H109" s="9"/>
      <c r="I109" s="10"/>
      <c r="J109" s="53"/>
      <c r="K109" s="53"/>
      <c r="L109" s="53"/>
      <c r="M109" s="53"/>
      <c r="N109" s="53"/>
      <c r="O109" s="53"/>
      <c r="P109" s="53"/>
      <c r="Q109" s="53"/>
    </row>
    <row r="110" spans="1:17" s="62" customFormat="1" x14ac:dyDescent="0.25">
      <c r="A110" s="11"/>
      <c r="B110" s="12"/>
      <c r="C110" s="63"/>
      <c r="D110" s="67"/>
      <c r="E110" s="64"/>
      <c r="F110" s="65"/>
      <c r="G110" s="4"/>
      <c r="H110" s="9"/>
      <c r="I110" s="10"/>
      <c r="J110" s="53"/>
      <c r="K110" s="53"/>
      <c r="L110" s="53"/>
      <c r="M110" s="53"/>
      <c r="N110" s="53"/>
      <c r="O110" s="53"/>
      <c r="P110" s="53"/>
      <c r="Q110" s="53"/>
    </row>
    <row r="111" spans="1:17" s="62" customFormat="1" ht="31.5" x14ac:dyDescent="0.25">
      <c r="A111" s="11" t="s">
        <v>154</v>
      </c>
      <c r="B111" s="17" t="s">
        <v>155</v>
      </c>
      <c r="C111" s="63" t="s">
        <v>21</v>
      </c>
      <c r="D111" s="67">
        <v>2</v>
      </c>
      <c r="E111" s="64">
        <v>499.76</v>
      </c>
      <c r="F111" s="65">
        <f>D111*E111</f>
        <v>999.52</v>
      </c>
      <c r="G111" s="4">
        <v>2</v>
      </c>
      <c r="H111" s="9" t="s">
        <v>156</v>
      </c>
      <c r="I111" s="10"/>
      <c r="J111" s="53"/>
      <c r="K111" s="53"/>
      <c r="L111" s="53"/>
      <c r="M111" s="53"/>
      <c r="N111" s="53"/>
      <c r="O111" s="53"/>
      <c r="P111" s="53"/>
      <c r="Q111" s="53"/>
    </row>
    <row r="112" spans="1:17" s="62" customFormat="1" ht="94.5" x14ac:dyDescent="0.25">
      <c r="A112" s="11"/>
      <c r="B112" s="12" t="s">
        <v>157</v>
      </c>
      <c r="C112" s="63"/>
      <c r="D112" s="67"/>
      <c r="E112" s="64"/>
      <c r="F112" s="65"/>
      <c r="G112" s="4"/>
      <c r="H112" s="9"/>
      <c r="I112" s="10"/>
      <c r="J112" s="53"/>
      <c r="K112" s="53"/>
      <c r="L112" s="53"/>
      <c r="M112" s="53"/>
      <c r="N112" s="53"/>
      <c r="O112" s="53"/>
      <c r="P112" s="53"/>
      <c r="Q112" s="53"/>
    </row>
    <row r="113" spans="1:17" s="62" customFormat="1" x14ac:dyDescent="0.25">
      <c r="A113" s="11"/>
      <c r="B113" s="12"/>
      <c r="C113" s="63"/>
      <c r="D113" s="67"/>
      <c r="E113" s="64"/>
      <c r="F113" s="65"/>
      <c r="G113" s="4"/>
      <c r="H113" s="9"/>
      <c r="I113" s="10"/>
      <c r="J113" s="53"/>
      <c r="K113" s="53"/>
      <c r="L113" s="53"/>
      <c r="M113" s="53"/>
      <c r="N113" s="53"/>
      <c r="O113" s="53"/>
      <c r="P113" s="53"/>
      <c r="Q113" s="53"/>
    </row>
    <row r="114" spans="1:17" s="62" customFormat="1" x14ac:dyDescent="0.25">
      <c r="A114" s="11"/>
      <c r="B114" s="12"/>
      <c r="C114" s="63"/>
      <c r="D114" s="67"/>
      <c r="E114" s="64"/>
      <c r="F114" s="65"/>
      <c r="G114" s="4"/>
      <c r="H114" s="9"/>
      <c r="I114" s="10"/>
      <c r="J114" s="53"/>
      <c r="K114" s="53"/>
      <c r="L114" s="53"/>
      <c r="M114" s="53"/>
      <c r="N114" s="53"/>
      <c r="O114" s="53"/>
      <c r="P114" s="53"/>
      <c r="Q114" s="53"/>
    </row>
    <row r="115" spans="1:17" s="62" customFormat="1" x14ac:dyDescent="0.25">
      <c r="A115" s="11"/>
      <c r="B115" s="12"/>
      <c r="C115" s="63"/>
      <c r="D115" s="67"/>
      <c r="E115" s="64"/>
      <c r="F115" s="65"/>
      <c r="G115" s="4"/>
      <c r="H115" s="9"/>
      <c r="I115" s="10"/>
      <c r="J115" s="53"/>
      <c r="K115" s="53"/>
      <c r="L115" s="53"/>
      <c r="M115" s="53"/>
      <c r="N115" s="53"/>
      <c r="O115" s="53"/>
      <c r="P115" s="53"/>
      <c r="Q115" s="53"/>
    </row>
    <row r="116" spans="1:17" s="62" customFormat="1" x14ac:dyDescent="0.25">
      <c r="A116" s="11" t="s">
        <v>158</v>
      </c>
      <c r="B116" s="17" t="s">
        <v>159</v>
      </c>
      <c r="C116" s="63" t="s">
        <v>21</v>
      </c>
      <c r="D116" s="67">
        <v>2</v>
      </c>
      <c r="E116" s="64">
        <v>295.33</v>
      </c>
      <c r="F116" s="65">
        <f>D116*E116</f>
        <v>590.66</v>
      </c>
      <c r="G116" s="4">
        <v>2</v>
      </c>
      <c r="H116" s="9" t="s">
        <v>152</v>
      </c>
      <c r="I116" s="10"/>
      <c r="J116" s="53"/>
      <c r="K116" s="53"/>
      <c r="L116" s="53"/>
      <c r="M116" s="53"/>
      <c r="N116" s="53"/>
      <c r="O116" s="53"/>
      <c r="P116" s="53"/>
      <c r="Q116" s="53"/>
    </row>
    <row r="117" spans="1:17" s="62" customFormat="1" ht="94.5" x14ac:dyDescent="0.25">
      <c r="A117" s="11"/>
      <c r="B117" s="12" t="s">
        <v>160</v>
      </c>
      <c r="C117" s="63"/>
      <c r="D117" s="67"/>
      <c r="E117" s="64"/>
      <c r="F117" s="65"/>
      <c r="G117" s="4"/>
      <c r="H117" s="9"/>
      <c r="I117" s="10"/>
      <c r="J117" s="53"/>
      <c r="K117" s="53"/>
      <c r="L117" s="53"/>
      <c r="M117" s="53"/>
      <c r="N117" s="53"/>
      <c r="O117" s="53"/>
      <c r="P117" s="53"/>
      <c r="Q117" s="53"/>
    </row>
    <row r="118" spans="1:17" s="62" customFormat="1" x14ac:dyDescent="0.25">
      <c r="A118" s="11"/>
      <c r="B118" s="12"/>
      <c r="C118" s="63"/>
      <c r="D118" s="67"/>
      <c r="E118" s="64"/>
      <c r="F118" s="65"/>
      <c r="G118" s="4"/>
      <c r="H118" s="9"/>
      <c r="I118" s="10"/>
      <c r="J118" s="53"/>
      <c r="K118" s="53"/>
      <c r="L118" s="53"/>
      <c r="M118" s="53"/>
      <c r="N118" s="53"/>
      <c r="O118" s="53"/>
      <c r="P118" s="53"/>
      <c r="Q118" s="53"/>
    </row>
    <row r="119" spans="1:17" s="62" customFormat="1" x14ac:dyDescent="0.25">
      <c r="A119" s="11"/>
      <c r="B119" s="12"/>
      <c r="C119" s="63"/>
      <c r="D119" s="67"/>
      <c r="E119" s="64"/>
      <c r="F119" s="65"/>
      <c r="G119" s="4"/>
      <c r="H119" s="9"/>
      <c r="I119" s="10"/>
      <c r="J119" s="53"/>
      <c r="K119" s="53"/>
      <c r="L119" s="53"/>
      <c r="M119" s="53"/>
      <c r="N119" s="53"/>
      <c r="O119" s="53"/>
      <c r="P119" s="53"/>
      <c r="Q119" s="53"/>
    </row>
    <row r="120" spans="1:17" s="62" customFormat="1" x14ac:dyDescent="0.25">
      <c r="A120" s="11" t="s">
        <v>161</v>
      </c>
      <c r="B120" s="22" t="s">
        <v>162</v>
      </c>
      <c r="C120" s="63"/>
      <c r="D120" s="67"/>
      <c r="E120" s="64"/>
      <c r="F120" s="65"/>
      <c r="G120" s="4"/>
      <c r="H120" s="9"/>
      <c r="I120" s="10"/>
      <c r="J120" s="53"/>
      <c r="K120" s="53"/>
      <c r="L120" s="53"/>
      <c r="M120" s="53"/>
      <c r="N120" s="53"/>
      <c r="O120" s="53"/>
      <c r="P120" s="53"/>
      <c r="Q120" s="53"/>
    </row>
    <row r="121" spans="1:17" s="62" customFormat="1" ht="47.25" x14ac:dyDescent="0.25">
      <c r="A121" s="11"/>
      <c r="B121" s="12" t="s">
        <v>163</v>
      </c>
      <c r="C121" s="63"/>
      <c r="D121" s="67"/>
      <c r="E121" s="64"/>
      <c r="F121" s="65"/>
      <c r="G121" s="4"/>
      <c r="H121" s="9"/>
      <c r="I121" s="10"/>
      <c r="J121" s="53"/>
      <c r="K121" s="53"/>
      <c r="L121" s="53"/>
      <c r="M121" s="53"/>
      <c r="N121" s="53"/>
      <c r="O121" s="53"/>
      <c r="P121" s="53"/>
      <c r="Q121" s="53"/>
    </row>
    <row r="122" spans="1:17" s="62" customFormat="1" x14ac:dyDescent="0.25">
      <c r="A122" s="11"/>
      <c r="B122" s="22"/>
      <c r="C122" s="63"/>
      <c r="D122" s="67"/>
      <c r="E122" s="64"/>
      <c r="F122" s="65"/>
      <c r="G122" s="4"/>
      <c r="H122" s="9"/>
      <c r="I122" s="10"/>
      <c r="J122" s="53"/>
      <c r="K122" s="53"/>
      <c r="L122" s="53"/>
      <c r="M122" s="53"/>
      <c r="N122" s="53"/>
      <c r="O122" s="53"/>
      <c r="P122" s="53"/>
      <c r="Q122" s="53"/>
    </row>
    <row r="123" spans="1:17" s="62" customFormat="1" x14ac:dyDescent="0.25">
      <c r="A123" s="11"/>
      <c r="B123" s="12"/>
      <c r="C123" s="63"/>
      <c r="D123" s="67"/>
      <c r="E123" s="64"/>
      <c r="F123" s="65"/>
      <c r="G123" s="4"/>
      <c r="H123" s="9"/>
      <c r="I123" s="10"/>
      <c r="J123" s="53"/>
      <c r="K123" s="53"/>
      <c r="L123" s="53"/>
      <c r="M123" s="53"/>
      <c r="N123" s="53"/>
      <c r="O123" s="53"/>
      <c r="P123" s="53"/>
      <c r="Q123" s="53"/>
    </row>
    <row r="124" spans="1:17" s="62" customFormat="1" x14ac:dyDescent="0.25">
      <c r="A124" s="11"/>
      <c r="B124" s="12"/>
      <c r="C124" s="63"/>
      <c r="D124" s="67"/>
      <c r="E124" s="64"/>
      <c r="F124" s="65"/>
      <c r="G124" s="4"/>
      <c r="H124" s="9"/>
      <c r="I124" s="10"/>
      <c r="J124" s="53"/>
      <c r="K124" s="53"/>
      <c r="L124" s="53"/>
      <c r="M124" s="53"/>
      <c r="N124" s="53"/>
      <c r="O124" s="53"/>
      <c r="P124" s="53"/>
      <c r="Q124" s="53"/>
    </row>
    <row r="125" spans="1:17" s="62" customFormat="1" x14ac:dyDescent="0.25">
      <c r="A125" s="11"/>
      <c r="B125" s="12"/>
      <c r="C125" s="63"/>
      <c r="D125" s="67"/>
      <c r="E125" s="64"/>
      <c r="F125" s="65"/>
      <c r="G125" s="4"/>
      <c r="H125" s="9"/>
      <c r="I125" s="10"/>
      <c r="J125" s="53"/>
      <c r="K125" s="53"/>
      <c r="L125" s="53"/>
      <c r="M125" s="53"/>
      <c r="N125" s="53"/>
      <c r="O125" s="53"/>
      <c r="P125" s="53"/>
      <c r="Q125" s="53"/>
    </row>
    <row r="126" spans="1:17" s="62" customFormat="1" x14ac:dyDescent="0.25">
      <c r="A126" s="11" t="s">
        <v>164</v>
      </c>
      <c r="B126" s="17" t="s">
        <v>165</v>
      </c>
      <c r="C126" s="63" t="s">
        <v>21</v>
      </c>
      <c r="D126" s="67">
        <v>1</v>
      </c>
      <c r="E126" s="64">
        <v>89.03</v>
      </c>
      <c r="F126" s="65">
        <f>D126*E126</f>
        <v>89.03</v>
      </c>
      <c r="G126" s="4">
        <v>1</v>
      </c>
      <c r="H126" s="9" t="s">
        <v>166</v>
      </c>
      <c r="I126" s="10"/>
      <c r="J126" s="53"/>
      <c r="K126" s="53"/>
      <c r="L126" s="53"/>
      <c r="M126" s="53"/>
      <c r="N126" s="53"/>
      <c r="O126" s="53"/>
      <c r="P126" s="53"/>
      <c r="Q126" s="53"/>
    </row>
    <row r="127" spans="1:17" s="62" customFormat="1" x14ac:dyDescent="0.25">
      <c r="A127" s="11"/>
      <c r="B127" s="12"/>
      <c r="C127" s="63"/>
      <c r="D127" s="67"/>
      <c r="E127" s="64"/>
      <c r="F127" s="65"/>
      <c r="G127" s="4"/>
      <c r="H127" s="9"/>
      <c r="I127" s="10"/>
      <c r="J127" s="53"/>
      <c r="K127" s="53"/>
      <c r="L127" s="53"/>
      <c r="M127" s="53"/>
      <c r="N127" s="53"/>
      <c r="O127" s="53"/>
      <c r="P127" s="53"/>
      <c r="Q127" s="53"/>
    </row>
    <row r="128" spans="1:17" s="62" customFormat="1" x14ac:dyDescent="0.25">
      <c r="A128" s="11"/>
      <c r="B128" s="12"/>
      <c r="C128" s="63"/>
      <c r="D128" s="67"/>
      <c r="E128" s="64"/>
      <c r="F128" s="65"/>
      <c r="G128" s="4"/>
      <c r="H128" s="9"/>
      <c r="I128" s="10"/>
      <c r="J128" s="53"/>
      <c r="K128" s="53"/>
      <c r="L128" s="53"/>
      <c r="M128" s="53"/>
      <c r="N128" s="53"/>
      <c r="O128" s="53"/>
      <c r="P128" s="53"/>
      <c r="Q128" s="53"/>
    </row>
    <row r="129" spans="1:17" s="62" customFormat="1" x14ac:dyDescent="0.25">
      <c r="A129" s="11" t="s">
        <v>167</v>
      </c>
      <c r="B129" s="17" t="s">
        <v>168</v>
      </c>
      <c r="C129" s="63" t="s">
        <v>21</v>
      </c>
      <c r="D129" s="67">
        <v>2</v>
      </c>
      <c r="E129" s="64">
        <v>161.57</v>
      </c>
      <c r="F129" s="65">
        <f>D129*E129</f>
        <v>323.14</v>
      </c>
      <c r="G129" s="4">
        <v>2</v>
      </c>
      <c r="H129" s="9" t="s">
        <v>169</v>
      </c>
      <c r="I129" s="10"/>
      <c r="J129" s="53"/>
      <c r="K129" s="53"/>
      <c r="L129" s="53"/>
      <c r="M129" s="53"/>
      <c r="N129" s="53"/>
      <c r="O129" s="53"/>
      <c r="P129" s="53"/>
      <c r="Q129" s="53"/>
    </row>
    <row r="130" spans="1:17" s="62" customFormat="1" x14ac:dyDescent="0.25">
      <c r="A130" s="11"/>
      <c r="B130" s="12"/>
      <c r="C130" s="63"/>
      <c r="D130" s="67"/>
      <c r="E130" s="64"/>
      <c r="F130" s="65"/>
      <c r="G130" s="4"/>
      <c r="H130" s="9"/>
      <c r="I130" s="10"/>
      <c r="J130" s="53"/>
      <c r="K130" s="53"/>
      <c r="L130" s="53"/>
      <c r="M130" s="53"/>
      <c r="N130" s="53"/>
      <c r="O130" s="53"/>
      <c r="P130" s="53"/>
      <c r="Q130" s="53"/>
    </row>
    <row r="131" spans="1:17" s="62" customFormat="1" x14ac:dyDescent="0.25">
      <c r="A131" s="11" t="s">
        <v>170</v>
      </c>
      <c r="B131" s="22" t="s">
        <v>171</v>
      </c>
      <c r="C131" s="63"/>
      <c r="D131" s="67"/>
      <c r="E131" s="64"/>
      <c r="F131" s="65"/>
      <c r="G131" s="4"/>
      <c r="H131" s="9"/>
      <c r="I131" s="10"/>
      <c r="J131" s="53"/>
      <c r="K131" s="53"/>
      <c r="L131" s="53"/>
      <c r="M131" s="53"/>
      <c r="N131" s="53"/>
      <c r="O131" s="53"/>
      <c r="P131" s="53"/>
      <c r="Q131" s="53"/>
    </row>
    <row r="132" spans="1:17" s="62" customFormat="1" x14ac:dyDescent="0.25">
      <c r="A132" s="11"/>
      <c r="B132" s="17"/>
      <c r="C132" s="63"/>
      <c r="D132" s="67"/>
      <c r="E132" s="64"/>
      <c r="F132" s="65"/>
      <c r="G132" s="4"/>
      <c r="H132" s="9"/>
      <c r="I132" s="10"/>
      <c r="J132" s="53"/>
      <c r="K132" s="53"/>
      <c r="L132" s="53"/>
      <c r="M132" s="53"/>
      <c r="N132" s="53"/>
      <c r="O132" s="53"/>
      <c r="P132" s="53"/>
      <c r="Q132" s="53"/>
    </row>
    <row r="133" spans="1:17" s="62" customFormat="1" x14ac:dyDescent="0.25">
      <c r="A133" s="11" t="s">
        <v>172</v>
      </c>
      <c r="B133" s="22" t="s">
        <v>173</v>
      </c>
      <c r="C133" s="63"/>
      <c r="D133" s="67"/>
      <c r="E133" s="64"/>
      <c r="F133" s="65"/>
      <c r="G133" s="4"/>
      <c r="H133" s="9"/>
      <c r="I133" s="10"/>
      <c r="J133" s="53"/>
      <c r="K133" s="53"/>
      <c r="L133" s="53"/>
      <c r="M133" s="53"/>
      <c r="N133" s="53"/>
      <c r="O133" s="53"/>
      <c r="P133" s="53"/>
      <c r="Q133" s="53"/>
    </row>
    <row r="134" spans="1:17" s="62" customFormat="1" ht="47.25" x14ac:dyDescent="0.25">
      <c r="A134" s="11" t="s">
        <v>174</v>
      </c>
      <c r="B134" s="17" t="s">
        <v>175</v>
      </c>
      <c r="C134" s="63" t="s">
        <v>21</v>
      </c>
      <c r="D134" s="67">
        <v>1</v>
      </c>
      <c r="E134" s="64">
        <v>1517.51</v>
      </c>
      <c r="F134" s="65">
        <f>D134*E134</f>
        <v>1517.51</v>
      </c>
      <c r="G134" s="4">
        <v>1</v>
      </c>
      <c r="H134" s="9" t="s">
        <v>176</v>
      </c>
      <c r="I134" s="10"/>
      <c r="J134" s="53"/>
      <c r="K134" s="53"/>
      <c r="L134" s="53"/>
      <c r="M134" s="53"/>
      <c r="N134" s="53"/>
      <c r="O134" s="53"/>
      <c r="P134" s="53"/>
      <c r="Q134" s="53"/>
    </row>
    <row r="135" spans="1:17" s="62" customFormat="1" ht="113.25" customHeight="1" x14ac:dyDescent="0.25">
      <c r="A135" s="11"/>
      <c r="B135" s="12" t="s">
        <v>177</v>
      </c>
      <c r="C135" s="63"/>
      <c r="D135" s="67"/>
      <c r="E135" s="64"/>
      <c r="F135" s="65"/>
      <c r="G135" s="4"/>
      <c r="H135" s="9"/>
      <c r="I135" s="10"/>
      <c r="J135" s="53"/>
      <c r="K135" s="53"/>
      <c r="L135" s="53"/>
      <c r="M135" s="53"/>
      <c r="N135" s="53"/>
      <c r="O135" s="53"/>
      <c r="P135" s="53"/>
      <c r="Q135" s="53"/>
    </row>
    <row r="136" spans="1:17" s="62" customFormat="1" x14ac:dyDescent="0.25">
      <c r="A136" s="11"/>
      <c r="B136" s="12"/>
      <c r="C136" s="63"/>
      <c r="D136" s="67"/>
      <c r="E136" s="64"/>
      <c r="F136" s="65"/>
      <c r="G136" s="4"/>
      <c r="H136" s="9"/>
      <c r="I136" s="10"/>
      <c r="J136" s="53"/>
      <c r="K136" s="53"/>
      <c r="L136" s="53"/>
      <c r="M136" s="53"/>
      <c r="N136" s="53"/>
      <c r="O136" s="53"/>
      <c r="P136" s="53"/>
      <c r="Q136" s="53"/>
    </row>
    <row r="137" spans="1:17" s="62" customFormat="1" x14ac:dyDescent="0.25">
      <c r="A137" s="11" t="s">
        <v>178</v>
      </c>
      <c r="B137" s="22" t="s">
        <v>179</v>
      </c>
      <c r="C137" s="63"/>
      <c r="D137" s="67"/>
      <c r="E137" s="64"/>
      <c r="F137" s="65"/>
      <c r="G137" s="4"/>
      <c r="H137" s="9"/>
      <c r="I137" s="10"/>
      <c r="J137" s="53"/>
      <c r="K137" s="53"/>
      <c r="L137" s="53"/>
      <c r="M137" s="53"/>
      <c r="N137" s="53"/>
      <c r="O137" s="53"/>
      <c r="P137" s="53"/>
      <c r="Q137" s="53"/>
    </row>
    <row r="138" spans="1:17" s="62" customFormat="1" ht="94.5" x14ac:dyDescent="0.25">
      <c r="A138" s="11"/>
      <c r="B138" s="12" t="s">
        <v>180</v>
      </c>
      <c r="C138" s="63"/>
      <c r="D138" s="67"/>
      <c r="E138" s="64"/>
      <c r="F138" s="65"/>
      <c r="G138" s="4"/>
      <c r="H138" s="9"/>
      <c r="I138" s="10"/>
      <c r="J138" s="53"/>
      <c r="K138" s="53"/>
      <c r="L138" s="53"/>
      <c r="M138" s="53"/>
      <c r="N138" s="53"/>
      <c r="O138" s="53"/>
      <c r="P138" s="53"/>
      <c r="Q138" s="53"/>
    </row>
    <row r="139" spans="1:17" s="62" customFormat="1" x14ac:dyDescent="0.25">
      <c r="A139" s="11"/>
      <c r="B139" s="22"/>
      <c r="C139" s="63"/>
      <c r="D139" s="67"/>
      <c r="E139" s="64"/>
      <c r="F139" s="65"/>
      <c r="G139" s="4"/>
      <c r="H139" s="9"/>
      <c r="I139" s="10"/>
      <c r="J139" s="53"/>
      <c r="K139" s="53"/>
      <c r="L139" s="53"/>
      <c r="M139" s="53"/>
      <c r="N139" s="53"/>
      <c r="O139" s="53"/>
      <c r="P139" s="53"/>
      <c r="Q139" s="53"/>
    </row>
    <row r="140" spans="1:17" s="62" customFormat="1" x14ac:dyDescent="0.25">
      <c r="A140" s="11"/>
      <c r="B140" s="12"/>
      <c r="C140" s="63"/>
      <c r="D140" s="67"/>
      <c r="E140" s="64"/>
      <c r="F140" s="65"/>
      <c r="G140" s="9"/>
      <c r="H140" s="9"/>
      <c r="I140" s="10"/>
      <c r="J140" s="53"/>
      <c r="K140" s="53"/>
      <c r="L140" s="53"/>
      <c r="M140" s="53"/>
      <c r="N140" s="53"/>
      <c r="O140" s="53"/>
      <c r="P140" s="53"/>
      <c r="Q140" s="53"/>
    </row>
    <row r="141" spans="1:17" s="62" customFormat="1" x14ac:dyDescent="0.25">
      <c r="A141" s="11"/>
      <c r="B141" s="12"/>
      <c r="C141" s="63"/>
      <c r="D141" s="67"/>
      <c r="E141" s="64"/>
      <c r="F141" s="65"/>
      <c r="G141" s="9"/>
      <c r="H141" s="9"/>
      <c r="I141" s="10"/>
      <c r="J141" s="53"/>
      <c r="K141" s="53"/>
      <c r="L141" s="53"/>
      <c r="M141" s="53"/>
      <c r="N141" s="53"/>
      <c r="O141" s="53"/>
      <c r="P141" s="53"/>
      <c r="Q141" s="53"/>
    </row>
    <row r="142" spans="1:17" s="62" customFormat="1" ht="47.25" x14ac:dyDescent="0.25">
      <c r="A142" s="11" t="s">
        <v>181</v>
      </c>
      <c r="B142" s="17" t="s">
        <v>182</v>
      </c>
      <c r="C142" s="63" t="s">
        <v>95</v>
      </c>
      <c r="D142" s="67">
        <v>65</v>
      </c>
      <c r="E142" s="64">
        <v>30.53</v>
      </c>
      <c r="F142" s="65">
        <f>D142*E142</f>
        <v>1984.45</v>
      </c>
      <c r="G142" s="166">
        <v>65</v>
      </c>
      <c r="H142" s="9" t="s">
        <v>183</v>
      </c>
      <c r="I142" s="10"/>
      <c r="J142" s="53"/>
      <c r="K142" s="53"/>
      <c r="L142" s="53"/>
      <c r="M142" s="53"/>
      <c r="N142" s="53"/>
      <c r="O142" s="53"/>
      <c r="P142" s="53"/>
      <c r="Q142" s="53"/>
    </row>
    <row r="143" spans="1:17" s="62" customFormat="1" x14ac:dyDescent="0.25">
      <c r="A143" s="11"/>
      <c r="B143" s="12"/>
      <c r="C143" s="63"/>
      <c r="D143" s="67"/>
      <c r="E143" s="64"/>
      <c r="F143" s="65"/>
      <c r="G143" s="9"/>
      <c r="H143" s="9"/>
      <c r="I143" s="10"/>
      <c r="J143" s="53"/>
      <c r="K143" s="53"/>
      <c r="L143" s="53"/>
      <c r="M143" s="53"/>
      <c r="N143" s="53"/>
      <c r="O143" s="53"/>
      <c r="P143" s="53"/>
      <c r="Q143" s="53"/>
    </row>
    <row r="144" spans="1:17" s="62" customFormat="1" x14ac:dyDescent="0.25">
      <c r="A144" s="11"/>
      <c r="B144" s="12"/>
      <c r="C144" s="63"/>
      <c r="D144" s="67"/>
      <c r="E144" s="64"/>
      <c r="F144" s="65"/>
      <c r="G144" s="9"/>
      <c r="H144" s="9"/>
      <c r="I144" s="10"/>
      <c r="J144" s="53"/>
      <c r="K144" s="53"/>
      <c r="L144" s="53"/>
      <c r="M144" s="53"/>
      <c r="N144" s="53"/>
      <c r="O144" s="53"/>
      <c r="P144" s="53"/>
      <c r="Q144" s="53"/>
    </row>
    <row r="145" spans="1:17" s="62" customFormat="1" ht="31.5" x14ac:dyDescent="0.25">
      <c r="A145" s="11" t="s">
        <v>184</v>
      </c>
      <c r="B145" s="17" t="s">
        <v>185</v>
      </c>
      <c r="C145" s="63" t="s">
        <v>95</v>
      </c>
      <c r="D145" s="67">
        <v>8</v>
      </c>
      <c r="E145" s="64">
        <v>50.65</v>
      </c>
      <c r="F145" s="65">
        <f>D145*E145</f>
        <v>405.2</v>
      </c>
      <c r="G145" s="166">
        <v>8</v>
      </c>
      <c r="H145" s="9" t="s">
        <v>186</v>
      </c>
      <c r="I145" s="10"/>
      <c r="J145" s="53"/>
      <c r="K145" s="53"/>
      <c r="L145" s="53"/>
      <c r="M145" s="53"/>
      <c r="N145" s="53"/>
      <c r="O145" s="53"/>
      <c r="P145" s="53"/>
      <c r="Q145" s="53"/>
    </row>
    <row r="146" spans="1:17" s="62" customFormat="1" x14ac:dyDescent="0.25">
      <c r="A146" s="11"/>
      <c r="B146" s="12"/>
      <c r="C146" s="63"/>
      <c r="D146" s="67"/>
      <c r="E146" s="64"/>
      <c r="F146" s="65"/>
      <c r="G146" s="9"/>
      <c r="H146" s="9"/>
      <c r="I146" s="10"/>
      <c r="J146" s="53"/>
      <c r="K146" s="53"/>
      <c r="L146" s="53"/>
      <c r="M146" s="53"/>
      <c r="N146" s="53"/>
      <c r="O146" s="53"/>
      <c r="P146" s="53"/>
      <c r="Q146" s="53"/>
    </row>
    <row r="147" spans="1:17" s="62" customFormat="1" x14ac:dyDescent="0.25">
      <c r="A147" s="11"/>
      <c r="B147" s="12"/>
      <c r="C147" s="63"/>
      <c r="D147" s="67"/>
      <c r="E147" s="64"/>
      <c r="F147" s="65"/>
      <c r="G147" s="9"/>
      <c r="H147" s="9"/>
      <c r="I147" s="10"/>
      <c r="J147" s="53"/>
      <c r="K147" s="53"/>
      <c r="L147" s="53"/>
      <c r="M147" s="53"/>
      <c r="N147" s="53"/>
      <c r="O147" s="53"/>
      <c r="P147" s="53"/>
      <c r="Q147" s="53"/>
    </row>
    <row r="148" spans="1:17" s="62" customFormat="1" x14ac:dyDescent="0.25">
      <c r="A148" s="11" t="s">
        <v>187</v>
      </c>
      <c r="B148" s="22" t="s">
        <v>188</v>
      </c>
      <c r="C148" s="63"/>
      <c r="D148" s="67"/>
      <c r="E148" s="64"/>
      <c r="F148" s="65"/>
      <c r="G148" s="4"/>
      <c r="H148" s="9"/>
      <c r="I148" s="10"/>
      <c r="J148" s="53"/>
      <c r="K148" s="53"/>
      <c r="L148" s="53"/>
      <c r="M148" s="53"/>
      <c r="N148" s="53"/>
      <c r="O148" s="53"/>
      <c r="P148" s="53"/>
      <c r="Q148" s="53"/>
    </row>
    <row r="149" spans="1:17" s="62" customFormat="1" ht="94.5" x14ac:dyDescent="0.25">
      <c r="A149" s="11"/>
      <c r="B149" s="12" t="s">
        <v>189</v>
      </c>
      <c r="C149" s="63"/>
      <c r="D149" s="67"/>
      <c r="E149" s="64"/>
      <c r="F149" s="65"/>
      <c r="G149" s="4"/>
      <c r="H149" s="9"/>
      <c r="I149" s="10"/>
      <c r="J149" s="53"/>
      <c r="K149" s="53"/>
      <c r="L149" s="53"/>
      <c r="M149" s="53"/>
      <c r="N149" s="53"/>
      <c r="O149" s="53"/>
      <c r="P149" s="53"/>
      <c r="Q149" s="53"/>
    </row>
    <row r="150" spans="1:17" s="62" customFormat="1" x14ac:dyDescent="0.25">
      <c r="A150" s="11"/>
      <c r="B150" s="22"/>
      <c r="C150" s="63"/>
      <c r="D150" s="67"/>
      <c r="E150" s="64"/>
      <c r="F150" s="65"/>
      <c r="G150" s="4"/>
      <c r="H150" s="9"/>
      <c r="I150" s="10"/>
      <c r="J150" s="53"/>
      <c r="K150" s="53"/>
      <c r="L150" s="53"/>
      <c r="M150" s="53"/>
      <c r="N150" s="53"/>
      <c r="O150" s="53"/>
      <c r="P150" s="53"/>
      <c r="Q150" s="53"/>
    </row>
    <row r="151" spans="1:17" s="62" customFormat="1" x14ac:dyDescent="0.25">
      <c r="A151" s="11" t="s">
        <v>190</v>
      </c>
      <c r="B151" s="17" t="s">
        <v>191</v>
      </c>
      <c r="C151" s="63" t="s">
        <v>21</v>
      </c>
      <c r="D151" s="67">
        <v>1</v>
      </c>
      <c r="E151" s="64">
        <v>883.28</v>
      </c>
      <c r="F151" s="65">
        <f>D151*E151</f>
        <v>883.28</v>
      </c>
      <c r="G151" s="4">
        <v>1</v>
      </c>
      <c r="H151" s="9" t="s">
        <v>192</v>
      </c>
      <c r="I151" s="10"/>
      <c r="J151" s="53"/>
      <c r="K151" s="53"/>
      <c r="L151" s="53"/>
      <c r="M151" s="53"/>
      <c r="N151" s="53"/>
      <c r="O151" s="53"/>
      <c r="P151" s="53"/>
      <c r="Q151" s="53"/>
    </row>
    <row r="152" spans="1:17" s="62" customFormat="1" x14ac:dyDescent="0.25">
      <c r="A152" s="11"/>
      <c r="B152" s="12"/>
      <c r="C152" s="63"/>
      <c r="D152" s="67"/>
      <c r="E152" s="64"/>
      <c r="F152" s="65"/>
      <c r="G152" s="4"/>
      <c r="H152" s="9"/>
      <c r="I152" s="10"/>
      <c r="J152" s="53"/>
      <c r="K152" s="53"/>
      <c r="L152" s="53"/>
      <c r="M152" s="53"/>
      <c r="N152" s="53"/>
      <c r="O152" s="53"/>
      <c r="P152" s="53"/>
      <c r="Q152" s="53"/>
    </row>
    <row r="153" spans="1:17" s="62" customFormat="1" x14ac:dyDescent="0.25">
      <c r="A153" s="11"/>
      <c r="B153" s="13"/>
      <c r="C153" s="63"/>
      <c r="D153" s="67"/>
      <c r="E153" s="64"/>
      <c r="F153" s="65"/>
      <c r="G153" s="4"/>
      <c r="H153" s="9"/>
      <c r="I153" s="10"/>
      <c r="J153" s="53"/>
      <c r="K153" s="53"/>
      <c r="L153" s="53"/>
      <c r="M153" s="53"/>
      <c r="N153" s="53"/>
      <c r="O153" s="53"/>
      <c r="P153" s="53"/>
      <c r="Q153" s="53"/>
    </row>
    <row r="154" spans="1:17" s="62" customFormat="1" ht="47.25" x14ac:dyDescent="0.25">
      <c r="A154" s="11" t="s">
        <v>193</v>
      </c>
      <c r="B154" s="13" t="s">
        <v>194</v>
      </c>
      <c r="C154" s="63" t="s">
        <v>21</v>
      </c>
      <c r="D154" s="67">
        <v>1</v>
      </c>
      <c r="E154" s="64">
        <v>6818.23</v>
      </c>
      <c r="F154" s="65">
        <f>D154*E154</f>
        <v>6818.23</v>
      </c>
      <c r="G154" s="4">
        <v>1</v>
      </c>
      <c r="H154" s="9" t="s">
        <v>195</v>
      </c>
      <c r="I154" s="10"/>
      <c r="J154" s="53"/>
      <c r="K154" s="53"/>
      <c r="L154" s="53"/>
      <c r="M154" s="53"/>
      <c r="N154" s="53"/>
      <c r="O154" s="53"/>
      <c r="P154" s="53"/>
      <c r="Q154" s="53"/>
    </row>
    <row r="155" spans="1:17" s="62" customFormat="1" x14ac:dyDescent="0.25">
      <c r="A155" s="11"/>
      <c r="B155" s="17"/>
      <c r="C155" s="63"/>
      <c r="D155" s="67"/>
      <c r="E155" s="64"/>
      <c r="F155" s="65"/>
      <c r="G155" s="4"/>
      <c r="H155" s="9"/>
      <c r="I155" s="10"/>
      <c r="J155" s="53"/>
      <c r="K155" s="53"/>
      <c r="L155" s="53"/>
      <c r="M155" s="53"/>
      <c r="N155" s="53"/>
      <c r="O155" s="53"/>
      <c r="P155" s="53"/>
      <c r="Q155" s="53"/>
    </row>
    <row r="156" spans="1:17" s="62" customFormat="1" x14ac:dyDescent="0.25">
      <c r="A156" s="11" t="s">
        <v>196</v>
      </c>
      <c r="B156" s="17" t="s">
        <v>197</v>
      </c>
      <c r="C156" s="63" t="s">
        <v>21</v>
      </c>
      <c r="D156" s="67">
        <v>2</v>
      </c>
      <c r="E156" s="64">
        <v>67.489999999999995</v>
      </c>
      <c r="F156" s="65">
        <f>D156*E156</f>
        <v>134.97999999999999</v>
      </c>
      <c r="G156" s="4">
        <v>2</v>
      </c>
      <c r="H156" s="9" t="s">
        <v>192</v>
      </c>
      <c r="I156" s="10"/>
      <c r="J156" s="53"/>
      <c r="K156" s="53"/>
      <c r="L156" s="53"/>
      <c r="M156" s="53"/>
      <c r="N156" s="53"/>
      <c r="O156" s="53"/>
      <c r="P156" s="53"/>
      <c r="Q156" s="53"/>
    </row>
    <row r="157" spans="1:17" s="62" customFormat="1" ht="63" x14ac:dyDescent="0.25">
      <c r="A157" s="11"/>
      <c r="B157" s="12" t="s">
        <v>198</v>
      </c>
      <c r="C157" s="63"/>
      <c r="D157" s="67"/>
      <c r="E157" s="64"/>
      <c r="F157" s="65"/>
      <c r="G157" s="4"/>
      <c r="H157" s="9"/>
      <c r="I157" s="10"/>
      <c r="J157" s="53"/>
      <c r="K157" s="53"/>
      <c r="L157" s="53"/>
      <c r="M157" s="53"/>
      <c r="N157" s="53"/>
      <c r="O157" s="53"/>
      <c r="P157" s="53"/>
      <c r="Q157" s="53"/>
    </row>
    <row r="158" spans="1:17" s="62" customFormat="1" x14ac:dyDescent="0.25">
      <c r="A158" s="11"/>
      <c r="B158" s="12"/>
      <c r="C158" s="63"/>
      <c r="D158" s="67"/>
      <c r="E158" s="64"/>
      <c r="F158" s="65"/>
      <c r="G158" s="4"/>
      <c r="H158" s="9"/>
      <c r="I158" s="10"/>
      <c r="J158" s="53"/>
      <c r="K158" s="53"/>
      <c r="L158" s="53"/>
      <c r="M158" s="53"/>
      <c r="N158" s="53"/>
      <c r="O158" s="53"/>
      <c r="P158" s="53"/>
      <c r="Q158" s="53"/>
    </row>
    <row r="159" spans="1:17" s="62" customFormat="1" x14ac:dyDescent="0.25">
      <c r="A159" s="11" t="s">
        <v>199</v>
      </c>
      <c r="B159" s="17" t="s">
        <v>200</v>
      </c>
      <c r="C159" s="63" t="s">
        <v>21</v>
      </c>
      <c r="D159" s="67">
        <v>2</v>
      </c>
      <c r="E159" s="64">
        <v>96.08</v>
      </c>
      <c r="F159" s="65">
        <f>D159*E159</f>
        <v>192.16</v>
      </c>
      <c r="G159" s="166">
        <v>2</v>
      </c>
      <c r="H159" s="9" t="s">
        <v>192</v>
      </c>
      <c r="I159" s="10"/>
      <c r="J159" s="53"/>
      <c r="K159" s="53"/>
      <c r="L159" s="53"/>
      <c r="M159" s="53"/>
      <c r="N159" s="53"/>
      <c r="O159" s="53"/>
      <c r="P159" s="53"/>
      <c r="Q159" s="53"/>
    </row>
    <row r="160" spans="1:17" s="62" customFormat="1" ht="64.5" customHeight="1" x14ac:dyDescent="0.25">
      <c r="A160" s="11"/>
      <c r="B160" s="12" t="s">
        <v>201</v>
      </c>
      <c r="C160" s="63"/>
      <c r="D160" s="67"/>
      <c r="E160" s="64"/>
      <c r="F160" s="65"/>
      <c r="G160" s="4"/>
      <c r="H160" s="9"/>
      <c r="I160" s="10"/>
      <c r="J160" s="53"/>
      <c r="K160" s="53"/>
      <c r="L160" s="53"/>
      <c r="M160" s="53"/>
      <c r="N160" s="53"/>
      <c r="O160" s="53"/>
      <c r="P160" s="53"/>
      <c r="Q160" s="53"/>
    </row>
    <row r="161" spans="1:17" s="62" customFormat="1" x14ac:dyDescent="0.25">
      <c r="A161" s="11"/>
      <c r="B161" s="12"/>
      <c r="C161" s="63"/>
      <c r="D161" s="67"/>
      <c r="E161" s="64"/>
      <c r="F161" s="65"/>
      <c r="G161" s="4"/>
      <c r="H161" s="9"/>
      <c r="I161" s="10"/>
      <c r="J161" s="53"/>
      <c r="K161" s="53"/>
      <c r="L161" s="53"/>
      <c r="M161" s="53"/>
      <c r="N161" s="53"/>
      <c r="O161" s="53"/>
      <c r="P161" s="53"/>
      <c r="Q161" s="53"/>
    </row>
    <row r="162" spans="1:17" s="62" customFormat="1" x14ac:dyDescent="0.25">
      <c r="A162" s="11" t="s">
        <v>202</v>
      </c>
      <c r="B162" s="17" t="s">
        <v>203</v>
      </c>
      <c r="C162" s="63" t="s">
        <v>21</v>
      </c>
      <c r="D162" s="67">
        <v>2</v>
      </c>
      <c r="E162" s="64">
        <v>53.28</v>
      </c>
      <c r="F162" s="65">
        <f>D162*E162</f>
        <v>106.56</v>
      </c>
      <c r="G162" s="166">
        <v>2</v>
      </c>
      <c r="H162" s="9" t="s">
        <v>192</v>
      </c>
      <c r="I162" s="10"/>
      <c r="J162" s="53"/>
      <c r="K162" s="53"/>
      <c r="L162" s="53"/>
      <c r="M162" s="53"/>
      <c r="N162" s="53"/>
      <c r="O162" s="53"/>
      <c r="P162" s="53"/>
      <c r="Q162" s="53"/>
    </row>
    <row r="163" spans="1:17" s="62" customFormat="1" ht="63" x14ac:dyDescent="0.25">
      <c r="A163" s="11"/>
      <c r="B163" s="12" t="s">
        <v>204</v>
      </c>
      <c r="C163" s="63"/>
      <c r="D163" s="67"/>
      <c r="E163" s="64"/>
      <c r="F163" s="65"/>
      <c r="G163" s="4"/>
      <c r="H163" s="9"/>
      <c r="I163" s="10"/>
      <c r="J163" s="53"/>
      <c r="K163" s="53"/>
      <c r="L163" s="53"/>
      <c r="M163" s="53"/>
      <c r="N163" s="53"/>
      <c r="O163" s="53"/>
      <c r="P163" s="53"/>
      <c r="Q163" s="53"/>
    </row>
    <row r="164" spans="1:17" s="62" customFormat="1" x14ac:dyDescent="0.25">
      <c r="A164" s="11"/>
      <c r="B164" s="12"/>
      <c r="C164" s="63"/>
      <c r="D164" s="67"/>
      <c r="E164" s="64"/>
      <c r="F164" s="65"/>
      <c r="G164" s="4"/>
      <c r="H164" s="9"/>
      <c r="I164" s="10"/>
      <c r="J164" s="53"/>
      <c r="K164" s="53"/>
      <c r="L164" s="53"/>
      <c r="M164" s="53"/>
      <c r="N164" s="53"/>
      <c r="O164" s="53"/>
      <c r="P164" s="53"/>
      <c r="Q164" s="53"/>
    </row>
    <row r="165" spans="1:17" s="62" customFormat="1" x14ac:dyDescent="0.25">
      <c r="A165" s="11"/>
      <c r="B165" s="12"/>
      <c r="C165" s="63"/>
      <c r="D165" s="67"/>
      <c r="E165" s="64"/>
      <c r="F165" s="65"/>
      <c r="G165" s="4"/>
      <c r="H165" s="9"/>
      <c r="I165" s="10"/>
      <c r="J165" s="53"/>
      <c r="K165" s="53"/>
      <c r="L165" s="53"/>
      <c r="M165" s="53"/>
      <c r="N165" s="53"/>
      <c r="O165" s="53"/>
      <c r="P165" s="53"/>
      <c r="Q165" s="53"/>
    </row>
    <row r="166" spans="1:17" s="62" customFormat="1" x14ac:dyDescent="0.25">
      <c r="A166" s="11" t="s">
        <v>205</v>
      </c>
      <c r="B166" s="17" t="s">
        <v>206</v>
      </c>
      <c r="C166" s="63" t="s">
        <v>21</v>
      </c>
      <c r="D166" s="67">
        <v>2</v>
      </c>
      <c r="E166" s="64">
        <v>25.91</v>
      </c>
      <c r="F166" s="65">
        <f>D166*E166</f>
        <v>51.82</v>
      </c>
      <c r="G166" s="166">
        <v>2</v>
      </c>
      <c r="H166" s="9" t="s">
        <v>192</v>
      </c>
      <c r="I166" s="10"/>
      <c r="J166" s="53"/>
      <c r="K166" s="53"/>
      <c r="L166" s="53"/>
      <c r="M166" s="53"/>
      <c r="N166" s="53"/>
      <c r="O166" s="53"/>
      <c r="P166" s="53"/>
      <c r="Q166" s="53"/>
    </row>
    <row r="167" spans="1:17" s="62" customFormat="1" ht="47.25" x14ac:dyDescent="0.25">
      <c r="A167" s="11"/>
      <c r="B167" s="12" t="s">
        <v>207</v>
      </c>
      <c r="C167" s="63"/>
      <c r="D167" s="67"/>
      <c r="E167" s="64"/>
      <c r="F167" s="65"/>
      <c r="G167" s="4"/>
      <c r="H167" s="9"/>
      <c r="I167" s="10"/>
      <c r="J167" s="53"/>
      <c r="K167" s="53"/>
      <c r="L167" s="53"/>
      <c r="M167" s="53"/>
      <c r="N167" s="53"/>
      <c r="O167" s="53"/>
      <c r="P167" s="53"/>
      <c r="Q167" s="53"/>
    </row>
    <row r="168" spans="1:17" s="62" customFormat="1" x14ac:dyDescent="0.25">
      <c r="A168" s="11"/>
      <c r="B168" s="12"/>
      <c r="C168" s="63"/>
      <c r="D168" s="67"/>
      <c r="E168" s="64"/>
      <c r="F168" s="65"/>
      <c r="G168" s="4"/>
      <c r="H168" s="9"/>
      <c r="I168" s="10"/>
      <c r="J168" s="53"/>
      <c r="K168" s="53"/>
      <c r="L168" s="53"/>
      <c r="M168" s="53"/>
      <c r="N168" s="53"/>
      <c r="O168" s="53"/>
      <c r="P168" s="53"/>
      <c r="Q168" s="53"/>
    </row>
    <row r="169" spans="1:17" s="62" customFormat="1" x14ac:dyDescent="0.25">
      <c r="A169" s="11" t="s">
        <v>208</v>
      </c>
      <c r="B169" s="17" t="s">
        <v>209</v>
      </c>
      <c r="C169" s="63" t="s">
        <v>21</v>
      </c>
      <c r="D169" s="67">
        <v>2</v>
      </c>
      <c r="E169" s="64">
        <v>152.96</v>
      </c>
      <c r="F169" s="65">
        <f>D169*E169</f>
        <v>305.92</v>
      </c>
      <c r="G169" s="166">
        <v>2</v>
      </c>
      <c r="H169" s="9" t="s">
        <v>210</v>
      </c>
      <c r="I169" s="10"/>
      <c r="J169" s="53"/>
      <c r="K169" s="53"/>
      <c r="L169" s="53"/>
      <c r="M169" s="53"/>
      <c r="N169" s="53"/>
      <c r="O169" s="53"/>
      <c r="P169" s="53"/>
      <c r="Q169" s="53"/>
    </row>
    <row r="170" spans="1:17" s="62" customFormat="1" ht="63" x14ac:dyDescent="0.25">
      <c r="A170" s="11"/>
      <c r="B170" s="12" t="s">
        <v>211</v>
      </c>
      <c r="C170" s="63"/>
      <c r="D170" s="67"/>
      <c r="E170" s="64"/>
      <c r="F170" s="65"/>
      <c r="G170" s="4"/>
      <c r="H170" s="9"/>
      <c r="I170" s="10"/>
      <c r="J170" s="53"/>
      <c r="K170" s="53"/>
      <c r="L170" s="53"/>
      <c r="M170" s="53"/>
      <c r="N170" s="53"/>
      <c r="O170" s="53"/>
      <c r="P170" s="53"/>
      <c r="Q170" s="53"/>
    </row>
    <row r="171" spans="1:17" s="62" customFormat="1" x14ac:dyDescent="0.25">
      <c r="A171" s="11"/>
      <c r="B171" s="17"/>
      <c r="C171" s="63"/>
      <c r="D171" s="67"/>
      <c r="E171" s="64"/>
      <c r="F171" s="65"/>
      <c r="G171" s="4"/>
      <c r="H171" s="9"/>
      <c r="I171" s="10"/>
      <c r="J171" s="53"/>
      <c r="K171" s="53"/>
      <c r="L171" s="53"/>
      <c r="M171" s="53"/>
      <c r="N171" s="53"/>
      <c r="O171" s="53"/>
      <c r="P171" s="53"/>
      <c r="Q171" s="53"/>
    </row>
    <row r="172" spans="1:17" s="62" customFormat="1" ht="18" customHeight="1" x14ac:dyDescent="0.25">
      <c r="A172" s="23"/>
      <c r="B172" s="25"/>
      <c r="C172" s="361" t="s">
        <v>34</v>
      </c>
      <c r="D172" s="361"/>
      <c r="E172" s="361"/>
      <c r="F172" s="66">
        <f>SUM(F99:F171)</f>
        <v>15095.529999999999</v>
      </c>
      <c r="G172" s="4"/>
      <c r="H172" s="9"/>
      <c r="I172" s="10"/>
      <c r="J172" s="53"/>
      <c r="K172" s="53"/>
      <c r="L172" s="53"/>
      <c r="M172" s="53"/>
      <c r="N172" s="53"/>
      <c r="O172" s="53"/>
      <c r="P172" s="53"/>
      <c r="Q172" s="53"/>
    </row>
    <row r="173" spans="1:17" s="62" customFormat="1" x14ac:dyDescent="0.25">
      <c r="A173" s="3" t="s">
        <v>212</v>
      </c>
      <c r="B173" s="57" t="s">
        <v>213</v>
      </c>
      <c r="C173" s="58"/>
      <c r="D173" s="72"/>
      <c r="E173" s="64"/>
      <c r="F173" s="65"/>
      <c r="G173" s="4"/>
      <c r="H173" s="9"/>
      <c r="I173" s="10"/>
      <c r="J173" s="53"/>
      <c r="K173" s="53"/>
      <c r="L173" s="53"/>
      <c r="M173" s="53"/>
      <c r="N173" s="53"/>
      <c r="O173" s="53"/>
      <c r="P173" s="53"/>
      <c r="Q173" s="53"/>
    </row>
    <row r="174" spans="1:17" s="62" customFormat="1" x14ac:dyDescent="0.25">
      <c r="A174" s="11" t="s">
        <v>214</v>
      </c>
      <c r="B174" s="22" t="s">
        <v>113</v>
      </c>
      <c r="C174" s="63"/>
      <c r="D174" s="67"/>
      <c r="E174" s="64"/>
      <c r="F174" s="65"/>
      <c r="G174" s="4"/>
      <c r="H174" s="9"/>
      <c r="I174" s="10"/>
      <c r="J174" s="53"/>
      <c r="K174" s="53"/>
      <c r="L174" s="53"/>
      <c r="M174" s="53"/>
      <c r="N174" s="53"/>
      <c r="O174" s="53"/>
      <c r="P174" s="53"/>
      <c r="Q174" s="53"/>
    </row>
    <row r="175" spans="1:17" s="62" customFormat="1" ht="47.25" x14ac:dyDescent="0.25">
      <c r="A175" s="11" t="s">
        <v>215</v>
      </c>
      <c r="B175" s="17" t="s">
        <v>216</v>
      </c>
      <c r="C175" s="63" t="s">
        <v>21</v>
      </c>
      <c r="D175" s="67">
        <v>10</v>
      </c>
      <c r="E175" s="64">
        <v>432.41</v>
      </c>
      <c r="F175" s="65">
        <f>D175*E175</f>
        <v>4324.1000000000004</v>
      </c>
      <c r="G175" s="166">
        <v>10</v>
      </c>
      <c r="H175" s="9" t="s">
        <v>217</v>
      </c>
      <c r="I175" s="10"/>
      <c r="J175" s="53"/>
      <c r="K175" s="53"/>
      <c r="L175" s="53"/>
      <c r="M175" s="53"/>
      <c r="N175" s="53"/>
      <c r="O175" s="53"/>
      <c r="P175" s="53"/>
      <c r="Q175" s="53"/>
    </row>
    <row r="176" spans="1:17" s="62" customFormat="1" ht="108.75" customHeight="1" x14ac:dyDescent="0.25">
      <c r="A176" s="11"/>
      <c r="B176" s="12" t="s">
        <v>218</v>
      </c>
      <c r="C176" s="63"/>
      <c r="D176" s="67"/>
      <c r="E176" s="64"/>
      <c r="F176" s="65"/>
      <c r="G176" s="4"/>
      <c r="H176" s="9"/>
      <c r="I176" s="10"/>
      <c r="J176" s="53"/>
      <c r="K176" s="53"/>
      <c r="L176" s="53"/>
      <c r="M176" s="53"/>
      <c r="N176" s="53"/>
      <c r="O176" s="53"/>
      <c r="P176" s="53"/>
      <c r="Q176" s="53"/>
    </row>
    <row r="177" spans="1:17" s="62" customFormat="1" x14ac:dyDescent="0.25">
      <c r="A177" s="11"/>
      <c r="B177" s="12"/>
      <c r="C177" s="63"/>
      <c r="D177" s="67"/>
      <c r="E177" s="64"/>
      <c r="F177" s="65"/>
      <c r="G177" s="4"/>
      <c r="H177" s="9"/>
      <c r="I177" s="10"/>
      <c r="J177" s="53"/>
      <c r="K177" s="53"/>
      <c r="L177" s="53"/>
      <c r="M177" s="53"/>
      <c r="N177" s="53"/>
      <c r="O177" s="53"/>
      <c r="P177" s="53"/>
      <c r="Q177" s="53"/>
    </row>
    <row r="178" spans="1:17" s="62" customFormat="1" x14ac:dyDescent="0.25">
      <c r="A178" s="11"/>
      <c r="B178" s="17"/>
      <c r="C178" s="63"/>
      <c r="D178" s="67"/>
      <c r="E178" s="64"/>
      <c r="F178" s="65"/>
      <c r="G178" s="4"/>
      <c r="H178" s="9"/>
      <c r="I178" s="10"/>
      <c r="J178" s="53"/>
      <c r="K178" s="53"/>
      <c r="L178" s="53"/>
      <c r="M178" s="53"/>
      <c r="N178" s="53"/>
      <c r="O178" s="53"/>
      <c r="P178" s="53"/>
      <c r="Q178" s="53"/>
    </row>
    <row r="179" spans="1:17" s="62" customFormat="1" x14ac:dyDescent="0.25">
      <c r="A179" s="11" t="s">
        <v>219</v>
      </c>
      <c r="B179" s="22" t="s">
        <v>220</v>
      </c>
      <c r="C179" s="63"/>
      <c r="D179" s="67"/>
      <c r="E179" s="64"/>
      <c r="F179" s="65"/>
      <c r="G179" s="4"/>
      <c r="H179" s="9"/>
      <c r="I179" s="10"/>
      <c r="J179" s="53"/>
      <c r="K179" s="53"/>
      <c r="L179" s="53"/>
      <c r="M179" s="53"/>
      <c r="N179" s="53"/>
      <c r="O179" s="53"/>
      <c r="P179" s="53"/>
      <c r="Q179" s="53"/>
    </row>
    <row r="180" spans="1:17" s="62" customFormat="1" ht="94.5" x14ac:dyDescent="0.25">
      <c r="A180" s="11"/>
      <c r="B180" s="12" t="s">
        <v>221</v>
      </c>
      <c r="C180" s="63"/>
      <c r="D180" s="67"/>
      <c r="E180" s="64"/>
      <c r="F180" s="65"/>
      <c r="G180" s="4"/>
      <c r="H180" s="9"/>
      <c r="I180" s="10"/>
      <c r="J180" s="53"/>
      <c r="K180" s="53"/>
      <c r="L180" s="53"/>
      <c r="M180" s="53"/>
      <c r="N180" s="53"/>
      <c r="O180" s="53"/>
      <c r="P180" s="53"/>
      <c r="Q180" s="53"/>
    </row>
    <row r="181" spans="1:17" s="62" customFormat="1" x14ac:dyDescent="0.25">
      <c r="A181" s="11"/>
      <c r="B181" s="22"/>
      <c r="C181" s="63"/>
      <c r="D181" s="67"/>
      <c r="E181" s="64"/>
      <c r="F181" s="65"/>
      <c r="G181" s="4"/>
      <c r="H181" s="9"/>
      <c r="I181" s="10"/>
      <c r="J181" s="53"/>
      <c r="K181" s="53"/>
      <c r="L181" s="53"/>
      <c r="M181" s="53"/>
      <c r="N181" s="53"/>
      <c r="O181" s="53"/>
      <c r="P181" s="53"/>
      <c r="Q181" s="53"/>
    </row>
    <row r="182" spans="1:17" s="62" customFormat="1" ht="31.5" x14ac:dyDescent="0.25">
      <c r="A182" s="11" t="s">
        <v>222</v>
      </c>
      <c r="B182" s="17" t="s">
        <v>223</v>
      </c>
      <c r="C182" s="63" t="s">
        <v>95</v>
      </c>
      <c r="D182" s="67">
        <v>50</v>
      </c>
      <c r="E182" s="64">
        <v>23.46</v>
      </c>
      <c r="F182" s="65">
        <f>D182*E182</f>
        <v>1173</v>
      </c>
      <c r="G182" s="166">
        <v>50</v>
      </c>
      <c r="H182" s="9" t="s">
        <v>224</v>
      </c>
      <c r="I182" s="10"/>
      <c r="J182" s="53"/>
      <c r="K182" s="53"/>
      <c r="L182" s="53"/>
      <c r="M182" s="53"/>
      <c r="N182" s="53"/>
      <c r="O182" s="53"/>
      <c r="P182" s="53"/>
      <c r="Q182" s="53"/>
    </row>
    <row r="183" spans="1:17" s="62" customFormat="1" x14ac:dyDescent="0.25">
      <c r="A183" s="11"/>
      <c r="B183" s="12"/>
      <c r="C183" s="63"/>
      <c r="D183" s="67"/>
      <c r="E183" s="64"/>
      <c r="F183" s="65"/>
      <c r="G183" s="87"/>
      <c r="H183" s="9"/>
      <c r="I183" s="10"/>
      <c r="J183" s="53"/>
      <c r="K183" s="53"/>
      <c r="L183" s="53"/>
      <c r="M183" s="53"/>
      <c r="N183" s="53"/>
      <c r="O183" s="53"/>
      <c r="P183" s="53"/>
      <c r="Q183" s="53"/>
    </row>
    <row r="184" spans="1:17" s="62" customFormat="1" x14ac:dyDescent="0.25">
      <c r="A184" s="11"/>
      <c r="B184" s="12"/>
      <c r="C184" s="63"/>
      <c r="D184" s="67"/>
      <c r="E184" s="64"/>
      <c r="F184" s="65"/>
      <c r="G184" s="4"/>
      <c r="H184" s="9"/>
      <c r="I184" s="10"/>
      <c r="J184" s="53"/>
      <c r="K184" s="53"/>
      <c r="L184" s="53"/>
      <c r="M184" s="53"/>
      <c r="N184" s="53"/>
      <c r="O184" s="53"/>
      <c r="P184" s="53"/>
      <c r="Q184" s="53"/>
    </row>
    <row r="185" spans="1:17" s="62" customFormat="1" ht="31.5" x14ac:dyDescent="0.25">
      <c r="A185" s="11" t="s">
        <v>225</v>
      </c>
      <c r="B185" s="17" t="s">
        <v>226</v>
      </c>
      <c r="C185" s="63" t="s">
        <v>95</v>
      </c>
      <c r="D185" s="67">
        <v>100</v>
      </c>
      <c r="E185" s="64">
        <v>47.55</v>
      </c>
      <c r="F185" s="65">
        <f>D185*E185</f>
        <v>4755</v>
      </c>
      <c r="G185" s="166">
        <v>100</v>
      </c>
      <c r="H185" s="9" t="s">
        <v>227</v>
      </c>
      <c r="I185" s="10"/>
      <c r="J185" s="53"/>
      <c r="K185" s="53"/>
      <c r="L185" s="53"/>
      <c r="M185" s="53"/>
      <c r="N185" s="53"/>
      <c r="O185" s="53"/>
      <c r="P185" s="53"/>
      <c r="Q185" s="53"/>
    </row>
    <row r="186" spans="1:17" s="62" customFormat="1" x14ac:dyDescent="0.25">
      <c r="A186" s="11"/>
      <c r="B186" s="17"/>
      <c r="C186" s="63"/>
      <c r="D186" s="67"/>
      <c r="E186" s="64"/>
      <c r="F186" s="65"/>
      <c r="G186" s="4"/>
      <c r="H186" s="9"/>
      <c r="I186" s="10"/>
      <c r="J186" s="53"/>
      <c r="K186" s="53"/>
      <c r="L186" s="53"/>
      <c r="M186" s="53"/>
      <c r="N186" s="53"/>
      <c r="O186" s="53"/>
      <c r="P186" s="53"/>
      <c r="Q186" s="53"/>
    </row>
    <row r="187" spans="1:17" s="62" customFormat="1" ht="47.25" x14ac:dyDescent="0.25">
      <c r="A187" s="11" t="s">
        <v>228</v>
      </c>
      <c r="B187" s="17" t="s">
        <v>229</v>
      </c>
      <c r="C187" s="63" t="s">
        <v>95</v>
      </c>
      <c r="D187" s="67">
        <v>25</v>
      </c>
      <c r="E187" s="64">
        <v>77.48</v>
      </c>
      <c r="F187" s="65">
        <f>D187*E187</f>
        <v>1937</v>
      </c>
      <c r="G187" s="166">
        <v>25</v>
      </c>
      <c r="H187" s="9" t="s">
        <v>230</v>
      </c>
      <c r="I187" s="10"/>
      <c r="J187" s="53"/>
      <c r="K187" s="53"/>
      <c r="L187" s="53"/>
      <c r="M187" s="53"/>
      <c r="N187" s="53"/>
      <c r="O187" s="53"/>
      <c r="P187" s="53"/>
      <c r="Q187" s="53"/>
    </row>
    <row r="188" spans="1:17" s="62" customFormat="1" x14ac:dyDescent="0.25">
      <c r="A188" s="11"/>
      <c r="B188" s="12"/>
      <c r="C188" s="63"/>
      <c r="D188" s="67"/>
      <c r="E188" s="64"/>
      <c r="F188" s="65"/>
      <c r="G188" s="4"/>
      <c r="H188" s="9"/>
      <c r="I188" s="10"/>
      <c r="J188" s="53"/>
      <c r="K188" s="53"/>
      <c r="L188" s="53"/>
      <c r="M188" s="53"/>
      <c r="N188" s="53"/>
      <c r="O188" s="53"/>
      <c r="P188" s="53"/>
      <c r="Q188" s="53"/>
    </row>
    <row r="189" spans="1:17" s="62" customFormat="1" x14ac:dyDescent="0.25">
      <c r="A189" s="11" t="s">
        <v>231</v>
      </c>
      <c r="B189" s="22" t="s">
        <v>232</v>
      </c>
      <c r="C189" s="63"/>
      <c r="D189" s="67"/>
      <c r="E189" s="64"/>
      <c r="F189" s="65"/>
      <c r="G189" s="4"/>
      <c r="H189" s="9"/>
      <c r="I189" s="10"/>
      <c r="J189" s="53"/>
      <c r="K189" s="53"/>
      <c r="L189" s="53"/>
      <c r="M189" s="53"/>
      <c r="N189" s="53"/>
      <c r="O189" s="53"/>
      <c r="P189" s="53"/>
      <c r="Q189" s="53"/>
    </row>
    <row r="190" spans="1:17" s="62" customFormat="1" x14ac:dyDescent="0.25">
      <c r="A190" s="11"/>
      <c r="B190" s="12"/>
      <c r="C190" s="63"/>
      <c r="D190" s="67"/>
      <c r="E190" s="64"/>
      <c r="F190" s="69"/>
      <c r="G190" s="4"/>
      <c r="H190" s="9"/>
      <c r="I190" s="10"/>
      <c r="J190" s="53"/>
      <c r="K190" s="53"/>
      <c r="L190" s="53"/>
      <c r="M190" s="53"/>
      <c r="N190" s="53"/>
      <c r="O190" s="53"/>
      <c r="P190" s="53"/>
      <c r="Q190" s="53"/>
    </row>
    <row r="191" spans="1:17" s="62" customFormat="1" x14ac:dyDescent="0.25">
      <c r="A191" s="11" t="s">
        <v>233</v>
      </c>
      <c r="B191" s="22" t="s">
        <v>234</v>
      </c>
      <c r="C191" s="63"/>
      <c r="D191" s="67"/>
      <c r="E191" s="64"/>
      <c r="F191" s="65"/>
      <c r="G191" s="4"/>
      <c r="H191" s="9"/>
      <c r="I191" s="10"/>
      <c r="J191" s="53"/>
      <c r="K191" s="53"/>
      <c r="L191" s="53"/>
      <c r="M191" s="53"/>
      <c r="N191" s="53"/>
      <c r="O191" s="53"/>
      <c r="P191" s="53"/>
      <c r="Q191" s="53"/>
    </row>
    <row r="192" spans="1:17" s="62" customFormat="1" x14ac:dyDescent="0.25">
      <c r="A192" s="11" t="s">
        <v>235</v>
      </c>
      <c r="B192" s="17" t="s">
        <v>236</v>
      </c>
      <c r="C192" s="63" t="s">
        <v>21</v>
      </c>
      <c r="D192" s="67">
        <v>2</v>
      </c>
      <c r="E192" s="64">
        <v>70.55</v>
      </c>
      <c r="F192" s="65">
        <f>D192*E192</f>
        <v>141.1</v>
      </c>
      <c r="G192" s="166">
        <v>2</v>
      </c>
      <c r="H192" s="9" t="s">
        <v>210</v>
      </c>
      <c r="I192" s="10"/>
      <c r="J192" s="53"/>
      <c r="K192" s="53"/>
      <c r="L192" s="53"/>
      <c r="M192" s="53"/>
      <c r="N192" s="53"/>
      <c r="O192" s="53"/>
      <c r="P192" s="53"/>
      <c r="Q192" s="53"/>
    </row>
    <row r="193" spans="1:17" s="62" customFormat="1" ht="51" customHeight="1" x14ac:dyDescent="0.25">
      <c r="A193" s="11"/>
      <c r="B193" s="12" t="s">
        <v>237</v>
      </c>
      <c r="C193" s="63"/>
      <c r="D193" s="67"/>
      <c r="E193" s="64"/>
      <c r="F193" s="65"/>
      <c r="G193" s="4"/>
      <c r="H193" s="9"/>
      <c r="I193" s="10"/>
      <c r="J193" s="53"/>
      <c r="K193" s="53"/>
      <c r="L193" s="53"/>
      <c r="M193" s="53"/>
      <c r="N193" s="53"/>
      <c r="O193" s="53"/>
      <c r="P193" s="53"/>
      <c r="Q193" s="53"/>
    </row>
    <row r="194" spans="1:17" s="62" customFormat="1" ht="18" customHeight="1" x14ac:dyDescent="0.25">
      <c r="A194" s="23"/>
      <c r="B194" s="25"/>
      <c r="C194" s="361" t="s">
        <v>34</v>
      </c>
      <c r="D194" s="361"/>
      <c r="E194" s="361"/>
      <c r="F194" s="66">
        <f>SUM(F174:F193)</f>
        <v>12330.2</v>
      </c>
      <c r="G194" s="4"/>
      <c r="H194" s="9"/>
      <c r="I194" s="10"/>
      <c r="J194" s="53"/>
      <c r="K194" s="53"/>
      <c r="L194" s="53"/>
      <c r="M194" s="53"/>
      <c r="N194" s="53"/>
      <c r="O194" s="53"/>
      <c r="P194" s="53"/>
      <c r="Q194" s="53"/>
    </row>
    <row r="195" spans="1:17" s="62" customFormat="1" x14ac:dyDescent="0.25">
      <c r="A195" s="3">
        <v>100000</v>
      </c>
      <c r="B195" s="57" t="s">
        <v>238</v>
      </c>
      <c r="C195" s="58"/>
      <c r="D195" s="72"/>
      <c r="E195" s="64"/>
      <c r="F195" s="65"/>
      <c r="G195" s="4"/>
      <c r="H195" s="9"/>
      <c r="I195" s="10"/>
      <c r="J195" s="53"/>
      <c r="K195" s="53"/>
      <c r="L195" s="53"/>
      <c r="M195" s="53"/>
      <c r="N195" s="53"/>
      <c r="O195" s="53"/>
      <c r="P195" s="53"/>
      <c r="Q195" s="53"/>
    </row>
    <row r="196" spans="1:17" s="62" customFormat="1" x14ac:dyDescent="0.25">
      <c r="A196" s="11" t="s">
        <v>239</v>
      </c>
      <c r="B196" s="22" t="s">
        <v>240</v>
      </c>
      <c r="C196" s="63"/>
      <c r="D196" s="67"/>
      <c r="E196" s="64"/>
      <c r="F196" s="65"/>
      <c r="G196" s="4"/>
      <c r="H196" s="9"/>
      <c r="I196" s="10"/>
      <c r="J196" s="53"/>
      <c r="K196" s="53"/>
      <c r="L196" s="53"/>
      <c r="M196" s="53"/>
      <c r="N196" s="53"/>
      <c r="O196" s="53"/>
      <c r="P196" s="53"/>
      <c r="Q196" s="53"/>
    </row>
    <row r="197" spans="1:17" s="62" customFormat="1" x14ac:dyDescent="0.25">
      <c r="A197" s="11"/>
      <c r="B197" s="17"/>
      <c r="C197" s="63"/>
      <c r="D197" s="67"/>
      <c r="E197" s="64"/>
      <c r="F197" s="65"/>
      <c r="G197" s="4"/>
      <c r="H197" s="9"/>
      <c r="I197" s="10"/>
      <c r="J197" s="53"/>
      <c r="K197" s="53"/>
      <c r="L197" s="53"/>
      <c r="M197" s="53"/>
      <c r="N197" s="53"/>
      <c r="O197" s="53"/>
      <c r="P197" s="53"/>
      <c r="Q197" s="53"/>
    </row>
    <row r="198" spans="1:17" s="62" customFormat="1" x14ac:dyDescent="0.25">
      <c r="A198" s="11" t="s">
        <v>241</v>
      </c>
      <c r="B198" s="22" t="s">
        <v>242</v>
      </c>
      <c r="C198" s="63"/>
      <c r="D198" s="67"/>
      <c r="E198" s="64"/>
      <c r="F198" s="65"/>
      <c r="G198" s="4"/>
      <c r="H198" s="9"/>
      <c r="I198" s="10"/>
      <c r="J198" s="53"/>
      <c r="K198" s="53"/>
      <c r="L198" s="53"/>
      <c r="M198" s="53"/>
      <c r="N198" s="53"/>
      <c r="O198" s="53"/>
      <c r="P198" s="53"/>
      <c r="Q198" s="53"/>
    </row>
    <row r="199" spans="1:17" s="62" customFormat="1" ht="78.75" x14ac:dyDescent="0.25">
      <c r="A199" s="11"/>
      <c r="B199" s="12" t="s">
        <v>243</v>
      </c>
      <c r="C199" s="63"/>
      <c r="D199" s="67"/>
      <c r="E199" s="64"/>
      <c r="F199" s="65"/>
      <c r="G199" s="4"/>
      <c r="H199" s="9"/>
      <c r="I199" s="10"/>
      <c r="J199" s="53"/>
      <c r="K199" s="53"/>
      <c r="L199" s="53"/>
      <c r="M199" s="53"/>
      <c r="N199" s="53"/>
      <c r="O199" s="53"/>
      <c r="P199" s="53"/>
      <c r="Q199" s="53"/>
    </row>
    <row r="200" spans="1:17" s="62" customFormat="1" x14ac:dyDescent="0.25">
      <c r="A200" s="11"/>
      <c r="B200" s="22"/>
      <c r="C200" s="63"/>
      <c r="D200" s="67"/>
      <c r="E200" s="64"/>
      <c r="F200" s="65"/>
      <c r="G200" s="4"/>
      <c r="H200" s="9"/>
      <c r="I200" s="10"/>
      <c r="J200" s="53"/>
      <c r="K200" s="53"/>
      <c r="L200" s="53"/>
      <c r="M200" s="53"/>
      <c r="N200" s="53"/>
      <c r="O200" s="53"/>
      <c r="P200" s="53"/>
      <c r="Q200" s="53"/>
    </row>
    <row r="201" spans="1:17" s="62" customFormat="1" x14ac:dyDescent="0.25">
      <c r="A201" s="11"/>
      <c r="B201" s="27"/>
      <c r="C201" s="63"/>
      <c r="D201" s="67"/>
      <c r="E201" s="64"/>
      <c r="F201" s="65"/>
      <c r="G201" s="4"/>
      <c r="H201" s="9"/>
      <c r="I201" s="10"/>
      <c r="J201" s="53"/>
      <c r="K201" s="53"/>
      <c r="L201" s="53"/>
      <c r="M201" s="53"/>
      <c r="N201" s="53"/>
      <c r="O201" s="53"/>
      <c r="P201" s="53"/>
      <c r="Q201" s="53"/>
    </row>
    <row r="202" spans="1:17" s="62" customFormat="1" ht="31.5" x14ac:dyDescent="0.25">
      <c r="A202" s="11" t="s">
        <v>244</v>
      </c>
      <c r="B202" s="13" t="s">
        <v>245</v>
      </c>
      <c r="C202" s="63" t="s">
        <v>21</v>
      </c>
      <c r="D202" s="67">
        <v>3</v>
      </c>
      <c r="E202" s="64">
        <v>188.23</v>
      </c>
      <c r="F202" s="65">
        <f>D202*E202</f>
        <v>564.68999999999994</v>
      </c>
      <c r="G202" s="4">
        <v>3</v>
      </c>
      <c r="H202" s="9" t="s">
        <v>246</v>
      </c>
      <c r="I202" s="10"/>
      <c r="J202" s="53"/>
      <c r="K202" s="53"/>
      <c r="L202" s="53"/>
      <c r="M202" s="53"/>
      <c r="N202" s="53"/>
      <c r="O202" s="53"/>
      <c r="P202" s="53"/>
      <c r="Q202" s="53"/>
    </row>
    <row r="203" spans="1:17" s="62" customFormat="1" x14ac:dyDescent="0.25">
      <c r="A203" s="11"/>
      <c r="B203" s="27"/>
      <c r="C203" s="63"/>
      <c r="D203" s="67"/>
      <c r="E203" s="64"/>
      <c r="F203" s="65"/>
      <c r="G203" s="8"/>
      <c r="H203" s="9"/>
      <c r="I203" s="10"/>
      <c r="J203" s="53"/>
      <c r="K203" s="53"/>
      <c r="L203" s="53"/>
      <c r="M203" s="53"/>
      <c r="N203" s="53"/>
      <c r="O203" s="53"/>
      <c r="P203" s="53"/>
      <c r="Q203" s="53"/>
    </row>
    <row r="204" spans="1:17" s="62" customFormat="1" x14ac:dyDescent="0.25">
      <c r="A204" s="11"/>
      <c r="B204" s="12"/>
      <c r="C204" s="63"/>
      <c r="D204" s="67"/>
      <c r="E204" s="64"/>
      <c r="F204" s="65"/>
      <c r="G204" s="4"/>
      <c r="H204" s="9"/>
      <c r="I204" s="10"/>
      <c r="J204" s="53"/>
      <c r="K204" s="53"/>
      <c r="L204" s="53"/>
      <c r="M204" s="53"/>
      <c r="N204" s="53"/>
      <c r="O204" s="53"/>
      <c r="P204" s="53"/>
      <c r="Q204" s="53"/>
    </row>
    <row r="205" spans="1:17" s="62" customFormat="1" x14ac:dyDescent="0.25">
      <c r="A205" s="11" t="s">
        <v>247</v>
      </c>
      <c r="B205" s="22" t="s">
        <v>248</v>
      </c>
      <c r="C205" s="63"/>
      <c r="D205" s="67"/>
      <c r="E205" s="64"/>
      <c r="F205" s="65"/>
      <c r="G205" s="4"/>
      <c r="H205" s="9"/>
      <c r="I205" s="10"/>
      <c r="J205" s="53"/>
      <c r="K205" s="53"/>
      <c r="L205" s="53"/>
      <c r="M205" s="53"/>
      <c r="N205" s="53"/>
      <c r="O205" s="53"/>
      <c r="P205" s="53"/>
      <c r="Q205" s="53"/>
    </row>
    <row r="206" spans="1:17" s="62" customFormat="1" ht="47.25" x14ac:dyDescent="0.25">
      <c r="A206" s="11" t="s">
        <v>249</v>
      </c>
      <c r="B206" s="17" t="s">
        <v>250</v>
      </c>
      <c r="C206" s="63" t="s">
        <v>21</v>
      </c>
      <c r="D206" s="67">
        <v>7</v>
      </c>
      <c r="E206" s="64">
        <v>25.58</v>
      </c>
      <c r="F206" s="65">
        <f>D206*E206</f>
        <v>179.06</v>
      </c>
      <c r="G206" s="166">
        <v>7</v>
      </c>
      <c r="H206" s="9" t="s">
        <v>251</v>
      </c>
      <c r="I206" s="10"/>
      <c r="J206" s="53"/>
      <c r="K206" s="53"/>
      <c r="L206" s="53"/>
      <c r="M206" s="53"/>
      <c r="N206" s="53"/>
      <c r="O206" s="53"/>
      <c r="P206" s="53"/>
      <c r="Q206" s="53"/>
    </row>
    <row r="207" spans="1:17" s="62" customFormat="1" ht="63" x14ac:dyDescent="0.25">
      <c r="A207" s="11"/>
      <c r="B207" s="12" t="s">
        <v>252</v>
      </c>
      <c r="C207" s="63"/>
      <c r="D207" s="67"/>
      <c r="E207" s="64"/>
      <c r="F207" s="65"/>
      <c r="G207" s="4"/>
      <c r="H207" s="9"/>
      <c r="I207" s="10"/>
      <c r="J207" s="53"/>
      <c r="K207" s="53"/>
      <c r="L207" s="53"/>
      <c r="M207" s="53"/>
      <c r="N207" s="53"/>
      <c r="O207" s="53"/>
      <c r="P207" s="53"/>
      <c r="Q207" s="53"/>
    </row>
    <row r="208" spans="1:17" s="62" customFormat="1" x14ac:dyDescent="0.25">
      <c r="A208" s="11"/>
      <c r="B208" s="12"/>
      <c r="C208" s="63"/>
      <c r="D208" s="67"/>
      <c r="E208" s="64"/>
      <c r="F208" s="65"/>
      <c r="G208" s="4"/>
      <c r="H208" s="9"/>
      <c r="I208" s="10"/>
      <c r="J208" s="53"/>
      <c r="K208" s="53"/>
      <c r="L208" s="53"/>
      <c r="M208" s="53"/>
      <c r="N208" s="53"/>
      <c r="O208" s="53"/>
      <c r="P208" s="53"/>
      <c r="Q208" s="53"/>
    </row>
    <row r="209" spans="1:17" s="62" customFormat="1" x14ac:dyDescent="0.25">
      <c r="A209" s="11"/>
      <c r="B209" s="12"/>
      <c r="C209" s="63"/>
      <c r="D209" s="67"/>
      <c r="E209" s="64"/>
      <c r="F209" s="65"/>
      <c r="G209" s="4"/>
      <c r="H209" s="9"/>
      <c r="I209" s="10"/>
      <c r="J209" s="53"/>
      <c r="K209" s="53"/>
      <c r="L209" s="53"/>
      <c r="M209" s="53"/>
      <c r="N209" s="53"/>
      <c r="O209" s="53"/>
      <c r="P209" s="53"/>
      <c r="Q209" s="53"/>
    </row>
    <row r="210" spans="1:17" s="62" customFormat="1" ht="31.5" x14ac:dyDescent="0.25">
      <c r="A210" s="11" t="s">
        <v>253</v>
      </c>
      <c r="B210" s="17" t="s">
        <v>254</v>
      </c>
      <c r="C210" s="63" t="s">
        <v>21</v>
      </c>
      <c r="D210" s="67">
        <v>4</v>
      </c>
      <c r="E210" s="64">
        <v>26.84</v>
      </c>
      <c r="F210" s="65">
        <f>D210*E210</f>
        <v>107.36</v>
      </c>
      <c r="G210" s="166">
        <v>4</v>
      </c>
      <c r="H210" s="9" t="s">
        <v>255</v>
      </c>
      <c r="I210" s="10"/>
      <c r="J210" s="53"/>
      <c r="K210" s="53"/>
      <c r="L210" s="53"/>
      <c r="M210" s="53"/>
      <c r="N210" s="53"/>
      <c r="O210" s="53"/>
      <c r="P210" s="53"/>
      <c r="Q210" s="53"/>
    </row>
    <row r="211" spans="1:17" s="62" customFormat="1" ht="63" x14ac:dyDescent="0.25">
      <c r="A211" s="11"/>
      <c r="B211" s="12" t="s">
        <v>256</v>
      </c>
      <c r="C211" s="63"/>
      <c r="D211" s="67"/>
      <c r="E211" s="64"/>
      <c r="F211" s="65"/>
      <c r="G211" s="4"/>
      <c r="H211" s="9"/>
      <c r="I211" s="10"/>
      <c r="J211" s="53"/>
      <c r="K211" s="53"/>
      <c r="L211" s="53"/>
      <c r="M211" s="53"/>
      <c r="N211" s="53"/>
      <c r="O211" s="53"/>
      <c r="P211" s="53"/>
      <c r="Q211" s="53"/>
    </row>
    <row r="212" spans="1:17" s="62" customFormat="1" x14ac:dyDescent="0.25">
      <c r="A212" s="11"/>
      <c r="B212" s="12"/>
      <c r="C212" s="63"/>
      <c r="D212" s="67"/>
      <c r="E212" s="64"/>
      <c r="F212" s="65"/>
      <c r="G212" s="4"/>
      <c r="H212" s="9"/>
      <c r="I212" s="10"/>
      <c r="J212" s="53"/>
      <c r="K212" s="53"/>
      <c r="L212" s="53"/>
      <c r="M212" s="53"/>
      <c r="N212" s="53"/>
      <c r="O212" s="53"/>
      <c r="P212" s="53"/>
      <c r="Q212" s="53"/>
    </row>
    <row r="213" spans="1:17" s="62" customFormat="1" x14ac:dyDescent="0.25">
      <c r="A213" s="11"/>
      <c r="B213" s="12"/>
      <c r="C213" s="63"/>
      <c r="D213" s="67"/>
      <c r="E213" s="64"/>
      <c r="F213" s="65"/>
      <c r="G213" s="4"/>
      <c r="H213" s="9"/>
      <c r="I213" s="10"/>
      <c r="J213" s="53"/>
      <c r="K213" s="53"/>
      <c r="L213" s="53"/>
      <c r="M213" s="53"/>
      <c r="N213" s="53"/>
      <c r="O213" s="53"/>
      <c r="P213" s="53"/>
      <c r="Q213" s="53"/>
    </row>
    <row r="214" spans="1:17" s="62" customFormat="1" x14ac:dyDescent="0.25">
      <c r="A214" s="11" t="s">
        <v>257</v>
      </c>
      <c r="B214" s="22" t="s">
        <v>258</v>
      </c>
      <c r="C214" s="63"/>
      <c r="D214" s="67"/>
      <c r="E214" s="64"/>
      <c r="F214" s="65"/>
      <c r="G214" s="4"/>
      <c r="H214" s="9"/>
      <c r="I214" s="10"/>
      <c r="J214" s="53"/>
      <c r="K214" s="53"/>
      <c r="L214" s="53"/>
      <c r="M214" s="53"/>
      <c r="N214" s="53"/>
      <c r="O214" s="53"/>
      <c r="P214" s="53"/>
      <c r="Q214" s="53"/>
    </row>
    <row r="215" spans="1:17" s="62" customFormat="1" ht="94.5" x14ac:dyDescent="0.25">
      <c r="A215" s="11"/>
      <c r="B215" s="12" t="s">
        <v>259</v>
      </c>
      <c r="C215" s="63"/>
      <c r="D215" s="67"/>
      <c r="E215" s="64"/>
      <c r="F215" s="65"/>
      <c r="G215" s="4"/>
      <c r="H215" s="9"/>
      <c r="I215" s="10"/>
      <c r="J215" s="53"/>
      <c r="K215" s="53"/>
      <c r="L215" s="53"/>
      <c r="M215" s="53"/>
      <c r="N215" s="53"/>
      <c r="O215" s="53"/>
      <c r="P215" s="53"/>
      <c r="Q215" s="53"/>
    </row>
    <row r="216" spans="1:17" s="62" customFormat="1" x14ac:dyDescent="0.25">
      <c r="A216" s="11"/>
      <c r="B216" s="22"/>
      <c r="C216" s="63"/>
      <c r="D216" s="67"/>
      <c r="E216" s="64"/>
      <c r="F216" s="65"/>
      <c r="G216" s="4"/>
      <c r="H216" s="9"/>
      <c r="I216" s="10"/>
      <c r="J216" s="53"/>
      <c r="K216" s="53"/>
      <c r="L216" s="53"/>
      <c r="M216" s="53"/>
      <c r="N216" s="53"/>
      <c r="O216" s="53"/>
      <c r="P216" s="53"/>
      <c r="Q216" s="53"/>
    </row>
    <row r="217" spans="1:17" s="62" customFormat="1" x14ac:dyDescent="0.25">
      <c r="A217" s="11" t="s">
        <v>260</v>
      </c>
      <c r="B217" s="17" t="s">
        <v>261</v>
      </c>
      <c r="C217" s="63" t="s">
        <v>21</v>
      </c>
      <c r="D217" s="67">
        <v>4</v>
      </c>
      <c r="E217" s="64">
        <v>23.35</v>
      </c>
      <c r="F217" s="65">
        <f>D217*E217</f>
        <v>93.4</v>
      </c>
      <c r="G217" s="166">
        <v>4</v>
      </c>
      <c r="H217" s="9" t="s">
        <v>262</v>
      </c>
      <c r="I217" s="10"/>
      <c r="J217" s="53"/>
      <c r="K217" s="53"/>
      <c r="L217" s="53"/>
      <c r="M217" s="53"/>
      <c r="N217" s="53"/>
      <c r="O217" s="53"/>
      <c r="P217" s="53"/>
      <c r="Q217" s="53"/>
    </row>
    <row r="218" spans="1:17" s="62" customFormat="1" x14ac:dyDescent="0.25">
      <c r="A218" s="11"/>
      <c r="B218" s="12"/>
      <c r="C218" s="63"/>
      <c r="D218" s="67"/>
      <c r="E218" s="64"/>
      <c r="F218" s="65"/>
      <c r="G218" s="4"/>
      <c r="H218" s="9"/>
      <c r="I218" s="10"/>
      <c r="J218" s="53"/>
      <c r="K218" s="53"/>
      <c r="L218" s="53"/>
      <c r="M218" s="53"/>
      <c r="N218" s="53"/>
      <c r="O218" s="53"/>
      <c r="P218" s="53"/>
      <c r="Q218" s="53"/>
    </row>
    <row r="219" spans="1:17" s="62" customFormat="1" x14ac:dyDescent="0.25">
      <c r="A219" s="11"/>
      <c r="B219" s="12"/>
      <c r="C219" s="63"/>
      <c r="D219" s="67"/>
      <c r="E219" s="64"/>
      <c r="F219" s="65"/>
      <c r="G219" s="4"/>
      <c r="H219" s="9"/>
      <c r="I219" s="10"/>
      <c r="J219" s="53"/>
      <c r="K219" s="53"/>
      <c r="L219" s="53"/>
      <c r="M219" s="53"/>
      <c r="N219" s="53"/>
      <c r="O219" s="53"/>
      <c r="P219" s="53"/>
      <c r="Q219" s="53"/>
    </row>
    <row r="220" spans="1:17" s="62" customFormat="1" x14ac:dyDescent="0.25">
      <c r="A220" s="11" t="s">
        <v>263</v>
      </c>
      <c r="B220" s="17" t="s">
        <v>264</v>
      </c>
      <c r="C220" s="63" t="s">
        <v>21</v>
      </c>
      <c r="D220" s="67">
        <v>4</v>
      </c>
      <c r="E220" s="64">
        <v>51.95</v>
      </c>
      <c r="F220" s="65">
        <f>D220*E220</f>
        <v>207.8</v>
      </c>
      <c r="G220" s="166">
        <v>4</v>
      </c>
      <c r="H220" s="9" t="s">
        <v>262</v>
      </c>
      <c r="I220" s="10"/>
      <c r="J220" s="53"/>
      <c r="K220" s="53"/>
      <c r="L220" s="53"/>
      <c r="M220" s="53"/>
      <c r="N220" s="53"/>
      <c r="O220" s="53"/>
      <c r="P220" s="53"/>
      <c r="Q220" s="53"/>
    </row>
    <row r="221" spans="1:17" s="62" customFormat="1" x14ac:dyDescent="0.25">
      <c r="A221" s="11"/>
      <c r="B221" s="12"/>
      <c r="C221" s="63"/>
      <c r="D221" s="67"/>
      <c r="E221" s="64"/>
      <c r="F221" s="65"/>
      <c r="G221" s="4"/>
      <c r="H221" s="9"/>
      <c r="I221" s="10"/>
      <c r="J221" s="53"/>
      <c r="K221" s="53"/>
      <c r="L221" s="53"/>
      <c r="M221" s="53"/>
      <c r="N221" s="53"/>
      <c r="O221" s="53"/>
      <c r="P221" s="53"/>
      <c r="Q221" s="53"/>
    </row>
    <row r="222" spans="1:17" s="62" customFormat="1" x14ac:dyDescent="0.25">
      <c r="A222" s="11"/>
      <c r="B222" s="12"/>
      <c r="C222" s="63"/>
      <c r="D222" s="67"/>
      <c r="E222" s="64"/>
      <c r="F222" s="65"/>
      <c r="G222" s="4"/>
      <c r="H222" s="9"/>
      <c r="I222" s="10"/>
      <c r="J222" s="53"/>
      <c r="K222" s="53"/>
      <c r="L222" s="53"/>
      <c r="M222" s="53"/>
      <c r="N222" s="53"/>
      <c r="O222" s="53"/>
      <c r="P222" s="53"/>
      <c r="Q222" s="53"/>
    </row>
    <row r="223" spans="1:17" s="62" customFormat="1" x14ac:dyDescent="0.25">
      <c r="A223" s="11"/>
      <c r="B223" s="12"/>
      <c r="C223" s="63"/>
      <c r="D223" s="67"/>
      <c r="E223" s="64"/>
      <c r="F223" s="65"/>
      <c r="G223" s="4"/>
      <c r="H223" s="9"/>
      <c r="I223" s="10"/>
      <c r="J223" s="53"/>
      <c r="K223" s="53"/>
      <c r="L223" s="53"/>
      <c r="M223" s="53"/>
      <c r="N223" s="53"/>
      <c r="O223" s="53"/>
      <c r="P223" s="53"/>
      <c r="Q223" s="53"/>
    </row>
    <row r="224" spans="1:17" s="62" customFormat="1" ht="31.5" x14ac:dyDescent="0.25">
      <c r="A224" s="28" t="s">
        <v>265</v>
      </c>
      <c r="B224" s="13" t="s">
        <v>266</v>
      </c>
      <c r="C224" s="75" t="s">
        <v>21</v>
      </c>
      <c r="D224" s="67">
        <v>1</v>
      </c>
      <c r="E224" s="64">
        <v>126.27</v>
      </c>
      <c r="F224" s="65">
        <f>D224*E224</f>
        <v>126.27</v>
      </c>
      <c r="G224" s="166">
        <v>1</v>
      </c>
      <c r="H224" s="9" t="s">
        <v>262</v>
      </c>
      <c r="I224" s="10"/>
      <c r="J224" s="53"/>
      <c r="K224" s="53"/>
      <c r="L224" s="53"/>
      <c r="M224" s="53"/>
      <c r="N224" s="53"/>
      <c r="O224" s="53"/>
      <c r="P224" s="53"/>
      <c r="Q224" s="53"/>
    </row>
    <row r="225" spans="1:17" s="62" customFormat="1" x14ac:dyDescent="0.25">
      <c r="A225" s="28"/>
      <c r="C225" s="75"/>
      <c r="D225" s="67"/>
      <c r="E225" s="64"/>
      <c r="F225" s="65"/>
      <c r="G225" s="4"/>
      <c r="H225" s="9"/>
      <c r="I225" s="10"/>
      <c r="J225" s="53"/>
      <c r="K225" s="53"/>
      <c r="L225" s="53"/>
      <c r="M225" s="53"/>
      <c r="N225" s="53"/>
      <c r="O225" s="53"/>
      <c r="P225" s="53"/>
      <c r="Q225" s="53"/>
    </row>
    <row r="226" spans="1:17" s="62" customFormat="1" x14ac:dyDescent="0.25">
      <c r="A226" s="28"/>
      <c r="B226" s="27"/>
      <c r="C226" s="75"/>
      <c r="D226" s="67"/>
      <c r="E226" s="64"/>
      <c r="F226" s="65"/>
      <c r="G226" s="4"/>
      <c r="H226" s="9"/>
      <c r="I226" s="10"/>
      <c r="J226" s="53"/>
      <c r="K226" s="53"/>
      <c r="L226" s="53"/>
      <c r="M226" s="53"/>
      <c r="N226" s="53"/>
      <c r="O226" s="53"/>
      <c r="P226" s="53"/>
      <c r="Q226" s="53"/>
    </row>
    <row r="227" spans="1:17" s="62" customFormat="1" x14ac:dyDescent="0.25">
      <c r="A227" s="11"/>
      <c r="B227" s="12"/>
      <c r="C227" s="63"/>
      <c r="D227" s="67"/>
      <c r="E227" s="64"/>
      <c r="F227" s="65"/>
      <c r="G227" s="4"/>
      <c r="H227" s="9"/>
      <c r="I227" s="10"/>
      <c r="J227" s="53"/>
      <c r="K227" s="53"/>
      <c r="L227" s="53"/>
      <c r="M227" s="53"/>
      <c r="N227" s="53"/>
      <c r="O227" s="53"/>
      <c r="P227" s="53"/>
      <c r="Q227" s="53"/>
    </row>
    <row r="228" spans="1:17" s="62" customFormat="1" x14ac:dyDescent="0.25">
      <c r="A228" s="11" t="s">
        <v>267</v>
      </c>
      <c r="B228" s="22" t="s">
        <v>268</v>
      </c>
      <c r="C228" s="63"/>
      <c r="D228" s="67"/>
      <c r="E228" s="64"/>
      <c r="F228" s="65"/>
      <c r="G228" s="4"/>
      <c r="H228" s="9"/>
      <c r="I228" s="10"/>
      <c r="J228" s="53"/>
      <c r="K228" s="53"/>
      <c r="L228" s="53"/>
      <c r="M228" s="53"/>
      <c r="N228" s="53"/>
      <c r="O228" s="53"/>
      <c r="P228" s="53"/>
      <c r="Q228" s="53"/>
    </row>
    <row r="229" spans="1:17" s="62" customFormat="1" ht="78.75" x14ac:dyDescent="0.25">
      <c r="A229" s="11"/>
      <c r="B229" s="12" t="s">
        <v>269</v>
      </c>
      <c r="C229" s="63"/>
      <c r="D229" s="67"/>
      <c r="E229" s="64"/>
      <c r="F229" s="65"/>
      <c r="G229" s="4"/>
      <c r="H229" s="9"/>
      <c r="I229" s="10"/>
      <c r="J229" s="53"/>
      <c r="K229" s="53"/>
      <c r="L229" s="53"/>
      <c r="M229" s="53"/>
      <c r="N229" s="53"/>
      <c r="O229" s="53"/>
      <c r="P229" s="53"/>
      <c r="Q229" s="53"/>
    </row>
    <row r="230" spans="1:17" s="62" customFormat="1" x14ac:dyDescent="0.25">
      <c r="A230" s="11"/>
      <c r="B230" s="22"/>
      <c r="C230" s="63"/>
      <c r="D230" s="67"/>
      <c r="E230" s="64"/>
      <c r="F230" s="65"/>
      <c r="G230" s="4"/>
      <c r="H230" s="9"/>
      <c r="I230" s="10"/>
      <c r="J230" s="53"/>
      <c r="K230" s="53"/>
      <c r="L230" s="53"/>
      <c r="M230" s="53"/>
      <c r="N230" s="53"/>
      <c r="O230" s="53"/>
      <c r="P230" s="53"/>
      <c r="Q230" s="53"/>
    </row>
    <row r="231" spans="1:17" s="62" customFormat="1" x14ac:dyDescent="0.25">
      <c r="A231" s="11"/>
      <c r="B231" s="12"/>
      <c r="C231" s="63"/>
      <c r="D231" s="67"/>
      <c r="E231" s="64"/>
      <c r="F231" s="65"/>
      <c r="G231" s="4"/>
      <c r="H231" s="9"/>
      <c r="I231" s="10"/>
      <c r="J231" s="53"/>
      <c r="K231" s="53"/>
      <c r="L231" s="53"/>
      <c r="M231" s="53"/>
      <c r="N231" s="53"/>
      <c r="O231" s="53"/>
      <c r="P231" s="53"/>
      <c r="Q231" s="53"/>
    </row>
    <row r="232" spans="1:17" s="62" customFormat="1" ht="18" x14ac:dyDescent="0.25">
      <c r="A232" s="11" t="s">
        <v>270</v>
      </c>
      <c r="B232" s="17" t="s">
        <v>519</v>
      </c>
      <c r="C232" s="63" t="s">
        <v>95</v>
      </c>
      <c r="D232" s="67">
        <f>(5*2*2+22*2+5*3*2+10*3+25*3)</f>
        <v>199</v>
      </c>
      <c r="E232" s="64">
        <v>6.57</v>
      </c>
      <c r="F232" s="65">
        <f>D232*E232</f>
        <v>1307.43</v>
      </c>
      <c r="G232" s="166" t="s">
        <v>271</v>
      </c>
      <c r="H232" s="9" t="s">
        <v>272</v>
      </c>
      <c r="I232" s="10"/>
      <c r="J232" s="53"/>
      <c r="K232" s="53"/>
      <c r="L232" s="53"/>
      <c r="M232" s="53"/>
      <c r="N232" s="53"/>
      <c r="O232" s="53"/>
      <c r="P232" s="53"/>
      <c r="Q232" s="53"/>
    </row>
    <row r="233" spans="1:17" s="62" customFormat="1" x14ac:dyDescent="0.25">
      <c r="A233" s="11"/>
      <c r="B233" s="12"/>
      <c r="C233" s="63"/>
      <c r="D233" s="67"/>
      <c r="E233" s="64"/>
      <c r="F233" s="65"/>
      <c r="G233" s="4"/>
      <c r="H233" s="9"/>
      <c r="I233" s="10"/>
      <c r="J233" s="53"/>
      <c r="K233" s="53"/>
      <c r="L233" s="53"/>
      <c r="M233" s="53"/>
      <c r="N233" s="53"/>
      <c r="O233" s="53"/>
      <c r="P233" s="53"/>
      <c r="Q233" s="53"/>
    </row>
    <row r="234" spans="1:17" s="62" customFormat="1" ht="47.25" x14ac:dyDescent="0.25">
      <c r="A234" s="11" t="s">
        <v>273</v>
      </c>
      <c r="B234" s="17" t="s">
        <v>520</v>
      </c>
      <c r="C234" s="63" t="s">
        <v>95</v>
      </c>
      <c r="D234" s="67">
        <f>(28*2*2+7*2+25*2+56*2)</f>
        <v>288</v>
      </c>
      <c r="E234" s="64">
        <v>7.75</v>
      </c>
      <c r="F234" s="65">
        <f>D234*E234</f>
        <v>2232</v>
      </c>
      <c r="G234" s="166" t="s">
        <v>274</v>
      </c>
      <c r="H234" s="9" t="s">
        <v>275</v>
      </c>
      <c r="I234" s="10"/>
      <c r="J234" s="53"/>
      <c r="K234" s="53"/>
      <c r="L234" s="53"/>
      <c r="M234" s="53"/>
      <c r="N234" s="53"/>
      <c r="O234" s="53"/>
      <c r="P234" s="53"/>
      <c r="Q234" s="53"/>
    </row>
    <row r="235" spans="1:17" s="62" customFormat="1" x14ac:dyDescent="0.25">
      <c r="A235" s="11"/>
      <c r="B235" s="12"/>
      <c r="C235" s="63"/>
      <c r="D235" s="67"/>
      <c r="E235" s="64"/>
      <c r="F235" s="65"/>
      <c r="G235" s="4"/>
      <c r="H235" s="9"/>
      <c r="I235" s="10"/>
      <c r="J235" s="53"/>
      <c r="K235" s="53"/>
      <c r="L235" s="53"/>
      <c r="M235" s="53"/>
      <c r="N235" s="53"/>
      <c r="O235" s="53"/>
      <c r="P235" s="53"/>
      <c r="Q235" s="53"/>
    </row>
    <row r="236" spans="1:17" s="62" customFormat="1" x14ac:dyDescent="0.25">
      <c r="A236" s="11"/>
      <c r="B236" s="12"/>
      <c r="C236" s="63"/>
      <c r="D236" s="76"/>
      <c r="E236" s="64"/>
      <c r="F236" s="65"/>
      <c r="G236" s="4"/>
      <c r="H236" s="9"/>
      <c r="I236" s="10"/>
      <c r="J236" s="53"/>
      <c r="K236" s="53"/>
      <c r="L236" s="53"/>
      <c r="M236" s="53"/>
      <c r="N236" s="53"/>
      <c r="O236" s="53"/>
      <c r="P236" s="53"/>
      <c r="Q236" s="53"/>
    </row>
    <row r="237" spans="1:17" s="62" customFormat="1" x14ac:dyDescent="0.25">
      <c r="A237" s="11" t="s">
        <v>276</v>
      </c>
      <c r="B237" s="22" t="s">
        <v>277</v>
      </c>
      <c r="C237" s="63"/>
      <c r="D237" s="67"/>
      <c r="E237" s="64"/>
      <c r="F237" s="65"/>
      <c r="G237" s="4"/>
      <c r="H237" s="9"/>
      <c r="I237" s="10"/>
      <c r="J237" s="53"/>
      <c r="K237" s="53"/>
      <c r="L237" s="53"/>
      <c r="M237" s="53"/>
      <c r="N237" s="53"/>
      <c r="O237" s="53"/>
      <c r="P237" s="53"/>
      <c r="Q237" s="53"/>
    </row>
    <row r="238" spans="1:17" s="62" customFormat="1" ht="78.75" x14ac:dyDescent="0.25">
      <c r="A238" s="11"/>
      <c r="B238" s="12" t="s">
        <v>278</v>
      </c>
      <c r="C238" s="63"/>
      <c r="D238" s="67"/>
      <c r="E238" s="64"/>
      <c r="F238" s="65"/>
      <c r="G238" s="4"/>
      <c r="H238" s="9"/>
      <c r="I238" s="10"/>
      <c r="J238" s="53"/>
      <c r="K238" s="53"/>
      <c r="L238" s="53"/>
      <c r="M238" s="53"/>
      <c r="N238" s="53"/>
      <c r="O238" s="53"/>
      <c r="P238" s="53"/>
      <c r="Q238" s="53"/>
    </row>
    <row r="239" spans="1:17" s="62" customFormat="1" x14ac:dyDescent="0.25">
      <c r="A239" s="11"/>
      <c r="B239" s="12"/>
      <c r="C239" s="63"/>
      <c r="D239" s="67"/>
      <c r="E239" s="64"/>
      <c r="F239" s="65"/>
      <c r="G239" s="4"/>
      <c r="H239" s="9"/>
      <c r="I239" s="10"/>
      <c r="J239" s="53"/>
      <c r="K239" s="53"/>
      <c r="L239" s="53"/>
      <c r="M239" s="53"/>
      <c r="N239" s="53"/>
      <c r="O239" s="53"/>
      <c r="P239" s="53"/>
      <c r="Q239" s="53"/>
    </row>
    <row r="240" spans="1:17" s="62" customFormat="1" x14ac:dyDescent="0.25">
      <c r="A240" s="11"/>
      <c r="B240" s="12"/>
      <c r="C240" s="63"/>
      <c r="D240" s="67"/>
      <c r="E240" s="64"/>
      <c r="F240" s="65"/>
      <c r="G240" s="4"/>
      <c r="H240" s="9"/>
      <c r="I240" s="10"/>
      <c r="J240" s="53"/>
      <c r="K240" s="53"/>
      <c r="L240" s="53"/>
      <c r="M240" s="53"/>
      <c r="N240" s="53"/>
      <c r="O240" s="53"/>
      <c r="P240" s="53"/>
      <c r="Q240" s="53"/>
    </row>
    <row r="241" spans="1:17" s="62" customFormat="1" ht="31.5" x14ac:dyDescent="0.25">
      <c r="A241" s="11" t="s">
        <v>279</v>
      </c>
      <c r="B241" s="17" t="s">
        <v>521</v>
      </c>
      <c r="C241" s="63" t="s">
        <v>95</v>
      </c>
      <c r="D241" s="67">
        <f>45*3</f>
        <v>135</v>
      </c>
      <c r="E241" s="64">
        <v>11.33</v>
      </c>
      <c r="F241" s="65">
        <f>D241*E241</f>
        <v>1529.55</v>
      </c>
      <c r="G241" s="4" t="s">
        <v>280</v>
      </c>
      <c r="H241" s="9" t="s">
        <v>281</v>
      </c>
      <c r="I241" s="10"/>
      <c r="J241" s="53"/>
      <c r="K241" s="53"/>
      <c r="L241" s="53"/>
      <c r="M241" s="53"/>
      <c r="N241" s="53"/>
      <c r="O241" s="53"/>
      <c r="P241" s="53"/>
      <c r="Q241" s="53"/>
    </row>
    <row r="242" spans="1:17" s="62" customFormat="1" x14ac:dyDescent="0.25">
      <c r="A242" s="11"/>
      <c r="B242" s="12"/>
      <c r="C242" s="63"/>
      <c r="D242" s="67"/>
      <c r="E242" s="64"/>
      <c r="F242" s="65"/>
      <c r="G242" s="4"/>
      <c r="H242" s="9"/>
      <c r="I242" s="10"/>
      <c r="J242" s="53"/>
      <c r="K242" s="53"/>
      <c r="L242" s="53"/>
      <c r="M242" s="53"/>
      <c r="N242" s="53"/>
      <c r="O242" s="53"/>
      <c r="P242" s="53"/>
      <c r="Q242" s="53"/>
    </row>
    <row r="243" spans="1:17" s="62" customFormat="1" x14ac:dyDescent="0.25">
      <c r="A243" s="11"/>
      <c r="B243" s="12"/>
      <c r="C243" s="63"/>
      <c r="D243" s="67"/>
      <c r="E243" s="64"/>
      <c r="F243" s="65"/>
      <c r="G243" s="4"/>
      <c r="H243" s="9"/>
      <c r="I243" s="10"/>
      <c r="J243" s="53"/>
      <c r="K243" s="53"/>
      <c r="L243" s="53"/>
      <c r="M243" s="53"/>
      <c r="N243" s="53"/>
      <c r="O243" s="53"/>
      <c r="P243" s="53"/>
      <c r="Q243" s="53"/>
    </row>
    <row r="244" spans="1:17" s="62" customFormat="1" x14ac:dyDescent="0.25">
      <c r="A244" s="11" t="s">
        <v>282</v>
      </c>
      <c r="B244" s="17" t="s">
        <v>283</v>
      </c>
      <c r="C244" s="63" t="s">
        <v>95</v>
      </c>
      <c r="D244" s="67">
        <v>10</v>
      </c>
      <c r="E244" s="64">
        <v>13.23</v>
      </c>
      <c r="F244" s="65">
        <f>D244*E244</f>
        <v>132.30000000000001</v>
      </c>
      <c r="G244" s="4">
        <v>10</v>
      </c>
      <c r="H244" s="9" t="s">
        <v>284</v>
      </c>
      <c r="I244" s="10"/>
      <c r="J244" s="53"/>
      <c r="K244" s="53"/>
      <c r="L244" s="53"/>
      <c r="M244" s="53"/>
      <c r="N244" s="53"/>
      <c r="O244" s="53"/>
      <c r="P244" s="53"/>
      <c r="Q244" s="53"/>
    </row>
    <row r="245" spans="1:17" s="62" customFormat="1" ht="78.75" x14ac:dyDescent="0.25">
      <c r="A245" s="11"/>
      <c r="B245" s="12" t="s">
        <v>285</v>
      </c>
      <c r="C245" s="63"/>
      <c r="D245" s="67"/>
      <c r="E245" s="64"/>
      <c r="F245" s="65"/>
      <c r="G245" s="4"/>
      <c r="H245" s="9"/>
      <c r="I245" s="10"/>
      <c r="J245" s="53"/>
      <c r="K245" s="53"/>
      <c r="L245" s="53"/>
      <c r="M245" s="53"/>
      <c r="N245" s="53"/>
      <c r="O245" s="53"/>
      <c r="P245" s="53"/>
      <c r="Q245" s="53"/>
    </row>
    <row r="246" spans="1:17" s="62" customFormat="1" x14ac:dyDescent="0.25">
      <c r="A246" s="11"/>
      <c r="B246" s="12"/>
      <c r="C246" s="63"/>
      <c r="D246" s="67"/>
      <c r="E246" s="64"/>
      <c r="F246" s="65"/>
      <c r="G246" s="4"/>
      <c r="H246" s="9"/>
      <c r="I246" s="10"/>
      <c r="J246" s="53"/>
      <c r="K246" s="53"/>
      <c r="L246" s="53"/>
      <c r="M246" s="53"/>
      <c r="N246" s="53"/>
      <c r="O246" s="53"/>
      <c r="P246" s="53"/>
      <c r="Q246" s="53"/>
    </row>
    <row r="247" spans="1:17" s="62" customFormat="1" x14ac:dyDescent="0.25">
      <c r="A247" s="11"/>
      <c r="B247" s="17"/>
      <c r="C247" s="63"/>
      <c r="D247" s="67"/>
      <c r="E247" s="64"/>
      <c r="F247" s="65"/>
      <c r="G247" s="4"/>
      <c r="H247" s="9"/>
      <c r="I247" s="10"/>
      <c r="J247" s="53"/>
      <c r="K247" s="53"/>
      <c r="L247" s="53"/>
      <c r="M247" s="53"/>
      <c r="N247" s="53"/>
      <c r="O247" s="53"/>
      <c r="P247" s="53"/>
      <c r="Q247" s="53"/>
    </row>
    <row r="248" spans="1:17" s="62" customFormat="1" x14ac:dyDescent="0.25">
      <c r="A248" s="11" t="s">
        <v>286</v>
      </c>
      <c r="B248" s="22" t="s">
        <v>287</v>
      </c>
      <c r="C248" s="63"/>
      <c r="D248" s="67"/>
      <c r="E248" s="64"/>
      <c r="F248" s="65"/>
      <c r="G248" s="4"/>
      <c r="H248" s="9"/>
      <c r="I248" s="10"/>
      <c r="J248" s="53"/>
      <c r="K248" s="53"/>
      <c r="L248" s="53"/>
      <c r="M248" s="53"/>
      <c r="N248" s="53"/>
      <c r="O248" s="53"/>
      <c r="P248" s="53"/>
      <c r="Q248" s="53"/>
    </row>
    <row r="249" spans="1:17" s="62" customFormat="1" ht="141.75" x14ac:dyDescent="0.25">
      <c r="A249" s="11"/>
      <c r="B249" s="12" t="s">
        <v>288</v>
      </c>
      <c r="C249" s="63"/>
      <c r="D249" s="67"/>
      <c r="E249" s="64"/>
      <c r="F249" s="65"/>
      <c r="G249" s="4"/>
      <c r="H249" s="9"/>
      <c r="I249" s="10"/>
      <c r="J249" s="53"/>
      <c r="K249" s="53"/>
      <c r="L249" s="53"/>
      <c r="M249" s="53"/>
      <c r="N249" s="53"/>
      <c r="O249" s="53"/>
      <c r="P249" s="53"/>
      <c r="Q249" s="53"/>
    </row>
    <row r="250" spans="1:17" s="62" customFormat="1" x14ac:dyDescent="0.25">
      <c r="A250" s="11"/>
      <c r="B250" s="22"/>
      <c r="C250" s="63"/>
      <c r="D250" s="67"/>
      <c r="E250" s="64"/>
      <c r="F250" s="65"/>
      <c r="G250" s="4"/>
      <c r="H250" s="9"/>
      <c r="I250" s="10"/>
      <c r="J250" s="53"/>
      <c r="K250" s="53"/>
      <c r="L250" s="53"/>
      <c r="M250" s="53"/>
      <c r="N250" s="53"/>
      <c r="O250" s="53"/>
      <c r="P250" s="53"/>
      <c r="Q250" s="53"/>
    </row>
    <row r="251" spans="1:17" s="62" customFormat="1" ht="47.25" x14ac:dyDescent="0.25">
      <c r="A251" s="11" t="s">
        <v>289</v>
      </c>
      <c r="B251" s="17" t="s">
        <v>290</v>
      </c>
      <c r="C251" s="63" t="s">
        <v>95</v>
      </c>
      <c r="D251" s="67">
        <f>28*2+7+25+56</f>
        <v>144</v>
      </c>
      <c r="E251" s="64">
        <v>27.88</v>
      </c>
      <c r="F251" s="65">
        <f>D251*E251</f>
        <v>4014.72</v>
      </c>
      <c r="G251" s="166" t="s">
        <v>291</v>
      </c>
      <c r="H251" s="9" t="s">
        <v>292</v>
      </c>
      <c r="I251" s="10"/>
      <c r="J251" s="53"/>
      <c r="K251" s="53"/>
      <c r="L251" s="53"/>
      <c r="M251" s="53"/>
      <c r="N251" s="53"/>
      <c r="O251" s="53"/>
      <c r="P251" s="53"/>
      <c r="Q251" s="53"/>
    </row>
    <row r="252" spans="1:17" s="62" customFormat="1" x14ac:dyDescent="0.25">
      <c r="A252" s="11"/>
      <c r="B252" s="12"/>
      <c r="C252" s="63"/>
      <c r="D252" s="67"/>
      <c r="E252" s="64"/>
      <c r="F252" s="65"/>
      <c r="G252" s="4"/>
      <c r="H252" s="9"/>
      <c r="I252" s="10"/>
      <c r="J252" s="53"/>
      <c r="K252" s="53"/>
      <c r="L252" s="53"/>
      <c r="M252" s="53"/>
      <c r="N252" s="53"/>
      <c r="O252" s="53"/>
      <c r="P252" s="53"/>
      <c r="Q252" s="53"/>
    </row>
    <row r="253" spans="1:17" s="62" customFormat="1" ht="31.5" x14ac:dyDescent="0.25">
      <c r="A253" s="11" t="s">
        <v>293</v>
      </c>
      <c r="B253" s="17" t="s">
        <v>294</v>
      </c>
      <c r="C253" s="63" t="s">
        <v>95</v>
      </c>
      <c r="D253" s="67">
        <v>45</v>
      </c>
      <c r="E253" s="64">
        <v>46.84</v>
      </c>
      <c r="F253" s="65">
        <f>D253*E253</f>
        <v>2107.8000000000002</v>
      </c>
      <c r="G253" s="166">
        <v>45</v>
      </c>
      <c r="H253" s="9" t="s">
        <v>281</v>
      </c>
      <c r="I253" s="10"/>
      <c r="J253" s="53"/>
      <c r="K253" s="53"/>
      <c r="L253" s="53"/>
      <c r="M253" s="53"/>
      <c r="N253" s="53"/>
      <c r="O253" s="53"/>
      <c r="P253" s="53"/>
      <c r="Q253" s="53"/>
    </row>
    <row r="254" spans="1:17" s="62" customFormat="1" x14ac:dyDescent="0.25">
      <c r="A254" s="11"/>
      <c r="B254" s="12"/>
      <c r="C254" s="63"/>
      <c r="D254" s="67"/>
      <c r="E254" s="64"/>
      <c r="F254" s="65"/>
      <c r="G254" s="4"/>
      <c r="H254" s="9"/>
      <c r="I254" s="10"/>
      <c r="J254" s="53"/>
      <c r="K254" s="53"/>
      <c r="L254" s="53"/>
      <c r="M254" s="53"/>
      <c r="N254" s="53"/>
      <c r="O254" s="53"/>
      <c r="P254" s="53"/>
      <c r="Q254" s="53"/>
    </row>
    <row r="255" spans="1:17" s="62" customFormat="1" x14ac:dyDescent="0.25">
      <c r="A255" s="11"/>
      <c r="B255" s="12"/>
      <c r="C255" s="63"/>
      <c r="D255" s="67"/>
      <c r="E255" s="64"/>
      <c r="F255" s="65"/>
      <c r="G255" s="4"/>
      <c r="H255" s="9"/>
      <c r="I255" s="10"/>
      <c r="J255" s="53"/>
      <c r="K255" s="53"/>
      <c r="L255" s="53"/>
      <c r="M255" s="53"/>
      <c r="N255" s="53"/>
      <c r="O255" s="53"/>
      <c r="P255" s="53"/>
      <c r="Q255" s="53"/>
    </row>
    <row r="256" spans="1:17" s="62" customFormat="1" x14ac:dyDescent="0.25">
      <c r="A256" s="11" t="s">
        <v>295</v>
      </c>
      <c r="B256" s="22" t="s">
        <v>296</v>
      </c>
      <c r="C256" s="63"/>
      <c r="D256" s="67"/>
      <c r="E256" s="64"/>
      <c r="F256" s="65"/>
      <c r="G256" s="4"/>
      <c r="H256" s="9"/>
      <c r="I256" s="10"/>
      <c r="J256" s="53"/>
      <c r="K256" s="53"/>
      <c r="L256" s="53"/>
      <c r="M256" s="53"/>
      <c r="N256" s="53"/>
      <c r="O256" s="53"/>
      <c r="P256" s="53"/>
      <c r="Q256" s="53"/>
    </row>
    <row r="257" spans="1:17" s="62" customFormat="1" ht="110.25" x14ac:dyDescent="0.25">
      <c r="A257" s="11"/>
      <c r="B257" s="12" t="s">
        <v>297</v>
      </c>
      <c r="C257" s="63"/>
      <c r="D257" s="67"/>
      <c r="E257" s="64"/>
      <c r="F257" s="65"/>
      <c r="G257" s="4"/>
      <c r="H257" s="9"/>
      <c r="I257" s="10"/>
      <c r="J257" s="53"/>
      <c r="K257" s="53"/>
      <c r="L257" s="53"/>
      <c r="M257" s="53"/>
      <c r="N257" s="53"/>
      <c r="O257" s="53"/>
      <c r="P257" s="53"/>
      <c r="Q257" s="53"/>
    </row>
    <row r="258" spans="1:17" s="62" customFormat="1" x14ac:dyDescent="0.25">
      <c r="A258" s="11"/>
      <c r="B258" s="22"/>
      <c r="C258" s="63"/>
      <c r="D258" s="67"/>
      <c r="E258" s="64"/>
      <c r="F258" s="65"/>
      <c r="G258" s="4"/>
      <c r="H258" s="9"/>
      <c r="I258" s="10"/>
      <c r="J258" s="53"/>
      <c r="K258" s="53"/>
      <c r="L258" s="53"/>
      <c r="M258" s="53"/>
      <c r="N258" s="53"/>
      <c r="O258" s="53"/>
      <c r="P258" s="53"/>
      <c r="Q258" s="53"/>
    </row>
    <row r="259" spans="1:17" s="62" customFormat="1" x14ac:dyDescent="0.25">
      <c r="A259" s="11"/>
      <c r="B259" s="27"/>
      <c r="C259" s="63"/>
      <c r="D259" s="67"/>
      <c r="E259" s="64"/>
      <c r="F259" s="65"/>
      <c r="G259" s="4"/>
      <c r="H259" s="9"/>
      <c r="I259" s="10"/>
      <c r="J259" s="53"/>
      <c r="K259" s="53"/>
      <c r="L259" s="53"/>
      <c r="M259" s="53"/>
      <c r="N259" s="53"/>
      <c r="O259" s="53"/>
      <c r="P259" s="53"/>
      <c r="Q259" s="53"/>
    </row>
    <row r="260" spans="1:17" s="62" customFormat="1" ht="31.5" x14ac:dyDescent="0.25">
      <c r="A260" s="11" t="s">
        <v>298</v>
      </c>
      <c r="B260" s="13" t="s">
        <v>299</v>
      </c>
      <c r="C260" s="63" t="s">
        <v>95</v>
      </c>
      <c r="D260" s="67">
        <f>(5*2+22+5*2+10+25)</f>
        <v>77</v>
      </c>
      <c r="E260" s="64">
        <v>12.29</v>
      </c>
      <c r="F260" s="65">
        <f>D260*E260</f>
        <v>946.32999999999993</v>
      </c>
      <c r="G260" s="166">
        <v>77</v>
      </c>
      <c r="H260" s="9" t="s">
        <v>300</v>
      </c>
      <c r="I260" s="10"/>
      <c r="J260" s="53"/>
      <c r="K260" s="53"/>
      <c r="L260" s="53"/>
      <c r="M260" s="53"/>
      <c r="N260" s="53"/>
      <c r="O260" s="53"/>
      <c r="P260" s="53"/>
      <c r="Q260" s="53"/>
    </row>
    <row r="261" spans="1:17" s="62" customFormat="1" x14ac:dyDescent="0.25">
      <c r="A261" s="11"/>
      <c r="B261" s="27"/>
      <c r="C261" s="63"/>
      <c r="D261" s="67"/>
      <c r="E261" s="64"/>
      <c r="F261" s="65"/>
      <c r="G261" s="4"/>
      <c r="H261" s="9"/>
      <c r="I261" s="10"/>
      <c r="J261" s="53"/>
      <c r="K261" s="53"/>
      <c r="L261" s="53"/>
      <c r="M261" s="53"/>
      <c r="N261" s="53"/>
      <c r="O261" s="53"/>
      <c r="P261" s="53"/>
      <c r="Q261" s="53"/>
    </row>
    <row r="262" spans="1:17" s="62" customFormat="1" x14ac:dyDescent="0.25">
      <c r="A262" s="11"/>
      <c r="B262" s="12"/>
      <c r="C262" s="63"/>
      <c r="D262" s="67"/>
      <c r="E262" s="64"/>
      <c r="F262" s="65"/>
      <c r="G262" s="4"/>
      <c r="H262" s="9"/>
      <c r="I262" s="10"/>
      <c r="J262" s="53"/>
      <c r="K262" s="53"/>
      <c r="L262" s="53"/>
      <c r="M262" s="53"/>
      <c r="N262" s="53"/>
      <c r="O262" s="53"/>
      <c r="P262" s="53"/>
      <c r="Q262" s="53"/>
    </row>
    <row r="263" spans="1:17" s="62" customFormat="1" x14ac:dyDescent="0.25">
      <c r="A263" s="11"/>
      <c r="B263" s="12"/>
      <c r="C263" s="63"/>
      <c r="D263" s="67"/>
      <c r="E263" s="64"/>
      <c r="F263" s="65"/>
      <c r="G263" s="4"/>
      <c r="H263" s="9"/>
      <c r="I263" s="10"/>
      <c r="J263" s="53"/>
      <c r="K263" s="53"/>
      <c r="L263" s="53"/>
      <c r="M263" s="53"/>
      <c r="N263" s="53"/>
      <c r="O263" s="53"/>
      <c r="P263" s="53"/>
      <c r="Q263" s="53"/>
    </row>
    <row r="264" spans="1:17" s="62" customFormat="1" x14ac:dyDescent="0.25">
      <c r="A264" s="11"/>
      <c r="B264" s="17"/>
      <c r="C264" s="63"/>
      <c r="D264" s="67"/>
      <c r="E264" s="64"/>
      <c r="F264" s="65"/>
      <c r="G264" s="4"/>
      <c r="H264" s="9"/>
      <c r="I264" s="10"/>
      <c r="J264" s="53"/>
      <c r="K264" s="53"/>
      <c r="L264" s="53"/>
      <c r="M264" s="53"/>
      <c r="N264" s="53"/>
      <c r="O264" s="53"/>
      <c r="P264" s="53"/>
      <c r="Q264" s="53"/>
    </row>
    <row r="265" spans="1:17" s="62" customFormat="1" x14ac:dyDescent="0.25">
      <c r="A265" s="11" t="s">
        <v>301</v>
      </c>
      <c r="B265" s="17" t="s">
        <v>302</v>
      </c>
      <c r="C265" s="63" t="s">
        <v>21</v>
      </c>
      <c r="D265" s="67">
        <v>11</v>
      </c>
      <c r="E265" s="64">
        <v>9.68</v>
      </c>
      <c r="F265" s="65">
        <f>D265*E265</f>
        <v>106.47999999999999</v>
      </c>
      <c r="G265" s="166">
        <v>11</v>
      </c>
      <c r="H265" s="9"/>
      <c r="I265" s="10"/>
      <c r="J265" s="53"/>
      <c r="K265" s="53"/>
      <c r="L265" s="53"/>
      <c r="M265" s="53"/>
      <c r="N265" s="53"/>
      <c r="O265" s="53"/>
      <c r="P265" s="53"/>
      <c r="Q265" s="53"/>
    </row>
    <row r="266" spans="1:17" s="62" customFormat="1" ht="63" x14ac:dyDescent="0.25">
      <c r="A266" s="11"/>
      <c r="B266" s="12" t="s">
        <v>303</v>
      </c>
      <c r="C266" s="63"/>
      <c r="D266" s="67"/>
      <c r="E266" s="64"/>
      <c r="F266" s="65"/>
      <c r="G266" s="4"/>
      <c r="H266" s="9"/>
      <c r="I266" s="10"/>
      <c r="J266" s="53"/>
      <c r="K266" s="53"/>
      <c r="L266" s="53"/>
      <c r="M266" s="53"/>
      <c r="N266" s="53"/>
      <c r="O266" s="53"/>
      <c r="P266" s="53"/>
      <c r="Q266" s="53"/>
    </row>
    <row r="267" spans="1:17" s="62" customFormat="1" x14ac:dyDescent="0.25">
      <c r="A267" s="11"/>
      <c r="B267" s="12"/>
      <c r="C267" s="63"/>
      <c r="D267" s="67"/>
      <c r="E267" s="64"/>
      <c r="F267" s="65"/>
      <c r="G267" s="4"/>
      <c r="H267" s="9"/>
      <c r="I267" s="10"/>
      <c r="J267" s="53"/>
      <c r="K267" s="53"/>
      <c r="L267" s="53"/>
      <c r="M267" s="53"/>
      <c r="N267" s="53"/>
      <c r="O267" s="53"/>
      <c r="P267" s="53"/>
      <c r="Q267" s="53"/>
    </row>
    <row r="268" spans="1:17" s="62" customFormat="1" x14ac:dyDescent="0.25">
      <c r="A268" s="11"/>
      <c r="B268" s="12"/>
      <c r="C268" s="63"/>
      <c r="D268" s="67"/>
      <c r="E268" s="64"/>
      <c r="F268" s="65"/>
      <c r="G268" s="4"/>
      <c r="H268" s="9"/>
      <c r="I268" s="10"/>
      <c r="J268" s="53"/>
      <c r="K268" s="53"/>
      <c r="L268" s="53"/>
      <c r="M268" s="53"/>
      <c r="N268" s="53"/>
      <c r="O268" s="53"/>
      <c r="P268" s="53"/>
      <c r="Q268" s="53"/>
    </row>
    <row r="269" spans="1:17" s="62" customFormat="1" x14ac:dyDescent="0.25">
      <c r="A269" s="11" t="s">
        <v>304</v>
      </c>
      <c r="B269" s="17" t="s">
        <v>305</v>
      </c>
      <c r="C269" s="63" t="s">
        <v>21</v>
      </c>
      <c r="D269" s="67">
        <v>3</v>
      </c>
      <c r="E269" s="64">
        <v>11.6</v>
      </c>
      <c r="F269" s="65">
        <f>D269*E269</f>
        <v>34.799999999999997</v>
      </c>
      <c r="G269" s="166">
        <v>3</v>
      </c>
      <c r="H269" s="9"/>
      <c r="I269" s="10"/>
      <c r="J269" s="53"/>
      <c r="K269" s="53"/>
      <c r="L269" s="53"/>
      <c r="M269" s="53"/>
      <c r="N269" s="53"/>
      <c r="O269" s="53"/>
      <c r="P269" s="53"/>
      <c r="Q269" s="53"/>
    </row>
    <row r="270" spans="1:17" s="62" customFormat="1" ht="63" x14ac:dyDescent="0.25">
      <c r="A270" s="11"/>
      <c r="B270" s="12" t="s">
        <v>306</v>
      </c>
      <c r="C270" s="63"/>
      <c r="D270" s="67"/>
      <c r="E270" s="64"/>
      <c r="F270" s="65"/>
      <c r="G270" s="8"/>
      <c r="H270" s="9"/>
      <c r="I270" s="10"/>
      <c r="J270" s="53"/>
      <c r="K270" s="53"/>
      <c r="L270" s="53"/>
      <c r="M270" s="53"/>
      <c r="N270" s="53"/>
      <c r="O270" s="53"/>
      <c r="P270" s="53"/>
      <c r="Q270" s="53"/>
    </row>
    <row r="271" spans="1:17" s="62" customFormat="1" x14ac:dyDescent="0.25">
      <c r="A271" s="11"/>
      <c r="B271" s="12"/>
      <c r="C271" s="63"/>
      <c r="D271" s="67"/>
      <c r="E271" s="64"/>
      <c r="F271" s="65"/>
      <c r="G271" s="4"/>
      <c r="H271" s="9"/>
      <c r="I271" s="10"/>
      <c r="J271" s="53"/>
      <c r="K271" s="53"/>
      <c r="L271" s="53"/>
      <c r="M271" s="53"/>
      <c r="N271" s="53"/>
      <c r="O271" s="53"/>
      <c r="P271" s="53"/>
      <c r="Q271" s="53"/>
    </row>
    <row r="272" spans="1:17" s="62" customFormat="1" x14ac:dyDescent="0.25">
      <c r="A272" s="11"/>
      <c r="B272" s="17"/>
      <c r="C272" s="63"/>
      <c r="D272" s="67"/>
      <c r="E272" s="64"/>
      <c r="F272" s="65"/>
      <c r="G272" s="4"/>
      <c r="H272" s="9"/>
      <c r="I272" s="10"/>
      <c r="J272" s="53"/>
      <c r="K272" s="53"/>
      <c r="L272" s="53"/>
      <c r="M272" s="53"/>
      <c r="N272" s="53"/>
      <c r="O272" s="53"/>
      <c r="P272" s="53"/>
      <c r="Q272" s="53"/>
    </row>
    <row r="273" spans="1:17" s="62" customFormat="1" ht="31.5" x14ac:dyDescent="0.25">
      <c r="A273" s="11" t="s">
        <v>307</v>
      </c>
      <c r="B273" s="17" t="s">
        <v>308</v>
      </c>
      <c r="C273" s="63" t="s">
        <v>21</v>
      </c>
      <c r="D273" s="67">
        <v>12</v>
      </c>
      <c r="E273" s="64">
        <v>516.41</v>
      </c>
      <c r="F273" s="65">
        <f>D273*E273</f>
        <v>6196.92</v>
      </c>
      <c r="G273" s="166">
        <v>12</v>
      </c>
      <c r="H273" s="9"/>
      <c r="I273" s="10"/>
      <c r="J273" s="53"/>
      <c r="K273" s="53"/>
      <c r="L273" s="53"/>
      <c r="M273" s="53"/>
      <c r="N273" s="53"/>
      <c r="O273" s="53"/>
      <c r="P273" s="53"/>
      <c r="Q273" s="53"/>
    </row>
    <row r="274" spans="1:17" s="62" customFormat="1" ht="141.75" x14ac:dyDescent="0.25">
      <c r="A274" s="11"/>
      <c r="B274" s="12" t="s">
        <v>309</v>
      </c>
      <c r="C274" s="63"/>
      <c r="D274" s="67"/>
      <c r="E274" s="64"/>
      <c r="F274" s="65"/>
      <c r="G274" s="4"/>
      <c r="H274" s="9"/>
      <c r="I274" s="10"/>
      <c r="J274" s="53"/>
      <c r="K274" s="53"/>
      <c r="L274" s="53"/>
      <c r="M274" s="53"/>
      <c r="N274" s="53"/>
      <c r="O274" s="53"/>
      <c r="P274" s="53"/>
      <c r="Q274" s="53"/>
    </row>
    <row r="275" spans="1:17" s="62" customFormat="1" x14ac:dyDescent="0.25">
      <c r="A275" s="11"/>
      <c r="B275" s="12"/>
      <c r="C275" s="63"/>
      <c r="D275" s="67"/>
      <c r="E275" s="64"/>
      <c r="F275" s="65"/>
      <c r="G275" s="4"/>
      <c r="H275" s="9"/>
      <c r="I275" s="10"/>
      <c r="J275" s="53"/>
      <c r="K275" s="53"/>
      <c r="L275" s="53"/>
      <c r="M275" s="53"/>
      <c r="N275" s="53"/>
      <c r="O275" s="53"/>
      <c r="P275" s="53"/>
      <c r="Q275" s="53"/>
    </row>
    <row r="276" spans="1:17" s="62" customFormat="1" x14ac:dyDescent="0.25">
      <c r="A276" s="11"/>
      <c r="B276" s="17"/>
      <c r="C276" s="63"/>
      <c r="D276" s="67"/>
      <c r="E276" s="64"/>
      <c r="F276" s="65"/>
      <c r="G276" s="4"/>
      <c r="H276" s="9"/>
      <c r="I276" s="10"/>
      <c r="J276" s="53"/>
      <c r="K276" s="53"/>
      <c r="L276" s="53"/>
      <c r="M276" s="53"/>
      <c r="N276" s="53"/>
      <c r="O276" s="53"/>
      <c r="P276" s="53"/>
      <c r="Q276" s="53"/>
    </row>
    <row r="277" spans="1:17" s="62" customFormat="1" x14ac:dyDescent="0.25">
      <c r="A277" s="11" t="s">
        <v>310</v>
      </c>
      <c r="B277" s="22" t="s">
        <v>311</v>
      </c>
      <c r="C277" s="63"/>
      <c r="D277" s="67"/>
      <c r="E277" s="64"/>
      <c r="F277" s="65"/>
      <c r="G277" s="4"/>
      <c r="H277" s="9"/>
      <c r="I277" s="10"/>
      <c r="J277" s="53"/>
      <c r="K277" s="53"/>
      <c r="L277" s="53"/>
      <c r="M277" s="53"/>
      <c r="N277" s="53"/>
      <c r="O277" s="53"/>
      <c r="P277" s="53"/>
      <c r="Q277" s="53"/>
    </row>
    <row r="278" spans="1:17" s="62" customFormat="1" ht="94.5" x14ac:dyDescent="0.25">
      <c r="A278" s="11"/>
      <c r="B278" s="12" t="s">
        <v>312</v>
      </c>
      <c r="C278" s="63"/>
      <c r="D278" s="67"/>
      <c r="E278" s="64"/>
      <c r="F278" s="65"/>
      <c r="G278" s="4"/>
      <c r="H278" s="9"/>
      <c r="I278" s="10"/>
      <c r="J278" s="53"/>
      <c r="K278" s="53"/>
      <c r="L278" s="53"/>
      <c r="M278" s="53"/>
      <c r="N278" s="53"/>
      <c r="O278" s="53"/>
      <c r="P278" s="53"/>
      <c r="Q278" s="53"/>
    </row>
    <row r="279" spans="1:17" s="62" customFormat="1" x14ac:dyDescent="0.25">
      <c r="A279" s="11"/>
      <c r="B279" s="12"/>
      <c r="C279" s="63"/>
      <c r="D279" s="67"/>
      <c r="E279" s="64"/>
      <c r="F279" s="65"/>
      <c r="G279" s="4"/>
      <c r="H279" s="9"/>
      <c r="I279" s="10"/>
      <c r="J279" s="53"/>
      <c r="K279" s="53"/>
      <c r="L279" s="53"/>
      <c r="M279" s="53"/>
      <c r="N279" s="53"/>
      <c r="O279" s="53"/>
      <c r="P279" s="53"/>
      <c r="Q279" s="53"/>
    </row>
    <row r="280" spans="1:17" s="62" customFormat="1" x14ac:dyDescent="0.25">
      <c r="A280" s="11"/>
      <c r="B280" s="12"/>
      <c r="C280" s="63"/>
      <c r="D280" s="67"/>
      <c r="E280" s="64"/>
      <c r="F280" s="65"/>
      <c r="G280" s="8"/>
      <c r="H280" s="9"/>
      <c r="I280" s="10"/>
      <c r="J280" s="53"/>
      <c r="K280" s="53"/>
      <c r="L280" s="53"/>
      <c r="M280" s="53"/>
      <c r="N280" s="53"/>
      <c r="O280" s="53"/>
      <c r="P280" s="53"/>
      <c r="Q280" s="53"/>
    </row>
    <row r="281" spans="1:17" s="62" customFormat="1" ht="31.5" x14ac:dyDescent="0.25">
      <c r="A281" s="11" t="s">
        <v>313</v>
      </c>
      <c r="B281" s="17" t="s">
        <v>522</v>
      </c>
      <c r="C281" s="63" t="s">
        <v>21</v>
      </c>
      <c r="D281" s="67">
        <v>1</v>
      </c>
      <c r="E281" s="64">
        <v>286.64999999999998</v>
      </c>
      <c r="F281" s="65">
        <f>D281*E281</f>
        <v>286.64999999999998</v>
      </c>
      <c r="G281" s="8">
        <v>1</v>
      </c>
      <c r="H281" s="9"/>
      <c r="I281" s="10"/>
      <c r="J281" s="53"/>
      <c r="K281" s="53"/>
      <c r="L281" s="53"/>
      <c r="M281" s="53"/>
      <c r="N281" s="53"/>
      <c r="O281" s="53"/>
      <c r="P281" s="53"/>
      <c r="Q281" s="53"/>
    </row>
    <row r="282" spans="1:17" s="62" customFormat="1" x14ac:dyDescent="0.25">
      <c r="A282" s="11"/>
      <c r="B282" s="12"/>
      <c r="C282" s="63"/>
      <c r="D282" s="67"/>
      <c r="E282" s="64"/>
      <c r="F282" s="65"/>
      <c r="G282" s="4"/>
      <c r="H282" s="9"/>
      <c r="I282" s="10"/>
      <c r="J282" s="53"/>
      <c r="K282" s="53"/>
      <c r="L282" s="53"/>
      <c r="M282" s="53"/>
      <c r="N282" s="53"/>
      <c r="O282" s="53"/>
      <c r="P282" s="53"/>
      <c r="Q282" s="53"/>
    </row>
    <row r="283" spans="1:17" s="62" customFormat="1" ht="18.75" customHeight="1" x14ac:dyDescent="0.25">
      <c r="A283" s="23"/>
      <c r="B283" s="25"/>
      <c r="C283" s="361" t="s">
        <v>34</v>
      </c>
      <c r="D283" s="361"/>
      <c r="E283" s="361"/>
      <c r="F283" s="66">
        <f>SUM(F196:F282)</f>
        <v>20173.560000000001</v>
      </c>
      <c r="G283" s="4"/>
      <c r="H283" s="9"/>
      <c r="I283" s="10"/>
      <c r="J283" s="53"/>
      <c r="K283" s="53"/>
      <c r="L283" s="53"/>
      <c r="M283" s="53"/>
      <c r="N283" s="53"/>
      <c r="O283" s="53"/>
      <c r="P283" s="53"/>
      <c r="Q283" s="53"/>
    </row>
    <row r="284" spans="1:17" s="62" customFormat="1" x14ac:dyDescent="0.25">
      <c r="A284" s="3" t="s">
        <v>314</v>
      </c>
      <c r="B284" s="57" t="s">
        <v>315</v>
      </c>
      <c r="C284" s="71"/>
      <c r="D284" s="72"/>
      <c r="E284" s="60"/>
      <c r="F284" s="65"/>
      <c r="G284" s="4"/>
      <c r="H284" s="9"/>
      <c r="I284" s="10"/>
      <c r="J284" s="53"/>
      <c r="K284" s="53"/>
      <c r="L284" s="53"/>
      <c r="M284" s="53"/>
      <c r="N284" s="53"/>
      <c r="O284" s="53"/>
      <c r="P284" s="53"/>
      <c r="Q284" s="53"/>
    </row>
    <row r="285" spans="1:17" s="62" customFormat="1" x14ac:dyDescent="0.25">
      <c r="A285" s="6" t="s">
        <v>316</v>
      </c>
      <c r="B285" s="26" t="s">
        <v>149</v>
      </c>
      <c r="C285" s="63"/>
      <c r="D285" s="67"/>
      <c r="E285" s="64"/>
      <c r="F285" s="65"/>
      <c r="G285" s="4"/>
      <c r="H285" s="9"/>
      <c r="I285" s="10"/>
      <c r="J285" s="53"/>
      <c r="K285" s="53"/>
      <c r="L285" s="53"/>
      <c r="M285" s="53"/>
      <c r="N285" s="53"/>
      <c r="O285" s="53"/>
      <c r="P285" s="53"/>
      <c r="Q285" s="53"/>
    </row>
    <row r="286" spans="1:17" s="62" customFormat="1" ht="30" customHeight="1" x14ac:dyDescent="0.25">
      <c r="A286" s="11" t="s">
        <v>317</v>
      </c>
      <c r="B286" s="17" t="s">
        <v>318</v>
      </c>
      <c r="C286" s="63" t="s">
        <v>524</v>
      </c>
      <c r="D286" s="67">
        <f>0.8*2.1+1*2.1*2</f>
        <v>5.8800000000000008</v>
      </c>
      <c r="E286" s="64">
        <v>489.7</v>
      </c>
      <c r="F286" s="65">
        <f>D286*E286</f>
        <v>2879.4360000000001</v>
      </c>
      <c r="G286" s="4" t="s">
        <v>319</v>
      </c>
      <c r="H286" s="9" t="s">
        <v>320</v>
      </c>
      <c r="I286" s="10"/>
      <c r="J286" s="53"/>
      <c r="K286" s="53"/>
      <c r="L286" s="53"/>
      <c r="M286" s="53"/>
      <c r="N286" s="53"/>
      <c r="O286" s="53"/>
      <c r="P286" s="53"/>
      <c r="Q286" s="53"/>
    </row>
    <row r="287" spans="1:17" s="62" customFormat="1" ht="141.75" x14ac:dyDescent="0.25">
      <c r="A287" s="11"/>
      <c r="B287" s="12" t="s">
        <v>321</v>
      </c>
      <c r="C287" s="63"/>
      <c r="D287" s="67"/>
      <c r="E287" s="64"/>
      <c r="F287" s="65"/>
      <c r="G287" s="4"/>
      <c r="H287" s="9"/>
      <c r="I287" s="10"/>
      <c r="J287" s="53"/>
      <c r="K287" s="53"/>
      <c r="L287" s="53"/>
      <c r="M287" s="53"/>
      <c r="N287" s="53"/>
      <c r="O287" s="53"/>
      <c r="P287" s="53"/>
      <c r="Q287" s="53"/>
    </row>
    <row r="288" spans="1:17" s="62" customFormat="1" x14ac:dyDescent="0.25">
      <c r="A288" s="11"/>
      <c r="B288" s="12"/>
      <c r="C288" s="63"/>
      <c r="D288" s="67"/>
      <c r="E288" s="64"/>
      <c r="F288" s="65"/>
      <c r="G288" s="4"/>
      <c r="H288" s="9"/>
      <c r="I288" s="10"/>
      <c r="J288" s="53"/>
      <c r="K288" s="53"/>
      <c r="L288" s="53"/>
      <c r="M288" s="53"/>
      <c r="N288" s="53"/>
      <c r="O288" s="53"/>
      <c r="P288" s="53"/>
      <c r="Q288" s="53"/>
    </row>
    <row r="289" spans="1:17" s="62" customFormat="1" x14ac:dyDescent="0.25">
      <c r="A289" s="11"/>
      <c r="B289" s="12"/>
      <c r="C289" s="63"/>
      <c r="D289" s="67"/>
      <c r="E289" s="64"/>
      <c r="F289" s="65"/>
      <c r="G289" s="4"/>
      <c r="H289" s="9"/>
      <c r="I289" s="10"/>
      <c r="J289" s="53"/>
      <c r="K289" s="53"/>
      <c r="L289" s="53"/>
      <c r="M289" s="53"/>
      <c r="N289" s="53"/>
      <c r="O289" s="53"/>
      <c r="P289" s="53"/>
      <c r="Q289" s="53"/>
    </row>
    <row r="290" spans="1:17" s="62" customFormat="1" ht="31.5" x14ac:dyDescent="0.25">
      <c r="A290" s="11" t="s">
        <v>322</v>
      </c>
      <c r="B290" s="17" t="s">
        <v>323</v>
      </c>
      <c r="C290" s="63" t="s">
        <v>524</v>
      </c>
      <c r="D290" s="67">
        <f>0.8*1*4</f>
        <v>3.2</v>
      </c>
      <c r="E290" s="64">
        <v>729.03</v>
      </c>
      <c r="F290" s="65">
        <f>D290*E290</f>
        <v>2332.8960000000002</v>
      </c>
      <c r="G290" s="4" t="s">
        <v>324</v>
      </c>
      <c r="H290" s="9" t="s">
        <v>325</v>
      </c>
      <c r="I290" s="10"/>
      <c r="J290" s="53"/>
      <c r="K290" s="53"/>
      <c r="L290" s="53"/>
      <c r="M290" s="53"/>
      <c r="N290" s="53"/>
      <c r="O290" s="53"/>
      <c r="P290" s="53"/>
      <c r="Q290" s="53"/>
    </row>
    <row r="291" spans="1:17" s="62" customFormat="1" ht="156" customHeight="1" x14ac:dyDescent="0.25">
      <c r="A291" s="11"/>
      <c r="B291" s="12" t="s">
        <v>326</v>
      </c>
      <c r="C291" s="63"/>
      <c r="D291" s="67"/>
      <c r="E291" s="64"/>
      <c r="F291" s="65"/>
      <c r="G291" s="4"/>
      <c r="H291" s="9"/>
      <c r="I291" s="10"/>
      <c r="J291" s="53"/>
      <c r="K291" s="53"/>
      <c r="L291" s="53"/>
      <c r="M291" s="53"/>
      <c r="N291" s="53"/>
      <c r="O291" s="53"/>
      <c r="P291" s="53"/>
      <c r="Q291" s="53"/>
    </row>
    <row r="292" spans="1:17" s="62" customFormat="1" x14ac:dyDescent="0.25">
      <c r="A292" s="11"/>
      <c r="B292" s="12"/>
      <c r="C292" s="63"/>
      <c r="D292" s="67"/>
      <c r="E292" s="64"/>
      <c r="F292" s="65"/>
      <c r="G292" s="4"/>
      <c r="H292" s="9"/>
      <c r="I292" s="10"/>
      <c r="J292" s="53"/>
      <c r="K292" s="53"/>
      <c r="L292" s="53"/>
      <c r="M292" s="53"/>
      <c r="N292" s="53"/>
      <c r="O292" s="53"/>
      <c r="P292" s="53"/>
      <c r="Q292" s="53"/>
    </row>
    <row r="293" spans="1:17" s="62" customFormat="1" ht="18" customHeight="1" x14ac:dyDescent="0.25">
      <c r="A293" s="23"/>
      <c r="B293" s="25"/>
      <c r="C293" s="361" t="s">
        <v>34</v>
      </c>
      <c r="D293" s="361"/>
      <c r="E293" s="361"/>
      <c r="F293" s="66">
        <f>SUM(F286:F292)</f>
        <v>5212.3320000000003</v>
      </c>
      <c r="G293" s="4"/>
      <c r="H293" s="9"/>
      <c r="I293" s="10"/>
      <c r="J293" s="53"/>
      <c r="K293" s="53"/>
      <c r="L293" s="53"/>
      <c r="M293" s="53"/>
      <c r="N293" s="53"/>
      <c r="O293" s="53"/>
      <c r="P293" s="53"/>
      <c r="Q293" s="53"/>
    </row>
    <row r="294" spans="1:17" s="62" customFormat="1" x14ac:dyDescent="0.25">
      <c r="A294" s="3">
        <v>130000</v>
      </c>
      <c r="B294" s="57" t="s">
        <v>327</v>
      </c>
      <c r="C294" s="58"/>
      <c r="D294" s="72"/>
      <c r="E294" s="60"/>
      <c r="F294" s="65"/>
      <c r="G294" s="4"/>
      <c r="H294" s="9"/>
      <c r="I294" s="10"/>
      <c r="J294" s="53"/>
      <c r="K294" s="53"/>
      <c r="L294" s="53"/>
      <c r="M294" s="53"/>
      <c r="N294" s="53"/>
      <c r="O294" s="53"/>
      <c r="P294" s="53"/>
      <c r="Q294" s="53"/>
    </row>
    <row r="295" spans="1:17" s="62" customFormat="1" x14ac:dyDescent="0.25">
      <c r="A295" s="6">
        <v>130100</v>
      </c>
      <c r="B295" s="26" t="s">
        <v>328</v>
      </c>
      <c r="C295" s="63"/>
      <c r="D295" s="67"/>
      <c r="E295" s="64"/>
      <c r="F295" s="65"/>
      <c r="G295" s="4"/>
      <c r="H295" s="9"/>
      <c r="I295" s="10"/>
      <c r="J295" s="53"/>
      <c r="K295" s="53"/>
      <c r="L295" s="53"/>
      <c r="M295" s="53"/>
      <c r="N295" s="53"/>
      <c r="O295" s="53"/>
      <c r="P295" s="53"/>
      <c r="Q295" s="53"/>
    </row>
    <row r="296" spans="1:17" s="62" customFormat="1" x14ac:dyDescent="0.25">
      <c r="A296" s="11"/>
      <c r="B296" s="12"/>
      <c r="C296" s="63"/>
      <c r="D296" s="64"/>
      <c r="E296" s="64"/>
      <c r="F296" s="65"/>
      <c r="G296" s="4"/>
      <c r="H296" s="9"/>
      <c r="I296" s="10"/>
      <c r="J296" s="53"/>
      <c r="K296" s="53"/>
      <c r="L296" s="53"/>
      <c r="M296" s="53"/>
      <c r="N296" s="53"/>
      <c r="O296" s="53"/>
      <c r="P296" s="53"/>
      <c r="Q296" s="53"/>
    </row>
    <row r="297" spans="1:17" s="62" customFormat="1" x14ac:dyDescent="0.25">
      <c r="A297" s="11" t="s">
        <v>329</v>
      </c>
      <c r="B297" s="22" t="s">
        <v>330</v>
      </c>
      <c r="C297" s="63"/>
      <c r="D297" s="67"/>
      <c r="E297" s="64"/>
      <c r="F297" s="65"/>
      <c r="G297" s="4"/>
      <c r="H297" s="9"/>
      <c r="I297" s="10"/>
      <c r="J297" s="53"/>
      <c r="K297" s="53"/>
      <c r="L297" s="53"/>
      <c r="M297" s="53"/>
      <c r="N297" s="53"/>
      <c r="O297" s="53"/>
      <c r="P297" s="53"/>
      <c r="Q297" s="53"/>
    </row>
    <row r="298" spans="1:17" s="62" customFormat="1" x14ac:dyDescent="0.25">
      <c r="A298" s="11" t="s">
        <v>331</v>
      </c>
      <c r="B298" s="17" t="s">
        <v>332</v>
      </c>
      <c r="C298" s="63" t="s">
        <v>21</v>
      </c>
      <c r="D298" s="67">
        <v>4</v>
      </c>
      <c r="E298" s="64">
        <v>236.08</v>
      </c>
      <c r="F298" s="65">
        <f>D298*E298</f>
        <v>944.32</v>
      </c>
      <c r="G298" s="4">
        <v>4</v>
      </c>
      <c r="H298" s="9"/>
      <c r="I298" s="10"/>
      <c r="J298" s="53"/>
      <c r="K298" s="53"/>
      <c r="L298" s="53"/>
      <c r="M298" s="53"/>
      <c r="N298" s="53"/>
      <c r="O298" s="53"/>
      <c r="P298" s="53"/>
      <c r="Q298" s="53"/>
    </row>
    <row r="299" spans="1:17" s="62" customFormat="1" ht="94.5" x14ac:dyDescent="0.25">
      <c r="A299" s="11"/>
      <c r="B299" s="12" t="s">
        <v>333</v>
      </c>
      <c r="C299" s="63"/>
      <c r="D299" s="67"/>
      <c r="E299" s="64"/>
      <c r="F299" s="65"/>
      <c r="G299" s="4"/>
      <c r="H299" s="9"/>
      <c r="I299" s="10"/>
      <c r="J299" s="53"/>
      <c r="K299" s="53"/>
      <c r="L299" s="53"/>
      <c r="M299" s="53"/>
      <c r="N299" s="53"/>
      <c r="O299" s="53"/>
      <c r="P299" s="53"/>
      <c r="Q299" s="53"/>
    </row>
    <row r="300" spans="1:17" s="62" customFormat="1" x14ac:dyDescent="0.25">
      <c r="A300" s="11"/>
      <c r="B300" s="17"/>
      <c r="C300" s="63"/>
      <c r="D300" s="67"/>
      <c r="E300" s="64"/>
      <c r="F300" s="65"/>
      <c r="G300" s="4"/>
      <c r="H300" s="9"/>
      <c r="I300" s="10"/>
      <c r="J300" s="53"/>
      <c r="K300" s="53"/>
      <c r="L300" s="53"/>
      <c r="M300" s="53"/>
      <c r="N300" s="53"/>
      <c r="O300" s="53"/>
      <c r="P300" s="53"/>
      <c r="Q300" s="53"/>
    </row>
    <row r="301" spans="1:17" s="62" customFormat="1" x14ac:dyDescent="0.25">
      <c r="A301" s="11" t="s">
        <v>334</v>
      </c>
      <c r="B301" s="17" t="s">
        <v>335</v>
      </c>
      <c r="C301" s="63" t="s">
        <v>21</v>
      </c>
      <c r="D301" s="67">
        <v>2</v>
      </c>
      <c r="E301" s="64">
        <v>226</v>
      </c>
      <c r="F301" s="65">
        <f>D301*E301</f>
        <v>452</v>
      </c>
      <c r="G301" s="4">
        <v>2</v>
      </c>
      <c r="H301" s="9"/>
      <c r="I301" s="10"/>
      <c r="J301" s="53"/>
      <c r="K301" s="53"/>
      <c r="L301" s="53"/>
      <c r="M301" s="53"/>
      <c r="N301" s="53"/>
      <c r="O301" s="53"/>
      <c r="P301" s="53"/>
      <c r="Q301" s="53"/>
    </row>
    <row r="302" spans="1:17" s="62" customFormat="1" ht="94.5" x14ac:dyDescent="0.25">
      <c r="A302" s="11"/>
      <c r="B302" s="12" t="s">
        <v>336</v>
      </c>
      <c r="C302" s="63"/>
      <c r="D302" s="67"/>
      <c r="E302" s="64"/>
      <c r="F302" s="65"/>
      <c r="G302" s="4"/>
      <c r="H302" s="9"/>
      <c r="I302" s="10"/>
      <c r="J302" s="53"/>
      <c r="K302" s="53"/>
      <c r="L302" s="53"/>
      <c r="M302" s="53"/>
      <c r="N302" s="53"/>
      <c r="O302" s="53"/>
      <c r="P302" s="53"/>
      <c r="Q302" s="53"/>
    </row>
    <row r="303" spans="1:17" s="62" customFormat="1" x14ac:dyDescent="0.25">
      <c r="A303" s="11"/>
      <c r="B303" s="12"/>
      <c r="C303" s="63"/>
      <c r="D303" s="67"/>
      <c r="E303" s="64"/>
      <c r="F303" s="65"/>
      <c r="G303" s="4"/>
      <c r="H303" s="9"/>
      <c r="I303" s="10"/>
      <c r="J303" s="53"/>
      <c r="K303" s="53"/>
      <c r="L303" s="53"/>
      <c r="M303" s="53"/>
      <c r="N303" s="53"/>
      <c r="O303" s="53"/>
      <c r="P303" s="53"/>
      <c r="Q303" s="53"/>
    </row>
    <row r="304" spans="1:17" s="62" customFormat="1" x14ac:dyDescent="0.25">
      <c r="A304" s="11"/>
      <c r="B304" s="12"/>
      <c r="C304" s="63"/>
      <c r="D304" s="67"/>
      <c r="E304" s="64"/>
      <c r="F304" s="65"/>
      <c r="G304" s="4"/>
      <c r="H304" s="9"/>
      <c r="I304" s="10"/>
      <c r="J304" s="53"/>
      <c r="K304" s="53"/>
      <c r="L304" s="53"/>
      <c r="M304" s="53"/>
      <c r="N304" s="53"/>
      <c r="O304" s="53"/>
      <c r="P304" s="53"/>
      <c r="Q304" s="53"/>
    </row>
    <row r="305" spans="1:17" s="62" customFormat="1" x14ac:dyDescent="0.25">
      <c r="A305" s="11" t="s">
        <v>337</v>
      </c>
      <c r="B305" s="17" t="s">
        <v>338</v>
      </c>
      <c r="C305" s="63" t="s">
        <v>95</v>
      </c>
      <c r="D305" s="67">
        <f>2.35+1.36+1.36+3.89+1.6*4</f>
        <v>15.360000000000001</v>
      </c>
      <c r="E305" s="64">
        <v>148.11000000000001</v>
      </c>
      <c r="F305" s="65">
        <f>D305*E305</f>
        <v>2274.9696000000004</v>
      </c>
      <c r="G305" s="4" t="s">
        <v>339</v>
      </c>
      <c r="H305" s="9"/>
      <c r="I305" s="10"/>
      <c r="J305" s="53"/>
      <c r="K305" s="53"/>
      <c r="L305" s="53"/>
      <c r="M305" s="53"/>
      <c r="N305" s="53"/>
      <c r="O305" s="53"/>
      <c r="P305" s="53"/>
      <c r="Q305" s="53"/>
    </row>
    <row r="306" spans="1:17" s="62" customFormat="1" ht="189" x14ac:dyDescent="0.25">
      <c r="A306" s="11"/>
      <c r="B306" s="12" t="s">
        <v>340</v>
      </c>
      <c r="C306" s="63"/>
      <c r="D306" s="67"/>
      <c r="E306" s="64"/>
      <c r="F306" s="65"/>
      <c r="G306" s="4"/>
      <c r="H306" s="9"/>
      <c r="I306" s="10"/>
      <c r="J306" s="53"/>
      <c r="K306" s="53"/>
      <c r="L306" s="53"/>
      <c r="M306" s="53"/>
      <c r="N306" s="53"/>
      <c r="O306" s="53"/>
      <c r="P306" s="53"/>
      <c r="Q306" s="53"/>
    </row>
    <row r="307" spans="1:17" s="62" customFormat="1" x14ac:dyDescent="0.25">
      <c r="A307" s="11"/>
      <c r="B307" s="12"/>
      <c r="C307" s="63"/>
      <c r="D307" s="67"/>
      <c r="E307" s="64"/>
      <c r="F307" s="65"/>
      <c r="G307" s="4"/>
      <c r="H307" s="9"/>
      <c r="I307" s="10"/>
      <c r="J307" s="53"/>
      <c r="K307" s="53"/>
      <c r="L307" s="53"/>
      <c r="M307" s="53"/>
      <c r="N307" s="53"/>
      <c r="O307" s="53"/>
      <c r="P307" s="53"/>
      <c r="Q307" s="53"/>
    </row>
    <row r="308" spans="1:17" s="62" customFormat="1" x14ac:dyDescent="0.25">
      <c r="A308" s="11"/>
      <c r="B308" s="12"/>
      <c r="C308" s="63"/>
      <c r="D308" s="67"/>
      <c r="E308" s="64"/>
      <c r="F308" s="65"/>
      <c r="G308" s="4"/>
      <c r="H308" s="9"/>
      <c r="I308" s="10"/>
      <c r="J308" s="53"/>
      <c r="K308" s="53"/>
      <c r="L308" s="53"/>
      <c r="M308" s="53"/>
      <c r="N308" s="53"/>
      <c r="O308" s="53"/>
      <c r="P308" s="53"/>
      <c r="Q308" s="53"/>
    </row>
    <row r="309" spans="1:17" s="62" customFormat="1" ht="31.5" x14ac:dyDescent="0.25">
      <c r="A309" s="11" t="s">
        <v>341</v>
      </c>
      <c r="B309" s="17" t="s">
        <v>342</v>
      </c>
      <c r="C309" s="63" t="s">
        <v>95</v>
      </c>
      <c r="D309" s="67">
        <f>2.35+3.89+1.6*4</f>
        <v>12.64</v>
      </c>
      <c r="E309" s="64">
        <v>699.79</v>
      </c>
      <c r="F309" s="65">
        <f>D309*E309</f>
        <v>8845.3456000000006</v>
      </c>
      <c r="G309" s="4" t="s">
        <v>343</v>
      </c>
      <c r="H309" s="9"/>
      <c r="I309" s="10"/>
      <c r="J309" s="53"/>
      <c r="K309" s="53"/>
      <c r="L309" s="53"/>
      <c r="M309" s="53"/>
      <c r="N309" s="53"/>
      <c r="O309" s="53"/>
      <c r="P309" s="53"/>
      <c r="Q309" s="53"/>
    </row>
    <row r="310" spans="1:17" s="62" customFormat="1" ht="221.25" customHeight="1" x14ac:dyDescent="0.25">
      <c r="A310" s="11"/>
      <c r="B310" s="12" t="s">
        <v>344</v>
      </c>
      <c r="C310" s="63"/>
      <c r="D310" s="67"/>
      <c r="E310" s="64"/>
      <c r="F310" s="65"/>
      <c r="G310" s="4"/>
      <c r="H310" s="9"/>
      <c r="I310" s="10"/>
      <c r="J310" s="53"/>
      <c r="K310" s="53"/>
      <c r="L310" s="53"/>
      <c r="M310" s="53"/>
      <c r="N310" s="53"/>
      <c r="O310" s="53"/>
      <c r="P310" s="53"/>
      <c r="Q310" s="53"/>
    </row>
    <row r="311" spans="1:17" s="62" customFormat="1" ht="18" customHeight="1" x14ac:dyDescent="0.25">
      <c r="A311" s="23"/>
      <c r="B311" s="25"/>
      <c r="C311" s="361" t="s">
        <v>34</v>
      </c>
      <c r="D311" s="361"/>
      <c r="E311" s="361"/>
      <c r="F311" s="66">
        <f>SUM(F296:F310)</f>
        <v>12516.635200000001</v>
      </c>
      <c r="G311" s="4"/>
      <c r="H311" s="9"/>
      <c r="I311" s="10"/>
      <c r="J311" s="53"/>
      <c r="K311" s="53"/>
      <c r="L311" s="53"/>
      <c r="M311" s="53"/>
      <c r="N311" s="53"/>
      <c r="O311" s="53"/>
      <c r="P311" s="53"/>
      <c r="Q311" s="53"/>
    </row>
    <row r="312" spans="1:17" s="62" customFormat="1" x14ac:dyDescent="0.25">
      <c r="A312" s="3">
        <v>140000</v>
      </c>
      <c r="B312" s="57" t="s">
        <v>345</v>
      </c>
      <c r="C312" s="58"/>
      <c r="D312" s="72"/>
      <c r="E312" s="60"/>
      <c r="F312" s="65"/>
      <c r="G312" s="4"/>
      <c r="H312" s="9"/>
      <c r="I312" s="10"/>
      <c r="J312" s="53"/>
      <c r="K312" s="53"/>
      <c r="L312" s="53"/>
      <c r="M312" s="53"/>
      <c r="N312" s="53"/>
      <c r="O312" s="53"/>
      <c r="P312" s="53"/>
      <c r="Q312" s="53"/>
    </row>
    <row r="313" spans="1:17" s="62" customFormat="1" x14ac:dyDescent="0.25">
      <c r="A313" s="6">
        <v>140100</v>
      </c>
      <c r="B313" s="26" t="s">
        <v>113</v>
      </c>
      <c r="C313" s="63"/>
      <c r="D313" s="67"/>
      <c r="E313" s="64"/>
      <c r="F313" s="65"/>
      <c r="G313" s="4"/>
      <c r="H313" s="9"/>
      <c r="I313" s="10"/>
      <c r="J313" s="53"/>
      <c r="K313" s="53"/>
      <c r="L313" s="53"/>
      <c r="M313" s="53"/>
      <c r="N313" s="53"/>
      <c r="O313" s="53"/>
      <c r="P313" s="53"/>
      <c r="Q313" s="53"/>
    </row>
    <row r="314" spans="1:17" s="62" customFormat="1" ht="31.5" x14ac:dyDescent="0.25">
      <c r="A314" s="11">
        <v>140101</v>
      </c>
      <c r="B314" s="17" t="s">
        <v>346</v>
      </c>
      <c r="C314" s="63" t="s">
        <v>15</v>
      </c>
      <c r="D314" s="67">
        <f>(1.82*3*2+2.11*3*2)*2</f>
        <v>47.16</v>
      </c>
      <c r="E314" s="64">
        <v>32.479999999999997</v>
      </c>
      <c r="F314" s="65">
        <f>D314*E314</f>
        <v>1531.7567999999997</v>
      </c>
      <c r="G314" s="166" t="s">
        <v>347</v>
      </c>
      <c r="H314" s="9" t="s">
        <v>210</v>
      </c>
      <c r="I314" s="10"/>
      <c r="J314" s="53"/>
      <c r="K314" s="53"/>
      <c r="L314" s="53"/>
      <c r="M314" s="53"/>
      <c r="N314" s="53"/>
      <c r="O314" s="53"/>
      <c r="P314" s="53"/>
      <c r="Q314" s="53"/>
    </row>
    <row r="315" spans="1:17" s="62" customFormat="1" ht="78.75" customHeight="1" x14ac:dyDescent="0.25">
      <c r="A315" s="11"/>
      <c r="B315" s="12" t="s">
        <v>348</v>
      </c>
      <c r="C315" s="63"/>
      <c r="D315" s="67"/>
      <c r="E315" s="64"/>
      <c r="F315" s="65"/>
      <c r="G315" s="4"/>
      <c r="H315" s="9"/>
      <c r="I315" s="10"/>
      <c r="J315" s="53"/>
      <c r="K315" s="53"/>
      <c r="L315" s="53"/>
      <c r="M315" s="53"/>
      <c r="N315" s="53"/>
      <c r="O315" s="53"/>
      <c r="P315" s="53"/>
      <c r="Q315" s="53"/>
    </row>
    <row r="316" spans="1:17" s="62" customFormat="1" x14ac:dyDescent="0.25">
      <c r="A316" s="11"/>
      <c r="B316" s="12"/>
      <c r="C316" s="63"/>
      <c r="D316" s="67"/>
      <c r="E316" s="64"/>
      <c r="F316" s="65"/>
      <c r="G316" s="4"/>
      <c r="H316" s="9"/>
      <c r="I316" s="10"/>
      <c r="J316" s="53"/>
      <c r="K316" s="53"/>
      <c r="L316" s="53"/>
      <c r="M316" s="53"/>
      <c r="N316" s="53"/>
      <c r="O316" s="53"/>
      <c r="P316" s="53"/>
      <c r="Q316" s="53"/>
    </row>
    <row r="317" spans="1:17" s="62" customFormat="1" ht="126" x14ac:dyDescent="0.25">
      <c r="A317" s="11" t="s">
        <v>349</v>
      </c>
      <c r="B317" s="17" t="s">
        <v>350</v>
      </c>
      <c r="C317" s="63" t="s">
        <v>15</v>
      </c>
      <c r="D317" s="67">
        <f>D321-D314</f>
        <v>416.59000000000003</v>
      </c>
      <c r="E317" s="64">
        <v>34.19</v>
      </c>
      <c r="F317" s="65">
        <f>D317*E317</f>
        <v>14243.212100000001</v>
      </c>
      <c r="G317" s="4" t="s">
        <v>351</v>
      </c>
      <c r="H317" s="9"/>
      <c r="I317" s="10"/>
      <c r="J317" s="53"/>
      <c r="K317" s="53"/>
      <c r="L317" s="53"/>
      <c r="M317" s="53"/>
      <c r="N317" s="53"/>
      <c r="O317" s="53"/>
      <c r="P317" s="53"/>
      <c r="Q317" s="53"/>
    </row>
    <row r="318" spans="1:17" s="62" customFormat="1" ht="81" customHeight="1" x14ac:dyDescent="0.25">
      <c r="A318" s="11"/>
      <c r="B318" s="12" t="s">
        <v>352</v>
      </c>
      <c r="C318" s="63"/>
      <c r="D318" s="67"/>
      <c r="E318" s="64"/>
      <c r="F318" s="65"/>
      <c r="G318" s="4"/>
      <c r="H318" s="9"/>
      <c r="I318" s="10"/>
      <c r="J318" s="53"/>
      <c r="K318" s="53"/>
      <c r="L318" s="53"/>
      <c r="M318" s="53"/>
      <c r="N318" s="53"/>
      <c r="O318" s="53"/>
      <c r="P318" s="53"/>
      <c r="Q318" s="53"/>
    </row>
    <row r="319" spans="1:17" s="62" customFormat="1" x14ac:dyDescent="0.25">
      <c r="A319" s="11"/>
      <c r="B319" s="12"/>
      <c r="C319" s="63"/>
      <c r="D319" s="67"/>
      <c r="E319" s="64"/>
      <c r="F319" s="65"/>
      <c r="G319" s="4"/>
      <c r="H319" s="9"/>
      <c r="I319" s="10"/>
      <c r="J319" s="53"/>
      <c r="K319" s="53"/>
      <c r="L319" s="53"/>
      <c r="M319" s="53"/>
      <c r="N319" s="53"/>
      <c r="O319" s="53"/>
      <c r="P319" s="53"/>
      <c r="Q319" s="53"/>
    </row>
    <row r="320" spans="1:17" s="62" customFormat="1" x14ac:dyDescent="0.25">
      <c r="A320" s="11"/>
      <c r="B320" s="12"/>
      <c r="C320" s="63"/>
      <c r="D320" s="67"/>
      <c r="E320" s="64"/>
      <c r="F320" s="65"/>
      <c r="G320" s="4"/>
      <c r="H320" s="9"/>
      <c r="I320" s="10"/>
      <c r="J320" s="53"/>
      <c r="K320" s="53"/>
      <c r="L320" s="53"/>
      <c r="M320" s="53"/>
      <c r="N320" s="53"/>
      <c r="O320" s="53"/>
      <c r="P320" s="53"/>
      <c r="Q320" s="53"/>
    </row>
    <row r="321" spans="1:17" s="62" customFormat="1" ht="110.25" x14ac:dyDescent="0.25">
      <c r="A321" s="11" t="s">
        <v>353</v>
      </c>
      <c r="B321" s="17" t="s">
        <v>354</v>
      </c>
      <c r="C321" s="63" t="s">
        <v>15</v>
      </c>
      <c r="D321" s="67">
        <v>463.75</v>
      </c>
      <c r="E321" s="64">
        <v>9.0500000000000007</v>
      </c>
      <c r="F321" s="65">
        <f>D321*E321</f>
        <v>4196.9375</v>
      </c>
      <c r="G321" s="4" t="s">
        <v>568</v>
      </c>
      <c r="H321" s="9"/>
      <c r="I321" s="10"/>
      <c r="J321" s="53"/>
      <c r="K321" s="53"/>
      <c r="L321" s="53"/>
      <c r="M321" s="53"/>
      <c r="N321" s="53"/>
      <c r="O321" s="53"/>
      <c r="P321" s="53"/>
      <c r="Q321" s="53"/>
    </row>
    <row r="322" spans="1:17" s="62" customFormat="1" ht="78.75" x14ac:dyDescent="0.25">
      <c r="A322" s="11"/>
      <c r="B322" s="12" t="s">
        <v>356</v>
      </c>
      <c r="C322" s="63"/>
      <c r="D322" s="67"/>
      <c r="E322" s="64"/>
      <c r="F322" s="65"/>
      <c r="G322" s="4"/>
      <c r="H322" s="9"/>
      <c r="I322" s="10"/>
      <c r="J322" s="53"/>
      <c r="K322" s="53"/>
      <c r="L322" s="53"/>
      <c r="M322" s="53"/>
      <c r="N322" s="53"/>
      <c r="O322" s="53"/>
      <c r="P322" s="53"/>
      <c r="Q322" s="53"/>
    </row>
    <row r="323" spans="1:17" s="62" customFormat="1" x14ac:dyDescent="0.25">
      <c r="A323" s="11"/>
      <c r="B323" s="17"/>
      <c r="C323" s="63"/>
      <c r="D323" s="67"/>
      <c r="E323" s="64"/>
      <c r="F323" s="65"/>
      <c r="G323" s="4"/>
      <c r="H323" s="9"/>
      <c r="I323" s="10"/>
      <c r="J323" s="53"/>
      <c r="K323" s="53"/>
      <c r="L323" s="53"/>
      <c r="M323" s="53"/>
      <c r="N323" s="53"/>
      <c r="O323" s="53"/>
      <c r="P323" s="53"/>
      <c r="Q323" s="53"/>
    </row>
    <row r="324" spans="1:17" s="62" customFormat="1" x14ac:dyDescent="0.25">
      <c r="A324" s="11"/>
      <c r="B324" s="17"/>
      <c r="C324" s="63"/>
      <c r="D324" s="67"/>
      <c r="E324" s="64"/>
      <c r="F324" s="65"/>
      <c r="G324" s="4"/>
      <c r="H324" s="9"/>
      <c r="I324" s="10"/>
      <c r="J324" s="53"/>
      <c r="K324" s="53"/>
      <c r="L324" s="53"/>
      <c r="M324" s="53"/>
      <c r="N324" s="53"/>
      <c r="O324" s="53"/>
      <c r="P324" s="53"/>
      <c r="Q324" s="53"/>
    </row>
    <row r="325" spans="1:17" s="62" customFormat="1" ht="31.5" x14ac:dyDescent="0.25">
      <c r="A325" s="11" t="s">
        <v>357</v>
      </c>
      <c r="B325" s="29" t="s">
        <v>358</v>
      </c>
      <c r="C325" s="63" t="s">
        <v>15</v>
      </c>
      <c r="D325" s="67">
        <f>D314</f>
        <v>47.16</v>
      </c>
      <c r="E325" s="64">
        <v>87.89</v>
      </c>
      <c r="F325" s="65">
        <f>D325*E325</f>
        <v>4144.8923999999997</v>
      </c>
      <c r="G325" s="166" t="s">
        <v>347</v>
      </c>
      <c r="H325" s="9" t="s">
        <v>210</v>
      </c>
      <c r="I325" s="10"/>
      <c r="J325" s="53"/>
      <c r="K325" s="53"/>
      <c r="L325" s="53"/>
      <c r="M325" s="53"/>
      <c r="N325" s="53"/>
      <c r="O325" s="53"/>
      <c r="P325" s="53"/>
      <c r="Q325" s="53"/>
    </row>
    <row r="326" spans="1:17" s="62" customFormat="1" ht="267.75" x14ac:dyDescent="0.25">
      <c r="A326" s="11"/>
      <c r="B326" s="14" t="s">
        <v>359</v>
      </c>
      <c r="C326" s="63"/>
      <c r="D326" s="67"/>
      <c r="E326" s="64"/>
      <c r="F326" s="65"/>
      <c r="G326" s="4"/>
      <c r="H326" s="9"/>
      <c r="I326" s="10"/>
      <c r="J326" s="53"/>
      <c r="K326" s="53"/>
      <c r="L326" s="53"/>
      <c r="M326" s="53"/>
      <c r="N326" s="53"/>
      <c r="O326" s="53"/>
      <c r="P326" s="53"/>
      <c r="Q326" s="53"/>
    </row>
    <row r="327" spans="1:17" s="62" customFormat="1" x14ac:dyDescent="0.25">
      <c r="A327" s="11"/>
      <c r="B327" s="30"/>
      <c r="C327" s="63"/>
      <c r="D327" s="67"/>
      <c r="E327" s="64"/>
      <c r="F327" s="65"/>
      <c r="G327" s="4"/>
      <c r="H327" s="9"/>
      <c r="I327" s="10"/>
      <c r="J327" s="53"/>
      <c r="K327" s="53"/>
      <c r="L327" s="53"/>
      <c r="M327" s="53"/>
      <c r="N327" s="53"/>
      <c r="O327" s="53"/>
      <c r="P327" s="53"/>
      <c r="Q327" s="53"/>
    </row>
    <row r="328" spans="1:17" s="62" customFormat="1" ht="18" customHeight="1" x14ac:dyDescent="0.25">
      <c r="A328" s="23"/>
      <c r="B328" s="25"/>
      <c r="C328" s="361" t="s">
        <v>34</v>
      </c>
      <c r="D328" s="361"/>
      <c r="E328" s="361"/>
      <c r="F328" s="66">
        <f>SUM(F314:F327)</f>
        <v>24116.7988</v>
      </c>
      <c r="G328" s="4"/>
      <c r="H328" s="9"/>
      <c r="I328" s="10"/>
      <c r="J328" s="53"/>
      <c r="K328" s="53"/>
      <c r="L328" s="53"/>
      <c r="M328" s="53"/>
      <c r="N328" s="53"/>
      <c r="O328" s="53"/>
      <c r="P328" s="53"/>
      <c r="Q328" s="53"/>
    </row>
    <row r="329" spans="1:17" s="62" customFormat="1" x14ac:dyDescent="0.25">
      <c r="A329" s="3">
        <v>150000</v>
      </c>
      <c r="B329" s="57" t="s">
        <v>360</v>
      </c>
      <c r="C329" s="58"/>
      <c r="D329" s="72"/>
      <c r="E329" s="64"/>
      <c r="F329" s="65"/>
      <c r="G329" s="4"/>
      <c r="H329" s="9"/>
      <c r="I329" s="10"/>
      <c r="J329" s="53"/>
      <c r="K329" s="53"/>
      <c r="L329" s="53"/>
      <c r="M329" s="53"/>
      <c r="N329" s="53"/>
      <c r="O329" s="53"/>
      <c r="P329" s="53"/>
      <c r="Q329" s="53"/>
    </row>
    <row r="330" spans="1:17" s="62" customFormat="1" x14ac:dyDescent="0.25">
      <c r="A330" s="6">
        <v>150100</v>
      </c>
      <c r="B330" s="26" t="s">
        <v>361</v>
      </c>
      <c r="C330" s="63"/>
      <c r="D330" s="67"/>
      <c r="E330" s="64"/>
      <c r="F330" s="65"/>
      <c r="G330" s="4"/>
      <c r="H330" s="9"/>
      <c r="I330" s="10"/>
      <c r="J330" s="53"/>
      <c r="K330" s="53"/>
      <c r="L330" s="53"/>
      <c r="M330" s="53"/>
      <c r="N330" s="53"/>
      <c r="O330" s="53"/>
      <c r="P330" s="53"/>
      <c r="Q330" s="53"/>
    </row>
    <row r="331" spans="1:17" s="62" customFormat="1" x14ac:dyDescent="0.25">
      <c r="A331" s="11"/>
      <c r="B331" s="12"/>
      <c r="C331" s="63"/>
      <c r="D331" s="67"/>
      <c r="E331" s="64"/>
      <c r="F331" s="65"/>
      <c r="G331" s="4"/>
      <c r="H331" s="9"/>
      <c r="I331" s="10"/>
      <c r="J331" s="53"/>
      <c r="K331" s="53"/>
      <c r="L331" s="53"/>
      <c r="M331" s="53"/>
      <c r="N331" s="53"/>
      <c r="O331" s="53"/>
      <c r="P331" s="53"/>
      <c r="Q331" s="53"/>
    </row>
    <row r="332" spans="1:17" s="62" customFormat="1" ht="47.25" x14ac:dyDescent="0.25">
      <c r="A332" s="11" t="s">
        <v>362</v>
      </c>
      <c r="B332" s="13" t="s">
        <v>363</v>
      </c>
      <c r="C332" s="63" t="s">
        <v>524</v>
      </c>
      <c r="D332" s="67">
        <f>2.11*1.82*2</f>
        <v>7.6803999999999997</v>
      </c>
      <c r="E332" s="64">
        <v>89.96</v>
      </c>
      <c r="F332" s="65">
        <f>D332*E332</f>
        <v>690.92878399999995</v>
      </c>
      <c r="G332" s="4" t="s">
        <v>364</v>
      </c>
      <c r="H332" s="9" t="s">
        <v>192</v>
      </c>
      <c r="I332" s="10"/>
      <c r="J332" s="53"/>
      <c r="K332" s="53"/>
      <c r="L332" s="53"/>
      <c r="M332" s="53"/>
      <c r="N332" s="53"/>
      <c r="O332" s="53"/>
      <c r="P332" s="53"/>
      <c r="Q332" s="53"/>
    </row>
    <row r="333" spans="1:17" s="62" customFormat="1" ht="327.75" customHeight="1" x14ac:dyDescent="0.25">
      <c r="A333" s="11"/>
      <c r="B333" s="12" t="s">
        <v>365</v>
      </c>
      <c r="C333" s="63"/>
      <c r="D333" s="67"/>
      <c r="E333" s="64"/>
      <c r="F333" s="65"/>
      <c r="G333" s="4"/>
      <c r="H333" s="9"/>
      <c r="I333" s="10"/>
      <c r="J333" s="53"/>
      <c r="K333" s="53"/>
      <c r="L333" s="53"/>
      <c r="M333" s="53"/>
      <c r="N333" s="53"/>
      <c r="O333" s="53"/>
      <c r="P333" s="53"/>
      <c r="Q333" s="53"/>
    </row>
    <row r="334" spans="1:17" s="62" customFormat="1" x14ac:dyDescent="0.25">
      <c r="A334" s="11"/>
      <c r="B334" s="12"/>
      <c r="C334" s="63"/>
      <c r="D334" s="67"/>
      <c r="E334" s="64"/>
      <c r="F334" s="65"/>
      <c r="G334" s="4"/>
      <c r="H334" s="9"/>
      <c r="I334" s="10"/>
      <c r="J334" s="53"/>
      <c r="K334" s="53"/>
      <c r="L334" s="53"/>
      <c r="M334" s="53"/>
      <c r="N334" s="53"/>
      <c r="O334" s="53"/>
      <c r="P334" s="53"/>
      <c r="Q334" s="53"/>
    </row>
    <row r="335" spans="1:17" s="62" customFormat="1" x14ac:dyDescent="0.25">
      <c r="A335" s="11"/>
      <c r="B335" s="17"/>
      <c r="C335" s="63"/>
      <c r="D335" s="67"/>
      <c r="E335" s="64"/>
      <c r="F335" s="65"/>
      <c r="G335" s="4"/>
      <c r="H335" s="9"/>
      <c r="I335" s="10"/>
      <c r="J335" s="53"/>
      <c r="K335" s="53"/>
      <c r="L335" s="53"/>
      <c r="M335" s="53"/>
      <c r="N335" s="53"/>
      <c r="O335" s="53"/>
      <c r="P335" s="53"/>
      <c r="Q335" s="53"/>
    </row>
    <row r="336" spans="1:17" s="62" customFormat="1" ht="31.5" x14ac:dyDescent="0.25">
      <c r="A336" s="11" t="s">
        <v>366</v>
      </c>
      <c r="B336" s="17" t="s">
        <v>367</v>
      </c>
      <c r="C336" s="63" t="s">
        <v>15</v>
      </c>
      <c r="D336" s="67">
        <f>31*2*0.4+21*2*0.4+1.5*8*0.4+1.24*0.4+2.5*0.4+0.6*0.4*2+1.36*0.4</f>
        <v>48.92</v>
      </c>
      <c r="E336" s="64">
        <v>128.16</v>
      </c>
      <c r="F336" s="65">
        <f>D336*E336</f>
        <v>6269.5871999999999</v>
      </c>
      <c r="G336" s="4" t="s">
        <v>368</v>
      </c>
      <c r="H336" s="9" t="s">
        <v>369</v>
      </c>
      <c r="I336" s="10"/>
      <c r="J336" s="53"/>
      <c r="K336" s="53"/>
      <c r="L336" s="53"/>
      <c r="M336" s="53"/>
      <c r="N336" s="53"/>
      <c r="O336" s="53"/>
      <c r="P336" s="53"/>
      <c r="Q336" s="53"/>
    </row>
    <row r="337" spans="1:17" s="62" customFormat="1" ht="141.75" x14ac:dyDescent="0.25">
      <c r="A337" s="11"/>
      <c r="B337" s="12" t="s">
        <v>370</v>
      </c>
      <c r="C337" s="63"/>
      <c r="D337" s="67"/>
      <c r="E337" s="64"/>
      <c r="F337" s="65"/>
      <c r="G337" s="4"/>
      <c r="H337" s="9"/>
      <c r="I337" s="10"/>
      <c r="J337" s="53"/>
      <c r="K337" s="53"/>
      <c r="L337" s="53"/>
      <c r="M337" s="53"/>
      <c r="N337" s="53"/>
      <c r="O337" s="53"/>
      <c r="P337" s="53"/>
      <c r="Q337" s="53"/>
    </row>
    <row r="338" spans="1:17" s="62" customFormat="1" x14ac:dyDescent="0.25">
      <c r="A338" s="11"/>
      <c r="B338" s="12"/>
      <c r="C338" s="63"/>
      <c r="D338" s="67"/>
      <c r="E338" s="64"/>
      <c r="F338" s="65"/>
      <c r="G338" s="4"/>
      <c r="H338" s="9"/>
      <c r="I338" s="10"/>
      <c r="J338" s="53"/>
      <c r="K338" s="53"/>
      <c r="L338" s="53"/>
      <c r="M338" s="53"/>
      <c r="N338" s="53"/>
      <c r="O338" s="53"/>
      <c r="P338" s="53"/>
      <c r="Q338" s="53"/>
    </row>
    <row r="339" spans="1:17" s="62" customFormat="1" x14ac:dyDescent="0.25">
      <c r="A339" s="11" t="s">
        <v>371</v>
      </c>
      <c r="B339" s="22" t="s">
        <v>372</v>
      </c>
      <c r="C339" s="63"/>
      <c r="D339" s="67"/>
      <c r="E339" s="64"/>
      <c r="F339" s="65"/>
      <c r="G339" s="4"/>
      <c r="H339" s="9"/>
      <c r="I339" s="10"/>
      <c r="J339" s="53"/>
      <c r="K339" s="53"/>
      <c r="L339" s="53"/>
      <c r="M339" s="53"/>
      <c r="N339" s="53"/>
      <c r="O339" s="53"/>
      <c r="P339" s="53"/>
      <c r="Q339" s="53"/>
    </row>
    <row r="340" spans="1:17" s="62" customFormat="1" ht="31.5" x14ac:dyDescent="0.25">
      <c r="A340" s="11" t="s">
        <v>373</v>
      </c>
      <c r="B340" s="17" t="s">
        <v>84</v>
      </c>
      <c r="C340" s="63" t="s">
        <v>524</v>
      </c>
      <c r="D340" s="67">
        <f>1.82*2.11*2+0.64*0.36*2</f>
        <v>8.1411999999999995</v>
      </c>
      <c r="E340" s="64">
        <v>58.52</v>
      </c>
      <c r="F340" s="65">
        <f>D340*E340</f>
        <v>476.423024</v>
      </c>
      <c r="G340" s="4" t="s">
        <v>374</v>
      </c>
      <c r="H340" s="9" t="s">
        <v>375</v>
      </c>
      <c r="I340" s="10"/>
      <c r="J340" s="53"/>
      <c r="K340" s="53"/>
      <c r="L340" s="53"/>
      <c r="M340" s="53"/>
      <c r="N340" s="53"/>
      <c r="O340" s="53"/>
      <c r="P340" s="53"/>
      <c r="Q340" s="53"/>
    </row>
    <row r="341" spans="1:17" s="62" customFormat="1" ht="47.25" x14ac:dyDescent="0.25">
      <c r="A341" s="11"/>
      <c r="B341" s="12" t="s">
        <v>376</v>
      </c>
      <c r="C341" s="63"/>
      <c r="D341" s="67"/>
      <c r="E341" s="64"/>
      <c r="F341" s="65"/>
      <c r="G341" s="4"/>
      <c r="H341" s="9"/>
      <c r="I341" s="10"/>
      <c r="J341" s="53"/>
      <c r="K341" s="53"/>
      <c r="L341" s="53"/>
      <c r="M341" s="53"/>
      <c r="N341" s="53"/>
      <c r="O341" s="53"/>
      <c r="P341" s="53"/>
      <c r="Q341" s="53"/>
    </row>
    <row r="342" spans="1:17" s="62" customFormat="1" x14ac:dyDescent="0.25">
      <c r="A342" s="11"/>
      <c r="B342" s="12"/>
      <c r="C342" s="63"/>
      <c r="D342" s="67"/>
      <c r="E342" s="64"/>
      <c r="F342" s="65"/>
      <c r="G342" s="4"/>
      <c r="H342" s="9"/>
      <c r="I342" s="10"/>
      <c r="J342" s="53"/>
      <c r="K342" s="53"/>
      <c r="L342" s="53"/>
      <c r="M342" s="53"/>
      <c r="N342" s="53"/>
      <c r="O342" s="53"/>
      <c r="P342" s="53"/>
      <c r="Q342" s="53"/>
    </row>
    <row r="343" spans="1:17" s="62" customFormat="1" x14ac:dyDescent="0.25">
      <c r="A343" s="11"/>
      <c r="B343" s="12"/>
      <c r="C343" s="63"/>
      <c r="D343" s="67"/>
      <c r="E343" s="64"/>
      <c r="F343" s="65"/>
      <c r="G343" s="4"/>
      <c r="H343" s="9"/>
      <c r="I343" s="10"/>
      <c r="J343" s="53"/>
      <c r="K343" s="53"/>
      <c r="L343" s="53"/>
      <c r="M343" s="53"/>
      <c r="N343" s="53"/>
      <c r="O343" s="53"/>
      <c r="P343" s="53"/>
      <c r="Q343" s="53"/>
    </row>
    <row r="344" spans="1:17" s="62" customFormat="1" ht="63" x14ac:dyDescent="0.25">
      <c r="A344" s="11" t="s">
        <v>377</v>
      </c>
      <c r="B344" s="17" t="s">
        <v>378</v>
      </c>
      <c r="C344" s="63" t="s">
        <v>524</v>
      </c>
      <c r="D344" s="67">
        <f>31*2*1.5+18*1.5*2+1.2*15.8+9*1.78+(28-1.82)*2.3-15.8*1.1+2.04*16+(2.35+1.36+1.36+3.89)*1.36</f>
        <v>269.63960000000003</v>
      </c>
      <c r="E344" s="64">
        <v>70.08</v>
      </c>
      <c r="F344" s="65">
        <f>D344*E344</f>
        <v>18896.343168000003</v>
      </c>
      <c r="G344" s="4" t="s">
        <v>379</v>
      </c>
      <c r="H344" s="9" t="s">
        <v>380</v>
      </c>
      <c r="I344" s="10"/>
      <c r="J344" s="53"/>
      <c r="K344" s="53"/>
      <c r="L344" s="53"/>
      <c r="M344" s="53"/>
      <c r="N344" s="53"/>
      <c r="O344" s="53"/>
      <c r="P344" s="53"/>
      <c r="Q344" s="53"/>
    </row>
    <row r="345" spans="1:17" s="62" customFormat="1" ht="78.75" x14ac:dyDescent="0.25">
      <c r="A345" s="11"/>
      <c r="B345" s="12" t="s">
        <v>381</v>
      </c>
      <c r="C345" s="63"/>
      <c r="D345" s="67"/>
      <c r="E345" s="64"/>
      <c r="F345" s="65"/>
      <c r="G345" s="4"/>
      <c r="H345" s="9"/>
      <c r="I345" s="10"/>
      <c r="J345" s="53"/>
      <c r="K345" s="53"/>
      <c r="L345" s="53"/>
      <c r="M345" s="53"/>
      <c r="N345" s="53"/>
      <c r="O345" s="53"/>
      <c r="P345" s="53"/>
      <c r="Q345" s="53"/>
    </row>
    <row r="346" spans="1:17" s="62" customFormat="1" x14ac:dyDescent="0.25">
      <c r="A346" s="11"/>
      <c r="B346" s="12"/>
      <c r="C346" s="70"/>
      <c r="D346" s="67"/>
      <c r="E346" s="77"/>
      <c r="F346" s="65"/>
      <c r="G346" s="4"/>
      <c r="H346" s="9"/>
      <c r="I346" s="10"/>
      <c r="J346" s="53"/>
      <c r="K346" s="53"/>
      <c r="L346" s="53"/>
      <c r="M346" s="53"/>
      <c r="N346" s="53"/>
      <c r="O346" s="53"/>
      <c r="P346" s="53"/>
      <c r="Q346" s="53"/>
    </row>
    <row r="347" spans="1:17" s="62" customFormat="1" ht="18" customHeight="1" x14ac:dyDescent="0.25">
      <c r="A347" s="23"/>
      <c r="B347" s="25"/>
      <c r="C347" s="361" t="s">
        <v>34</v>
      </c>
      <c r="D347" s="361"/>
      <c r="E347" s="361"/>
      <c r="F347" s="66">
        <f>SUM(F329:F346)</f>
        <v>26333.282176000001</v>
      </c>
      <c r="G347" s="4"/>
      <c r="H347" s="9"/>
      <c r="I347" s="10"/>
      <c r="J347" s="53"/>
      <c r="K347" s="53"/>
      <c r="L347" s="53"/>
      <c r="M347" s="53"/>
      <c r="N347" s="53"/>
      <c r="O347" s="53"/>
      <c r="P347" s="53"/>
      <c r="Q347" s="53"/>
    </row>
    <row r="348" spans="1:17" s="62" customFormat="1" x14ac:dyDescent="0.25">
      <c r="A348" s="31">
        <v>170000</v>
      </c>
      <c r="B348" s="57" t="s">
        <v>382</v>
      </c>
      <c r="C348" s="32"/>
      <c r="D348" s="72"/>
      <c r="E348" s="60"/>
      <c r="F348" s="65"/>
      <c r="G348" s="4"/>
      <c r="H348" s="9"/>
      <c r="I348" s="10"/>
      <c r="J348" s="53"/>
      <c r="K348" s="53"/>
      <c r="L348" s="53"/>
      <c r="M348" s="53"/>
      <c r="N348" s="53"/>
      <c r="O348" s="53"/>
      <c r="P348" s="53"/>
      <c r="Q348" s="53"/>
    </row>
    <row r="349" spans="1:17" s="62" customFormat="1" x14ac:dyDescent="0.25">
      <c r="A349" s="33">
        <v>170100</v>
      </c>
      <c r="B349" s="26" t="s">
        <v>383</v>
      </c>
      <c r="C349" s="63"/>
      <c r="D349" s="67"/>
      <c r="E349" s="64"/>
      <c r="F349" s="65"/>
      <c r="G349" s="4"/>
      <c r="H349" s="9"/>
      <c r="I349" s="10"/>
      <c r="J349" s="53"/>
      <c r="K349" s="53"/>
      <c r="L349" s="53"/>
      <c r="M349" s="53"/>
      <c r="N349" s="53"/>
      <c r="O349" s="53"/>
      <c r="P349" s="53"/>
      <c r="Q349" s="53"/>
    </row>
    <row r="350" spans="1:17" s="62" customFormat="1" x14ac:dyDescent="0.25">
      <c r="A350" s="34"/>
      <c r="B350" s="17"/>
      <c r="C350" s="63"/>
      <c r="D350" s="67"/>
      <c r="E350" s="64"/>
      <c r="F350" s="65"/>
      <c r="G350" s="4"/>
      <c r="H350" s="9"/>
      <c r="I350" s="10"/>
      <c r="J350" s="53"/>
      <c r="K350" s="53"/>
      <c r="L350" s="53"/>
      <c r="M350" s="53"/>
      <c r="N350" s="53"/>
      <c r="O350" s="53"/>
      <c r="P350" s="53"/>
      <c r="Q350" s="53"/>
    </row>
    <row r="351" spans="1:17" s="62" customFormat="1" ht="18" x14ac:dyDescent="0.25">
      <c r="A351" s="34">
        <v>170103</v>
      </c>
      <c r="B351" s="17" t="s">
        <v>384</v>
      </c>
      <c r="C351" s="63" t="s">
        <v>524</v>
      </c>
      <c r="D351" s="67">
        <f>1.82*2.11*2+3.74*2.58</f>
        <v>17.329599999999999</v>
      </c>
      <c r="E351" s="64">
        <v>21.45</v>
      </c>
      <c r="F351" s="65">
        <f>D351*E351</f>
        <v>371.71991999999995</v>
      </c>
      <c r="G351" s="4" t="s">
        <v>385</v>
      </c>
      <c r="H351" s="9" t="s">
        <v>386</v>
      </c>
      <c r="I351" s="10"/>
      <c r="J351" s="53"/>
      <c r="K351" s="53"/>
      <c r="L351" s="53"/>
      <c r="M351" s="53"/>
      <c r="N351" s="53"/>
      <c r="O351" s="53"/>
      <c r="P351" s="53"/>
      <c r="Q351" s="53"/>
    </row>
    <row r="352" spans="1:17" s="62" customFormat="1" ht="139.5" customHeight="1" x14ac:dyDescent="0.25">
      <c r="A352" s="34"/>
      <c r="B352" s="12" t="s">
        <v>387</v>
      </c>
      <c r="C352" s="63"/>
      <c r="D352" s="67"/>
      <c r="E352" s="64"/>
      <c r="F352" s="65"/>
      <c r="G352" s="4"/>
      <c r="H352" s="9"/>
      <c r="I352" s="10"/>
      <c r="J352" s="53"/>
      <c r="K352" s="53"/>
      <c r="L352" s="53"/>
      <c r="M352" s="53"/>
      <c r="N352" s="53"/>
      <c r="O352" s="53"/>
      <c r="P352" s="53"/>
      <c r="Q352" s="53"/>
    </row>
    <row r="353" spans="1:17" s="62" customFormat="1" x14ac:dyDescent="0.25">
      <c r="A353" s="34"/>
      <c r="B353" s="12"/>
      <c r="C353" s="63"/>
      <c r="D353" s="67"/>
      <c r="E353" s="64"/>
      <c r="F353" s="65"/>
      <c r="G353" s="4"/>
      <c r="H353" s="9"/>
      <c r="I353" s="10"/>
      <c r="J353" s="53"/>
      <c r="K353" s="53"/>
      <c r="L353" s="53"/>
      <c r="M353" s="53"/>
      <c r="N353" s="53"/>
      <c r="O353" s="53"/>
      <c r="P353" s="53"/>
      <c r="Q353" s="53"/>
    </row>
    <row r="354" spans="1:17" s="62" customFormat="1" x14ac:dyDescent="0.25">
      <c r="A354" s="34"/>
      <c r="B354" s="12"/>
      <c r="C354" s="63"/>
      <c r="D354" s="67"/>
      <c r="E354" s="64"/>
      <c r="F354" s="65"/>
      <c r="G354" s="4"/>
      <c r="H354" s="9"/>
      <c r="I354" s="10"/>
      <c r="J354" s="53"/>
      <c r="K354" s="53"/>
      <c r="L354" s="53"/>
      <c r="M354" s="53"/>
      <c r="N354" s="53"/>
      <c r="O354" s="53"/>
      <c r="P354" s="53"/>
      <c r="Q354" s="53"/>
    </row>
    <row r="355" spans="1:17" s="62" customFormat="1" ht="141.75" x14ac:dyDescent="0.25">
      <c r="A355" s="34">
        <v>170203</v>
      </c>
      <c r="B355" s="17" t="s">
        <v>388</v>
      </c>
      <c r="C355" s="63" t="s">
        <v>15</v>
      </c>
      <c r="D355" s="67">
        <f>(28-4.7-1.6)*1.5*4+18*3+18*1.5*2+21.62*4*0.5+(3.75+1.66)*0.5*2+2.58*3+2.58*2.5*2+4.5*4*3+3.74*2.35*2+1.24*2.5+8.24*0.52+4.7*2*3+4.78*3*3+1.82*4+4.78*1.82+3.74*2.58-1.6*1.5+4.78*1+2.02*1-(1.82*3*2+2.11*3*2)*2-D351</f>
        <v>423.21199999999988</v>
      </c>
      <c r="E355" s="64">
        <v>28.66</v>
      </c>
      <c r="F355" s="65">
        <f>D355*E355</f>
        <v>12129.255919999996</v>
      </c>
      <c r="G355" s="4" t="s">
        <v>389</v>
      </c>
      <c r="H355" s="9" t="s">
        <v>117</v>
      </c>
      <c r="I355" s="10"/>
      <c r="J355" s="53"/>
      <c r="K355" s="53"/>
      <c r="L355" s="53"/>
      <c r="M355" s="53"/>
      <c r="N355" s="53"/>
      <c r="O355" s="53"/>
      <c r="P355" s="53"/>
      <c r="Q355" s="53"/>
    </row>
    <row r="356" spans="1:17" s="62" customFormat="1" ht="110.25" x14ac:dyDescent="0.25">
      <c r="A356" s="34"/>
      <c r="B356" s="12" t="s">
        <v>390</v>
      </c>
      <c r="C356" s="63"/>
      <c r="D356" s="67"/>
      <c r="E356" s="64"/>
      <c r="F356" s="65"/>
      <c r="G356" s="4"/>
      <c r="H356" s="9"/>
      <c r="I356" s="10"/>
      <c r="J356" s="53"/>
      <c r="K356" s="53"/>
      <c r="L356" s="53"/>
      <c r="M356" s="53"/>
      <c r="N356" s="53"/>
      <c r="O356" s="53"/>
      <c r="P356" s="53"/>
      <c r="Q356" s="53"/>
    </row>
    <row r="357" spans="1:17" s="62" customFormat="1" x14ac:dyDescent="0.25">
      <c r="A357" s="34"/>
      <c r="B357" s="17"/>
      <c r="C357" s="63"/>
      <c r="D357" s="67"/>
      <c r="E357" s="64"/>
      <c r="F357" s="65"/>
      <c r="G357" s="4"/>
      <c r="H357" s="9"/>
      <c r="I357" s="10"/>
      <c r="J357" s="53"/>
      <c r="K357" s="53"/>
      <c r="L357" s="53"/>
      <c r="M357" s="53"/>
      <c r="N357" s="53"/>
      <c r="O357" s="53"/>
      <c r="P357" s="53"/>
      <c r="Q357" s="53"/>
    </row>
    <row r="358" spans="1:17" s="62" customFormat="1" ht="18" customHeight="1" x14ac:dyDescent="0.25">
      <c r="A358" s="35"/>
      <c r="B358" s="36"/>
      <c r="C358" s="361" t="s">
        <v>34</v>
      </c>
      <c r="D358" s="361"/>
      <c r="E358" s="361"/>
      <c r="F358" s="66">
        <f>SUM(F350:F357)</f>
        <v>12500.975839999996</v>
      </c>
      <c r="G358" s="4"/>
      <c r="H358" s="9"/>
      <c r="I358" s="10"/>
      <c r="J358" s="53"/>
      <c r="K358" s="53"/>
      <c r="L358" s="53"/>
      <c r="M358" s="53"/>
      <c r="N358" s="53"/>
      <c r="O358" s="53"/>
      <c r="P358" s="53"/>
      <c r="Q358" s="53"/>
    </row>
    <row r="359" spans="1:17" s="62" customFormat="1" x14ac:dyDescent="0.25">
      <c r="A359" s="3">
        <v>180000</v>
      </c>
      <c r="B359" s="57" t="s">
        <v>391</v>
      </c>
      <c r="C359" s="71"/>
      <c r="D359" s="72"/>
      <c r="E359" s="60"/>
      <c r="F359" s="65"/>
      <c r="G359" s="4"/>
      <c r="H359" s="9"/>
      <c r="I359" s="10"/>
      <c r="J359" s="53"/>
      <c r="K359" s="53"/>
      <c r="L359" s="53"/>
      <c r="M359" s="53"/>
      <c r="N359" s="53"/>
      <c r="O359" s="53"/>
      <c r="P359" s="53"/>
      <c r="Q359" s="53"/>
    </row>
    <row r="360" spans="1:17" s="62" customFormat="1" x14ac:dyDescent="0.25">
      <c r="A360" s="6">
        <v>180100</v>
      </c>
      <c r="B360" s="26" t="s">
        <v>392</v>
      </c>
      <c r="C360" s="63"/>
      <c r="D360" s="67"/>
      <c r="E360" s="64"/>
      <c r="F360" s="65"/>
      <c r="G360" s="4"/>
      <c r="H360" s="9"/>
      <c r="I360" s="10"/>
      <c r="J360" s="53"/>
      <c r="K360" s="53"/>
      <c r="L360" s="53"/>
      <c r="M360" s="53"/>
      <c r="N360" s="53"/>
      <c r="O360" s="53"/>
      <c r="P360" s="53"/>
      <c r="Q360" s="53"/>
    </row>
    <row r="361" spans="1:17" s="62" customFormat="1" x14ac:dyDescent="0.25">
      <c r="A361" s="11"/>
      <c r="B361" s="17"/>
      <c r="C361" s="63"/>
      <c r="D361" s="67"/>
      <c r="E361" s="64"/>
      <c r="F361" s="65"/>
      <c r="G361" s="4"/>
      <c r="H361" s="9"/>
      <c r="I361" s="10"/>
      <c r="J361" s="53"/>
      <c r="K361" s="53"/>
      <c r="L361" s="53"/>
      <c r="M361" s="53"/>
      <c r="N361" s="53"/>
      <c r="O361" s="53"/>
      <c r="P361" s="53"/>
      <c r="Q361" s="53"/>
    </row>
    <row r="362" spans="1:17" s="62" customFormat="1" x14ac:dyDescent="0.25">
      <c r="A362" s="11"/>
      <c r="B362" s="12"/>
      <c r="C362" s="63"/>
      <c r="D362" s="67"/>
      <c r="E362" s="64"/>
      <c r="F362" s="65"/>
      <c r="G362" s="4"/>
      <c r="H362" s="9"/>
      <c r="I362" s="10"/>
      <c r="J362" s="53"/>
      <c r="K362" s="53"/>
      <c r="L362" s="53"/>
      <c r="M362" s="53"/>
      <c r="N362" s="53"/>
      <c r="O362" s="53"/>
      <c r="P362" s="53"/>
      <c r="Q362" s="53"/>
    </row>
    <row r="363" spans="1:17" s="62" customFormat="1" x14ac:dyDescent="0.25">
      <c r="A363" s="11" t="s">
        <v>393</v>
      </c>
      <c r="B363" s="17" t="s">
        <v>394</v>
      </c>
      <c r="C363" s="63" t="s">
        <v>15</v>
      </c>
      <c r="D363" s="67">
        <f>1*0.2*2</f>
        <v>0.4</v>
      </c>
      <c r="E363" s="64">
        <v>301.01</v>
      </c>
      <c r="F363" s="65">
        <f>D363*E363</f>
        <v>120.404</v>
      </c>
      <c r="G363" s="4" t="s">
        <v>395</v>
      </c>
      <c r="H363" s="9" t="s">
        <v>192</v>
      </c>
      <c r="I363" s="10"/>
      <c r="J363" s="53"/>
      <c r="K363" s="53"/>
      <c r="L363" s="53"/>
      <c r="M363" s="53"/>
      <c r="N363" s="53"/>
      <c r="O363" s="53"/>
      <c r="P363" s="53"/>
      <c r="Q363" s="53"/>
    </row>
    <row r="364" spans="1:17" s="62" customFormat="1" ht="78.75" x14ac:dyDescent="0.25">
      <c r="A364" s="11"/>
      <c r="B364" s="12" t="s">
        <v>396</v>
      </c>
      <c r="C364" s="63"/>
      <c r="D364" s="67"/>
      <c r="E364" s="64"/>
      <c r="F364" s="65"/>
      <c r="G364" s="4"/>
      <c r="H364" s="9"/>
      <c r="I364" s="10"/>
      <c r="J364" s="53"/>
      <c r="K364" s="53"/>
      <c r="L364" s="53"/>
      <c r="M364" s="53"/>
      <c r="N364" s="53"/>
      <c r="O364" s="53"/>
      <c r="P364" s="53"/>
      <c r="Q364" s="53"/>
    </row>
    <row r="365" spans="1:17" s="62" customFormat="1" x14ac:dyDescent="0.25">
      <c r="A365" s="11"/>
      <c r="B365" s="12"/>
      <c r="C365" s="63"/>
      <c r="D365" s="67"/>
      <c r="E365" s="64"/>
      <c r="F365" s="65"/>
      <c r="G365" s="4"/>
      <c r="H365" s="9"/>
      <c r="I365" s="10"/>
      <c r="J365" s="53"/>
      <c r="K365" s="53"/>
      <c r="L365" s="53"/>
      <c r="M365" s="53"/>
      <c r="N365" s="53"/>
      <c r="O365" s="53"/>
      <c r="P365" s="53"/>
      <c r="Q365" s="53"/>
    </row>
    <row r="366" spans="1:17" s="74" customFormat="1" x14ac:dyDescent="0.25">
      <c r="A366" s="11"/>
      <c r="B366" s="12"/>
      <c r="C366" s="63"/>
      <c r="D366" s="67"/>
      <c r="E366" s="73"/>
      <c r="F366" s="65"/>
      <c r="G366" s="4"/>
      <c r="H366" s="9"/>
      <c r="I366" s="10"/>
      <c r="J366" s="53"/>
      <c r="K366" s="53"/>
      <c r="L366" s="53"/>
      <c r="M366" s="53"/>
      <c r="N366" s="53"/>
      <c r="O366" s="53"/>
      <c r="P366" s="53"/>
      <c r="Q366" s="53"/>
    </row>
    <row r="367" spans="1:17" s="62" customFormat="1" x14ac:dyDescent="0.25">
      <c r="A367" s="11"/>
      <c r="B367" s="12"/>
      <c r="C367" s="63"/>
      <c r="D367" s="67"/>
      <c r="E367" s="64"/>
      <c r="F367" s="65"/>
      <c r="G367" s="4"/>
      <c r="H367" s="9"/>
      <c r="I367" s="10"/>
      <c r="J367" s="53"/>
      <c r="K367" s="53"/>
      <c r="L367" s="53"/>
      <c r="M367" s="53"/>
      <c r="N367" s="53"/>
      <c r="O367" s="53"/>
      <c r="P367" s="53"/>
      <c r="Q367" s="53"/>
    </row>
    <row r="368" spans="1:17" s="62" customFormat="1" ht="18.75" customHeight="1" x14ac:dyDescent="0.25">
      <c r="A368" s="23"/>
      <c r="B368" s="25"/>
      <c r="C368" s="361" t="s">
        <v>34</v>
      </c>
      <c r="D368" s="361"/>
      <c r="E368" s="361"/>
      <c r="F368" s="66">
        <f>SUM(F361:F367)</f>
        <v>120.404</v>
      </c>
      <c r="G368" s="4"/>
      <c r="H368" s="9"/>
      <c r="I368" s="10"/>
      <c r="J368" s="53"/>
      <c r="K368" s="53"/>
      <c r="L368" s="53"/>
      <c r="M368" s="53"/>
      <c r="N368" s="53"/>
      <c r="O368" s="53"/>
      <c r="P368" s="53"/>
      <c r="Q368" s="53"/>
    </row>
    <row r="369" spans="1:17" s="62" customFormat="1" x14ac:dyDescent="0.25">
      <c r="A369" s="3">
        <v>200000</v>
      </c>
      <c r="B369" s="7" t="s">
        <v>397</v>
      </c>
      <c r="C369" s="71"/>
      <c r="D369" s="72"/>
      <c r="E369" s="60"/>
      <c r="F369" s="65"/>
      <c r="G369" s="4"/>
      <c r="H369" s="9"/>
      <c r="I369" s="10"/>
      <c r="J369" s="53"/>
      <c r="K369" s="53"/>
      <c r="L369" s="53"/>
      <c r="M369" s="53"/>
      <c r="N369" s="53"/>
      <c r="O369" s="53"/>
      <c r="P369" s="53"/>
      <c r="Q369" s="53"/>
    </row>
    <row r="370" spans="1:17" s="62" customFormat="1" x14ac:dyDescent="0.25">
      <c r="A370" s="37">
        <v>200100</v>
      </c>
      <c r="B370" s="26" t="s">
        <v>113</v>
      </c>
      <c r="C370" s="78"/>
      <c r="D370" s="67"/>
      <c r="E370" s="64"/>
      <c r="F370" s="65"/>
      <c r="G370" s="4"/>
      <c r="H370" s="9"/>
      <c r="I370" s="10"/>
      <c r="J370" s="53"/>
      <c r="K370" s="53"/>
      <c r="L370" s="53"/>
      <c r="M370" s="53"/>
      <c r="N370" s="53"/>
      <c r="O370" s="53"/>
      <c r="P370" s="53"/>
      <c r="Q370" s="53"/>
    </row>
    <row r="371" spans="1:17" s="62" customFormat="1" x14ac:dyDescent="0.25">
      <c r="A371" s="11"/>
      <c r="B371" s="12"/>
      <c r="C371" s="63"/>
      <c r="D371" s="67"/>
      <c r="E371" s="64"/>
      <c r="F371" s="65"/>
      <c r="G371" s="4"/>
      <c r="H371" s="9"/>
      <c r="I371" s="10"/>
      <c r="J371" s="53"/>
      <c r="K371" s="53"/>
      <c r="L371" s="53"/>
      <c r="M371" s="53"/>
      <c r="N371" s="53"/>
      <c r="O371" s="53"/>
      <c r="P371" s="53"/>
      <c r="Q371" s="53"/>
    </row>
    <row r="372" spans="1:17" s="62" customFormat="1" ht="31.5" x14ac:dyDescent="0.25">
      <c r="A372" s="34">
        <v>200105</v>
      </c>
      <c r="B372" s="17" t="s">
        <v>398</v>
      </c>
      <c r="C372" s="63" t="s">
        <v>524</v>
      </c>
      <c r="D372" s="67">
        <f>(18.6+3.02)*(11.2+1.2+1.2)</f>
        <v>294.03199999999998</v>
      </c>
      <c r="E372" s="64">
        <v>27.21</v>
      </c>
      <c r="F372" s="65">
        <f>D372*E372</f>
        <v>8000.6107199999997</v>
      </c>
      <c r="G372" s="4" t="s">
        <v>399</v>
      </c>
      <c r="H372" s="9" t="s">
        <v>400</v>
      </c>
      <c r="I372" s="10"/>
      <c r="J372" s="53"/>
      <c r="K372" s="53"/>
      <c r="L372" s="53"/>
      <c r="M372" s="53"/>
      <c r="N372" s="53"/>
      <c r="O372" s="53"/>
      <c r="P372" s="53"/>
      <c r="Q372" s="53"/>
    </row>
    <row r="373" spans="1:17" s="62" customFormat="1" ht="94.5" x14ac:dyDescent="0.25">
      <c r="A373" s="34"/>
      <c r="B373" s="12" t="s">
        <v>401</v>
      </c>
      <c r="C373" s="63"/>
      <c r="D373" s="67"/>
      <c r="E373" s="64"/>
      <c r="F373" s="65"/>
      <c r="G373" s="4"/>
      <c r="H373" s="9"/>
      <c r="I373" s="10"/>
      <c r="J373" s="53"/>
      <c r="K373" s="53"/>
      <c r="L373" s="53"/>
      <c r="M373" s="53"/>
      <c r="N373" s="53"/>
      <c r="O373" s="53"/>
      <c r="P373" s="53"/>
      <c r="Q373" s="53"/>
    </row>
    <row r="374" spans="1:17" s="62" customFormat="1" x14ac:dyDescent="0.25">
      <c r="A374" s="34"/>
      <c r="B374" s="12"/>
      <c r="C374" s="63"/>
      <c r="D374" s="67"/>
      <c r="E374" s="64"/>
      <c r="F374" s="65"/>
      <c r="G374" s="4"/>
      <c r="H374" s="9"/>
      <c r="I374" s="10"/>
      <c r="J374" s="53"/>
      <c r="K374" s="53"/>
      <c r="L374" s="53"/>
      <c r="M374" s="53"/>
      <c r="N374" s="53"/>
      <c r="O374" s="53"/>
      <c r="P374" s="53"/>
      <c r="Q374" s="53"/>
    </row>
    <row r="375" spans="1:17" s="62" customFormat="1" ht="31.5" x14ac:dyDescent="0.25">
      <c r="A375" s="34">
        <v>200106</v>
      </c>
      <c r="B375" s="38" t="s">
        <v>402</v>
      </c>
      <c r="C375" s="63" t="s">
        <v>95</v>
      </c>
      <c r="D375" s="67">
        <v>180</v>
      </c>
      <c r="E375" s="64">
        <v>4.7699999999999996</v>
      </c>
      <c r="F375" s="65">
        <f>D375*E375</f>
        <v>858.59999999999991</v>
      </c>
      <c r="G375" s="4">
        <v>180</v>
      </c>
      <c r="H375" s="9" t="s">
        <v>400</v>
      </c>
      <c r="I375" s="10"/>
      <c r="J375" s="53"/>
      <c r="K375" s="53"/>
      <c r="L375" s="53"/>
      <c r="M375" s="53"/>
      <c r="N375" s="53"/>
      <c r="O375" s="53"/>
      <c r="P375" s="53"/>
      <c r="Q375" s="53"/>
    </row>
    <row r="376" spans="1:17" s="62" customFormat="1" ht="78.75" x14ac:dyDescent="0.25">
      <c r="A376" s="34"/>
      <c r="B376" s="39" t="s">
        <v>403</v>
      </c>
      <c r="C376" s="63"/>
      <c r="D376" s="67"/>
      <c r="E376" s="64"/>
      <c r="F376" s="65"/>
      <c r="G376" s="4"/>
      <c r="H376" s="9"/>
      <c r="I376" s="10"/>
      <c r="J376" s="53"/>
      <c r="K376" s="53"/>
      <c r="L376" s="53"/>
      <c r="M376" s="53"/>
      <c r="N376" s="53"/>
      <c r="O376" s="53"/>
      <c r="P376" s="53"/>
      <c r="Q376" s="53"/>
    </row>
    <row r="377" spans="1:17" s="62" customFormat="1" x14ac:dyDescent="0.25">
      <c r="A377" s="34"/>
      <c r="B377" s="39"/>
      <c r="C377" s="63"/>
      <c r="D377" s="67"/>
      <c r="E377" s="64"/>
      <c r="F377" s="65"/>
      <c r="G377" s="4"/>
      <c r="H377" s="9"/>
      <c r="I377" s="10"/>
      <c r="J377" s="53"/>
      <c r="K377" s="53"/>
      <c r="L377" s="53"/>
      <c r="M377" s="53"/>
      <c r="N377" s="53"/>
      <c r="O377" s="53"/>
      <c r="P377" s="53"/>
      <c r="Q377" s="53"/>
    </row>
    <row r="378" spans="1:17" s="62" customFormat="1" x14ac:dyDescent="0.25">
      <c r="A378" s="34">
        <v>200200</v>
      </c>
      <c r="B378" s="40" t="s">
        <v>404</v>
      </c>
      <c r="C378" s="63"/>
      <c r="D378" s="67"/>
      <c r="E378" s="64"/>
      <c r="F378" s="65"/>
      <c r="G378" s="4"/>
      <c r="H378" s="9"/>
      <c r="I378" s="10"/>
      <c r="J378" s="53"/>
      <c r="K378" s="53"/>
      <c r="L378" s="53"/>
      <c r="M378" s="53"/>
      <c r="N378" s="53"/>
      <c r="O378" s="53"/>
      <c r="P378" s="53"/>
      <c r="Q378" s="53"/>
    </row>
    <row r="379" spans="1:17" s="62" customFormat="1" ht="315" x14ac:dyDescent="0.25">
      <c r="A379" s="34"/>
      <c r="B379" s="12" t="s">
        <v>405</v>
      </c>
      <c r="C379" s="63"/>
      <c r="D379" s="67"/>
      <c r="E379" s="64"/>
      <c r="F379" s="65"/>
      <c r="G379" s="4"/>
      <c r="H379" s="9"/>
      <c r="I379" s="10"/>
      <c r="J379" s="53"/>
      <c r="K379" s="53"/>
      <c r="L379" s="53"/>
      <c r="M379" s="53"/>
      <c r="N379" s="53"/>
      <c r="O379" s="53"/>
      <c r="P379" s="53"/>
      <c r="Q379" s="53"/>
    </row>
    <row r="380" spans="1:17" s="62" customFormat="1" x14ac:dyDescent="0.25">
      <c r="A380" s="34"/>
      <c r="B380" s="40"/>
      <c r="C380" s="63"/>
      <c r="D380" s="67"/>
      <c r="E380" s="64"/>
      <c r="F380" s="65"/>
      <c r="G380" s="4"/>
      <c r="H380" s="9"/>
      <c r="I380" s="10"/>
      <c r="J380" s="53"/>
      <c r="K380" s="53"/>
      <c r="L380" s="53"/>
      <c r="M380" s="53"/>
      <c r="N380" s="53"/>
      <c r="O380" s="53"/>
      <c r="P380" s="53"/>
      <c r="Q380" s="53"/>
    </row>
    <row r="381" spans="1:17" s="62" customFormat="1" ht="31.5" x14ac:dyDescent="0.25">
      <c r="A381" s="11" t="s">
        <v>406</v>
      </c>
      <c r="B381" s="17" t="s">
        <v>407</v>
      </c>
      <c r="C381" s="63" t="s">
        <v>95</v>
      </c>
      <c r="D381" s="67">
        <v>10.24</v>
      </c>
      <c r="E381" s="64">
        <v>336.36</v>
      </c>
      <c r="F381" s="65">
        <f>D381*E381</f>
        <v>3444.3264000000004</v>
      </c>
      <c r="G381" s="4">
        <v>10.24</v>
      </c>
      <c r="H381" s="9" t="s">
        <v>408</v>
      </c>
      <c r="I381" s="10"/>
      <c r="J381" s="53"/>
      <c r="K381" s="53"/>
      <c r="L381" s="53"/>
      <c r="M381" s="53"/>
      <c r="N381" s="53"/>
      <c r="O381" s="53"/>
      <c r="P381" s="53"/>
      <c r="Q381" s="53"/>
    </row>
    <row r="382" spans="1:17" s="62" customFormat="1" x14ac:dyDescent="0.25">
      <c r="A382" s="11"/>
      <c r="B382" s="12"/>
      <c r="C382" s="63"/>
      <c r="D382" s="67"/>
      <c r="E382" s="64"/>
      <c r="F382" s="65"/>
      <c r="G382" s="4"/>
      <c r="H382" s="9"/>
      <c r="I382" s="10"/>
      <c r="J382" s="53"/>
      <c r="K382" s="53"/>
      <c r="L382" s="53"/>
      <c r="M382" s="53"/>
      <c r="N382" s="53"/>
      <c r="O382" s="53"/>
      <c r="P382" s="53"/>
      <c r="Q382" s="53"/>
    </row>
    <row r="383" spans="1:17" s="62" customFormat="1" ht="47.25" x14ac:dyDescent="0.25">
      <c r="A383" s="11" t="s">
        <v>409</v>
      </c>
      <c r="B383" s="17" t="s">
        <v>523</v>
      </c>
      <c r="C383" s="63" t="s">
        <v>95</v>
      </c>
      <c r="D383" s="67">
        <f>(28-4.7)*2+18+21.62*2-3.9-4.5+3.75+1.66</f>
        <v>104.85</v>
      </c>
      <c r="E383" s="64">
        <v>517.34</v>
      </c>
      <c r="F383" s="65">
        <f>D383*E383</f>
        <v>54243.099000000002</v>
      </c>
      <c r="G383" s="4" t="s">
        <v>410</v>
      </c>
      <c r="H383" s="9" t="s">
        <v>411</v>
      </c>
      <c r="I383" s="10"/>
      <c r="J383" s="53"/>
      <c r="K383" s="53"/>
      <c r="L383" s="53"/>
      <c r="M383" s="53"/>
      <c r="N383" s="53"/>
      <c r="O383" s="53"/>
      <c r="P383" s="53"/>
      <c r="Q383" s="53"/>
    </row>
    <row r="384" spans="1:17" s="62" customFormat="1" x14ac:dyDescent="0.25">
      <c r="A384" s="11"/>
      <c r="B384" s="12"/>
      <c r="C384" s="63"/>
      <c r="D384" s="67"/>
      <c r="E384" s="64"/>
      <c r="F384" s="65"/>
      <c r="G384" s="8"/>
      <c r="H384" s="9"/>
      <c r="I384" s="10"/>
      <c r="J384" s="53"/>
      <c r="K384" s="53"/>
      <c r="L384" s="53"/>
      <c r="M384" s="53"/>
      <c r="N384" s="53"/>
      <c r="O384" s="53"/>
      <c r="P384" s="53"/>
      <c r="Q384" s="53"/>
    </row>
    <row r="385" spans="1:17" s="62" customFormat="1" x14ac:dyDescent="0.25">
      <c r="A385" s="11"/>
      <c r="B385" s="12"/>
      <c r="C385" s="63"/>
      <c r="D385" s="67"/>
      <c r="E385" s="64"/>
      <c r="F385" s="65"/>
      <c r="G385" s="4"/>
      <c r="H385" s="9"/>
      <c r="I385" s="10"/>
      <c r="J385" s="53"/>
      <c r="K385" s="53"/>
      <c r="L385" s="53"/>
      <c r="M385" s="53"/>
      <c r="N385" s="53"/>
      <c r="O385" s="53"/>
      <c r="P385" s="53"/>
      <c r="Q385" s="53"/>
    </row>
    <row r="386" spans="1:17" s="62" customFormat="1" x14ac:dyDescent="0.25">
      <c r="A386" s="11" t="s">
        <v>412</v>
      </c>
      <c r="B386" s="17" t="s">
        <v>413</v>
      </c>
      <c r="C386" s="63" t="s">
        <v>15</v>
      </c>
      <c r="D386" s="67">
        <f>1.5*3.5*3+3*1.3*2.5+4.05*2.5*2</f>
        <v>45.75</v>
      </c>
      <c r="E386" s="64">
        <v>436.55</v>
      </c>
      <c r="F386" s="65">
        <f>D386*E386</f>
        <v>19972.162500000002</v>
      </c>
      <c r="G386" s="9" t="s">
        <v>414</v>
      </c>
      <c r="I386" s="10"/>
      <c r="J386" s="53"/>
      <c r="K386" s="53"/>
      <c r="L386" s="53"/>
      <c r="M386" s="53"/>
      <c r="N386" s="53"/>
      <c r="O386" s="53"/>
      <c r="P386" s="53"/>
      <c r="Q386" s="53"/>
    </row>
    <row r="387" spans="1:17" s="62" customFormat="1" ht="141.75" x14ac:dyDescent="0.25">
      <c r="A387" s="11"/>
      <c r="B387" s="12" t="s">
        <v>415</v>
      </c>
      <c r="C387" s="63"/>
      <c r="D387" s="67"/>
      <c r="E387" s="64"/>
      <c r="F387" s="65"/>
      <c r="G387" s="4"/>
      <c r="H387" s="9"/>
      <c r="I387" s="10"/>
      <c r="J387" s="53"/>
      <c r="K387" s="53"/>
      <c r="L387" s="53"/>
      <c r="M387" s="53"/>
      <c r="N387" s="53"/>
      <c r="O387" s="53"/>
      <c r="P387" s="53"/>
      <c r="Q387" s="53"/>
    </row>
    <row r="388" spans="1:17" s="62" customFormat="1" x14ac:dyDescent="0.25">
      <c r="A388" s="11"/>
      <c r="B388" s="12"/>
      <c r="C388" s="63"/>
      <c r="D388" s="67"/>
      <c r="E388" s="64"/>
      <c r="F388" s="65"/>
      <c r="G388" s="4"/>
      <c r="H388" s="9"/>
      <c r="I388" s="10"/>
      <c r="J388" s="53"/>
      <c r="K388" s="53"/>
      <c r="L388" s="53"/>
      <c r="M388" s="53"/>
      <c r="N388" s="53"/>
      <c r="O388" s="53"/>
      <c r="P388" s="53"/>
      <c r="Q388" s="53"/>
    </row>
    <row r="389" spans="1:17" s="62" customFormat="1" x14ac:dyDescent="0.25">
      <c r="A389" s="11" t="s">
        <v>416</v>
      </c>
      <c r="B389" s="22" t="s">
        <v>417</v>
      </c>
      <c r="C389" s="63"/>
      <c r="D389" s="67"/>
      <c r="E389" s="64"/>
      <c r="F389" s="65"/>
      <c r="G389" s="4"/>
      <c r="H389" s="9"/>
      <c r="I389" s="10"/>
      <c r="J389" s="53"/>
      <c r="K389" s="53"/>
      <c r="L389" s="53"/>
      <c r="M389" s="53"/>
      <c r="N389" s="53"/>
      <c r="O389" s="53"/>
      <c r="P389" s="53"/>
      <c r="Q389" s="53"/>
    </row>
    <row r="390" spans="1:17" s="62" customFormat="1" x14ac:dyDescent="0.25">
      <c r="A390" s="11" t="s">
        <v>418</v>
      </c>
      <c r="B390" s="17" t="s">
        <v>419</v>
      </c>
      <c r="C390" s="63" t="s">
        <v>420</v>
      </c>
      <c r="D390" s="67">
        <v>1</v>
      </c>
      <c r="E390" s="73">
        <v>12078.02</v>
      </c>
      <c r="F390" s="65">
        <f>D390*E390</f>
        <v>12078.02</v>
      </c>
      <c r="G390" s="4">
        <v>1</v>
      </c>
      <c r="H390" s="9"/>
      <c r="I390" s="10"/>
      <c r="J390" s="53"/>
      <c r="K390" s="53"/>
      <c r="L390" s="53"/>
      <c r="M390" s="53"/>
      <c r="N390" s="53"/>
      <c r="O390" s="53"/>
      <c r="P390" s="53"/>
      <c r="Q390" s="53"/>
    </row>
    <row r="391" spans="1:17" s="62" customFormat="1" ht="366" customHeight="1" x14ac:dyDescent="0.25">
      <c r="A391" s="79"/>
      <c r="B391" s="12" t="s">
        <v>421</v>
      </c>
      <c r="C391" s="19"/>
      <c r="D391" s="67"/>
      <c r="E391" s="64"/>
      <c r="F391" s="65"/>
      <c r="G391" s="4"/>
      <c r="H391" s="9"/>
      <c r="I391" s="10"/>
      <c r="J391" s="53"/>
      <c r="K391" s="53"/>
      <c r="L391" s="53"/>
      <c r="M391" s="53"/>
      <c r="N391" s="53"/>
      <c r="O391" s="53"/>
      <c r="P391" s="53"/>
      <c r="Q391" s="53"/>
    </row>
    <row r="392" spans="1:17" s="62" customFormat="1" x14ac:dyDescent="0.25">
      <c r="A392" s="11"/>
      <c r="B392" s="12"/>
      <c r="C392" s="63"/>
      <c r="D392" s="67"/>
      <c r="E392" s="64"/>
      <c r="F392" s="65"/>
      <c r="G392" s="4"/>
      <c r="H392" s="9"/>
      <c r="I392" s="10"/>
      <c r="J392" s="53"/>
      <c r="K392" s="53"/>
      <c r="L392" s="53"/>
      <c r="M392" s="53"/>
      <c r="N392" s="53"/>
      <c r="O392" s="53"/>
      <c r="P392" s="53"/>
      <c r="Q392" s="53"/>
    </row>
    <row r="393" spans="1:17" s="62" customFormat="1" x14ac:dyDescent="0.25">
      <c r="A393" s="11" t="s">
        <v>422</v>
      </c>
      <c r="B393" s="17" t="s">
        <v>423</v>
      </c>
      <c r="C393" s="63" t="s">
        <v>80</v>
      </c>
      <c r="D393" s="67">
        <f>(18.6+3.02)*(11.2+1.2+1.2)*0.05</f>
        <v>14.701599999999999</v>
      </c>
      <c r="E393" s="64">
        <v>173.46</v>
      </c>
      <c r="F393" s="65">
        <f>D393*E393</f>
        <v>2550.1395360000001</v>
      </c>
      <c r="G393" s="4" t="s">
        <v>424</v>
      </c>
      <c r="H393" s="9" t="s">
        <v>425</v>
      </c>
      <c r="I393" s="10"/>
      <c r="J393" s="53"/>
      <c r="K393" s="53"/>
      <c r="L393" s="53"/>
      <c r="M393" s="53"/>
      <c r="N393" s="53"/>
      <c r="O393" s="53"/>
      <c r="P393" s="53"/>
      <c r="Q393" s="53"/>
    </row>
    <row r="394" spans="1:17" s="62" customFormat="1" ht="78.75" x14ac:dyDescent="0.25">
      <c r="A394" s="11"/>
      <c r="B394" s="12" t="s">
        <v>426</v>
      </c>
      <c r="C394" s="63"/>
      <c r="D394" s="67"/>
      <c r="E394" s="64"/>
      <c r="F394" s="65"/>
      <c r="G394" s="4"/>
      <c r="H394" s="9"/>
      <c r="I394" s="10"/>
      <c r="J394" s="53"/>
      <c r="K394" s="53"/>
      <c r="L394" s="53"/>
      <c r="M394" s="53"/>
      <c r="N394" s="53"/>
      <c r="O394" s="53"/>
      <c r="P394" s="53"/>
      <c r="Q394" s="53"/>
    </row>
    <row r="395" spans="1:17" s="62" customFormat="1" x14ac:dyDescent="0.25">
      <c r="A395" s="11"/>
      <c r="B395" s="12"/>
      <c r="C395" s="63"/>
      <c r="D395" s="67"/>
      <c r="E395" s="64"/>
      <c r="F395" s="65"/>
      <c r="G395" s="4"/>
      <c r="H395" s="9"/>
      <c r="I395" s="10"/>
      <c r="J395" s="53"/>
      <c r="K395" s="53"/>
      <c r="L395" s="53"/>
      <c r="M395" s="53"/>
      <c r="N395" s="53"/>
      <c r="O395" s="53"/>
      <c r="P395" s="53"/>
      <c r="Q395" s="53"/>
    </row>
    <row r="396" spans="1:17" s="62" customFormat="1" x14ac:dyDescent="0.25">
      <c r="A396" s="11"/>
      <c r="B396" s="12"/>
      <c r="C396" s="63"/>
      <c r="D396" s="67"/>
      <c r="E396" s="64"/>
      <c r="F396" s="65"/>
      <c r="G396" s="4"/>
      <c r="H396" s="9"/>
      <c r="I396" s="10"/>
      <c r="J396" s="53"/>
      <c r="K396" s="53"/>
      <c r="L396" s="53"/>
      <c r="M396" s="53"/>
      <c r="N396" s="53"/>
      <c r="O396" s="53"/>
      <c r="P396" s="53"/>
      <c r="Q396" s="53"/>
    </row>
    <row r="397" spans="1:17" s="62" customFormat="1" ht="31.5" x14ac:dyDescent="0.25">
      <c r="A397" s="11" t="s">
        <v>427</v>
      </c>
      <c r="B397" s="17" t="s">
        <v>428</v>
      </c>
      <c r="C397" s="63" t="s">
        <v>65</v>
      </c>
      <c r="D397" s="67">
        <f>(18.6+3.02)*(11.2+1.2+1.2)*2.2</f>
        <v>646.87040000000002</v>
      </c>
      <c r="E397" s="64">
        <v>34.729999999999997</v>
      </c>
      <c r="F397" s="65">
        <f>D397*E397</f>
        <v>22465.808991999998</v>
      </c>
      <c r="G397" s="166" t="s">
        <v>429</v>
      </c>
      <c r="H397" s="9" t="s">
        <v>430</v>
      </c>
      <c r="I397" s="10"/>
      <c r="J397" s="53"/>
      <c r="K397" s="53"/>
      <c r="L397" s="53"/>
      <c r="M397" s="53"/>
      <c r="N397" s="53"/>
      <c r="O397" s="53"/>
      <c r="P397" s="53"/>
      <c r="Q397" s="53"/>
    </row>
    <row r="398" spans="1:17" s="62" customFormat="1" ht="78.75" x14ac:dyDescent="0.25">
      <c r="A398" s="11"/>
      <c r="B398" s="12" t="s">
        <v>431</v>
      </c>
      <c r="C398" s="63"/>
      <c r="D398" s="67"/>
      <c r="E398" s="64"/>
      <c r="F398" s="65"/>
      <c r="G398" s="4"/>
      <c r="H398" s="9"/>
      <c r="I398" s="10"/>
      <c r="J398" s="53"/>
      <c r="K398" s="53"/>
      <c r="L398" s="53"/>
      <c r="M398" s="53"/>
      <c r="N398" s="53"/>
      <c r="O398" s="53"/>
      <c r="P398" s="53"/>
      <c r="Q398" s="53"/>
    </row>
    <row r="399" spans="1:17" s="62" customFormat="1" x14ac:dyDescent="0.25">
      <c r="A399" s="11"/>
      <c r="B399" s="12"/>
      <c r="C399" s="63"/>
      <c r="D399" s="67"/>
      <c r="E399" s="64"/>
      <c r="F399" s="65"/>
      <c r="G399" s="4"/>
      <c r="H399" s="9"/>
      <c r="I399" s="10"/>
      <c r="J399" s="53"/>
      <c r="K399" s="53"/>
      <c r="L399" s="53"/>
      <c r="M399" s="53"/>
      <c r="N399" s="53"/>
      <c r="O399" s="53"/>
      <c r="P399" s="53"/>
      <c r="Q399" s="53"/>
    </row>
    <row r="400" spans="1:17" s="62" customFormat="1" ht="47.25" x14ac:dyDescent="0.25">
      <c r="A400" s="11" t="s">
        <v>432</v>
      </c>
      <c r="B400" s="17" t="s">
        <v>433</v>
      </c>
      <c r="C400" s="63" t="s">
        <v>80</v>
      </c>
      <c r="D400" s="67">
        <f>(18.6+3.02)*(11.2+1.2+1.2)*0.08</f>
        <v>23.522559999999999</v>
      </c>
      <c r="E400" s="64">
        <v>747.85</v>
      </c>
      <c r="F400" s="65">
        <f>D400*E400</f>
        <v>17591.346495999998</v>
      </c>
      <c r="G400" s="4" t="s">
        <v>434</v>
      </c>
      <c r="H400" s="9" t="s">
        <v>435</v>
      </c>
      <c r="I400" s="10"/>
      <c r="J400" s="53"/>
      <c r="K400" s="53"/>
      <c r="L400" s="53"/>
      <c r="M400" s="53"/>
      <c r="N400" s="53"/>
      <c r="O400" s="53"/>
      <c r="P400" s="53"/>
      <c r="Q400" s="53"/>
    </row>
    <row r="401" spans="1:17" s="62" customFormat="1" ht="141.75" customHeight="1" x14ac:dyDescent="0.25">
      <c r="A401" s="11"/>
      <c r="B401" s="12" t="s">
        <v>436</v>
      </c>
      <c r="C401" s="63"/>
      <c r="D401" s="67"/>
      <c r="E401" s="64"/>
      <c r="F401" s="65"/>
      <c r="G401" s="9"/>
      <c r="H401" s="9"/>
      <c r="I401" s="10"/>
      <c r="J401" s="53"/>
      <c r="K401" s="53"/>
      <c r="L401" s="53"/>
      <c r="M401" s="53"/>
      <c r="N401" s="53"/>
      <c r="O401" s="53"/>
      <c r="P401" s="53"/>
      <c r="Q401" s="53"/>
    </row>
    <row r="402" spans="1:17" s="62" customFormat="1" ht="141.75" customHeight="1" x14ac:dyDescent="0.25">
      <c r="A402" s="11" t="s">
        <v>437</v>
      </c>
      <c r="B402" s="17" t="s">
        <v>438</v>
      </c>
      <c r="C402" s="63" t="s">
        <v>15</v>
      </c>
      <c r="D402" s="67">
        <f>18*28+4.78*2.22</f>
        <v>514.61159999999995</v>
      </c>
      <c r="E402" s="64">
        <v>20</v>
      </c>
      <c r="F402" s="65">
        <f>D402*E402</f>
        <v>10292.232</v>
      </c>
      <c r="G402" s="9" t="s">
        <v>439</v>
      </c>
      <c r="H402" s="9" t="s">
        <v>440</v>
      </c>
      <c r="I402" s="10"/>
      <c r="J402" s="53"/>
      <c r="K402" s="53"/>
      <c r="L402" s="53"/>
      <c r="M402" s="53"/>
      <c r="N402" s="53"/>
      <c r="O402" s="53"/>
      <c r="P402" s="53"/>
      <c r="Q402" s="53"/>
    </row>
    <row r="403" spans="1:17" s="62" customFormat="1" ht="47.25" x14ac:dyDescent="0.25">
      <c r="A403" s="11"/>
      <c r="B403" s="12" t="s">
        <v>441</v>
      </c>
      <c r="C403" s="63"/>
      <c r="D403" s="67"/>
      <c r="E403" s="64"/>
      <c r="F403" s="65"/>
      <c r="G403" s="4"/>
      <c r="H403" s="9"/>
      <c r="I403" s="10"/>
      <c r="J403" s="53"/>
      <c r="K403" s="53"/>
      <c r="L403" s="53"/>
      <c r="M403" s="53"/>
      <c r="N403" s="53"/>
      <c r="O403" s="53"/>
      <c r="P403" s="53"/>
      <c r="Q403" s="53"/>
    </row>
    <row r="404" spans="1:17" s="62" customFormat="1" x14ac:dyDescent="0.25">
      <c r="A404" s="11"/>
      <c r="B404" s="12"/>
      <c r="C404" s="63"/>
      <c r="D404" s="67"/>
      <c r="E404" s="64"/>
      <c r="F404" s="65"/>
      <c r="G404" s="4"/>
      <c r="H404" s="9"/>
      <c r="I404" s="10"/>
      <c r="J404" s="53"/>
      <c r="K404" s="53"/>
      <c r="L404" s="53"/>
      <c r="M404" s="53"/>
      <c r="N404" s="53"/>
      <c r="O404" s="53"/>
      <c r="P404" s="53"/>
      <c r="Q404" s="53"/>
    </row>
    <row r="405" spans="1:17" s="62" customFormat="1" ht="31.5" x14ac:dyDescent="0.25">
      <c r="A405" s="11" t="s">
        <v>442</v>
      </c>
      <c r="B405" s="17" t="s">
        <v>443</v>
      </c>
      <c r="C405" s="63" t="s">
        <v>15</v>
      </c>
      <c r="D405" s="67">
        <v>0</v>
      </c>
      <c r="E405" s="64">
        <v>211.58</v>
      </c>
      <c r="F405" s="65">
        <f>D405*E405</f>
        <v>0</v>
      </c>
      <c r="G405" s="4" t="s">
        <v>569</v>
      </c>
      <c r="H405" s="9" t="s">
        <v>17</v>
      </c>
      <c r="I405" s="10"/>
      <c r="J405" s="53"/>
      <c r="K405" s="53"/>
      <c r="L405" s="53"/>
      <c r="M405" s="53"/>
      <c r="N405" s="53"/>
      <c r="O405" s="53"/>
      <c r="P405" s="53"/>
      <c r="Q405" s="53"/>
    </row>
    <row r="406" spans="1:17" s="62" customFormat="1" ht="167.25" customHeight="1" x14ac:dyDescent="0.25">
      <c r="A406" s="11"/>
      <c r="B406" s="27" t="s">
        <v>445</v>
      </c>
      <c r="C406" s="63"/>
      <c r="D406" s="67"/>
      <c r="E406" s="64"/>
      <c r="F406" s="65"/>
      <c r="G406" s="4"/>
      <c r="H406" s="9"/>
      <c r="I406" s="10"/>
      <c r="J406" s="53"/>
      <c r="K406" s="53"/>
      <c r="L406" s="53"/>
      <c r="M406" s="53"/>
      <c r="N406" s="53"/>
      <c r="O406" s="53"/>
      <c r="P406" s="53"/>
      <c r="Q406" s="53"/>
    </row>
    <row r="407" spans="1:17" s="62" customFormat="1" x14ac:dyDescent="0.25">
      <c r="A407" s="11"/>
      <c r="B407" s="12"/>
      <c r="C407" s="63"/>
      <c r="D407" s="67"/>
      <c r="E407" s="64"/>
      <c r="F407" s="65"/>
      <c r="G407" s="4"/>
      <c r="H407" s="9"/>
      <c r="I407" s="10"/>
      <c r="J407" s="53"/>
      <c r="K407" s="53"/>
      <c r="L407" s="53"/>
      <c r="M407" s="53"/>
      <c r="N407" s="53"/>
      <c r="O407" s="53"/>
      <c r="P407" s="53"/>
      <c r="Q407" s="53"/>
    </row>
    <row r="408" spans="1:17" s="62" customFormat="1" ht="47.25" x14ac:dyDescent="0.25">
      <c r="A408" s="11" t="s">
        <v>446</v>
      </c>
      <c r="B408" s="13" t="s">
        <v>447</v>
      </c>
      <c r="C408" s="63" t="s">
        <v>15</v>
      </c>
      <c r="D408" s="67">
        <f>18*28*1.034+28*2*2+18*3.1*2</f>
        <v>744.73599999999999</v>
      </c>
      <c r="E408" s="64">
        <v>97.61</v>
      </c>
      <c r="F408" s="65">
        <f>D408*E408</f>
        <v>72693.680959999998</v>
      </c>
      <c r="G408" s="4" t="s">
        <v>448</v>
      </c>
      <c r="H408" s="9" t="s">
        <v>449</v>
      </c>
      <c r="I408" s="10"/>
      <c r="J408" s="53"/>
      <c r="K408" s="53"/>
      <c r="L408" s="53"/>
      <c r="M408" s="53"/>
      <c r="N408" s="53"/>
      <c r="O408" s="53"/>
      <c r="P408" s="53"/>
      <c r="Q408" s="53"/>
    </row>
    <row r="409" spans="1:17" s="62" customFormat="1" ht="94.5" x14ac:dyDescent="0.25">
      <c r="A409" s="11"/>
      <c r="B409" s="27" t="s">
        <v>450</v>
      </c>
      <c r="C409" s="63"/>
      <c r="D409" s="67"/>
      <c r="E409" s="64"/>
      <c r="F409" s="65"/>
      <c r="G409" s="4"/>
      <c r="H409" s="9"/>
      <c r="I409" s="10"/>
      <c r="J409" s="53"/>
      <c r="K409" s="53"/>
      <c r="L409" s="53"/>
      <c r="M409" s="53"/>
      <c r="N409" s="53"/>
      <c r="O409" s="53"/>
      <c r="P409" s="53"/>
      <c r="Q409" s="53"/>
    </row>
    <row r="410" spans="1:17" s="62" customFormat="1" x14ac:dyDescent="0.25">
      <c r="A410" s="11"/>
      <c r="B410" s="12"/>
      <c r="C410" s="63"/>
      <c r="D410" s="67"/>
      <c r="E410" s="64"/>
      <c r="F410" s="65"/>
      <c r="G410" s="4"/>
      <c r="H410" s="9"/>
      <c r="I410" s="10"/>
      <c r="J410" s="53"/>
      <c r="K410" s="53"/>
      <c r="L410" s="53"/>
      <c r="M410" s="53"/>
      <c r="N410" s="53"/>
      <c r="O410" s="53"/>
      <c r="P410" s="53"/>
      <c r="Q410" s="53"/>
    </row>
    <row r="411" spans="1:17" s="62" customFormat="1" ht="18" customHeight="1" x14ac:dyDescent="0.25">
      <c r="A411" s="11"/>
      <c r="B411" s="25"/>
      <c r="C411" s="361" t="s">
        <v>34</v>
      </c>
      <c r="D411" s="361"/>
      <c r="E411" s="361"/>
      <c r="F411" s="66">
        <f>SUM(F370:F410)</f>
        <v>224190.02660400001</v>
      </c>
      <c r="G411" s="4"/>
      <c r="H411" s="9"/>
      <c r="I411" s="10"/>
      <c r="J411" s="53"/>
      <c r="K411" s="53"/>
      <c r="L411" s="53"/>
      <c r="M411" s="53"/>
      <c r="N411" s="53"/>
      <c r="O411" s="53"/>
      <c r="P411" s="53"/>
      <c r="Q411" s="53"/>
    </row>
    <row r="412" spans="1:17" s="62" customFormat="1" x14ac:dyDescent="0.25">
      <c r="A412" s="3" t="s">
        <v>451</v>
      </c>
      <c r="B412" s="57" t="s">
        <v>452</v>
      </c>
      <c r="C412" s="58"/>
      <c r="D412" s="72"/>
      <c r="E412" s="60"/>
      <c r="F412" s="65"/>
      <c r="G412" s="4"/>
      <c r="H412" s="9"/>
      <c r="I412" s="10"/>
      <c r="J412" s="53"/>
      <c r="K412" s="53"/>
      <c r="L412" s="53"/>
      <c r="M412" s="53"/>
      <c r="N412" s="53"/>
      <c r="O412" s="53"/>
      <c r="P412" s="53"/>
      <c r="Q412" s="53"/>
    </row>
    <row r="413" spans="1:17" s="62" customFormat="1" x14ac:dyDescent="0.25">
      <c r="A413" s="6" t="s">
        <v>453</v>
      </c>
      <c r="B413" s="26" t="s">
        <v>454</v>
      </c>
      <c r="C413" s="63"/>
      <c r="D413" s="67"/>
      <c r="E413" s="64"/>
      <c r="F413" s="65"/>
      <c r="G413" s="4"/>
      <c r="H413" s="9"/>
      <c r="I413" s="10"/>
      <c r="J413" s="53"/>
      <c r="K413" s="53"/>
      <c r="L413" s="53"/>
      <c r="M413" s="53"/>
      <c r="N413" s="53"/>
      <c r="O413" s="53"/>
      <c r="P413" s="53"/>
      <c r="Q413" s="53"/>
    </row>
    <row r="414" spans="1:17" s="62" customFormat="1" x14ac:dyDescent="0.25">
      <c r="A414" s="11" t="s">
        <v>455</v>
      </c>
      <c r="B414" s="17" t="s">
        <v>456</v>
      </c>
      <c r="C414" s="63" t="s">
        <v>15</v>
      </c>
      <c r="D414" s="67">
        <f>18*28</f>
        <v>504</v>
      </c>
      <c r="E414" s="64">
        <v>7.08</v>
      </c>
      <c r="F414" s="65">
        <f>D414*E414</f>
        <v>3568.32</v>
      </c>
      <c r="G414" s="4" t="s">
        <v>444</v>
      </c>
      <c r="H414" s="9"/>
      <c r="I414" s="10"/>
      <c r="J414" s="53"/>
      <c r="K414" s="53"/>
      <c r="L414" s="53"/>
      <c r="M414" s="53"/>
      <c r="N414" s="53"/>
      <c r="O414" s="53"/>
      <c r="P414" s="53"/>
      <c r="Q414" s="53"/>
    </row>
    <row r="415" spans="1:17" s="62" customFormat="1" ht="63" x14ac:dyDescent="0.25">
      <c r="A415" s="11"/>
      <c r="B415" s="12" t="s">
        <v>457</v>
      </c>
      <c r="C415" s="63"/>
      <c r="D415" s="67"/>
      <c r="E415" s="64"/>
      <c r="F415" s="65"/>
      <c r="G415" s="4"/>
      <c r="H415" s="9"/>
      <c r="I415" s="10"/>
      <c r="J415" s="53"/>
      <c r="K415" s="53"/>
      <c r="L415" s="53"/>
      <c r="M415" s="53"/>
      <c r="N415" s="53"/>
      <c r="O415" s="53"/>
      <c r="P415" s="53"/>
      <c r="Q415" s="53"/>
    </row>
    <row r="416" spans="1:17" s="62" customFormat="1" x14ac:dyDescent="0.25">
      <c r="A416" s="11"/>
      <c r="B416" s="12"/>
      <c r="C416" s="63"/>
      <c r="D416" s="67"/>
      <c r="E416" s="64"/>
      <c r="F416" s="65"/>
      <c r="G416" s="4"/>
      <c r="H416" s="9"/>
      <c r="I416" s="10"/>
      <c r="J416" s="53"/>
      <c r="K416" s="53"/>
      <c r="L416" s="53"/>
      <c r="M416" s="53"/>
      <c r="N416" s="53"/>
      <c r="O416" s="53"/>
      <c r="P416" s="53"/>
      <c r="Q416" s="53"/>
    </row>
    <row r="417" spans="1:17" s="62" customFormat="1" x14ac:dyDescent="0.25">
      <c r="A417" s="11"/>
      <c r="B417" s="22"/>
      <c r="C417" s="63"/>
      <c r="D417" s="32"/>
      <c r="E417" s="64"/>
      <c r="F417" s="65"/>
      <c r="G417" s="4"/>
      <c r="H417" s="9"/>
      <c r="I417" s="10"/>
      <c r="J417" s="53"/>
      <c r="K417" s="53"/>
      <c r="L417" s="53"/>
      <c r="M417" s="53"/>
      <c r="N417" s="53"/>
      <c r="O417" s="53"/>
      <c r="P417" s="53"/>
      <c r="Q417" s="53"/>
    </row>
    <row r="418" spans="1:17" s="62" customFormat="1" x14ac:dyDescent="0.25">
      <c r="A418" s="11" t="s">
        <v>458</v>
      </c>
      <c r="B418" s="17" t="s">
        <v>459</v>
      </c>
      <c r="C418" s="63" t="s">
        <v>80</v>
      </c>
      <c r="D418" s="67">
        <v>40</v>
      </c>
      <c r="E418" s="64">
        <v>73.37</v>
      </c>
      <c r="F418" s="65">
        <f>D418*E418</f>
        <v>2934.8</v>
      </c>
      <c r="G418" s="4">
        <v>40</v>
      </c>
      <c r="H418" s="9"/>
      <c r="I418" s="10"/>
      <c r="J418" s="53"/>
      <c r="K418" s="53"/>
      <c r="L418" s="53"/>
      <c r="M418" s="53"/>
      <c r="N418" s="53"/>
      <c r="O418" s="53"/>
      <c r="P418" s="53"/>
      <c r="Q418" s="53"/>
    </row>
    <row r="419" spans="1:17" s="62" customFormat="1" x14ac:dyDescent="0.25">
      <c r="A419" s="11"/>
      <c r="B419" s="12"/>
      <c r="C419" s="63"/>
      <c r="D419" s="67"/>
      <c r="E419" s="64"/>
      <c r="F419" s="65"/>
      <c r="G419" s="4"/>
      <c r="H419" s="9"/>
      <c r="I419" s="10"/>
      <c r="J419" s="53"/>
      <c r="K419" s="53"/>
      <c r="L419" s="53"/>
      <c r="M419" s="53"/>
      <c r="N419" s="53"/>
      <c r="O419" s="53"/>
      <c r="P419" s="53"/>
      <c r="Q419" s="53"/>
    </row>
    <row r="420" spans="1:17" s="62" customFormat="1" ht="18" customHeight="1" x14ac:dyDescent="0.25">
      <c r="A420" s="80"/>
      <c r="B420" s="81"/>
      <c r="C420" s="361" t="s">
        <v>34</v>
      </c>
      <c r="D420" s="361"/>
      <c r="E420" s="361"/>
      <c r="F420" s="66">
        <f>SUM(F413:F419)</f>
        <v>6503.1200000000008</v>
      </c>
      <c r="G420" s="4"/>
      <c r="H420" s="9"/>
      <c r="I420" s="10"/>
      <c r="J420" s="53"/>
      <c r="K420" s="53"/>
      <c r="L420" s="53"/>
      <c r="M420" s="53"/>
      <c r="N420" s="53"/>
      <c r="O420" s="53"/>
      <c r="P420" s="53"/>
      <c r="Q420" s="53"/>
    </row>
    <row r="421" spans="1:17" s="62" customFormat="1" x14ac:dyDescent="0.25">
      <c r="A421" s="3" t="s">
        <v>460</v>
      </c>
      <c r="B421" s="57" t="s">
        <v>461</v>
      </c>
      <c r="C421" s="58"/>
      <c r="D421" s="72"/>
      <c r="E421" s="60"/>
      <c r="F421" s="65"/>
      <c r="G421" s="4"/>
      <c r="H421" s="9"/>
      <c r="I421" s="10"/>
      <c r="J421" s="53"/>
      <c r="K421" s="53"/>
      <c r="L421" s="53"/>
      <c r="M421" s="53"/>
      <c r="N421" s="53"/>
      <c r="O421" s="53"/>
      <c r="P421" s="53"/>
      <c r="Q421" s="53"/>
    </row>
    <row r="422" spans="1:17" s="62" customFormat="1" x14ac:dyDescent="0.25">
      <c r="A422" s="11" t="s">
        <v>462</v>
      </c>
      <c r="B422" s="22" t="s">
        <v>463</v>
      </c>
      <c r="C422" s="63"/>
      <c r="D422" s="67"/>
      <c r="E422" s="73"/>
      <c r="F422" s="65"/>
      <c r="G422" s="4"/>
      <c r="H422" s="9"/>
      <c r="I422" s="10"/>
      <c r="J422" s="53"/>
      <c r="K422" s="53"/>
      <c r="L422" s="53"/>
      <c r="M422" s="53"/>
      <c r="N422" s="53"/>
      <c r="O422" s="53"/>
      <c r="P422" s="53"/>
      <c r="Q422" s="53"/>
    </row>
    <row r="423" spans="1:17" s="62" customFormat="1" ht="315" x14ac:dyDescent="0.25">
      <c r="A423" s="11"/>
      <c r="B423" s="12" t="s">
        <v>464</v>
      </c>
      <c r="C423" s="63"/>
      <c r="D423" s="67"/>
      <c r="E423" s="73"/>
      <c r="F423" s="65"/>
      <c r="G423" s="4"/>
      <c r="H423" s="9"/>
      <c r="I423" s="10"/>
      <c r="J423" s="53"/>
      <c r="K423" s="53"/>
      <c r="L423" s="53"/>
      <c r="M423" s="53"/>
      <c r="N423" s="53"/>
      <c r="O423" s="53"/>
      <c r="P423" s="53"/>
      <c r="Q423" s="53"/>
    </row>
    <row r="424" spans="1:17" s="62" customFormat="1" x14ac:dyDescent="0.25">
      <c r="A424" s="11"/>
      <c r="B424" s="22"/>
      <c r="C424" s="63"/>
      <c r="D424" s="67"/>
      <c r="E424" s="73"/>
      <c r="F424" s="65"/>
      <c r="G424" s="4"/>
      <c r="H424" s="9"/>
      <c r="I424" s="10"/>
      <c r="J424" s="53"/>
      <c r="K424" s="53"/>
      <c r="L424" s="53"/>
      <c r="M424" s="53"/>
      <c r="N424" s="53"/>
      <c r="O424" s="53"/>
      <c r="P424" s="53"/>
      <c r="Q424" s="53"/>
    </row>
    <row r="425" spans="1:17" s="62" customFormat="1" x14ac:dyDescent="0.25">
      <c r="A425" s="11" t="s">
        <v>465</v>
      </c>
      <c r="B425" s="17" t="s">
        <v>466</v>
      </c>
      <c r="C425" s="63" t="s">
        <v>21</v>
      </c>
      <c r="D425" s="67">
        <v>0</v>
      </c>
      <c r="E425" s="64">
        <v>1064.01</v>
      </c>
      <c r="F425" s="65">
        <f>D425*E425</f>
        <v>0</v>
      </c>
      <c r="G425" s="4" t="s">
        <v>553</v>
      </c>
      <c r="H425" s="9"/>
      <c r="I425" s="10"/>
      <c r="J425" s="53"/>
      <c r="K425" s="53"/>
      <c r="L425" s="53"/>
      <c r="M425" s="53"/>
      <c r="N425" s="53"/>
      <c r="O425" s="53"/>
      <c r="P425" s="53"/>
      <c r="Q425" s="53"/>
    </row>
    <row r="426" spans="1:17" s="62" customFormat="1" x14ac:dyDescent="0.25">
      <c r="A426" s="11"/>
      <c r="B426" s="12"/>
      <c r="C426" s="63"/>
      <c r="D426" s="67"/>
      <c r="E426" s="73"/>
      <c r="F426" s="65"/>
      <c r="G426" s="4"/>
      <c r="H426" s="9"/>
      <c r="I426" s="10"/>
      <c r="J426" s="53"/>
      <c r="K426" s="53"/>
      <c r="L426" s="53"/>
      <c r="M426" s="53"/>
      <c r="N426" s="53"/>
      <c r="O426" s="53"/>
      <c r="P426" s="53"/>
      <c r="Q426" s="53"/>
    </row>
    <row r="427" spans="1:17" s="62" customFormat="1" x14ac:dyDescent="0.25">
      <c r="A427" s="11"/>
      <c r="B427" s="17"/>
      <c r="C427" s="63"/>
      <c r="D427" s="67"/>
      <c r="E427" s="73"/>
      <c r="F427" s="65"/>
      <c r="G427" s="4"/>
      <c r="H427" s="9"/>
      <c r="I427" s="10"/>
      <c r="J427" s="53"/>
      <c r="K427" s="53"/>
      <c r="L427" s="53"/>
      <c r="M427" s="53"/>
      <c r="N427" s="53"/>
      <c r="O427" s="53"/>
      <c r="P427" s="53"/>
      <c r="Q427" s="53"/>
    </row>
    <row r="428" spans="1:17" s="62" customFormat="1" x14ac:dyDescent="0.25">
      <c r="A428" s="11" t="s">
        <v>467</v>
      </c>
      <c r="B428" s="22" t="s">
        <v>468</v>
      </c>
      <c r="C428" s="63"/>
      <c r="D428" s="67"/>
      <c r="E428" s="73"/>
      <c r="F428" s="65"/>
      <c r="G428" s="4"/>
      <c r="H428" s="9"/>
      <c r="I428" s="10"/>
      <c r="J428" s="53"/>
      <c r="K428" s="53"/>
      <c r="L428" s="53"/>
      <c r="M428" s="53"/>
      <c r="N428" s="53"/>
      <c r="O428" s="53"/>
      <c r="P428" s="53"/>
      <c r="Q428" s="53"/>
    </row>
    <row r="429" spans="1:17" s="62" customFormat="1" ht="303" customHeight="1" x14ac:dyDescent="0.25">
      <c r="A429" s="11"/>
      <c r="B429" s="12" t="s">
        <v>469</v>
      </c>
      <c r="C429" s="63"/>
      <c r="D429" s="67"/>
      <c r="E429" s="73"/>
      <c r="F429" s="65"/>
      <c r="G429" s="4"/>
      <c r="H429" s="9"/>
      <c r="I429" s="10"/>
      <c r="J429" s="53"/>
      <c r="K429" s="53"/>
      <c r="L429" s="53"/>
      <c r="M429" s="53"/>
      <c r="N429" s="53"/>
      <c r="O429" s="53"/>
      <c r="P429" s="53"/>
      <c r="Q429" s="53"/>
    </row>
    <row r="430" spans="1:17" s="62" customFormat="1" x14ac:dyDescent="0.25">
      <c r="A430" s="11"/>
      <c r="B430" s="12"/>
      <c r="C430" s="63"/>
      <c r="D430" s="67"/>
      <c r="E430" s="73"/>
      <c r="F430" s="65"/>
      <c r="G430" s="4"/>
      <c r="H430" s="9"/>
      <c r="I430" s="10"/>
      <c r="J430" s="53"/>
      <c r="K430" s="53"/>
      <c r="L430" s="53"/>
      <c r="M430" s="53"/>
      <c r="N430" s="53"/>
      <c r="O430" s="53"/>
      <c r="P430" s="53"/>
      <c r="Q430" s="53"/>
    </row>
    <row r="431" spans="1:17" s="62" customFormat="1" x14ac:dyDescent="0.25">
      <c r="A431" s="11" t="s">
        <v>470</v>
      </c>
      <c r="B431" s="17" t="s">
        <v>471</v>
      </c>
      <c r="C431" s="63" t="s">
        <v>21</v>
      </c>
      <c r="D431" s="67">
        <v>1</v>
      </c>
      <c r="E431" s="64">
        <v>1397.22</v>
      </c>
      <c r="F431" s="65">
        <f>D431*E431</f>
        <v>1397.22</v>
      </c>
      <c r="G431" s="4">
        <v>1</v>
      </c>
      <c r="H431" s="9"/>
      <c r="I431" s="10"/>
      <c r="J431" s="53"/>
      <c r="K431" s="53"/>
      <c r="L431" s="53"/>
      <c r="M431" s="53"/>
      <c r="N431" s="53"/>
      <c r="O431" s="53"/>
      <c r="P431" s="53"/>
      <c r="Q431" s="53"/>
    </row>
    <row r="432" spans="1:17" s="62" customFormat="1" x14ac:dyDescent="0.25">
      <c r="A432" s="11"/>
      <c r="B432" s="14"/>
      <c r="C432" s="63"/>
      <c r="D432" s="67"/>
      <c r="E432" s="73"/>
      <c r="F432" s="65"/>
      <c r="G432" s="4"/>
      <c r="H432" s="9"/>
      <c r="I432" s="10"/>
      <c r="J432" s="53"/>
      <c r="K432" s="53"/>
      <c r="L432" s="53"/>
      <c r="M432" s="53"/>
      <c r="N432" s="53"/>
      <c r="O432" s="53"/>
      <c r="P432" s="53"/>
      <c r="Q432" s="53"/>
    </row>
    <row r="433" spans="1:17" s="62" customFormat="1" x14ac:dyDescent="0.25">
      <c r="A433" s="11" t="s">
        <v>472</v>
      </c>
      <c r="B433" s="20" t="s">
        <v>473</v>
      </c>
      <c r="C433" s="63" t="s">
        <v>21</v>
      </c>
      <c r="D433" s="67">
        <v>0</v>
      </c>
      <c r="E433" s="64">
        <v>1985.29</v>
      </c>
      <c r="F433" s="65">
        <f>D433*E433</f>
        <v>0</v>
      </c>
      <c r="G433" s="4" t="s">
        <v>553</v>
      </c>
      <c r="H433" s="9"/>
      <c r="I433" s="10"/>
      <c r="J433" s="53"/>
      <c r="K433" s="53"/>
      <c r="L433" s="53"/>
      <c r="M433" s="53"/>
      <c r="N433" s="53"/>
      <c r="O433" s="53"/>
      <c r="P433" s="53"/>
      <c r="Q433" s="53"/>
    </row>
    <row r="434" spans="1:17" s="62" customFormat="1" x14ac:dyDescent="0.25">
      <c r="A434" s="11"/>
      <c r="B434" s="14"/>
      <c r="C434" s="63"/>
      <c r="D434" s="67"/>
      <c r="E434" s="73"/>
      <c r="F434" s="65"/>
      <c r="G434" s="4"/>
      <c r="H434" s="9"/>
      <c r="I434" s="10"/>
      <c r="J434" s="53"/>
      <c r="K434" s="53"/>
      <c r="L434" s="53"/>
      <c r="M434" s="53"/>
      <c r="N434" s="53"/>
      <c r="O434" s="53"/>
      <c r="P434" s="53"/>
      <c r="Q434" s="53"/>
    </row>
    <row r="435" spans="1:17" s="62" customFormat="1" x14ac:dyDescent="0.25">
      <c r="A435" s="11" t="s">
        <v>474</v>
      </c>
      <c r="B435" s="20" t="s">
        <v>475</v>
      </c>
      <c r="C435" s="63" t="s">
        <v>21</v>
      </c>
      <c r="D435" s="67">
        <v>1</v>
      </c>
      <c r="E435" s="64">
        <v>2040.69</v>
      </c>
      <c r="F435" s="65">
        <f>D435*E435</f>
        <v>2040.69</v>
      </c>
      <c r="G435" s="4">
        <v>1</v>
      </c>
      <c r="H435" s="9"/>
      <c r="I435" s="10"/>
      <c r="J435" s="53"/>
      <c r="K435" s="53"/>
      <c r="L435" s="53"/>
      <c r="M435" s="53"/>
      <c r="N435" s="53"/>
      <c r="O435" s="53"/>
      <c r="P435" s="53"/>
      <c r="Q435" s="53"/>
    </row>
    <row r="436" spans="1:17" s="62" customFormat="1" x14ac:dyDescent="0.25">
      <c r="A436" s="11"/>
      <c r="B436" s="14"/>
      <c r="C436" s="63"/>
      <c r="D436" s="67"/>
      <c r="E436" s="73"/>
      <c r="F436" s="65"/>
      <c r="G436" s="4"/>
      <c r="H436" s="9"/>
      <c r="I436" s="10"/>
      <c r="J436" s="53"/>
      <c r="K436" s="53"/>
      <c r="L436" s="53"/>
      <c r="M436" s="53"/>
      <c r="N436" s="53"/>
      <c r="O436" s="53"/>
      <c r="P436" s="53"/>
      <c r="Q436" s="53"/>
    </row>
    <row r="437" spans="1:17" s="62" customFormat="1" x14ac:dyDescent="0.25">
      <c r="A437" s="11"/>
      <c r="B437" s="14"/>
      <c r="C437" s="63"/>
      <c r="D437" s="67"/>
      <c r="E437" s="73"/>
      <c r="F437" s="65"/>
      <c r="G437" s="4"/>
      <c r="H437" s="9"/>
      <c r="I437" s="10"/>
      <c r="J437" s="53"/>
      <c r="K437" s="53"/>
      <c r="L437" s="53"/>
      <c r="M437" s="53"/>
      <c r="N437" s="53"/>
      <c r="O437" s="53"/>
      <c r="P437" s="53"/>
      <c r="Q437" s="53"/>
    </row>
    <row r="438" spans="1:17" s="62" customFormat="1" x14ac:dyDescent="0.25">
      <c r="A438" s="11" t="s">
        <v>476</v>
      </c>
      <c r="B438" s="20" t="s">
        <v>477</v>
      </c>
      <c r="C438" s="63" t="s">
        <v>21</v>
      </c>
      <c r="D438" s="67">
        <v>2</v>
      </c>
      <c r="E438" s="64">
        <v>1807.42</v>
      </c>
      <c r="F438" s="65">
        <f>D438*E438</f>
        <v>3614.84</v>
      </c>
      <c r="G438" s="4">
        <v>2</v>
      </c>
      <c r="H438" s="9"/>
      <c r="I438" s="10"/>
      <c r="J438" s="53"/>
      <c r="K438" s="53"/>
      <c r="L438" s="53"/>
      <c r="M438" s="53"/>
      <c r="N438" s="53"/>
      <c r="O438" s="53"/>
      <c r="P438" s="53"/>
      <c r="Q438" s="53"/>
    </row>
    <row r="439" spans="1:17" s="62" customFormat="1" x14ac:dyDescent="0.25">
      <c r="A439" s="11"/>
      <c r="B439" s="14"/>
      <c r="C439" s="63"/>
      <c r="D439" s="67"/>
      <c r="E439" s="73"/>
      <c r="F439" s="65"/>
      <c r="G439" s="4"/>
      <c r="H439" s="9"/>
      <c r="I439" s="10"/>
      <c r="J439" s="53"/>
      <c r="K439" s="53"/>
      <c r="L439" s="53"/>
      <c r="M439" s="53"/>
      <c r="N439" s="53"/>
      <c r="O439" s="53"/>
      <c r="P439" s="53"/>
      <c r="Q439" s="53"/>
    </row>
    <row r="440" spans="1:17" s="62" customFormat="1" x14ac:dyDescent="0.25">
      <c r="A440" s="11" t="s">
        <v>478</v>
      </c>
      <c r="B440" s="20" t="s">
        <v>479</v>
      </c>
      <c r="C440" s="63" t="s">
        <v>21</v>
      </c>
      <c r="D440" s="67">
        <v>0</v>
      </c>
      <c r="E440" s="64">
        <v>2401.91</v>
      </c>
      <c r="F440" s="65">
        <f>D440*E440</f>
        <v>0</v>
      </c>
      <c r="G440" s="4" t="s">
        <v>570</v>
      </c>
      <c r="H440" s="9"/>
      <c r="I440" s="10"/>
      <c r="J440" s="53"/>
      <c r="K440" s="53"/>
      <c r="L440" s="53"/>
      <c r="M440" s="53"/>
      <c r="N440" s="53"/>
      <c r="O440" s="53"/>
      <c r="P440" s="53"/>
      <c r="Q440" s="53"/>
    </row>
    <row r="441" spans="1:17" s="62" customFormat="1" x14ac:dyDescent="0.25">
      <c r="A441" s="11"/>
      <c r="B441" s="20"/>
      <c r="C441" s="63"/>
      <c r="D441" s="67"/>
      <c r="E441" s="64"/>
      <c r="F441" s="65"/>
      <c r="G441" s="4"/>
      <c r="H441" s="9"/>
      <c r="I441" s="10"/>
      <c r="J441" s="53"/>
      <c r="K441" s="53"/>
      <c r="L441" s="53"/>
      <c r="M441" s="53"/>
      <c r="N441" s="53"/>
      <c r="O441" s="53"/>
      <c r="P441" s="53"/>
      <c r="Q441" s="53"/>
    </row>
    <row r="442" spans="1:17" s="62" customFormat="1" x14ac:dyDescent="0.25">
      <c r="A442" s="11"/>
      <c r="B442" s="20"/>
      <c r="C442" s="63"/>
      <c r="D442" s="67"/>
      <c r="E442" s="64"/>
      <c r="F442" s="65"/>
      <c r="G442" s="4"/>
      <c r="H442" s="9"/>
      <c r="I442" s="10"/>
      <c r="J442" s="53"/>
      <c r="K442" s="53"/>
      <c r="L442" s="53"/>
      <c r="M442" s="53"/>
      <c r="N442" s="53"/>
      <c r="O442" s="53"/>
      <c r="P442" s="53"/>
      <c r="Q442" s="53"/>
    </row>
    <row r="443" spans="1:17" s="62" customFormat="1" x14ac:dyDescent="0.25">
      <c r="A443" s="11" t="s">
        <v>480</v>
      </c>
      <c r="B443" s="20" t="s">
        <v>481</v>
      </c>
      <c r="C443" s="63" t="s">
        <v>21</v>
      </c>
      <c r="D443" s="67">
        <v>0</v>
      </c>
      <c r="E443" s="64">
        <v>1624.1</v>
      </c>
      <c r="F443" s="65">
        <f>D443*E443</f>
        <v>0</v>
      </c>
      <c r="G443" s="4" t="s">
        <v>553</v>
      </c>
      <c r="H443" s="9"/>
      <c r="I443" s="10"/>
      <c r="J443" s="53"/>
      <c r="K443" s="53"/>
      <c r="L443" s="53"/>
      <c r="M443" s="53"/>
      <c r="N443" s="53"/>
      <c r="O443" s="53"/>
      <c r="P443" s="53"/>
      <c r="Q443" s="53"/>
    </row>
    <row r="444" spans="1:17" s="62" customFormat="1" x14ac:dyDescent="0.25">
      <c r="A444" s="11"/>
      <c r="B444" s="20"/>
      <c r="C444" s="63"/>
      <c r="D444" s="67"/>
      <c r="E444" s="64"/>
      <c r="F444" s="65"/>
      <c r="G444" s="4"/>
      <c r="H444" s="9"/>
      <c r="I444" s="10"/>
      <c r="J444" s="53"/>
      <c r="K444" s="53"/>
      <c r="L444" s="53"/>
      <c r="M444" s="53"/>
      <c r="N444" s="53"/>
      <c r="O444" s="53"/>
      <c r="P444" s="53"/>
      <c r="Q444" s="53"/>
    </row>
    <row r="445" spans="1:17" s="62" customFormat="1" ht="12.75" customHeight="1" x14ac:dyDescent="0.25">
      <c r="A445" s="11"/>
      <c r="B445" s="20"/>
      <c r="C445" s="326" t="s">
        <v>34</v>
      </c>
      <c r="D445" s="326"/>
      <c r="E445" s="326"/>
      <c r="F445" s="66">
        <f>F425+F431+F433+F435+F438+F440+F443</f>
        <v>7052.75</v>
      </c>
      <c r="G445" s="4"/>
      <c r="H445" s="9"/>
      <c r="I445" s="10"/>
      <c r="J445" s="53"/>
      <c r="K445" s="53"/>
      <c r="L445" s="53"/>
      <c r="M445" s="53"/>
      <c r="N445" s="53"/>
      <c r="O445" s="53"/>
      <c r="P445" s="53"/>
      <c r="Q445" s="53"/>
    </row>
    <row r="446" spans="1:17" s="62" customFormat="1" x14ac:dyDescent="0.25">
      <c r="A446" s="3" t="s">
        <v>482</v>
      </c>
      <c r="B446" s="57" t="s">
        <v>483</v>
      </c>
      <c r="C446" s="63"/>
      <c r="D446" s="67"/>
      <c r="E446" s="73"/>
      <c r="F446" s="65"/>
      <c r="G446" s="4"/>
      <c r="H446" s="9"/>
      <c r="I446" s="10"/>
      <c r="J446" s="53"/>
      <c r="K446" s="53"/>
      <c r="L446" s="53"/>
      <c r="M446" s="53"/>
      <c r="N446" s="53"/>
      <c r="O446" s="53"/>
      <c r="P446" s="53"/>
      <c r="Q446" s="53"/>
    </row>
    <row r="447" spans="1:17" s="62" customFormat="1" ht="78.75" x14ac:dyDescent="0.25">
      <c r="A447" s="11" t="s">
        <v>484</v>
      </c>
      <c r="B447" s="20" t="s">
        <v>485</v>
      </c>
      <c r="C447" s="63" t="s">
        <v>95</v>
      </c>
      <c r="D447" s="67">
        <f>4.26+0.36+2.18</f>
        <v>6.8000000000000007</v>
      </c>
      <c r="E447" s="64">
        <v>20.25</v>
      </c>
      <c r="F447" s="65">
        <f>D447*E447</f>
        <v>137.70000000000002</v>
      </c>
      <c r="G447" s="4" t="s">
        <v>486</v>
      </c>
      <c r="H447" s="9" t="s">
        <v>487</v>
      </c>
      <c r="I447" s="10"/>
      <c r="J447" s="53"/>
      <c r="K447" s="53"/>
      <c r="L447" s="53"/>
      <c r="M447" s="53"/>
      <c r="N447" s="53"/>
      <c r="O447" s="53"/>
      <c r="P447" s="53"/>
      <c r="Q447" s="53"/>
    </row>
    <row r="448" spans="1:17" s="62" customFormat="1" x14ac:dyDescent="0.25">
      <c r="A448" s="11"/>
      <c r="B448" s="14"/>
      <c r="C448" s="63"/>
      <c r="D448" s="67"/>
      <c r="E448" s="73"/>
      <c r="F448" s="65"/>
      <c r="G448" s="4"/>
      <c r="H448" s="9"/>
      <c r="I448" s="10"/>
      <c r="J448" s="53"/>
      <c r="K448" s="53"/>
      <c r="L448" s="53"/>
      <c r="M448" s="53"/>
      <c r="N448" s="53"/>
      <c r="O448" s="53"/>
      <c r="P448" s="53"/>
      <c r="Q448" s="53"/>
    </row>
    <row r="449" spans="1:17" s="51" customFormat="1" ht="18" customHeight="1" x14ac:dyDescent="0.25">
      <c r="A449" s="80"/>
      <c r="B449" s="81"/>
      <c r="C449" s="326" t="s">
        <v>34</v>
      </c>
      <c r="D449" s="326"/>
      <c r="E449" s="326"/>
      <c r="F449" s="66">
        <f>F447</f>
        <v>137.70000000000002</v>
      </c>
      <c r="G449" s="4"/>
      <c r="H449" s="9"/>
      <c r="I449" s="10"/>
      <c r="J449" s="53"/>
      <c r="K449" s="53"/>
      <c r="L449" s="53"/>
      <c r="M449" s="53"/>
      <c r="N449" s="53"/>
      <c r="O449" s="53"/>
      <c r="P449" s="53"/>
      <c r="Q449" s="53"/>
    </row>
    <row r="450" spans="1:17" s="51" customFormat="1" ht="18.75" customHeight="1" x14ac:dyDescent="0.25">
      <c r="A450" s="82"/>
      <c r="B450" s="83"/>
      <c r="C450" s="326" t="s">
        <v>488</v>
      </c>
      <c r="D450" s="326"/>
      <c r="E450" s="326"/>
      <c r="F450" s="66">
        <f>F449+F420+F411+F368+F358+F347+F328+F310+F311+F293+F282+F283+F194+F172+F96+F81+F74+F64+F40+F21+F445</f>
        <v>413382.59505599999</v>
      </c>
      <c r="G450" s="4"/>
      <c r="H450" s="41"/>
      <c r="I450" s="42"/>
      <c r="J450" s="53"/>
      <c r="K450" s="53"/>
      <c r="L450" s="53"/>
      <c r="M450" s="53"/>
      <c r="N450" s="53"/>
      <c r="O450" s="53"/>
      <c r="P450" s="53"/>
      <c r="Q450" s="53"/>
    </row>
    <row r="451" spans="1:17" s="51" customFormat="1" ht="18.75" customHeight="1" x14ac:dyDescent="0.25">
      <c r="A451" s="82"/>
      <c r="B451" s="20"/>
      <c r="C451" s="84">
        <f>IF(+D3=2%,25.89%,IF(D3=3%,25.89%,IF(D3=4%,25.89%,IF(D3=5%,25.89%,0))))</f>
        <v>0.25890000000000002</v>
      </c>
      <c r="D451" s="327" t="s">
        <v>489</v>
      </c>
      <c r="E451" s="327"/>
      <c r="F451" s="85">
        <f>F445*C451</f>
        <v>1825.9569750000001</v>
      </c>
      <c r="G451" s="43"/>
      <c r="H451" s="41"/>
      <c r="I451" s="42"/>
      <c r="J451" s="53"/>
      <c r="K451" s="53"/>
      <c r="L451" s="53"/>
      <c r="M451" s="53"/>
      <c r="N451" s="53"/>
      <c r="O451" s="53"/>
      <c r="P451" s="53"/>
      <c r="Q451" s="53"/>
    </row>
    <row r="452" spans="1:17" s="51" customFormat="1" ht="18.75" customHeight="1" x14ac:dyDescent="0.25">
      <c r="A452" s="82"/>
      <c r="B452" s="20"/>
      <c r="C452" s="84">
        <f>IF(+D3=2%,22.67%,IF(D3=3%,23.32%,IF(D3=4%,23.97%,IF(D3=5%,24.64%,0))))</f>
        <v>0.24640000000000001</v>
      </c>
      <c r="D452" s="326" t="s">
        <v>490</v>
      </c>
      <c r="E452" s="326"/>
      <c r="F452" s="85">
        <f>(F450-F445)*C452</f>
        <v>100119.67382179839</v>
      </c>
      <c r="G452" s="43"/>
      <c r="H452" s="41"/>
      <c r="I452" s="42"/>
      <c r="J452" s="53"/>
      <c r="K452" s="53"/>
      <c r="L452" s="53"/>
      <c r="M452" s="53"/>
      <c r="N452" s="53"/>
      <c r="O452" s="53"/>
      <c r="P452" s="53"/>
      <c r="Q452" s="53"/>
    </row>
    <row r="453" spans="1:17" s="51" customFormat="1" ht="18.75" customHeight="1" x14ac:dyDescent="0.25">
      <c r="A453" s="82"/>
      <c r="B453" s="20"/>
      <c r="C453" s="360" t="s">
        <v>491</v>
      </c>
      <c r="D453" s="360"/>
      <c r="E453" s="360"/>
      <c r="F453" s="9">
        <f>SUM(F450:F452)</f>
        <v>515328.22585279838</v>
      </c>
      <c r="G453" s="44"/>
      <c r="H453" s="41"/>
      <c r="I453" s="42"/>
      <c r="J453" s="53"/>
      <c r="K453" s="53"/>
      <c r="L453" s="53"/>
      <c r="M453" s="53"/>
      <c r="N453" s="53"/>
      <c r="O453" s="53"/>
      <c r="P453" s="53"/>
      <c r="Q453" s="53"/>
    </row>
    <row r="454" spans="1:17" ht="53.25" customHeight="1" x14ac:dyDescent="0.25">
      <c r="A454" s="356" t="s">
        <v>492</v>
      </c>
      <c r="B454" s="356"/>
      <c r="C454" s="356"/>
      <c r="D454" s="356"/>
      <c r="E454" s="356"/>
      <c r="F454" s="356"/>
      <c r="G454" s="356"/>
      <c r="H454" s="214" t="s">
        <v>493</v>
      </c>
      <c r="I454" s="215" t="s">
        <v>494</v>
      </c>
    </row>
    <row r="455" spans="1:17" s="87" customFormat="1" ht="84.95" customHeight="1" x14ac:dyDescent="0.25">
      <c r="A455" s="356" t="s">
        <v>547</v>
      </c>
      <c r="B455" s="356"/>
      <c r="C455" s="356"/>
      <c r="D455" s="356"/>
      <c r="E455" s="357" t="s">
        <v>549</v>
      </c>
      <c r="F455" s="357"/>
      <c r="G455" s="212"/>
      <c r="H455" s="214" t="s">
        <v>495</v>
      </c>
      <c r="I455" s="213">
        <v>45694</v>
      </c>
      <c r="J455" s="53"/>
      <c r="K455" s="53"/>
      <c r="L455" s="53"/>
      <c r="M455" s="53"/>
      <c r="N455" s="53"/>
      <c r="O455" s="53"/>
      <c r="P455" s="53"/>
      <c r="Q455" s="53"/>
    </row>
    <row r="456" spans="1:17" s="87" customFormat="1" ht="84.95" customHeight="1" x14ac:dyDescent="0.25">
      <c r="A456" s="356" t="s">
        <v>548</v>
      </c>
      <c r="B456" s="356"/>
      <c r="C456" s="356"/>
      <c r="D456" s="356"/>
      <c r="E456" s="88"/>
      <c r="F456" s="89"/>
      <c r="G456" s="45"/>
      <c r="H456" s="46"/>
      <c r="I456" s="47"/>
      <c r="J456" s="53"/>
      <c r="K456" s="53"/>
      <c r="L456" s="53"/>
      <c r="M456" s="53"/>
      <c r="N456" s="53"/>
      <c r="O456" s="53"/>
      <c r="P456" s="53"/>
      <c r="Q456" s="53"/>
    </row>
    <row r="457" spans="1:17" s="87" customFormat="1" x14ac:dyDescent="0.25">
      <c r="A457" s="90"/>
      <c r="B457" s="48"/>
      <c r="C457" s="91"/>
      <c r="D457" s="92"/>
      <c r="E457" s="93"/>
      <c r="F457" s="92"/>
      <c r="G457" s="49"/>
      <c r="H457" s="50"/>
      <c r="I457" s="51"/>
      <c r="J457" s="53"/>
      <c r="K457" s="53"/>
      <c r="L457" s="53"/>
      <c r="M457" s="53"/>
      <c r="N457" s="53"/>
      <c r="O457" s="53"/>
      <c r="P457" s="53"/>
      <c r="Q457" s="53"/>
    </row>
    <row r="458" spans="1:17" s="87" customFormat="1" x14ac:dyDescent="0.25">
      <c r="A458" s="90"/>
      <c r="B458" s="48"/>
      <c r="C458" s="91"/>
      <c r="D458" s="92"/>
      <c r="E458" s="93"/>
      <c r="F458" s="92"/>
      <c r="G458" s="49"/>
      <c r="H458" s="50"/>
      <c r="I458" s="51"/>
      <c r="J458" s="53"/>
      <c r="K458" s="53"/>
      <c r="L458" s="53"/>
      <c r="M458" s="53"/>
      <c r="N458" s="53"/>
      <c r="O458" s="53"/>
      <c r="P458" s="53"/>
      <c r="Q458" s="53"/>
    </row>
    <row r="459" spans="1:17" s="87" customFormat="1" x14ac:dyDescent="0.25">
      <c r="A459" s="90"/>
      <c r="B459" s="48"/>
      <c r="C459" s="91"/>
      <c r="D459" s="92"/>
      <c r="E459" s="93"/>
      <c r="F459" s="92"/>
      <c r="G459" s="49"/>
      <c r="H459" s="50"/>
      <c r="I459" s="51"/>
      <c r="J459" s="53"/>
      <c r="K459" s="53"/>
      <c r="L459" s="53"/>
      <c r="M459" s="53"/>
      <c r="N459" s="53"/>
      <c r="O459" s="53"/>
      <c r="P459" s="53"/>
      <c r="Q459" s="53"/>
    </row>
    <row r="460" spans="1:17" s="87" customFormat="1" x14ac:dyDescent="0.25">
      <c r="A460" s="90"/>
      <c r="B460" s="94"/>
      <c r="C460" s="91"/>
      <c r="D460" s="92"/>
      <c r="E460" s="93"/>
      <c r="F460" s="92"/>
      <c r="G460" s="49"/>
      <c r="H460" s="50"/>
      <c r="I460" s="51"/>
      <c r="J460" s="53"/>
      <c r="K460" s="53"/>
      <c r="L460" s="53"/>
      <c r="M460" s="53"/>
      <c r="N460" s="53"/>
      <c r="O460" s="53"/>
      <c r="P460" s="53"/>
      <c r="Q460" s="53"/>
    </row>
    <row r="461" spans="1:17" s="87" customFormat="1" x14ac:dyDescent="0.25">
      <c r="A461" s="90"/>
      <c r="B461" s="94"/>
      <c r="C461" s="91"/>
      <c r="D461" s="92"/>
      <c r="E461" s="93"/>
      <c r="F461" s="92"/>
      <c r="G461" s="49"/>
      <c r="H461" s="50"/>
      <c r="I461" s="51"/>
      <c r="J461" s="53"/>
      <c r="K461" s="53"/>
      <c r="L461" s="53"/>
      <c r="M461" s="53"/>
      <c r="N461" s="53"/>
      <c r="O461" s="53"/>
      <c r="P461" s="53"/>
      <c r="Q461" s="53"/>
    </row>
    <row r="462" spans="1:17" s="87" customFormat="1" x14ac:dyDescent="0.25">
      <c r="A462" s="90"/>
      <c r="B462" s="94"/>
      <c r="C462" s="91"/>
      <c r="D462" s="92"/>
      <c r="E462" s="93"/>
      <c r="F462" s="92"/>
      <c r="G462" s="49"/>
      <c r="H462" s="50"/>
      <c r="I462" s="51"/>
      <c r="J462" s="53"/>
      <c r="K462" s="53"/>
      <c r="L462" s="53"/>
      <c r="M462" s="53"/>
      <c r="N462" s="53"/>
      <c r="O462" s="53"/>
      <c r="P462" s="53"/>
      <c r="Q462" s="53"/>
    </row>
    <row r="463" spans="1:17" s="87" customFormat="1" x14ac:dyDescent="0.25">
      <c r="A463" s="90"/>
      <c r="B463" s="94"/>
      <c r="C463" s="91"/>
      <c r="D463" s="92"/>
      <c r="E463" s="93"/>
      <c r="F463" s="92"/>
      <c r="G463" s="49"/>
      <c r="H463" s="50"/>
      <c r="I463" s="51"/>
      <c r="J463" s="53"/>
      <c r="K463" s="53"/>
      <c r="L463" s="53"/>
      <c r="M463" s="53"/>
      <c r="N463" s="53"/>
      <c r="O463" s="53"/>
      <c r="P463" s="53"/>
      <c r="Q463" s="53"/>
    </row>
    <row r="464" spans="1:17" s="87" customFormat="1" x14ac:dyDescent="0.25">
      <c r="A464" s="90"/>
      <c r="B464" s="94"/>
      <c r="C464" s="91"/>
      <c r="D464" s="92"/>
      <c r="E464" s="93"/>
      <c r="F464" s="92"/>
      <c r="G464" s="49"/>
      <c r="H464" s="50"/>
      <c r="I464" s="51"/>
      <c r="J464" s="53"/>
      <c r="K464" s="53"/>
      <c r="L464" s="53"/>
      <c r="M464" s="53"/>
      <c r="N464" s="53"/>
      <c r="O464" s="53"/>
      <c r="P464" s="53"/>
      <c r="Q464" s="53"/>
    </row>
    <row r="465" spans="1:17" s="87" customFormat="1" x14ac:dyDescent="0.25">
      <c r="A465" s="90"/>
      <c r="B465" s="94"/>
      <c r="C465" s="91"/>
      <c r="D465" s="92"/>
      <c r="E465" s="93"/>
      <c r="F465" s="92"/>
      <c r="G465" s="49"/>
      <c r="H465" s="50"/>
      <c r="I465" s="51"/>
      <c r="J465" s="53"/>
      <c r="K465" s="53"/>
      <c r="L465" s="53"/>
      <c r="M465" s="53"/>
      <c r="N465" s="53"/>
      <c r="O465" s="53"/>
      <c r="P465" s="53"/>
      <c r="Q465" s="53"/>
    </row>
    <row r="466" spans="1:17" s="87" customFormat="1" x14ac:dyDescent="0.25">
      <c r="A466" s="90"/>
      <c r="B466" s="94"/>
      <c r="C466" s="91"/>
      <c r="D466" s="92"/>
      <c r="E466" s="93"/>
      <c r="F466" s="92"/>
      <c r="G466" s="49"/>
      <c r="H466" s="50"/>
      <c r="I466" s="51"/>
      <c r="J466" s="53"/>
      <c r="K466" s="53"/>
      <c r="L466" s="53"/>
      <c r="M466" s="53"/>
      <c r="N466" s="53"/>
      <c r="O466" s="53"/>
      <c r="P466" s="53"/>
      <c r="Q466" s="53"/>
    </row>
    <row r="467" spans="1:17" s="87" customFormat="1" x14ac:dyDescent="0.25">
      <c r="A467" s="90"/>
      <c r="B467" s="94"/>
      <c r="C467" s="91"/>
      <c r="D467" s="92"/>
      <c r="E467" s="93"/>
      <c r="F467" s="92"/>
      <c r="G467" s="49"/>
      <c r="H467" s="50"/>
      <c r="I467" s="51"/>
      <c r="J467" s="53"/>
      <c r="K467" s="53"/>
      <c r="L467" s="53"/>
      <c r="M467" s="53"/>
      <c r="N467" s="53"/>
      <c r="O467" s="53"/>
      <c r="P467" s="53"/>
      <c r="Q467" s="53"/>
    </row>
    <row r="468" spans="1:17" s="87" customFormat="1" x14ac:dyDescent="0.25">
      <c r="A468" s="90"/>
      <c r="B468" s="94"/>
      <c r="C468" s="91"/>
      <c r="D468" s="92"/>
      <c r="E468" s="93"/>
      <c r="F468" s="92"/>
      <c r="G468" s="49"/>
      <c r="H468" s="50"/>
      <c r="I468" s="51"/>
      <c r="J468" s="53"/>
      <c r="K468" s="53"/>
      <c r="L468" s="53"/>
      <c r="M468" s="53"/>
      <c r="N468" s="53"/>
      <c r="O468" s="53"/>
      <c r="P468" s="53"/>
      <c r="Q468" s="53"/>
    </row>
    <row r="469" spans="1:17" s="87" customFormat="1" x14ac:dyDescent="0.25">
      <c r="A469" s="90"/>
      <c r="B469" s="94"/>
      <c r="C469" s="91"/>
      <c r="D469" s="92"/>
      <c r="E469" s="93"/>
      <c r="F469" s="92"/>
      <c r="G469" s="49"/>
      <c r="H469" s="50"/>
      <c r="I469" s="51"/>
      <c r="J469" s="53"/>
      <c r="K469" s="53"/>
      <c r="L469" s="53"/>
      <c r="M469" s="53"/>
      <c r="N469" s="53"/>
      <c r="O469" s="53"/>
      <c r="P469" s="53"/>
      <c r="Q469" s="53"/>
    </row>
    <row r="470" spans="1:17" s="87" customFormat="1" x14ac:dyDescent="0.25">
      <c r="A470" s="90"/>
      <c r="B470" s="94"/>
      <c r="C470" s="91"/>
      <c r="D470" s="92"/>
      <c r="E470" s="93"/>
      <c r="F470" s="92"/>
      <c r="G470" s="49"/>
      <c r="H470" s="50"/>
      <c r="I470" s="51"/>
      <c r="J470" s="53"/>
      <c r="K470" s="53"/>
      <c r="L470" s="53"/>
      <c r="M470" s="53"/>
      <c r="N470" s="53"/>
      <c r="O470" s="53"/>
      <c r="P470" s="53"/>
      <c r="Q470" s="53"/>
    </row>
    <row r="471" spans="1:17" s="87" customFormat="1" x14ac:dyDescent="0.25">
      <c r="A471" s="90"/>
      <c r="B471" s="94"/>
      <c r="C471" s="91"/>
      <c r="D471" s="92"/>
      <c r="E471" s="93"/>
      <c r="F471" s="92"/>
      <c r="G471" s="49"/>
      <c r="H471" s="50"/>
      <c r="I471" s="51"/>
      <c r="J471" s="53"/>
      <c r="K471" s="53"/>
      <c r="L471" s="53"/>
      <c r="M471" s="53"/>
      <c r="N471" s="53"/>
      <c r="O471" s="53"/>
      <c r="P471" s="53"/>
      <c r="Q471" s="53"/>
    </row>
    <row r="472" spans="1:17" s="87" customFormat="1" x14ac:dyDescent="0.25">
      <c r="A472" s="90"/>
      <c r="B472" s="94"/>
      <c r="C472" s="91"/>
      <c r="D472" s="92"/>
      <c r="E472" s="93"/>
      <c r="F472" s="92"/>
      <c r="G472" s="49"/>
      <c r="H472" s="50"/>
      <c r="I472" s="51"/>
      <c r="J472" s="53"/>
      <c r="K472" s="53"/>
      <c r="L472" s="53"/>
      <c r="M472" s="53"/>
      <c r="N472" s="53"/>
      <c r="O472" s="53"/>
      <c r="P472" s="53"/>
      <c r="Q472" s="53"/>
    </row>
    <row r="473" spans="1:17" s="87" customFormat="1" x14ac:dyDescent="0.25">
      <c r="A473" s="90"/>
      <c r="B473" s="94"/>
      <c r="C473" s="91"/>
      <c r="D473" s="92"/>
      <c r="E473" s="93"/>
      <c r="F473" s="92"/>
      <c r="G473" s="49"/>
      <c r="H473" s="50"/>
      <c r="I473" s="51"/>
      <c r="J473" s="53"/>
      <c r="K473" s="53"/>
      <c r="L473" s="53"/>
      <c r="M473" s="53"/>
      <c r="N473" s="53"/>
      <c r="O473" s="53"/>
      <c r="P473" s="53"/>
      <c r="Q473" s="53"/>
    </row>
    <row r="474" spans="1:17" s="87" customFormat="1" x14ac:dyDescent="0.25">
      <c r="A474" s="90"/>
      <c r="B474" s="94"/>
      <c r="C474" s="91"/>
      <c r="D474" s="92"/>
      <c r="E474" s="93"/>
      <c r="F474" s="92"/>
      <c r="G474" s="49"/>
      <c r="H474" s="50"/>
      <c r="I474" s="51"/>
      <c r="J474" s="53"/>
      <c r="K474" s="53"/>
      <c r="L474" s="53"/>
      <c r="M474" s="53"/>
      <c r="N474" s="53"/>
      <c r="O474" s="53"/>
      <c r="P474" s="53"/>
      <c r="Q474" s="53"/>
    </row>
    <row r="475" spans="1:17" s="87" customFormat="1" x14ac:dyDescent="0.25">
      <c r="A475" s="90"/>
      <c r="B475" s="94"/>
      <c r="C475" s="91"/>
      <c r="D475" s="92"/>
      <c r="E475" s="93"/>
      <c r="F475" s="92"/>
      <c r="G475" s="49"/>
      <c r="H475" s="50"/>
      <c r="I475" s="51"/>
      <c r="J475" s="53"/>
      <c r="K475" s="53"/>
      <c r="L475" s="53"/>
      <c r="M475" s="53"/>
      <c r="N475" s="53"/>
      <c r="O475" s="53"/>
      <c r="P475" s="53"/>
      <c r="Q475" s="53"/>
    </row>
    <row r="476" spans="1:17" s="87" customFormat="1" x14ac:dyDescent="0.25">
      <c r="A476" s="90"/>
      <c r="B476" s="94"/>
      <c r="C476" s="91"/>
      <c r="D476" s="92"/>
      <c r="E476" s="93"/>
      <c r="F476" s="92"/>
      <c r="G476" s="49"/>
      <c r="H476" s="50"/>
      <c r="I476" s="51"/>
      <c r="J476" s="53"/>
      <c r="K476" s="53"/>
      <c r="L476" s="53"/>
      <c r="M476" s="53"/>
      <c r="N476" s="53"/>
      <c r="O476" s="53"/>
      <c r="P476" s="53"/>
      <c r="Q476" s="53"/>
    </row>
    <row r="477" spans="1:17" s="87" customFormat="1" x14ac:dyDescent="0.25">
      <c r="A477" s="90"/>
      <c r="B477" s="94"/>
      <c r="C477" s="91"/>
      <c r="D477" s="92"/>
      <c r="E477" s="93"/>
      <c r="F477" s="92"/>
      <c r="G477" s="49"/>
      <c r="H477" s="50"/>
      <c r="I477" s="51"/>
      <c r="J477" s="53"/>
      <c r="K477" s="53"/>
      <c r="L477" s="53"/>
      <c r="M477" s="53"/>
      <c r="N477" s="53"/>
      <c r="O477" s="53"/>
      <c r="P477" s="53"/>
      <c r="Q477" s="53"/>
    </row>
    <row r="478" spans="1:17" s="87" customFormat="1" x14ac:dyDescent="0.25">
      <c r="A478" s="90"/>
      <c r="B478" s="94"/>
      <c r="C478" s="91"/>
      <c r="D478" s="92"/>
      <c r="E478" s="93"/>
      <c r="F478" s="92"/>
      <c r="G478" s="49"/>
      <c r="H478" s="50"/>
      <c r="I478" s="51"/>
      <c r="J478" s="53"/>
      <c r="K478" s="53"/>
      <c r="L478" s="53"/>
      <c r="M478" s="53"/>
      <c r="N478" s="53"/>
      <c r="O478" s="53"/>
      <c r="P478" s="53"/>
      <c r="Q478" s="53"/>
    </row>
    <row r="479" spans="1:17" s="87" customFormat="1" x14ac:dyDescent="0.25">
      <c r="A479" s="90"/>
      <c r="B479" s="94"/>
      <c r="C479" s="91"/>
      <c r="D479" s="92"/>
      <c r="E479" s="93"/>
      <c r="F479" s="92"/>
      <c r="G479" s="49"/>
      <c r="H479" s="50"/>
      <c r="I479" s="51"/>
      <c r="J479" s="53"/>
      <c r="K479" s="53"/>
      <c r="L479" s="53"/>
      <c r="M479" s="53"/>
      <c r="N479" s="53"/>
      <c r="O479" s="53"/>
      <c r="P479" s="53"/>
      <c r="Q479" s="53"/>
    </row>
    <row r="480" spans="1:17" s="87" customFormat="1" x14ac:dyDescent="0.25">
      <c r="A480" s="90"/>
      <c r="B480" s="94"/>
      <c r="C480" s="91"/>
      <c r="D480" s="92"/>
      <c r="E480" s="93"/>
      <c r="F480" s="92"/>
      <c r="G480" s="49"/>
      <c r="H480" s="50"/>
      <c r="I480" s="51"/>
      <c r="J480" s="53"/>
      <c r="K480" s="53"/>
      <c r="L480" s="53"/>
      <c r="M480" s="53"/>
      <c r="N480" s="53"/>
      <c r="O480" s="53"/>
      <c r="P480" s="53"/>
      <c r="Q480" s="53"/>
    </row>
    <row r="481" spans="1:17" s="87" customFormat="1" x14ac:dyDescent="0.25">
      <c r="A481" s="90"/>
      <c r="B481" s="94"/>
      <c r="C481" s="91"/>
      <c r="D481" s="92"/>
      <c r="E481" s="93"/>
      <c r="F481" s="92"/>
      <c r="G481" s="49"/>
      <c r="H481" s="50"/>
      <c r="I481" s="51"/>
      <c r="J481" s="53"/>
      <c r="K481" s="53"/>
      <c r="L481" s="53"/>
      <c r="M481" s="53"/>
      <c r="N481" s="53"/>
      <c r="O481" s="53"/>
      <c r="P481" s="53"/>
      <c r="Q481" s="53"/>
    </row>
    <row r="482" spans="1:17" s="87" customFormat="1" x14ac:dyDescent="0.25">
      <c r="A482" s="90"/>
      <c r="B482" s="94"/>
      <c r="C482" s="91"/>
      <c r="D482" s="92"/>
      <c r="E482" s="93"/>
      <c r="F482" s="92"/>
      <c r="G482" s="49"/>
      <c r="H482" s="50"/>
      <c r="I482" s="51"/>
      <c r="J482" s="53"/>
      <c r="K482" s="53"/>
      <c r="L482" s="53"/>
      <c r="M482" s="53"/>
      <c r="N482" s="53"/>
      <c r="O482" s="53"/>
      <c r="P482" s="53"/>
      <c r="Q482" s="53"/>
    </row>
    <row r="483" spans="1:17" s="87" customFormat="1" x14ac:dyDescent="0.25">
      <c r="A483" s="90"/>
      <c r="B483" s="94"/>
      <c r="C483" s="91"/>
      <c r="D483" s="92"/>
      <c r="E483" s="93"/>
      <c r="F483" s="92"/>
      <c r="G483" s="49"/>
      <c r="H483" s="50"/>
      <c r="I483" s="51"/>
      <c r="J483" s="53"/>
      <c r="K483" s="53"/>
      <c r="L483" s="53"/>
      <c r="M483" s="53"/>
      <c r="N483" s="53"/>
      <c r="O483" s="53"/>
      <c r="P483" s="53"/>
      <c r="Q483" s="53"/>
    </row>
    <row r="484" spans="1:17" s="87" customFormat="1" x14ac:dyDescent="0.25">
      <c r="A484" s="90"/>
      <c r="B484" s="94"/>
      <c r="C484" s="91"/>
      <c r="D484" s="92"/>
      <c r="E484" s="93"/>
      <c r="F484" s="92"/>
      <c r="G484" s="49"/>
      <c r="H484" s="50"/>
      <c r="I484" s="51"/>
      <c r="J484" s="53"/>
      <c r="K484" s="53"/>
      <c r="L484" s="53"/>
      <c r="M484" s="53"/>
      <c r="N484" s="53"/>
      <c r="O484" s="53"/>
      <c r="P484" s="53"/>
      <c r="Q484" s="53"/>
    </row>
    <row r="485" spans="1:17" s="87" customFormat="1" x14ac:dyDescent="0.25">
      <c r="A485" s="90"/>
      <c r="B485" s="94"/>
      <c r="C485" s="91"/>
      <c r="D485" s="92"/>
      <c r="E485" s="93"/>
      <c r="F485" s="92"/>
      <c r="G485" s="49"/>
      <c r="H485" s="50"/>
      <c r="I485" s="51"/>
      <c r="J485" s="53"/>
      <c r="K485" s="53"/>
      <c r="L485" s="53"/>
      <c r="M485" s="53"/>
      <c r="N485" s="53"/>
      <c r="O485" s="53"/>
      <c r="P485" s="53"/>
      <c r="Q485" s="53"/>
    </row>
    <row r="486" spans="1:17" s="87" customFormat="1" x14ac:dyDescent="0.25">
      <c r="A486" s="90"/>
      <c r="B486" s="94"/>
      <c r="C486" s="91"/>
      <c r="D486" s="92"/>
      <c r="E486" s="93"/>
      <c r="F486" s="92"/>
      <c r="G486" s="49"/>
      <c r="H486" s="50"/>
      <c r="I486" s="51"/>
      <c r="J486" s="53"/>
      <c r="K486" s="53"/>
      <c r="L486" s="53"/>
      <c r="M486" s="53"/>
      <c r="N486" s="53"/>
      <c r="O486" s="53"/>
      <c r="P486" s="53"/>
      <c r="Q486" s="53"/>
    </row>
    <row r="487" spans="1:17" s="87" customFormat="1" x14ac:dyDescent="0.25">
      <c r="A487" s="90"/>
      <c r="B487" s="94"/>
      <c r="C487" s="91"/>
      <c r="D487" s="92"/>
      <c r="E487" s="93"/>
      <c r="F487" s="92"/>
      <c r="G487" s="49"/>
      <c r="H487" s="50"/>
      <c r="I487" s="51"/>
      <c r="J487" s="53"/>
      <c r="K487" s="53"/>
      <c r="L487" s="53"/>
      <c r="M487" s="53"/>
      <c r="N487" s="53"/>
      <c r="O487" s="53"/>
      <c r="P487" s="53"/>
      <c r="Q487" s="53"/>
    </row>
    <row r="488" spans="1:17" s="87" customFormat="1" x14ac:dyDescent="0.25">
      <c r="A488" s="90"/>
      <c r="B488" s="94"/>
      <c r="C488" s="91"/>
      <c r="D488" s="92"/>
      <c r="E488" s="93"/>
      <c r="F488" s="92"/>
      <c r="G488" s="49"/>
      <c r="H488" s="50"/>
      <c r="I488" s="51"/>
      <c r="J488" s="53"/>
      <c r="K488" s="53"/>
      <c r="L488" s="53"/>
      <c r="M488" s="53"/>
      <c r="N488" s="53"/>
      <c r="O488" s="53"/>
      <c r="P488" s="53"/>
      <c r="Q488" s="53"/>
    </row>
    <row r="489" spans="1:17" s="87" customFormat="1" x14ac:dyDescent="0.25">
      <c r="A489" s="90"/>
      <c r="B489" s="94"/>
      <c r="C489" s="91"/>
      <c r="D489" s="92"/>
      <c r="E489" s="93"/>
      <c r="F489" s="92"/>
      <c r="G489" s="49"/>
      <c r="H489" s="50"/>
      <c r="I489" s="51"/>
      <c r="J489" s="53"/>
      <c r="K489" s="53"/>
      <c r="L489" s="53"/>
      <c r="M489" s="53"/>
      <c r="N489" s="53"/>
      <c r="O489" s="53"/>
      <c r="P489" s="53"/>
      <c r="Q489" s="53"/>
    </row>
    <row r="490" spans="1:17" s="87" customFormat="1" x14ac:dyDescent="0.25">
      <c r="A490" s="90"/>
      <c r="B490" s="94"/>
      <c r="C490" s="91"/>
      <c r="D490" s="92"/>
      <c r="E490" s="93"/>
      <c r="F490" s="92"/>
      <c r="G490" s="49"/>
      <c r="H490" s="50"/>
      <c r="I490" s="51"/>
      <c r="J490" s="53"/>
      <c r="K490" s="53"/>
      <c r="L490" s="53"/>
      <c r="M490" s="53"/>
      <c r="N490" s="53"/>
      <c r="O490" s="53"/>
      <c r="P490" s="53"/>
      <c r="Q490" s="53"/>
    </row>
    <row r="491" spans="1:17" s="87" customFormat="1" x14ac:dyDescent="0.25">
      <c r="A491" s="90"/>
      <c r="B491" s="94"/>
      <c r="C491" s="91"/>
      <c r="D491" s="92"/>
      <c r="E491" s="93"/>
      <c r="F491" s="92"/>
      <c r="G491" s="49"/>
      <c r="H491" s="50"/>
      <c r="I491" s="51"/>
      <c r="J491" s="53"/>
      <c r="K491" s="53"/>
      <c r="L491" s="53"/>
      <c r="M491" s="53"/>
      <c r="N491" s="53"/>
      <c r="O491" s="53"/>
      <c r="P491" s="53"/>
      <c r="Q491" s="53"/>
    </row>
    <row r="492" spans="1:17" s="87" customFormat="1" x14ac:dyDescent="0.25">
      <c r="A492" s="90"/>
      <c r="B492" s="94"/>
      <c r="C492" s="91"/>
      <c r="D492" s="92"/>
      <c r="E492" s="93"/>
      <c r="F492" s="92"/>
      <c r="G492" s="49"/>
      <c r="H492" s="50"/>
      <c r="I492" s="51"/>
      <c r="J492" s="53"/>
      <c r="K492" s="53"/>
      <c r="L492" s="53"/>
      <c r="M492" s="53"/>
      <c r="N492" s="53"/>
      <c r="O492" s="53"/>
      <c r="P492" s="53"/>
      <c r="Q492" s="53"/>
    </row>
    <row r="493" spans="1:17" s="87" customFormat="1" x14ac:dyDescent="0.25">
      <c r="A493" s="90"/>
      <c r="B493" s="94"/>
      <c r="C493" s="91"/>
      <c r="D493" s="92"/>
      <c r="E493" s="93"/>
      <c r="F493" s="92"/>
      <c r="G493" s="49"/>
      <c r="H493" s="50"/>
      <c r="I493" s="51"/>
      <c r="J493" s="53"/>
      <c r="K493" s="53"/>
      <c r="L493" s="53"/>
      <c r="M493" s="53"/>
      <c r="N493" s="53"/>
      <c r="O493" s="53"/>
      <c r="P493" s="53"/>
      <c r="Q493" s="53"/>
    </row>
    <row r="494" spans="1:17" s="87" customFormat="1" x14ac:dyDescent="0.25">
      <c r="A494" s="90"/>
      <c r="B494" s="94"/>
      <c r="C494" s="91"/>
      <c r="D494" s="92"/>
      <c r="E494" s="93"/>
      <c r="F494" s="92"/>
      <c r="G494" s="49"/>
      <c r="H494" s="50"/>
      <c r="I494" s="51"/>
      <c r="J494" s="53"/>
      <c r="K494" s="53"/>
      <c r="L494" s="53"/>
      <c r="M494" s="53"/>
      <c r="N494" s="53"/>
      <c r="O494" s="53"/>
      <c r="P494" s="53"/>
      <c r="Q494" s="53"/>
    </row>
    <row r="495" spans="1:17" s="87" customFormat="1" x14ac:dyDescent="0.25">
      <c r="A495" s="90"/>
      <c r="B495" s="94"/>
      <c r="C495" s="91"/>
      <c r="D495" s="92"/>
      <c r="E495" s="93"/>
      <c r="F495" s="92"/>
      <c r="G495" s="49"/>
      <c r="H495" s="50"/>
      <c r="I495" s="51"/>
      <c r="J495" s="53"/>
      <c r="K495" s="53"/>
      <c r="L495" s="53"/>
      <c r="M495" s="53"/>
      <c r="N495" s="53"/>
      <c r="O495" s="53"/>
      <c r="P495" s="53"/>
      <c r="Q495" s="53"/>
    </row>
    <row r="496" spans="1:17" s="87" customFormat="1" x14ac:dyDescent="0.25">
      <c r="A496" s="90"/>
      <c r="B496" s="94"/>
      <c r="C496" s="91"/>
      <c r="D496" s="92"/>
      <c r="E496" s="93"/>
      <c r="F496" s="92"/>
      <c r="G496" s="49"/>
      <c r="H496" s="50"/>
      <c r="I496" s="51"/>
      <c r="J496" s="53"/>
      <c r="K496" s="53"/>
      <c r="L496" s="53"/>
      <c r="M496" s="53"/>
      <c r="N496" s="53"/>
      <c r="O496" s="53"/>
      <c r="P496" s="53"/>
      <c r="Q496" s="53"/>
    </row>
    <row r="497" spans="1:17" s="87" customFormat="1" x14ac:dyDescent="0.25">
      <c r="A497" s="90"/>
      <c r="B497" s="94"/>
      <c r="C497" s="91"/>
      <c r="D497" s="92"/>
      <c r="E497" s="93"/>
      <c r="F497" s="92"/>
      <c r="G497" s="49"/>
      <c r="H497" s="50"/>
      <c r="I497" s="51"/>
      <c r="J497" s="53"/>
      <c r="K497" s="53"/>
      <c r="L497" s="53"/>
      <c r="M497" s="53"/>
      <c r="N497" s="53"/>
      <c r="O497" s="53"/>
      <c r="P497" s="53"/>
      <c r="Q497" s="53"/>
    </row>
    <row r="498" spans="1:17" s="87" customFormat="1" x14ac:dyDescent="0.25">
      <c r="A498" s="90"/>
      <c r="B498" s="94"/>
      <c r="C498" s="91"/>
      <c r="D498" s="92"/>
      <c r="E498" s="93"/>
      <c r="F498" s="92"/>
      <c r="G498" s="49"/>
      <c r="H498" s="50"/>
      <c r="I498" s="51"/>
      <c r="J498" s="53"/>
      <c r="K498" s="53"/>
      <c r="L498" s="53"/>
      <c r="M498" s="53"/>
      <c r="N498" s="53"/>
      <c r="O498" s="53"/>
      <c r="P498" s="53"/>
      <c r="Q498" s="53"/>
    </row>
    <row r="499" spans="1:17" s="87" customFormat="1" x14ac:dyDescent="0.25">
      <c r="A499" s="90"/>
      <c r="B499" s="94"/>
      <c r="C499" s="91"/>
      <c r="D499" s="92"/>
      <c r="E499" s="93"/>
      <c r="F499" s="92"/>
      <c r="G499" s="49"/>
      <c r="H499" s="50"/>
      <c r="I499" s="51"/>
      <c r="J499" s="53"/>
      <c r="K499" s="53"/>
      <c r="L499" s="53"/>
      <c r="M499" s="53"/>
      <c r="N499" s="53"/>
      <c r="O499" s="53"/>
      <c r="P499" s="53"/>
      <c r="Q499" s="53"/>
    </row>
    <row r="500" spans="1:17" s="87" customFormat="1" x14ac:dyDescent="0.25">
      <c r="A500" s="90"/>
      <c r="B500" s="94"/>
      <c r="C500" s="91"/>
      <c r="D500" s="92"/>
      <c r="E500" s="93"/>
      <c r="F500" s="92"/>
      <c r="G500" s="49"/>
      <c r="H500" s="50"/>
      <c r="I500" s="51"/>
      <c r="J500" s="53"/>
      <c r="K500" s="53"/>
      <c r="L500" s="53"/>
      <c r="M500" s="53"/>
      <c r="N500" s="53"/>
      <c r="O500" s="53"/>
      <c r="P500" s="53"/>
      <c r="Q500" s="53"/>
    </row>
    <row r="501" spans="1:17" s="87" customFormat="1" x14ac:dyDescent="0.25">
      <c r="A501" s="90"/>
      <c r="B501" s="94"/>
      <c r="C501" s="91"/>
      <c r="D501" s="92"/>
      <c r="E501" s="93"/>
      <c r="F501" s="92"/>
      <c r="G501" s="49"/>
      <c r="H501" s="50"/>
      <c r="I501" s="51"/>
      <c r="J501" s="53"/>
      <c r="K501" s="53"/>
      <c r="L501" s="53"/>
      <c r="M501" s="53"/>
      <c r="N501" s="53"/>
      <c r="O501" s="53"/>
      <c r="P501" s="53"/>
      <c r="Q501" s="53"/>
    </row>
    <row r="502" spans="1:17" s="87" customFormat="1" x14ac:dyDescent="0.25">
      <c r="A502" s="90"/>
      <c r="B502" s="94"/>
      <c r="C502" s="91"/>
      <c r="D502" s="92"/>
      <c r="E502" s="93"/>
      <c r="F502" s="92"/>
      <c r="G502" s="49"/>
      <c r="H502" s="50"/>
      <c r="I502" s="51"/>
      <c r="J502" s="53"/>
      <c r="K502" s="53"/>
      <c r="L502" s="53"/>
      <c r="M502" s="53"/>
      <c r="N502" s="53"/>
      <c r="O502" s="53"/>
      <c r="P502" s="53"/>
      <c r="Q502" s="53"/>
    </row>
    <row r="503" spans="1:17" s="87" customFormat="1" x14ac:dyDescent="0.25">
      <c r="A503" s="90"/>
      <c r="B503" s="94"/>
      <c r="C503" s="91"/>
      <c r="D503" s="92"/>
      <c r="E503" s="93"/>
      <c r="F503" s="92"/>
      <c r="G503" s="49"/>
      <c r="H503" s="50"/>
      <c r="I503" s="51"/>
      <c r="J503" s="53"/>
      <c r="K503" s="53"/>
      <c r="L503" s="53"/>
      <c r="M503" s="53"/>
      <c r="N503" s="53"/>
      <c r="O503" s="53"/>
      <c r="P503" s="53"/>
      <c r="Q503" s="53"/>
    </row>
    <row r="504" spans="1:17" s="87" customFormat="1" x14ac:dyDescent="0.25">
      <c r="A504" s="90"/>
      <c r="B504" s="94"/>
      <c r="C504" s="91"/>
      <c r="D504" s="92"/>
      <c r="E504" s="93"/>
      <c r="F504" s="92"/>
      <c r="G504" s="49"/>
      <c r="H504" s="50"/>
      <c r="I504" s="51"/>
      <c r="J504" s="53"/>
      <c r="K504" s="53"/>
      <c r="L504" s="53"/>
      <c r="M504" s="53"/>
      <c r="N504" s="53"/>
      <c r="O504" s="53"/>
      <c r="P504" s="53"/>
      <c r="Q504" s="53"/>
    </row>
    <row r="505" spans="1:17" s="87" customFormat="1" x14ac:dyDescent="0.25">
      <c r="A505" s="90"/>
      <c r="B505" s="94"/>
      <c r="C505" s="91"/>
      <c r="D505" s="92"/>
      <c r="E505" s="93"/>
      <c r="F505" s="92"/>
      <c r="G505" s="49"/>
      <c r="H505" s="50"/>
      <c r="I505" s="51"/>
      <c r="J505" s="53"/>
      <c r="K505" s="53"/>
      <c r="L505" s="53"/>
      <c r="M505" s="53"/>
      <c r="N505" s="53"/>
      <c r="O505" s="53"/>
      <c r="P505" s="53"/>
      <c r="Q505" s="53"/>
    </row>
    <row r="506" spans="1:17" s="87" customFormat="1" x14ac:dyDescent="0.25">
      <c r="A506" s="90"/>
      <c r="B506" s="94"/>
      <c r="C506" s="91"/>
      <c r="D506" s="92"/>
      <c r="E506" s="93"/>
      <c r="F506" s="92"/>
      <c r="G506" s="49"/>
      <c r="H506" s="50"/>
      <c r="I506" s="51"/>
      <c r="J506" s="53"/>
      <c r="K506" s="53"/>
      <c r="L506" s="53"/>
      <c r="M506" s="53"/>
      <c r="N506" s="53"/>
      <c r="O506" s="53"/>
      <c r="P506" s="53"/>
      <c r="Q506" s="53"/>
    </row>
    <row r="507" spans="1:17" s="87" customFormat="1" x14ac:dyDescent="0.25">
      <c r="A507" s="90"/>
      <c r="B507" s="94"/>
      <c r="C507" s="91"/>
      <c r="D507" s="92"/>
      <c r="E507" s="93"/>
      <c r="F507" s="92"/>
      <c r="G507" s="49"/>
      <c r="H507" s="50"/>
      <c r="I507" s="51"/>
      <c r="J507" s="53"/>
      <c r="K507" s="53"/>
      <c r="L507" s="53"/>
      <c r="M507" s="53"/>
      <c r="N507" s="53"/>
      <c r="O507" s="53"/>
      <c r="P507" s="53"/>
      <c r="Q507" s="53"/>
    </row>
    <row r="508" spans="1:17" s="87" customFormat="1" x14ac:dyDescent="0.25">
      <c r="A508" s="90"/>
      <c r="B508" s="94"/>
      <c r="C508" s="91"/>
      <c r="D508" s="92"/>
      <c r="E508" s="93"/>
      <c r="F508" s="92"/>
      <c r="G508" s="49"/>
      <c r="H508" s="50"/>
      <c r="I508" s="51"/>
      <c r="J508" s="53"/>
      <c r="K508" s="53"/>
      <c r="L508" s="53"/>
      <c r="M508" s="53"/>
      <c r="N508" s="53"/>
      <c r="O508" s="53"/>
      <c r="P508" s="53"/>
      <c r="Q508" s="53"/>
    </row>
    <row r="509" spans="1:17" s="87" customFormat="1" x14ac:dyDescent="0.25">
      <c r="A509" s="90"/>
      <c r="B509" s="94"/>
      <c r="C509" s="91"/>
      <c r="D509" s="92"/>
      <c r="E509" s="93"/>
      <c r="F509" s="92"/>
      <c r="G509" s="49"/>
      <c r="H509" s="50"/>
      <c r="I509" s="51"/>
      <c r="J509" s="53"/>
      <c r="K509" s="53"/>
      <c r="L509" s="53"/>
      <c r="M509" s="53"/>
      <c r="N509" s="53"/>
      <c r="O509" s="53"/>
      <c r="P509" s="53"/>
      <c r="Q509" s="53"/>
    </row>
    <row r="510" spans="1:17" s="87" customFormat="1" x14ac:dyDescent="0.25">
      <c r="A510" s="90"/>
      <c r="B510" s="94"/>
      <c r="C510" s="91"/>
      <c r="D510" s="92"/>
      <c r="E510" s="93"/>
      <c r="F510" s="92"/>
      <c r="G510" s="49"/>
      <c r="H510" s="50"/>
      <c r="I510" s="51"/>
      <c r="J510" s="53"/>
      <c r="K510" s="53"/>
      <c r="L510" s="53"/>
      <c r="M510" s="53"/>
      <c r="N510" s="53"/>
      <c r="O510" s="53"/>
      <c r="P510" s="53"/>
      <c r="Q510" s="53"/>
    </row>
    <row r="511" spans="1:17" s="87" customFormat="1" x14ac:dyDescent="0.25">
      <c r="A511" s="90"/>
      <c r="B511" s="94"/>
      <c r="C511" s="91"/>
      <c r="D511" s="92"/>
      <c r="E511" s="93"/>
      <c r="F511" s="92"/>
      <c r="G511" s="49"/>
      <c r="H511" s="50"/>
      <c r="I511" s="51"/>
      <c r="J511" s="53"/>
      <c r="K511" s="53"/>
      <c r="L511" s="53"/>
      <c r="M511" s="53"/>
      <c r="N511" s="53"/>
      <c r="O511" s="53"/>
      <c r="P511" s="53"/>
      <c r="Q511" s="53"/>
    </row>
    <row r="512" spans="1:17" s="87" customFormat="1" x14ac:dyDescent="0.25">
      <c r="A512" s="90"/>
      <c r="B512" s="94"/>
      <c r="C512" s="91"/>
      <c r="D512" s="92"/>
      <c r="E512" s="93"/>
      <c r="F512" s="92"/>
      <c r="G512" s="49"/>
      <c r="H512" s="50"/>
      <c r="I512" s="51"/>
      <c r="J512" s="53"/>
      <c r="K512" s="53"/>
      <c r="L512" s="53"/>
      <c r="M512" s="53"/>
      <c r="N512" s="53"/>
      <c r="O512" s="53"/>
      <c r="P512" s="53"/>
      <c r="Q512" s="53"/>
    </row>
    <row r="513" spans="1:17" s="87" customFormat="1" x14ac:dyDescent="0.25">
      <c r="A513" s="90"/>
      <c r="B513" s="94"/>
      <c r="C513" s="91"/>
      <c r="D513" s="92"/>
      <c r="E513" s="93"/>
      <c r="F513" s="92"/>
      <c r="G513" s="49"/>
      <c r="H513" s="50"/>
      <c r="I513" s="51"/>
      <c r="J513" s="53"/>
      <c r="K513" s="53"/>
      <c r="L513" s="53"/>
      <c r="M513" s="53"/>
      <c r="N513" s="53"/>
      <c r="O513" s="53"/>
      <c r="P513" s="53"/>
      <c r="Q513" s="53"/>
    </row>
    <row r="514" spans="1:17" s="87" customFormat="1" x14ac:dyDescent="0.25">
      <c r="A514" s="90"/>
      <c r="B514" s="94"/>
      <c r="C514" s="91"/>
      <c r="D514" s="92"/>
      <c r="E514" s="93"/>
      <c r="F514" s="92"/>
      <c r="G514" s="49"/>
      <c r="H514" s="50"/>
      <c r="I514" s="51"/>
      <c r="J514" s="53"/>
      <c r="K514" s="53"/>
      <c r="L514" s="53"/>
      <c r="M514" s="53"/>
      <c r="N514" s="53"/>
      <c r="O514" s="53"/>
      <c r="P514" s="53"/>
      <c r="Q514" s="53"/>
    </row>
    <row r="515" spans="1:17" x14ac:dyDescent="0.25">
      <c r="H515" s="50"/>
      <c r="I515" s="51"/>
    </row>
    <row r="519" spans="1:17" x14ac:dyDescent="0.25">
      <c r="A519" s="86"/>
      <c r="C519" s="95"/>
      <c r="D519" s="95"/>
      <c r="E519" s="96"/>
      <c r="F519" s="95"/>
    </row>
    <row r="520" spans="1:17" x14ac:dyDescent="0.25">
      <c r="A520" s="86"/>
      <c r="C520" s="95"/>
      <c r="D520" s="95"/>
      <c r="E520" s="96"/>
      <c r="F520" s="95"/>
    </row>
    <row r="521" spans="1:17" x14ac:dyDescent="0.25">
      <c r="A521" s="86"/>
      <c r="C521" s="95"/>
      <c r="D521" s="95"/>
      <c r="E521" s="96"/>
      <c r="F521" s="95"/>
    </row>
  </sheetData>
  <sheetProtection selectLockedCells="1" selectUnlockedCells="1"/>
  <mergeCells count="39">
    <mergeCell ref="B1:I1"/>
    <mergeCell ref="A2:B2"/>
    <mergeCell ref="C2:D2"/>
    <mergeCell ref="G2:I2"/>
    <mergeCell ref="A3:B3"/>
    <mergeCell ref="D4:E4"/>
    <mergeCell ref="G4:I4"/>
    <mergeCell ref="E3:I3"/>
    <mergeCell ref="G5:I5"/>
    <mergeCell ref="C21:E21"/>
    <mergeCell ref="C40:E40"/>
    <mergeCell ref="C64:E64"/>
    <mergeCell ref="C74:E74"/>
    <mergeCell ref="C81:E81"/>
    <mergeCell ref="C96:E96"/>
    <mergeCell ref="C368:E368"/>
    <mergeCell ref="C411:E411"/>
    <mergeCell ref="C420:E420"/>
    <mergeCell ref="C172:E172"/>
    <mergeCell ref="C194:E194"/>
    <mergeCell ref="C283:E283"/>
    <mergeCell ref="C293:E293"/>
    <mergeCell ref="C311:E311"/>
    <mergeCell ref="A454:G454"/>
    <mergeCell ref="A455:D455"/>
    <mergeCell ref="E455:F455"/>
    <mergeCell ref="A456:D456"/>
    <mergeCell ref="A4:A5"/>
    <mergeCell ref="B4:B5"/>
    <mergeCell ref="C4:C5"/>
    <mergeCell ref="C445:E445"/>
    <mergeCell ref="C449:E449"/>
    <mergeCell ref="C450:E450"/>
    <mergeCell ref="D451:E451"/>
    <mergeCell ref="D452:E452"/>
    <mergeCell ref="C453:E453"/>
    <mergeCell ref="C328:E328"/>
    <mergeCell ref="C347:E347"/>
    <mergeCell ref="C358:E358"/>
  </mergeCells>
  <dataValidations disablePrompts="1" count="1">
    <dataValidation type="list" allowBlank="1" showErrorMessage="1" sqref="D3" xr:uid="{00000000-0002-0000-0100-000000000000}">
      <formula1>"0%,2%,3%,4%,5%"</formula1>
      <formula2>0</formula2>
    </dataValidation>
  </dataValidations>
  <printOptions horizontalCentered="1"/>
  <pageMargins left="0.25" right="0.25" top="0.75" bottom="0.75" header="0.3" footer="0.3"/>
  <pageSetup paperSize="9" scale="32" fitToHeight="0" orientation="portrait" r:id="rId1"/>
  <headerFooter scaleWithDoc="0" alignWithMargins="0">
    <oddFooter>&amp;RPágina &amp;P de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AA29"/>
  <sheetViews>
    <sheetView topLeftCell="K1" zoomScaleNormal="100" zoomScaleSheetLayoutView="90" workbookViewId="0">
      <selection activeCell="G27" sqref="G27"/>
    </sheetView>
  </sheetViews>
  <sheetFormatPr defaultColWidth="11.5703125" defaultRowHeight="15" x14ac:dyDescent="0.25"/>
  <cols>
    <col min="1" max="1" width="11.5703125" style="226" bestFit="1" customWidth="1"/>
    <col min="2" max="2" width="41.28515625" style="226" customWidth="1"/>
    <col min="3" max="16384" width="11.5703125" style="226"/>
  </cols>
  <sheetData>
    <row r="1" spans="1:27" ht="15.75" x14ac:dyDescent="0.25">
      <c r="A1" s="390" t="s">
        <v>496</v>
      </c>
      <c r="B1" s="390"/>
      <c r="C1" s="390"/>
      <c r="D1" s="390"/>
      <c r="E1" s="390"/>
      <c r="F1" s="390"/>
      <c r="G1" s="390"/>
      <c r="H1" s="390"/>
      <c r="I1" s="390"/>
      <c r="J1" s="390"/>
      <c r="K1" s="390"/>
      <c r="L1" s="390"/>
      <c r="M1" s="390"/>
      <c r="N1" s="390"/>
      <c r="O1" s="390"/>
      <c r="P1" s="390"/>
      <c r="Q1" s="390"/>
      <c r="R1" s="390"/>
      <c r="S1" s="390"/>
      <c r="T1" s="390"/>
      <c r="U1" s="390"/>
      <c r="V1" s="390"/>
      <c r="W1" s="390"/>
      <c r="X1" s="390"/>
      <c r="Y1" s="390"/>
      <c r="Z1" s="390"/>
      <c r="AA1" s="390"/>
    </row>
    <row r="2" spans="1:27" ht="15" customHeight="1" x14ac:dyDescent="0.25">
      <c r="A2" s="393" t="s">
        <v>550</v>
      </c>
      <c r="B2" s="394"/>
      <c r="C2" s="394"/>
      <c r="D2" s="394"/>
      <c r="E2" s="394"/>
      <c r="F2" s="394"/>
      <c r="G2" s="394"/>
      <c r="H2" s="394"/>
      <c r="I2" s="394"/>
      <c r="J2" s="391"/>
      <c r="K2" s="392"/>
      <c r="L2" s="392"/>
      <c r="M2" s="392"/>
      <c r="N2" s="392"/>
      <c r="O2" s="392"/>
      <c r="P2" s="392"/>
      <c r="Q2" s="392"/>
      <c r="R2" s="392"/>
      <c r="S2" s="392"/>
      <c r="T2" s="392"/>
      <c r="U2" s="392"/>
      <c r="V2" s="392"/>
      <c r="W2" s="392"/>
      <c r="X2" s="392"/>
      <c r="Y2" s="392"/>
      <c r="Z2" s="392"/>
      <c r="AA2" s="392"/>
    </row>
    <row r="3" spans="1:27" ht="15" customHeight="1" x14ac:dyDescent="0.25">
      <c r="A3" s="395" t="s">
        <v>551</v>
      </c>
      <c r="B3" s="396"/>
      <c r="C3" s="396"/>
      <c r="D3" s="396"/>
      <c r="E3" s="396"/>
      <c r="F3" s="396"/>
      <c r="G3" s="396"/>
      <c r="H3" s="396"/>
      <c r="I3" s="396"/>
      <c r="J3" s="391" t="s">
        <v>577</v>
      </c>
      <c r="K3" s="392"/>
      <c r="L3" s="392"/>
      <c r="M3" s="392"/>
      <c r="N3" s="392"/>
      <c r="O3" s="392"/>
      <c r="P3" s="392"/>
      <c r="Q3" s="392"/>
      <c r="R3" s="392"/>
      <c r="S3" s="392"/>
      <c r="T3" s="392"/>
      <c r="U3" s="392"/>
      <c r="V3" s="392"/>
      <c r="W3" s="392"/>
      <c r="X3" s="392"/>
      <c r="Y3" s="392"/>
      <c r="Z3" s="392"/>
      <c r="AA3" s="392"/>
    </row>
    <row r="4" spans="1:27" ht="15" customHeight="1" x14ac:dyDescent="0.25">
      <c r="A4" s="387" t="s">
        <v>539</v>
      </c>
      <c r="B4" s="388"/>
      <c r="C4" s="388"/>
      <c r="D4" s="388"/>
      <c r="E4" s="388"/>
      <c r="F4" s="388"/>
      <c r="G4" s="388"/>
      <c r="H4" s="388"/>
      <c r="I4" s="388"/>
      <c r="J4" s="388"/>
      <c r="K4" s="388"/>
      <c r="L4" s="388"/>
      <c r="M4" s="388"/>
      <c r="N4" s="388"/>
      <c r="O4" s="388"/>
      <c r="P4" s="388"/>
      <c r="Q4" s="388"/>
      <c r="R4" s="388"/>
      <c r="S4" s="388"/>
      <c r="T4" s="388"/>
      <c r="U4" s="388"/>
      <c r="V4" s="388"/>
      <c r="W4" s="388"/>
      <c r="X4" s="388"/>
      <c r="Y4" s="388"/>
      <c r="Z4" s="388"/>
      <c r="AA4" s="389"/>
    </row>
    <row r="5" spans="1:27" ht="12.75" customHeight="1" x14ac:dyDescent="0.25">
      <c r="A5" s="381" t="s">
        <v>2</v>
      </c>
      <c r="B5" s="382" t="s">
        <v>3</v>
      </c>
      <c r="C5" s="383" t="s">
        <v>497</v>
      </c>
      <c r="D5" s="384" t="s">
        <v>498</v>
      </c>
      <c r="E5" s="385" t="s">
        <v>499</v>
      </c>
      <c r="F5" s="380" t="s">
        <v>500</v>
      </c>
      <c r="G5" s="380"/>
      <c r="H5" s="380" t="s">
        <v>501</v>
      </c>
      <c r="I5" s="380"/>
      <c r="J5" s="380" t="s">
        <v>502</v>
      </c>
      <c r="K5" s="380"/>
      <c r="L5" s="380" t="s">
        <v>503</v>
      </c>
      <c r="M5" s="380"/>
      <c r="N5" s="386" t="s">
        <v>504</v>
      </c>
      <c r="O5" s="386"/>
      <c r="P5" s="380" t="s">
        <v>505</v>
      </c>
      <c r="Q5" s="380"/>
      <c r="R5" s="380" t="s">
        <v>506</v>
      </c>
      <c r="S5" s="380"/>
      <c r="T5" s="380" t="s">
        <v>507</v>
      </c>
      <c r="U5" s="380"/>
      <c r="V5" s="380" t="s">
        <v>508</v>
      </c>
      <c r="W5" s="380"/>
      <c r="X5" s="380" t="s">
        <v>509</v>
      </c>
      <c r="Y5" s="380"/>
      <c r="Z5" s="380" t="s">
        <v>510</v>
      </c>
      <c r="AA5" s="380"/>
    </row>
    <row r="6" spans="1:27" x14ac:dyDescent="0.25">
      <c r="A6" s="381"/>
      <c r="B6" s="382"/>
      <c r="C6" s="383"/>
      <c r="D6" s="384"/>
      <c r="E6" s="385"/>
      <c r="F6" s="223" t="s">
        <v>511</v>
      </c>
      <c r="G6" s="224" t="s">
        <v>497</v>
      </c>
      <c r="H6" s="223" t="s">
        <v>511</v>
      </c>
      <c r="I6" s="224" t="s">
        <v>497</v>
      </c>
      <c r="J6" s="223" t="s">
        <v>511</v>
      </c>
      <c r="K6" s="224" t="s">
        <v>497</v>
      </c>
      <c r="L6" s="223" t="s">
        <v>511</v>
      </c>
      <c r="M6" s="224" t="s">
        <v>497</v>
      </c>
      <c r="N6" s="223" t="s">
        <v>511</v>
      </c>
      <c r="O6" s="224" t="s">
        <v>497</v>
      </c>
      <c r="P6" s="223" t="s">
        <v>511</v>
      </c>
      <c r="Q6" s="224" t="s">
        <v>497</v>
      </c>
      <c r="R6" s="223" t="s">
        <v>511</v>
      </c>
      <c r="S6" s="224" t="s">
        <v>497</v>
      </c>
      <c r="T6" s="223" t="s">
        <v>511</v>
      </c>
      <c r="U6" s="224" t="s">
        <v>497</v>
      </c>
      <c r="V6" s="223" t="s">
        <v>511</v>
      </c>
      <c r="W6" s="224" t="s">
        <v>497</v>
      </c>
      <c r="X6" s="223" t="s">
        <v>511</v>
      </c>
      <c r="Y6" s="224" t="s">
        <v>497</v>
      </c>
      <c r="Z6" s="223" t="s">
        <v>511</v>
      </c>
      <c r="AA6" s="224" t="s">
        <v>497</v>
      </c>
    </row>
    <row r="7" spans="1:27" x14ac:dyDescent="0.25">
      <c r="A7" s="227">
        <v>1</v>
      </c>
      <c r="B7" s="228" t="str">
        <f>'MEMÓRIA DE CÁLCULO'!B6</f>
        <v>INSTALAÇÃO DOS SERVIÇOS DE ENGENHARIA</v>
      </c>
      <c r="C7" s="229">
        <f>ADITIVO!U21</f>
        <v>10198.2703</v>
      </c>
      <c r="D7" s="229">
        <f>ADITIVO!L21*(1+ADITIVO!$J$447)+ADITIVO!R21*(1+ADITIVO!$P$447)</f>
        <v>12531.634544640001</v>
      </c>
      <c r="E7" s="230">
        <f>D7/$D$27</f>
        <v>1.7392030530603949E-2</v>
      </c>
      <c r="F7" s="237">
        <v>1</v>
      </c>
      <c r="G7" s="238">
        <f>D7*F7</f>
        <v>12531.634544640001</v>
      </c>
      <c r="H7" s="237"/>
      <c r="I7" s="238"/>
      <c r="J7" s="237"/>
      <c r="K7" s="238"/>
      <c r="L7" s="237"/>
      <c r="M7" s="231"/>
      <c r="N7" s="230"/>
      <c r="O7" s="231"/>
      <c r="P7" s="230"/>
      <c r="Q7" s="231"/>
      <c r="R7" s="230"/>
      <c r="S7" s="231"/>
      <c r="T7" s="230"/>
      <c r="U7" s="231"/>
      <c r="V7" s="230"/>
      <c r="W7" s="231"/>
      <c r="X7" s="230"/>
      <c r="Y7" s="231"/>
      <c r="Z7" s="230"/>
      <c r="AA7" s="231"/>
    </row>
    <row r="8" spans="1:27" x14ac:dyDescent="0.25">
      <c r="A8" s="227">
        <v>3</v>
      </c>
      <c r="B8" s="232" t="str">
        <f>'MEMÓRIA DE CÁLCULO'!B22</f>
        <v>TRABALHOS EM TERRA</v>
      </c>
      <c r="C8" s="229">
        <f>ADITIVO!U40</f>
        <v>5731.9792825599998</v>
      </c>
      <c r="D8" s="229">
        <f>ADITIVO!L40*(1+ADITIVO!$J$447)+ADITIVO!R40*(1+ADITIVO!$P$447)</f>
        <v>7043.4561424097283</v>
      </c>
      <c r="E8" s="230">
        <f>D8/$D$27</f>
        <v>9.7752614659637766E-3</v>
      </c>
      <c r="F8" s="237">
        <v>0.05</v>
      </c>
      <c r="G8" s="238">
        <f>D8*F8</f>
        <v>352.17280712048642</v>
      </c>
      <c r="H8" s="237">
        <v>0.65</v>
      </c>
      <c r="I8" s="238">
        <f>D8*H8</f>
        <v>4578.2464925663235</v>
      </c>
      <c r="J8" s="237">
        <v>0.30000000000000004</v>
      </c>
      <c r="K8" s="238">
        <f>D8*J8</f>
        <v>2113.0368427229187</v>
      </c>
      <c r="L8" s="237"/>
      <c r="M8" s="231"/>
      <c r="N8" s="230"/>
      <c r="O8" s="231"/>
      <c r="P8" s="230"/>
      <c r="Q8" s="231"/>
      <c r="R8" s="230"/>
      <c r="S8" s="231"/>
      <c r="T8" s="230"/>
      <c r="U8" s="231"/>
      <c r="V8" s="230"/>
      <c r="W8" s="231"/>
      <c r="X8" s="230"/>
      <c r="Y8" s="231"/>
      <c r="Z8" s="230"/>
      <c r="AA8" s="231"/>
    </row>
    <row r="9" spans="1:27" x14ac:dyDescent="0.25">
      <c r="A9" s="227">
        <v>4</v>
      </c>
      <c r="B9" s="232" t="str">
        <f>'MEMÓRIA DE CÁLCULO'!B41</f>
        <v>SONDAGEM, FUNDAÇÕES, MUROS E CONTENÇÕES</v>
      </c>
      <c r="C9" s="229">
        <f>ADITIVO!U64</f>
        <v>47909.979940000005</v>
      </c>
      <c r="D9" s="229">
        <f>ADITIVO!L64*(1+ADITIVO!$J$447)+ADITIVO!R64*(1+ADITIVO!$P$447)</f>
        <v>58997.32866875521</v>
      </c>
      <c r="E9" s="230">
        <f>D9/$D$27</f>
        <v>8.1879449785737649E-2</v>
      </c>
      <c r="F9" s="237">
        <v>7.0000000000000007E-2</v>
      </c>
      <c r="G9" s="238">
        <f>D9*F9</f>
        <v>4129.8130068128648</v>
      </c>
      <c r="H9" s="237">
        <v>0.30000000000000004</v>
      </c>
      <c r="I9" s="238">
        <f>D9*H9</f>
        <v>17699.198600626565</v>
      </c>
      <c r="J9" s="237">
        <v>0.63</v>
      </c>
      <c r="K9" s="238">
        <f>D9*J9</f>
        <v>37168.317061315785</v>
      </c>
      <c r="L9" s="237"/>
      <c r="M9" s="231"/>
      <c r="N9" s="230"/>
      <c r="O9" s="231"/>
      <c r="P9" s="230"/>
      <c r="Q9" s="231"/>
      <c r="R9" s="230"/>
      <c r="S9" s="231"/>
      <c r="T9" s="230"/>
      <c r="U9" s="231"/>
      <c r="V9" s="230"/>
      <c r="W9" s="231"/>
      <c r="X9" s="230"/>
      <c r="Y9" s="231"/>
      <c r="Z9" s="230"/>
      <c r="AA9" s="231"/>
    </row>
    <row r="10" spans="1:27" x14ac:dyDescent="0.25">
      <c r="A10" s="227">
        <v>5</v>
      </c>
      <c r="B10" s="228" t="str">
        <f>'MEMÓRIA DE CÁLCULO'!B65</f>
        <v>SUPERESTRUTURA</v>
      </c>
      <c r="C10" s="229">
        <f>ADITIVO!U74</f>
        <v>31216.872603999993</v>
      </c>
      <c r="D10" s="229">
        <f>ADITIVO!L74*(1+ADITIVO!$J$447)+ADITIVO!R74*(1+ADITIVO!$P$447)</f>
        <v>38828.081351225592</v>
      </c>
      <c r="E10" s="230">
        <f>D10/$D$27</f>
        <v>5.3887557437120336E-2</v>
      </c>
      <c r="F10" s="230"/>
      <c r="G10" s="231"/>
      <c r="H10" s="230"/>
      <c r="I10" s="231"/>
      <c r="J10" s="230"/>
      <c r="K10" s="231"/>
      <c r="L10" s="230">
        <v>0.15</v>
      </c>
      <c r="M10" s="231">
        <f>D10*L10</f>
        <v>5824.2122026838388</v>
      </c>
      <c r="N10" s="230">
        <v>0.4</v>
      </c>
      <c r="O10" s="231">
        <f>D10*N10</f>
        <v>15531.232540490237</v>
      </c>
      <c r="P10" s="230">
        <v>0.45</v>
      </c>
      <c r="Q10" s="231">
        <f>D10*P10</f>
        <v>17472.636608051518</v>
      </c>
      <c r="R10" s="230"/>
      <c r="S10" s="231"/>
      <c r="T10" s="230"/>
      <c r="U10" s="231"/>
      <c r="V10" s="230"/>
      <c r="W10" s="231"/>
      <c r="X10" s="230"/>
      <c r="Y10" s="231"/>
      <c r="Z10" s="230"/>
      <c r="AA10" s="231"/>
    </row>
    <row r="11" spans="1:27" x14ac:dyDescent="0.25">
      <c r="A11" s="227">
        <v>6</v>
      </c>
      <c r="B11" s="228" t="str">
        <f>'MEMÓRIA DE CÁLCULO'!B75</f>
        <v>ALVENARIA</v>
      </c>
      <c r="C11" s="229">
        <f>ADITIVO!U81</f>
        <v>13560.3986</v>
      </c>
      <c r="D11" s="229">
        <f>ADITIVO!L81*(1+ADITIVO!$J$447)+ADITIVO!R81*(1+ADITIVO!$P$447)</f>
        <v>16720.844449440003</v>
      </c>
      <c r="E11" s="230">
        <f>D11/D27</f>
        <v>2.3206026007718553E-2</v>
      </c>
      <c r="F11" s="230"/>
      <c r="G11" s="231"/>
      <c r="H11" s="230"/>
      <c r="I11" s="231"/>
      <c r="J11" s="230">
        <v>0.02</v>
      </c>
      <c r="K11" s="231">
        <f>D11*J11</f>
        <v>334.41688898880005</v>
      </c>
      <c r="L11" s="230">
        <v>0.57999999999999996</v>
      </c>
      <c r="M11" s="231">
        <f>D11*L11</f>
        <v>9698.0897806752018</v>
      </c>
      <c r="N11" s="230">
        <v>0.4</v>
      </c>
      <c r="O11" s="231">
        <f>D11*N11</f>
        <v>6688.3377797760013</v>
      </c>
      <c r="P11" s="230"/>
      <c r="Q11" s="231"/>
      <c r="R11" s="230"/>
      <c r="S11" s="231"/>
      <c r="T11" s="230"/>
      <c r="U11" s="231"/>
      <c r="V11" s="230"/>
      <c r="W11" s="231"/>
      <c r="X11" s="230"/>
      <c r="Y11" s="231"/>
      <c r="Z11" s="230"/>
      <c r="AA11" s="231"/>
    </row>
    <row r="12" spans="1:27" x14ac:dyDescent="0.25">
      <c r="A12" s="227">
        <v>7</v>
      </c>
      <c r="B12" s="228" t="str">
        <f>'MEMÓRIA DE CÁLCULO'!B82</f>
        <v>COBERTURA E FORRO</v>
      </c>
      <c r="C12" s="229">
        <f>ADITIVO!U96</f>
        <v>10044.720000000001</v>
      </c>
      <c r="D12" s="229">
        <f>ADITIVO!L96*(1+ADITIVO!$J$447)+ADITIVO!R96*(1+ADITIVO!$P$447)</f>
        <v>12519.739008</v>
      </c>
      <c r="E12" s="230">
        <f t="shared" ref="E12:E25" si="0">D12/$D$27</f>
        <v>1.737552130862785E-2</v>
      </c>
      <c r="F12" s="230"/>
      <c r="G12" s="231"/>
      <c r="H12" s="230"/>
      <c r="I12" s="231"/>
      <c r="J12" s="230"/>
      <c r="K12" s="231"/>
      <c r="L12" s="230"/>
      <c r="M12" s="231"/>
      <c r="N12" s="230"/>
      <c r="O12" s="231"/>
      <c r="P12" s="230"/>
      <c r="Q12" s="231"/>
      <c r="R12" s="230">
        <v>0.5</v>
      </c>
      <c r="S12" s="231">
        <f>D12*R12</f>
        <v>6259.8695040000002</v>
      </c>
      <c r="T12" s="230">
        <v>0.5</v>
      </c>
      <c r="U12" s="231">
        <f t="shared" ref="U12:U19" si="1">D12*T12</f>
        <v>6259.8695040000002</v>
      </c>
      <c r="V12" s="230"/>
      <c r="W12" s="231"/>
      <c r="X12" s="230"/>
      <c r="Y12" s="231"/>
      <c r="Z12" s="230"/>
      <c r="AA12" s="231"/>
    </row>
    <row r="13" spans="1:27" x14ac:dyDescent="0.25">
      <c r="A13" s="227">
        <v>8</v>
      </c>
      <c r="B13" s="228" t="str">
        <f>'MEMÓRIA DE CÁLCULO'!B97</f>
        <v>INSTALAÇÕES HIDRÁULICAS</v>
      </c>
      <c r="C13" s="229">
        <f>ADITIVO!U172</f>
        <v>15095.529999999999</v>
      </c>
      <c r="D13" s="229">
        <f>ADITIVO!L172*(1+ADITIVO!$J$447)+ADITIVO!R172*(1+ADITIVO!$P$447)</f>
        <v>18815.068592</v>
      </c>
      <c r="E13" s="230">
        <f t="shared" si="0"/>
        <v>2.6112495239292977E-2</v>
      </c>
      <c r="F13" s="230"/>
      <c r="G13" s="231"/>
      <c r="H13" s="230"/>
      <c r="I13" s="231"/>
      <c r="J13" s="230"/>
      <c r="K13" s="231"/>
      <c r="L13" s="230">
        <v>0.35</v>
      </c>
      <c r="M13" s="231">
        <f>D13*L13</f>
        <v>6585.2740071999997</v>
      </c>
      <c r="N13" s="230">
        <v>0.1</v>
      </c>
      <c r="O13" s="231">
        <f>D13*N13</f>
        <v>1881.5068592</v>
      </c>
      <c r="P13" s="230">
        <v>0.1</v>
      </c>
      <c r="Q13" s="231">
        <f>D13*P13</f>
        <v>1881.5068592</v>
      </c>
      <c r="R13" s="230">
        <v>0.2</v>
      </c>
      <c r="S13" s="231">
        <f>D13*R13</f>
        <v>3763.0137184</v>
      </c>
      <c r="T13" s="230">
        <v>0.2</v>
      </c>
      <c r="U13" s="231">
        <f t="shared" si="1"/>
        <v>3763.0137184</v>
      </c>
      <c r="V13" s="230">
        <v>0.05</v>
      </c>
      <c r="W13" s="231">
        <f>D13*V13</f>
        <v>940.7534296</v>
      </c>
      <c r="X13" s="230"/>
      <c r="Y13" s="231"/>
      <c r="Z13" s="230"/>
      <c r="AA13" s="231"/>
    </row>
    <row r="14" spans="1:27" x14ac:dyDescent="0.25">
      <c r="A14" s="227">
        <v>9</v>
      </c>
      <c r="B14" s="228" t="str">
        <f>'MEMÓRIA DE CÁLCULO'!B173</f>
        <v>INSTALAÇÕES SANITÁRIAS</v>
      </c>
      <c r="C14" s="229">
        <f>ADITIVO!U194</f>
        <v>12330.2</v>
      </c>
      <c r="D14" s="229">
        <f>ADITIVO!L194*(1+ADITIVO!$J$447)+ADITIVO!R194*(1+ADITIVO!$P$447)</f>
        <v>15368.361280000001</v>
      </c>
      <c r="E14" s="230">
        <f t="shared" si="0"/>
        <v>2.1328982076119905E-2</v>
      </c>
      <c r="F14" s="230"/>
      <c r="G14" s="231"/>
      <c r="H14" s="230"/>
      <c r="I14" s="231"/>
      <c r="J14" s="230"/>
      <c r="K14" s="231"/>
      <c r="L14" s="230">
        <v>0.1</v>
      </c>
      <c r="M14" s="231">
        <f>D14*L14</f>
        <v>1536.8361280000001</v>
      </c>
      <c r="N14" s="230">
        <v>0.1</v>
      </c>
      <c r="O14" s="231">
        <f>D14*N14</f>
        <v>1536.8361280000001</v>
      </c>
      <c r="P14" s="230">
        <v>0.1</v>
      </c>
      <c r="Q14" s="231">
        <f>D14*P14</f>
        <v>1536.8361280000001</v>
      </c>
      <c r="R14" s="230">
        <v>0.35</v>
      </c>
      <c r="S14" s="231">
        <f>D14*R14</f>
        <v>5378.9264480000002</v>
      </c>
      <c r="T14" s="230">
        <v>0.2</v>
      </c>
      <c r="U14" s="231">
        <f t="shared" si="1"/>
        <v>3073.6722560000003</v>
      </c>
      <c r="V14" s="230">
        <v>0.05</v>
      </c>
      <c r="W14" s="231">
        <f>D14*V14</f>
        <v>768.41806400000007</v>
      </c>
      <c r="X14" s="230">
        <v>0.1</v>
      </c>
      <c r="Y14" s="231">
        <f>D14*X14</f>
        <v>1536.8361280000001</v>
      </c>
      <c r="Z14" s="230"/>
      <c r="AA14" s="231"/>
    </row>
    <row r="15" spans="1:27" x14ac:dyDescent="0.25">
      <c r="A15" s="227">
        <v>10</v>
      </c>
      <c r="B15" s="228" t="str">
        <f>'MEMÓRIA DE CÁLCULO'!B195</f>
        <v>INSTALAÇÃO ELÉTRICA</v>
      </c>
      <c r="C15" s="229">
        <f>ADITIVO!U283</f>
        <v>20173.560000000001</v>
      </c>
      <c r="D15" s="229">
        <f>ADITIVO!L283*(1+ADITIVO!$J$447)+ADITIVO!R283*(1+ADITIVO!$P$447)</f>
        <v>25144.325184000001</v>
      </c>
      <c r="E15" s="230">
        <f t="shared" si="0"/>
        <v>3.4896554772147204E-2</v>
      </c>
      <c r="F15" s="230"/>
      <c r="G15" s="231"/>
      <c r="H15" s="230"/>
      <c r="I15" s="231"/>
      <c r="J15" s="230"/>
      <c r="K15" s="231"/>
      <c r="L15" s="230">
        <v>0.1</v>
      </c>
      <c r="M15" s="231">
        <f>D15*L15</f>
        <v>2514.4325184000004</v>
      </c>
      <c r="N15" s="230">
        <v>0.1</v>
      </c>
      <c r="O15" s="231">
        <f>D15*N15</f>
        <v>2514.4325184000004</v>
      </c>
      <c r="P15" s="230">
        <v>0.1</v>
      </c>
      <c r="Q15" s="231">
        <f>D15*P15</f>
        <v>2514.4325184000004</v>
      </c>
      <c r="R15" s="230">
        <v>0.35</v>
      </c>
      <c r="S15" s="231">
        <f>D15*R15</f>
        <v>8800.5138143999993</v>
      </c>
      <c r="T15" s="230">
        <v>0.2</v>
      </c>
      <c r="U15" s="231">
        <f t="shared" si="1"/>
        <v>5028.8650368000008</v>
      </c>
      <c r="V15" s="230">
        <v>0.05</v>
      </c>
      <c r="W15" s="231">
        <f>D15*V15</f>
        <v>1257.2162592000002</v>
      </c>
      <c r="X15" s="230">
        <v>0.1</v>
      </c>
      <c r="Y15" s="231">
        <f>D15*X15</f>
        <v>2514.4325184000004</v>
      </c>
      <c r="Z15" s="230"/>
      <c r="AA15" s="231"/>
    </row>
    <row r="16" spans="1:27" x14ac:dyDescent="0.25">
      <c r="A16" s="227">
        <v>12</v>
      </c>
      <c r="B16" s="228" t="str">
        <f>'MEMÓRIA DE CÁLCULO'!B284</f>
        <v>ESQUADRIAS METÁLICAS</v>
      </c>
      <c r="C16" s="229">
        <f>ADITIVO!U293</f>
        <v>5212.3320000000003</v>
      </c>
      <c r="D16" s="229">
        <f>ADITIVO!L293*(1+ADITIVO!$J$447)+ADITIVO!R293*(1+ADITIVO!$P$447)</f>
        <v>6496.6506048000001</v>
      </c>
      <c r="E16" s="230">
        <f t="shared" si="0"/>
        <v>9.0163773339269615E-3</v>
      </c>
      <c r="F16" s="230"/>
      <c r="G16" s="231"/>
      <c r="H16" s="230"/>
      <c r="I16" s="231"/>
      <c r="J16" s="230"/>
      <c r="K16" s="231"/>
      <c r="L16" s="230"/>
      <c r="M16" s="231"/>
      <c r="N16" s="230"/>
      <c r="O16" s="231"/>
      <c r="P16" s="230"/>
      <c r="Q16" s="231"/>
      <c r="R16" s="230"/>
      <c r="S16" s="231"/>
      <c r="T16" s="230">
        <v>0.35</v>
      </c>
      <c r="U16" s="231">
        <f t="shared" si="1"/>
        <v>2273.82771168</v>
      </c>
      <c r="V16" s="230">
        <v>0.35</v>
      </c>
      <c r="W16" s="231">
        <f>D16*V16</f>
        <v>2273.82771168</v>
      </c>
      <c r="X16" s="230">
        <v>0.30000000000000004</v>
      </c>
      <c r="Y16" s="231">
        <f>D16*X16</f>
        <v>1948.9951814400004</v>
      </c>
      <c r="Z16" s="230"/>
      <c r="AA16" s="231"/>
    </row>
    <row r="17" spans="1:27" x14ac:dyDescent="0.25">
      <c r="A17" s="227">
        <v>13</v>
      </c>
      <c r="B17" s="228" t="str">
        <f>'MEMÓRIA DE CÁLCULO'!B294</f>
        <v>FERRAGENS</v>
      </c>
      <c r="C17" s="229">
        <f>ADITIVO!U311</f>
        <v>12516.635200000001</v>
      </c>
      <c r="D17" s="229">
        <f>ADITIVO!L311*(1+ADITIVO!$J$447)+ADITIVO!R311*(1+ADITIVO!$P$447)</f>
        <v>15600.734113279999</v>
      </c>
      <c r="E17" s="230">
        <f t="shared" si="0"/>
        <v>2.1651480741117862E-2</v>
      </c>
      <c r="F17" s="230"/>
      <c r="G17" s="231"/>
      <c r="H17" s="230"/>
      <c r="I17" s="231"/>
      <c r="J17" s="230"/>
      <c r="K17" s="231"/>
      <c r="L17" s="230"/>
      <c r="M17" s="231"/>
      <c r="N17" s="230"/>
      <c r="O17" s="231"/>
      <c r="P17" s="230"/>
      <c r="Q17" s="231"/>
      <c r="R17" s="230"/>
      <c r="S17" s="231"/>
      <c r="T17" s="230">
        <v>0.4</v>
      </c>
      <c r="U17" s="231">
        <f t="shared" si="1"/>
        <v>6240.2936453120001</v>
      </c>
      <c r="V17" s="230">
        <v>0.60000000000000009</v>
      </c>
      <c r="W17" s="231">
        <f>D17*V17</f>
        <v>9360.440467968001</v>
      </c>
      <c r="X17" s="230"/>
      <c r="Y17" s="231"/>
      <c r="Z17" s="230"/>
      <c r="AA17" s="231"/>
    </row>
    <row r="18" spans="1:27" x14ac:dyDescent="0.25">
      <c r="A18" s="227">
        <v>14</v>
      </c>
      <c r="B18" s="228" t="str">
        <f>'MEMÓRIA DE CÁLCULO'!B312</f>
        <v>REVESTIMENTO</v>
      </c>
      <c r="C18" s="229">
        <f>ADITIVO!U328</f>
        <v>24285.477200000001</v>
      </c>
      <c r="D18" s="229">
        <f>ADITIVO!L328*(1+ADITIVO!$J$447)+ADITIVO!R328*(1+ADITIVO!$P$447)</f>
        <v>30266.450042240001</v>
      </c>
      <c r="E18" s="230">
        <f t="shared" si="0"/>
        <v>4.2005296381132151E-2</v>
      </c>
      <c r="F18" s="230"/>
      <c r="G18" s="231"/>
      <c r="H18" s="230"/>
      <c r="I18" s="231"/>
      <c r="J18" s="230"/>
      <c r="K18" s="231"/>
      <c r="L18" s="230"/>
      <c r="M18" s="231"/>
      <c r="N18" s="230"/>
      <c r="O18" s="231"/>
      <c r="P18" s="230">
        <v>0.35</v>
      </c>
      <c r="Q18" s="231">
        <f>D18*P18</f>
        <v>10593.257514784</v>
      </c>
      <c r="R18" s="230">
        <v>0.35</v>
      </c>
      <c r="S18" s="231">
        <f>D18*R18</f>
        <v>10593.257514784</v>
      </c>
      <c r="T18" s="230">
        <v>0.30000000000000004</v>
      </c>
      <c r="U18" s="231">
        <f t="shared" si="1"/>
        <v>9079.9350126720019</v>
      </c>
      <c r="V18" s="230"/>
      <c r="W18" s="231"/>
      <c r="X18" s="230"/>
      <c r="Y18" s="231"/>
      <c r="Z18" s="230"/>
      <c r="AA18" s="231"/>
    </row>
    <row r="19" spans="1:27" x14ac:dyDescent="0.25">
      <c r="A19" s="227">
        <v>15</v>
      </c>
      <c r="B19" s="228" t="str">
        <f>'MEMÓRIA DE CÁLCULO'!B329</f>
        <v>PISOS E RODAPÉS</v>
      </c>
      <c r="C19" s="229">
        <f>ADITIVO!U347</f>
        <v>26333.282176000001</v>
      </c>
      <c r="D19" s="229">
        <f>ADITIVO!L347*(1+ADITIVO!$J$447)+ADITIVO!R347*(1+ADITIVO!$P$447)</f>
        <v>32821.802904166398</v>
      </c>
      <c r="E19" s="230">
        <f t="shared" si="0"/>
        <v>4.5551743162098889E-2</v>
      </c>
      <c r="F19" s="230"/>
      <c r="G19" s="231"/>
      <c r="H19" s="230"/>
      <c r="I19" s="231"/>
      <c r="J19" s="230"/>
      <c r="K19" s="231"/>
      <c r="L19" s="230"/>
      <c r="M19" s="231"/>
      <c r="N19" s="230"/>
      <c r="O19" s="231"/>
      <c r="P19" s="230"/>
      <c r="Q19" s="231"/>
      <c r="R19" s="230">
        <v>0.35</v>
      </c>
      <c r="S19" s="231">
        <f>D19*R19</f>
        <v>11487.631016458239</v>
      </c>
      <c r="T19" s="230">
        <v>0.35</v>
      </c>
      <c r="U19" s="231">
        <f t="shared" si="1"/>
        <v>11487.631016458239</v>
      </c>
      <c r="V19" s="230">
        <v>0.30000000000000004</v>
      </c>
      <c r="W19" s="231">
        <f>D19*V19</f>
        <v>9846.5408712499211</v>
      </c>
      <c r="X19" s="230"/>
      <c r="Y19" s="231"/>
      <c r="Z19" s="230"/>
      <c r="AA19" s="231"/>
    </row>
    <row r="20" spans="1:27" x14ac:dyDescent="0.25">
      <c r="A20" s="227">
        <v>17</v>
      </c>
      <c r="B20" s="228" t="str">
        <f>'MEMÓRIA DE CÁLCULO'!B348</f>
        <v>PINTURA</v>
      </c>
      <c r="C20" s="229">
        <f>ADITIVO!U358</f>
        <v>12500.975839999996</v>
      </c>
      <c r="D20" s="229">
        <f>ADITIVO!L358*(1+ADITIVO!$J$447)+ADITIVO!R358*(1+ADITIVO!$P$447)</f>
        <v>15581.216286975994</v>
      </c>
      <c r="E20" s="230">
        <f t="shared" si="0"/>
        <v>2.1624392923502284E-2</v>
      </c>
      <c r="F20" s="230"/>
      <c r="G20" s="231"/>
      <c r="H20" s="230"/>
      <c r="I20" s="231"/>
      <c r="J20" s="230"/>
      <c r="K20" s="231"/>
      <c r="L20" s="230"/>
      <c r="M20" s="231"/>
      <c r="N20" s="230"/>
      <c r="O20" s="231"/>
      <c r="P20" s="230"/>
      <c r="Q20" s="231"/>
      <c r="R20" s="230"/>
      <c r="S20" s="231"/>
      <c r="T20" s="230"/>
      <c r="U20" s="231"/>
      <c r="V20" s="230">
        <v>0.1</v>
      </c>
      <c r="W20" s="231">
        <f>D20*V20</f>
        <v>1558.1216286975996</v>
      </c>
      <c r="X20" s="230">
        <v>0.65</v>
      </c>
      <c r="Y20" s="231">
        <f>D20*X20</f>
        <v>10127.790586534396</v>
      </c>
      <c r="Z20" s="230">
        <v>0.25</v>
      </c>
      <c r="AA20" s="231">
        <f>D20*Z20</f>
        <v>3895.3040717439985</v>
      </c>
    </row>
    <row r="21" spans="1:27" x14ac:dyDescent="0.25">
      <c r="A21" s="227">
        <v>18</v>
      </c>
      <c r="B21" s="228" t="str">
        <f>'MEMÓRIA DE CÁLCULO'!B359</f>
        <v>BANCADAS, PRATELEIRAS E DIVISÓRIAS</v>
      </c>
      <c r="C21" s="229">
        <f>ADITIVO!U368</f>
        <v>120.404</v>
      </c>
      <c r="D21" s="229">
        <f>ADITIVO!L368*(1+ADITIVO!$J$447)+ADITIVO!R368*(1+ADITIVO!$P$447)</f>
        <v>150.07154559999998</v>
      </c>
      <c r="E21" s="230">
        <f t="shared" si="0"/>
        <v>2.0827681285730487E-4</v>
      </c>
      <c r="F21" s="230"/>
      <c r="G21" s="231"/>
      <c r="H21" s="230"/>
      <c r="I21" s="231"/>
      <c r="J21" s="230"/>
      <c r="K21" s="231"/>
      <c r="L21" s="230"/>
      <c r="M21" s="231"/>
      <c r="N21" s="230"/>
      <c r="O21" s="231"/>
      <c r="P21" s="230">
        <v>0.5</v>
      </c>
      <c r="Q21" s="231">
        <f>D21*P21</f>
        <v>75.03577279999999</v>
      </c>
      <c r="R21" s="230">
        <v>0.5</v>
      </c>
      <c r="S21" s="231">
        <f>D21*R21</f>
        <v>75.03577279999999</v>
      </c>
      <c r="T21" s="230"/>
      <c r="U21" s="231"/>
      <c r="V21" s="230"/>
      <c r="W21" s="231"/>
      <c r="X21" s="230"/>
      <c r="Y21" s="231"/>
      <c r="Z21" s="230"/>
      <c r="AA21" s="231"/>
    </row>
    <row r="22" spans="1:27" x14ac:dyDescent="0.25">
      <c r="A22" s="227">
        <v>20</v>
      </c>
      <c r="B22" s="228" t="str">
        <f>'MEMÓRIA DE CÁLCULO'!B369</f>
        <v>QUADRA</v>
      </c>
      <c r="C22" s="229">
        <f>ADITIVO!U411</f>
        <v>312213.62660399999</v>
      </c>
      <c r="D22" s="229">
        <f>ADITIVO!L411*(1+ADITIVO!$J$447)+ADITIVO!R411*(1+ADITIVO!$P$447)</f>
        <v>387593.84883922565</v>
      </c>
      <c r="E22" s="230">
        <f t="shared" si="0"/>
        <v>0.53792217036598522</v>
      </c>
      <c r="F22" s="230"/>
      <c r="G22" s="231"/>
      <c r="H22" s="230"/>
      <c r="I22" s="231"/>
      <c r="J22" s="230">
        <v>0.01</v>
      </c>
      <c r="K22" s="231">
        <f>D22*J22</f>
        <v>3875.9384883922567</v>
      </c>
      <c r="L22" s="230">
        <v>7.0000000000000007E-2</v>
      </c>
      <c r="M22" s="231">
        <f>D22*L22</f>
        <v>27131.569418745799</v>
      </c>
      <c r="N22" s="230">
        <v>0.25</v>
      </c>
      <c r="O22" s="231">
        <f>D22*N22</f>
        <v>96898.462209806414</v>
      </c>
      <c r="P22" s="230">
        <v>0.25</v>
      </c>
      <c r="Q22" s="231">
        <f>D22*P22</f>
        <v>96898.462209806414</v>
      </c>
      <c r="R22" s="230">
        <v>0.2</v>
      </c>
      <c r="S22" s="231">
        <f>D22*R22</f>
        <v>77518.769767845137</v>
      </c>
      <c r="T22" s="230">
        <v>0.1</v>
      </c>
      <c r="U22" s="231">
        <f>D22*T22</f>
        <v>38759.384883922568</v>
      </c>
      <c r="V22" s="230">
        <v>0.08</v>
      </c>
      <c r="W22" s="231">
        <f>D22*V22</f>
        <v>31007.507907138053</v>
      </c>
      <c r="X22" s="230">
        <v>0.04</v>
      </c>
      <c r="Y22" s="231">
        <f>D22*X22</f>
        <v>15503.753953569027</v>
      </c>
      <c r="Z22" s="230"/>
      <c r="AA22" s="231"/>
    </row>
    <row r="23" spans="1:27" x14ac:dyDescent="0.25">
      <c r="A23" s="227">
        <v>23</v>
      </c>
      <c r="B23" s="228" t="s">
        <v>452</v>
      </c>
      <c r="C23" s="229">
        <f>ADITIVO!U419</f>
        <v>6503.1200000000008</v>
      </c>
      <c r="D23" s="229">
        <f>ADITIVO!L419*(1+ADITIVO!$J$447)+ADITIVO!R419*(1+ADITIVO!$P$447)</f>
        <v>8105.4887680000011</v>
      </c>
      <c r="E23" s="230">
        <f t="shared" si="0"/>
        <v>1.124920357486958E-2</v>
      </c>
      <c r="F23" s="230"/>
      <c r="G23" s="231"/>
      <c r="H23" s="230"/>
      <c r="I23" s="231"/>
      <c r="J23" s="230"/>
      <c r="K23" s="231"/>
      <c r="L23" s="230">
        <v>0.06</v>
      </c>
      <c r="M23" s="231">
        <f>D23*L23</f>
        <v>486.32932608000004</v>
      </c>
      <c r="N23" s="230">
        <v>0.06</v>
      </c>
      <c r="O23" s="231">
        <f>D23*N23</f>
        <v>486.32932608000004</v>
      </c>
      <c r="P23" s="230">
        <v>0.06</v>
      </c>
      <c r="Q23" s="231">
        <f>D23*P23</f>
        <v>486.32932608000004</v>
      </c>
      <c r="R23" s="230">
        <v>0.06</v>
      </c>
      <c r="S23" s="231">
        <f>D23*R23</f>
        <v>486.32932608000004</v>
      </c>
      <c r="T23" s="230">
        <v>0.06</v>
      </c>
      <c r="U23" s="231">
        <f>D23*T23</f>
        <v>486.32932608000004</v>
      </c>
      <c r="V23" s="230">
        <v>0.06</v>
      </c>
      <c r="W23" s="231">
        <f>D23*V23</f>
        <v>486.32932608000004</v>
      </c>
      <c r="X23" s="230">
        <v>0.06</v>
      </c>
      <c r="Y23" s="231">
        <f>D23*X23</f>
        <v>486.32932608000004</v>
      </c>
      <c r="Z23" s="230">
        <v>0.57999999999999996</v>
      </c>
      <c r="AA23" s="231">
        <f>D23*Z23</f>
        <v>4701.1834854400004</v>
      </c>
    </row>
    <row r="24" spans="1:27" x14ac:dyDescent="0.25">
      <c r="A24" s="227">
        <v>24</v>
      </c>
      <c r="B24" s="228" t="s">
        <v>461</v>
      </c>
      <c r="C24" s="229">
        <f>ADITIVO!U440</f>
        <v>14179.509999999998</v>
      </c>
      <c r="D24" s="229">
        <f>ADITIVO!L440*(1+ADITIVO!$J$446)+ADITIVO!R440*(1+ADITIVO!$P$446)</f>
        <v>17782.168243</v>
      </c>
      <c r="E24" s="230">
        <f t="shared" si="0"/>
        <v>2.467898436400472E-2</v>
      </c>
      <c r="F24" s="230">
        <v>0.5</v>
      </c>
      <c r="G24" s="231">
        <f>D24*F24</f>
        <v>8891.0841215</v>
      </c>
      <c r="H24" s="230">
        <v>0.5</v>
      </c>
      <c r="I24" s="231">
        <f>D24*H24</f>
        <v>8891.0841215</v>
      </c>
      <c r="J24" s="230"/>
      <c r="K24" s="231"/>
      <c r="L24" s="230"/>
      <c r="M24" s="231"/>
      <c r="N24" s="230"/>
      <c r="O24" s="231"/>
      <c r="P24" s="230"/>
      <c r="Q24" s="231"/>
      <c r="R24" s="230"/>
      <c r="S24" s="231"/>
      <c r="T24" s="230"/>
      <c r="U24" s="231"/>
      <c r="V24" s="230"/>
      <c r="W24" s="231"/>
      <c r="X24" s="230"/>
      <c r="Y24" s="231"/>
      <c r="Z24" s="230"/>
      <c r="AA24" s="231"/>
    </row>
    <row r="25" spans="1:27" x14ac:dyDescent="0.25">
      <c r="A25" s="227">
        <v>26</v>
      </c>
      <c r="B25" s="228" t="s">
        <v>483</v>
      </c>
      <c r="C25" s="229">
        <f>ADITIVO!U444</f>
        <v>137.70000000000002</v>
      </c>
      <c r="D25" s="229">
        <f>ADITIVO!L444*(1+ADITIVO!$J$447)+ADITIVO!R444*(1+ADITIVO!$P$447)</f>
        <v>171.62928000000002</v>
      </c>
      <c r="E25" s="230">
        <f t="shared" si="0"/>
        <v>2.3819571717260962E-4</v>
      </c>
      <c r="F25" s="230"/>
      <c r="G25" s="231"/>
      <c r="H25" s="230"/>
      <c r="I25" s="231"/>
      <c r="J25" s="230"/>
      <c r="K25" s="231"/>
      <c r="L25" s="230"/>
      <c r="M25" s="231"/>
      <c r="N25" s="230"/>
      <c r="O25" s="231"/>
      <c r="P25" s="230"/>
      <c r="Q25" s="231"/>
      <c r="R25" s="230"/>
      <c r="S25" s="231"/>
      <c r="T25" s="230"/>
      <c r="U25" s="231"/>
      <c r="V25" s="230">
        <v>1</v>
      </c>
      <c r="W25" s="231">
        <f>D25*V25</f>
        <v>171.62928000000002</v>
      </c>
      <c r="X25" s="230"/>
      <c r="Y25" s="231"/>
      <c r="Z25" s="230"/>
      <c r="AA25" s="231"/>
    </row>
    <row r="26" spans="1:27" s="233" customFormat="1" ht="12.75" customHeight="1" x14ac:dyDescent="0.2">
      <c r="A26" s="379" t="s">
        <v>512</v>
      </c>
      <c r="B26" s="379"/>
      <c r="C26" s="229"/>
      <c r="D26" s="229"/>
      <c r="E26" s="230"/>
      <c r="F26" s="230">
        <f>G26/D27</f>
        <v>3.5951847270906133E-2</v>
      </c>
      <c r="G26" s="231">
        <f>SUM(G7:G25)</f>
        <v>25904.704480073353</v>
      </c>
      <c r="H26" s="230">
        <f>I26/D27</f>
        <v>4.3257247070600115E-2</v>
      </c>
      <c r="I26" s="231">
        <f>SUM(I7:I25)</f>
        <v>31168.529214692888</v>
      </c>
      <c r="J26" s="230">
        <f>K26/D27</f>
        <v>6.0359974028618084E-2</v>
      </c>
      <c r="K26" s="231">
        <f>SUM(K7:K25)</f>
        <v>43491.70928141976</v>
      </c>
      <c r="L26" s="230">
        <f>M26/D27</f>
        <v>7.4634059858735211E-2</v>
      </c>
      <c r="M26" s="231">
        <f>SUM(M7:M25)</f>
        <v>53776.743381784836</v>
      </c>
      <c r="N26" s="230">
        <f>O26/D27</f>
        <v>0.17422673139268005</v>
      </c>
      <c r="O26" s="231">
        <f>SUM(O7:O25)</f>
        <v>125537.13736175264</v>
      </c>
      <c r="P26" s="230">
        <f>Q26/D27</f>
        <v>0.18244469100127356</v>
      </c>
      <c r="Q26" s="231">
        <f>SUM(Q7:Q25)</f>
        <v>131458.49693712193</v>
      </c>
      <c r="R26" s="230">
        <f>S26/D27</f>
        <v>0.17259768613331478</v>
      </c>
      <c r="S26" s="231">
        <f>SUM(S7:S25)</f>
        <v>124363.34688276738</v>
      </c>
      <c r="T26" s="230">
        <f>U26/D27</f>
        <v>0.11998355970731248</v>
      </c>
      <c r="U26" s="231">
        <f>SUM(U7:U25)</f>
        <v>86452.8221113248</v>
      </c>
      <c r="V26" s="230">
        <f>W26/D27</f>
        <v>8.0038405917846667E-2</v>
      </c>
      <c r="W26" s="231">
        <f>SUM(W7:W25)</f>
        <v>57670.784945613574</v>
      </c>
      <c r="X26" s="230">
        <f>Y26/D27</f>
        <v>4.4575161314412866E-2</v>
      </c>
      <c r="Y26" s="231">
        <f>SUM(Y7:Y25)</f>
        <v>32118.137694023422</v>
      </c>
      <c r="Z26" s="230">
        <f>AA26/D27</f>
        <v>1.1930636304299925E-2</v>
      </c>
      <c r="AA26" s="231">
        <f>SUM(AA7:AA25)</f>
        <v>8596.4875571839984</v>
      </c>
    </row>
    <row r="27" spans="1:27" s="233" customFormat="1" ht="12.75" customHeight="1" x14ac:dyDescent="0.2">
      <c r="A27" s="378" t="s">
        <v>513</v>
      </c>
      <c r="B27" s="378"/>
      <c r="C27" s="234">
        <f>SUM(C7:C25)</f>
        <v>580264.57374656003</v>
      </c>
      <c r="D27" s="234">
        <f>SUM(D7:D25)</f>
        <v>720538.8998477587</v>
      </c>
      <c r="E27" s="235">
        <f>SUM(E7:E26)</f>
        <v>0.99999999999999978</v>
      </c>
      <c r="F27" s="235">
        <f>G27/D27</f>
        <v>3.5951847270906133E-2</v>
      </c>
      <c r="G27" s="236">
        <f>G26</f>
        <v>25904.704480073353</v>
      </c>
      <c r="H27" s="235">
        <f>I27/D27</f>
        <v>7.9209094341506248E-2</v>
      </c>
      <c r="I27" s="236">
        <f>G27+I26</f>
        <v>57073.233694766241</v>
      </c>
      <c r="J27" s="235">
        <f>K27/D27</f>
        <v>0.13956906837012431</v>
      </c>
      <c r="K27" s="236">
        <f>I27+K26</f>
        <v>100564.94297618599</v>
      </c>
      <c r="L27" s="235">
        <f>M27/D27</f>
        <v>0.21420312822885951</v>
      </c>
      <c r="M27" s="236">
        <f t="shared" ref="M27:Y27" si="2">K27+M26</f>
        <v>154341.68635797082</v>
      </c>
      <c r="N27" s="235">
        <f t="shared" si="2"/>
        <v>0.38842985962153953</v>
      </c>
      <c r="O27" s="236">
        <f t="shared" si="2"/>
        <v>279878.82371972344</v>
      </c>
      <c r="P27" s="235">
        <f t="shared" si="2"/>
        <v>0.57087455062281312</v>
      </c>
      <c r="Q27" s="236">
        <f t="shared" si="2"/>
        <v>411337.32065684535</v>
      </c>
      <c r="R27" s="235">
        <f t="shared" si="2"/>
        <v>0.74347223675612795</v>
      </c>
      <c r="S27" s="236">
        <f t="shared" si="2"/>
        <v>535700.66753961274</v>
      </c>
      <c r="T27" s="235">
        <f t="shared" si="2"/>
        <v>0.86345579646344039</v>
      </c>
      <c r="U27" s="236">
        <f t="shared" si="2"/>
        <v>622153.4896509375</v>
      </c>
      <c r="V27" s="235">
        <f t="shared" si="2"/>
        <v>0.94349420238128712</v>
      </c>
      <c r="W27" s="236">
        <f t="shared" si="2"/>
        <v>679824.27459655108</v>
      </c>
      <c r="X27" s="235">
        <f t="shared" si="2"/>
        <v>0.98806936369569998</v>
      </c>
      <c r="Y27" s="236">
        <f t="shared" si="2"/>
        <v>711942.41229057452</v>
      </c>
      <c r="Z27" s="235">
        <f>AA27/D27</f>
        <v>0.99999999999999967</v>
      </c>
      <c r="AA27" s="236">
        <f>Y27+AA26</f>
        <v>720538.89984775847</v>
      </c>
    </row>
    <row r="28" spans="1:27" s="225" customFormat="1" ht="80.099999999999994" customHeight="1" x14ac:dyDescent="0.2">
      <c r="A28" s="375" t="s">
        <v>573</v>
      </c>
      <c r="B28" s="376"/>
      <c r="C28" s="376"/>
      <c r="D28" s="376"/>
      <c r="E28" s="376"/>
      <c r="F28" s="376"/>
      <c r="G28" s="376"/>
      <c r="H28" s="376"/>
      <c r="I28" s="376"/>
      <c r="J28" s="376"/>
      <c r="K28" s="376"/>
      <c r="L28" s="376"/>
      <c r="M28" s="376"/>
      <c r="N28" s="376"/>
      <c r="O28" s="376"/>
      <c r="P28" s="376"/>
      <c r="Q28" s="376"/>
      <c r="R28" s="376"/>
      <c r="S28" s="376"/>
      <c r="T28" s="376"/>
      <c r="U28" s="376"/>
      <c r="V28" s="374" t="s">
        <v>575</v>
      </c>
      <c r="W28" s="374"/>
      <c r="X28" s="374"/>
      <c r="Y28" s="374" t="s">
        <v>576</v>
      </c>
      <c r="Z28" s="374"/>
      <c r="AA28" s="377"/>
    </row>
    <row r="29" spans="1:27" s="225" customFormat="1" ht="80.099999999999994" customHeight="1" x14ac:dyDescent="0.2">
      <c r="A29" s="373" t="s">
        <v>574</v>
      </c>
      <c r="B29" s="373"/>
      <c r="C29" s="373"/>
      <c r="D29" s="373"/>
      <c r="E29" s="373"/>
      <c r="F29" s="373"/>
      <c r="G29" s="373"/>
      <c r="H29" s="373"/>
      <c r="I29" s="373"/>
      <c r="J29" s="373"/>
      <c r="K29" s="373"/>
      <c r="L29" s="373"/>
      <c r="M29" s="373"/>
      <c r="N29" s="373"/>
      <c r="O29" s="373"/>
      <c r="P29" s="373"/>
      <c r="Q29" s="373"/>
      <c r="R29" s="373"/>
      <c r="S29" s="373"/>
      <c r="T29" s="373"/>
      <c r="U29" s="373"/>
      <c r="V29" s="373"/>
      <c r="W29" s="373"/>
      <c r="X29" s="373"/>
      <c r="Y29" s="373"/>
      <c r="Z29" s="373"/>
      <c r="AA29" s="373"/>
    </row>
  </sheetData>
  <sheetProtection selectLockedCells="1" selectUnlockedCells="1"/>
  <mergeCells count="28">
    <mergeCell ref="N5:O5"/>
    <mergeCell ref="P5:Q5"/>
    <mergeCell ref="A4:AA4"/>
    <mergeCell ref="A1:AA1"/>
    <mergeCell ref="J2:AA2"/>
    <mergeCell ref="J3:AA3"/>
    <mergeCell ref="A2:I2"/>
    <mergeCell ref="A3:I3"/>
    <mergeCell ref="R5:S5"/>
    <mergeCell ref="T5:U5"/>
    <mergeCell ref="V5:W5"/>
    <mergeCell ref="X5:Y5"/>
    <mergeCell ref="Z5:AA5"/>
    <mergeCell ref="A26:B26"/>
    <mergeCell ref="F5:G5"/>
    <mergeCell ref="H5:I5"/>
    <mergeCell ref="J5:K5"/>
    <mergeCell ref="L5:M5"/>
    <mergeCell ref="A5:A6"/>
    <mergeCell ref="B5:B6"/>
    <mergeCell ref="C5:C6"/>
    <mergeCell ref="D5:D6"/>
    <mergeCell ref="E5:E6"/>
    <mergeCell ref="A29:AA29"/>
    <mergeCell ref="V28:X28"/>
    <mergeCell ref="A28:U28"/>
    <mergeCell ref="Y28:AA28"/>
    <mergeCell ref="A27:B27"/>
  </mergeCells>
  <pageMargins left="0.25" right="0.25" top="0.75" bottom="0.75" header="0.3" footer="0.3"/>
  <pageSetup paperSize="9" scale="41" fitToHeight="0" orientation="landscape" r:id="rId1"/>
  <headerFooter scaleWithDoc="0"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5C7704-2FA2-4A68-B01C-5839CCF29473}">
  <sheetPr>
    <pageSetUpPr fitToPage="1"/>
  </sheetPr>
  <dimension ref="A1:Y124"/>
  <sheetViews>
    <sheetView zoomScale="115" zoomScaleNormal="115" zoomScaleSheetLayoutView="90" workbookViewId="0">
      <selection activeCell="Z30" sqref="Z30"/>
    </sheetView>
  </sheetViews>
  <sheetFormatPr defaultColWidth="11.5703125" defaultRowHeight="15" x14ac:dyDescent="0.25"/>
  <cols>
    <col min="1" max="1" width="11.5703125" style="226" bestFit="1" customWidth="1"/>
    <col min="2" max="2" width="41.28515625" style="226" customWidth="1"/>
    <col min="3" max="6" width="11.5703125" style="226"/>
    <col min="7" max="7" width="11.5703125" style="226" customWidth="1"/>
    <col min="8" max="16384" width="11.5703125" style="226"/>
  </cols>
  <sheetData>
    <row r="1" spans="1:25" ht="15.75" x14ac:dyDescent="0.25">
      <c r="A1" s="390" t="s">
        <v>496</v>
      </c>
      <c r="B1" s="390"/>
      <c r="C1" s="390"/>
      <c r="D1" s="390"/>
      <c r="E1" s="390"/>
      <c r="F1" s="390"/>
      <c r="G1" s="390"/>
      <c r="H1" s="390"/>
      <c r="I1" s="390"/>
      <c r="J1" s="390"/>
      <c r="K1" s="390"/>
      <c r="L1" s="390"/>
      <c r="M1" s="390"/>
      <c r="N1" s="390"/>
      <c r="O1" s="390"/>
      <c r="P1" s="390"/>
      <c r="Q1" s="390"/>
      <c r="R1" s="390"/>
      <c r="S1" s="390"/>
      <c r="T1" s="390"/>
      <c r="U1" s="390"/>
      <c r="V1" s="390"/>
      <c r="W1" s="390"/>
      <c r="X1" s="390"/>
      <c r="Y1" s="390"/>
    </row>
    <row r="2" spans="1:25" ht="15" customHeight="1" x14ac:dyDescent="0.25">
      <c r="A2" s="393" t="s">
        <v>550</v>
      </c>
      <c r="B2" s="394"/>
      <c r="C2" s="394"/>
      <c r="D2" s="394"/>
      <c r="E2" s="394"/>
      <c r="F2" s="394"/>
      <c r="G2" s="394"/>
      <c r="H2" s="391"/>
      <c r="I2" s="392"/>
      <c r="J2" s="392"/>
      <c r="K2" s="392"/>
      <c r="L2" s="392"/>
      <c r="M2" s="392"/>
      <c r="N2" s="392"/>
      <c r="O2" s="392"/>
      <c r="P2" s="392"/>
      <c r="Q2" s="392"/>
      <c r="R2" s="392"/>
      <c r="S2" s="392"/>
      <c r="T2" s="392"/>
      <c r="U2" s="392"/>
      <c r="V2" s="392"/>
      <c r="W2" s="392"/>
      <c r="X2" s="392"/>
      <c r="Y2" s="392"/>
    </row>
    <row r="3" spans="1:25" ht="15" customHeight="1" x14ac:dyDescent="0.25">
      <c r="A3" s="395" t="s">
        <v>551</v>
      </c>
      <c r="B3" s="396"/>
      <c r="C3" s="396"/>
      <c r="D3" s="396"/>
      <c r="E3" s="396"/>
      <c r="F3" s="396"/>
      <c r="G3" s="396"/>
      <c r="H3" s="391" t="s">
        <v>577</v>
      </c>
      <c r="I3" s="392"/>
      <c r="J3" s="392"/>
      <c r="K3" s="392"/>
      <c r="L3" s="392"/>
      <c r="M3" s="392"/>
      <c r="N3" s="392"/>
      <c r="O3" s="392"/>
      <c r="P3" s="392"/>
      <c r="Q3" s="392"/>
      <c r="R3" s="392"/>
      <c r="S3" s="392"/>
      <c r="T3" s="392"/>
      <c r="U3" s="392"/>
      <c r="V3" s="392"/>
      <c r="W3" s="392"/>
      <c r="X3" s="392"/>
      <c r="Y3" s="392"/>
    </row>
    <row r="4" spans="1:25" ht="15" customHeight="1" x14ac:dyDescent="0.25">
      <c r="A4" s="405" t="s">
        <v>539</v>
      </c>
      <c r="B4" s="406"/>
      <c r="C4" s="406"/>
      <c r="D4" s="406"/>
      <c r="E4" s="406"/>
      <c r="F4" s="406"/>
      <c r="G4" s="406"/>
      <c r="H4" s="388"/>
      <c r="I4" s="388"/>
      <c r="J4" s="388"/>
      <c r="K4" s="388"/>
      <c r="L4" s="388"/>
      <c r="M4" s="388"/>
      <c r="N4" s="388"/>
      <c r="O4" s="388"/>
      <c r="P4" s="388"/>
      <c r="Q4" s="388"/>
      <c r="R4" s="388"/>
      <c r="S4" s="388"/>
      <c r="T4" s="388"/>
      <c r="U4" s="388"/>
      <c r="V4" s="388"/>
      <c r="W4" s="388"/>
      <c r="X4" s="388"/>
      <c r="Y4" s="389"/>
    </row>
    <row r="5" spans="1:25" ht="15" customHeight="1" x14ac:dyDescent="0.25">
      <c r="A5" s="398" t="s">
        <v>2</v>
      </c>
      <c r="B5" s="397" t="s">
        <v>3</v>
      </c>
      <c r="C5" s="413" t="s">
        <v>581</v>
      </c>
      <c r="D5" s="414"/>
      <c r="E5" s="415"/>
      <c r="F5" s="416" t="s">
        <v>546</v>
      </c>
      <c r="G5" s="417"/>
      <c r="H5" s="399" t="s">
        <v>579</v>
      </c>
      <c r="I5" s="399"/>
      <c r="J5" s="399"/>
      <c r="K5" s="399"/>
      <c r="L5" s="399"/>
      <c r="M5" s="399"/>
      <c r="N5" s="399"/>
      <c r="O5" s="399"/>
      <c r="P5" s="399"/>
      <c r="Q5" s="399"/>
      <c r="R5" s="399"/>
      <c r="S5" s="399"/>
      <c r="T5" s="399"/>
      <c r="U5" s="399"/>
      <c r="V5" s="399"/>
      <c r="W5" s="399"/>
      <c r="X5" s="399"/>
      <c r="Y5" s="400"/>
    </row>
    <row r="6" spans="1:25" ht="12.75" customHeight="1" x14ac:dyDescent="0.25">
      <c r="A6" s="398"/>
      <c r="B6" s="397"/>
      <c r="C6" s="407" t="s">
        <v>497</v>
      </c>
      <c r="D6" s="409" t="s">
        <v>498</v>
      </c>
      <c r="E6" s="411" t="s">
        <v>499</v>
      </c>
      <c r="F6" s="403" t="s">
        <v>511</v>
      </c>
      <c r="G6" s="403" t="s">
        <v>497</v>
      </c>
      <c r="H6" s="401" t="s">
        <v>500</v>
      </c>
      <c r="I6" s="402"/>
      <c r="J6" s="401" t="s">
        <v>501</v>
      </c>
      <c r="K6" s="402"/>
      <c r="L6" s="401" t="s">
        <v>502</v>
      </c>
      <c r="M6" s="402"/>
      <c r="N6" s="401" t="s">
        <v>503</v>
      </c>
      <c r="O6" s="402"/>
      <c r="P6" s="401" t="s">
        <v>504</v>
      </c>
      <c r="Q6" s="402"/>
      <c r="R6" s="401" t="s">
        <v>505</v>
      </c>
      <c r="S6" s="402"/>
      <c r="T6" s="401" t="s">
        <v>506</v>
      </c>
      <c r="U6" s="402"/>
      <c r="V6" s="401" t="s">
        <v>507</v>
      </c>
      <c r="W6" s="402"/>
      <c r="X6" s="401" t="s">
        <v>508</v>
      </c>
      <c r="Y6" s="402"/>
    </row>
    <row r="7" spans="1:25" x14ac:dyDescent="0.25">
      <c r="A7" s="398"/>
      <c r="B7" s="397"/>
      <c r="C7" s="408"/>
      <c r="D7" s="410"/>
      <c r="E7" s="412"/>
      <c r="F7" s="404"/>
      <c r="G7" s="404"/>
      <c r="H7" s="223" t="s">
        <v>511</v>
      </c>
      <c r="I7" s="224" t="s">
        <v>497</v>
      </c>
      <c r="J7" s="223" t="s">
        <v>511</v>
      </c>
      <c r="K7" s="224" t="s">
        <v>497</v>
      </c>
      <c r="L7" s="223" t="s">
        <v>511</v>
      </c>
      <c r="M7" s="224" t="s">
        <v>497</v>
      </c>
      <c r="N7" s="223" t="s">
        <v>511</v>
      </c>
      <c r="O7" s="224" t="s">
        <v>497</v>
      </c>
      <c r="P7" s="223" t="s">
        <v>511</v>
      </c>
      <c r="Q7" s="224" t="s">
        <v>497</v>
      </c>
      <c r="R7" s="223" t="s">
        <v>511</v>
      </c>
      <c r="S7" s="224" t="s">
        <v>497</v>
      </c>
      <c r="T7" s="223" t="s">
        <v>511</v>
      </c>
      <c r="U7" s="224" t="s">
        <v>497</v>
      </c>
      <c r="V7" s="223" t="s">
        <v>511</v>
      </c>
      <c r="W7" s="224" t="s">
        <v>497</v>
      </c>
      <c r="X7" s="223" t="s">
        <v>511</v>
      </c>
      <c r="Y7" s="224" t="s">
        <v>497</v>
      </c>
    </row>
    <row r="8" spans="1:25" x14ac:dyDescent="0.25">
      <c r="A8" s="239">
        <v>1</v>
      </c>
      <c r="B8" s="240" t="str">
        <f>'MEMÓRIA DE CÁLCULO'!B6</f>
        <v>INSTALAÇÃO DOS SERVIÇOS DE ENGENHARIA</v>
      </c>
      <c r="C8" s="241">
        <f>ADITIVO!R21</f>
        <v>0</v>
      </c>
      <c r="D8" s="241">
        <f>C8*(1+ADITIVO!$P$447)</f>
        <v>0</v>
      </c>
      <c r="E8" s="247">
        <f>D8/$D$28</f>
        <v>0</v>
      </c>
      <c r="F8" s="245">
        <f>RESUMO!I3</f>
        <v>1</v>
      </c>
      <c r="G8" s="246">
        <f>RESUMO!F3</f>
        <v>12531.634544640001</v>
      </c>
      <c r="H8" s="249"/>
      <c r="I8" s="250"/>
      <c r="J8" s="249"/>
      <c r="K8" s="229"/>
      <c r="L8" s="248"/>
      <c r="M8" s="229"/>
      <c r="N8" s="248"/>
      <c r="O8" s="229"/>
      <c r="P8" s="248"/>
      <c r="Q8" s="229"/>
      <c r="R8" s="248"/>
      <c r="S8" s="229"/>
      <c r="T8" s="248"/>
      <c r="U8" s="229"/>
      <c r="V8" s="248"/>
      <c r="W8" s="229"/>
      <c r="X8" s="248"/>
      <c r="Y8" s="229"/>
    </row>
    <row r="9" spans="1:25" x14ac:dyDescent="0.25">
      <c r="A9" s="227">
        <v>3</v>
      </c>
      <c r="B9" s="232" t="str">
        <f>'MEMÓRIA DE CÁLCULO'!B22</f>
        <v>TRABALHOS EM TERRA</v>
      </c>
      <c r="C9" s="229">
        <f>ADITIVO!R40</f>
        <v>0</v>
      </c>
      <c r="D9" s="241">
        <f>C9*(1+ADITIVO!$P$447)</f>
        <v>0</v>
      </c>
      <c r="E9" s="248">
        <f>D9/$D$28</f>
        <v>0</v>
      </c>
      <c r="F9" s="245">
        <f>RESUMO!I4</f>
        <v>1</v>
      </c>
      <c r="G9" s="246">
        <f>RESUMO!F4</f>
        <v>7043.4561424097283</v>
      </c>
      <c r="H9" s="249"/>
      <c r="I9" s="250"/>
      <c r="J9" s="249"/>
      <c r="K9" s="229"/>
      <c r="L9" s="248"/>
      <c r="M9" s="229"/>
      <c r="N9" s="248"/>
      <c r="O9" s="229"/>
      <c r="P9" s="248"/>
      <c r="Q9" s="229"/>
      <c r="R9" s="248"/>
      <c r="S9" s="229"/>
      <c r="T9" s="248"/>
      <c r="U9" s="229"/>
      <c r="V9" s="248"/>
      <c r="W9" s="229"/>
      <c r="X9" s="248"/>
      <c r="Y9" s="229"/>
    </row>
    <row r="10" spans="1:25" x14ac:dyDescent="0.25">
      <c r="A10" s="227">
        <v>4</v>
      </c>
      <c r="B10" s="232" t="str">
        <f>'MEMÓRIA DE CÁLCULO'!B41</f>
        <v>SONDAGEM, FUNDAÇÕES, MUROS E CONTENÇÕES</v>
      </c>
      <c r="C10" s="229">
        <f>ADITIVO!R64</f>
        <v>7133.2567319999998</v>
      </c>
      <c r="D10" s="241">
        <f>C10*(1+ADITIVO!$P$447)</f>
        <v>8890.8911907647998</v>
      </c>
      <c r="E10" s="248">
        <f>D10/$D$28</f>
        <v>1.7252870587578586E-2</v>
      </c>
      <c r="F10" s="245">
        <f>RESUMO!I5</f>
        <v>0.84930010576100223</v>
      </c>
      <c r="G10" s="246">
        <f>RESUMO!F5</f>
        <v>50106.43747799041</v>
      </c>
      <c r="H10" s="249">
        <f>1-F10</f>
        <v>0.15069989423899777</v>
      </c>
      <c r="I10" s="250">
        <f>RESUMO!H5*H10</f>
        <v>8890.8911907648016</v>
      </c>
      <c r="J10" s="249"/>
      <c r="K10" s="229"/>
      <c r="L10" s="248"/>
      <c r="M10" s="229"/>
      <c r="N10" s="248"/>
      <c r="O10" s="229"/>
      <c r="P10" s="248"/>
      <c r="Q10" s="229"/>
      <c r="R10" s="248"/>
      <c r="S10" s="229"/>
      <c r="T10" s="248"/>
      <c r="U10" s="229"/>
      <c r="V10" s="248"/>
      <c r="W10" s="229"/>
      <c r="X10" s="248"/>
      <c r="Y10" s="229"/>
    </row>
    <row r="11" spans="1:25" x14ac:dyDescent="0.25">
      <c r="A11" s="227">
        <v>5</v>
      </c>
      <c r="B11" s="228" t="str">
        <f>'MEMÓRIA DE CÁLCULO'!B65</f>
        <v>SUPERESTRUTURA</v>
      </c>
      <c r="C11" s="229">
        <f>ADITIVO!R74</f>
        <v>26635.698603999994</v>
      </c>
      <c r="D11" s="241">
        <f>C11*(1+ADITIVO!$P$447)</f>
        <v>33198.734740025589</v>
      </c>
      <c r="E11" s="248">
        <f>D11/$D$28</f>
        <v>6.4422504094523797E-2</v>
      </c>
      <c r="F11" s="245">
        <f>RESUMO!I6</f>
        <v>0.1449813231892364</v>
      </c>
      <c r="G11" s="246">
        <f>RESUMO!F6</f>
        <v>5629.3466112000006</v>
      </c>
      <c r="H11" s="248"/>
      <c r="I11" s="229"/>
      <c r="J11" s="248">
        <v>0.15</v>
      </c>
      <c r="K11" s="229">
        <f>RESUMO!H6*J11</f>
        <v>5824.2122026838388</v>
      </c>
      <c r="L11" s="248">
        <v>0.4</v>
      </c>
      <c r="M11" s="229">
        <f>RESUMO!H6*L11</f>
        <v>15531.232540490237</v>
      </c>
      <c r="N11" s="248">
        <f>1-F11-J11-L11</f>
        <v>0.30501867681076356</v>
      </c>
      <c r="O11" s="229">
        <f>RESUMO!H6*N11</f>
        <v>11843.289996851514</v>
      </c>
      <c r="P11" s="248"/>
      <c r="Q11" s="229"/>
      <c r="R11" s="248"/>
      <c r="S11" s="229"/>
      <c r="T11" s="248"/>
      <c r="U11" s="229"/>
      <c r="V11" s="248"/>
      <c r="W11" s="229"/>
      <c r="X11" s="248"/>
      <c r="Y11" s="229"/>
    </row>
    <row r="12" spans="1:25" x14ac:dyDescent="0.25">
      <c r="A12" s="227">
        <v>6</v>
      </c>
      <c r="B12" s="228" t="str">
        <f>'MEMÓRIA DE CÁLCULO'!B75</f>
        <v>ALVENARIA</v>
      </c>
      <c r="C12" s="229">
        <f>ADITIVO!R81</f>
        <v>3285.6050999999998</v>
      </c>
      <c r="D12" s="241">
        <f>C12*(1+ADITIVO!$P$447)</f>
        <v>4095.1781966399994</v>
      </c>
      <c r="E12" s="248">
        <f>D12/D28</f>
        <v>7.9467376153577358E-3</v>
      </c>
      <c r="F12" s="245">
        <f>RESUMO!I7</f>
        <v>0.75508544385883858</v>
      </c>
      <c r="G12" s="246">
        <f>RESUMO!F7</f>
        <v>12625.666252800002</v>
      </c>
      <c r="H12" s="248">
        <v>0.02</v>
      </c>
      <c r="I12" s="229">
        <f>RESUMO!H7*H12</f>
        <v>334.41688898880005</v>
      </c>
      <c r="J12" s="248">
        <f>1-F12-H12</f>
        <v>0.22491455614116143</v>
      </c>
      <c r="K12" s="229">
        <f>RESUMO!H7*J12</f>
        <v>3760.7613076512012</v>
      </c>
      <c r="L12" s="248"/>
      <c r="M12" s="229"/>
      <c r="N12" s="248"/>
      <c r="O12" s="229"/>
      <c r="P12" s="248"/>
      <c r="Q12" s="229"/>
      <c r="R12" s="248"/>
      <c r="S12" s="229"/>
      <c r="T12" s="248"/>
      <c r="U12" s="229"/>
      <c r="V12" s="248"/>
      <c r="W12" s="229"/>
      <c r="X12" s="248"/>
      <c r="Y12" s="229"/>
    </row>
    <row r="13" spans="1:25" x14ac:dyDescent="0.25">
      <c r="A13" s="227">
        <v>7</v>
      </c>
      <c r="B13" s="228" t="str">
        <f>'MEMÓRIA DE CÁLCULO'!B82</f>
        <v>COBERTURA E FORRO</v>
      </c>
      <c r="C13" s="229">
        <f>ADITIVO!R96</f>
        <v>10044.720000000001</v>
      </c>
      <c r="D13" s="241">
        <f>C13*(1+ADITIVO!$P$447)</f>
        <v>12519.739008</v>
      </c>
      <c r="E13" s="248">
        <f t="shared" ref="E13:E26" si="0">D13/$D$28</f>
        <v>2.4294689054304233E-2</v>
      </c>
      <c r="F13" s="245" t="s">
        <v>536</v>
      </c>
      <c r="G13" s="245" t="s">
        <v>536</v>
      </c>
      <c r="H13" s="248"/>
      <c r="I13" s="229"/>
      <c r="J13" s="248"/>
      <c r="K13" s="229"/>
      <c r="L13" s="248"/>
      <c r="M13" s="229"/>
      <c r="N13" s="248"/>
      <c r="O13" s="229"/>
      <c r="P13" s="248">
        <v>0.5</v>
      </c>
      <c r="Q13" s="229">
        <f>RESUMO!H8*P13</f>
        <v>6259.8695040000002</v>
      </c>
      <c r="R13" s="248">
        <v>0.5</v>
      </c>
      <c r="S13" s="229">
        <f>RESUMO!H8*R13</f>
        <v>6259.8695040000002</v>
      </c>
      <c r="T13" s="248"/>
      <c r="U13" s="229"/>
      <c r="V13" s="248"/>
      <c r="W13" s="229"/>
      <c r="X13" s="248"/>
      <c r="Y13" s="229"/>
    </row>
    <row r="14" spans="1:25" x14ac:dyDescent="0.25">
      <c r="A14" s="227">
        <v>8</v>
      </c>
      <c r="B14" s="228" t="str">
        <f>'MEMÓRIA DE CÁLCULO'!B97</f>
        <v>INSTALAÇÕES HIDRÁULICAS</v>
      </c>
      <c r="C14" s="229">
        <f>ADITIVO!R172</f>
        <v>15095.529999999999</v>
      </c>
      <c r="D14" s="241">
        <f>C14*(1+ADITIVO!$P$447)</f>
        <v>18815.068592</v>
      </c>
      <c r="E14" s="248">
        <f t="shared" si="0"/>
        <v>3.6510844250503861E-2</v>
      </c>
      <c r="F14" s="245" t="s">
        <v>536</v>
      </c>
      <c r="G14" s="245" t="s">
        <v>536</v>
      </c>
      <c r="H14" s="248"/>
      <c r="I14" s="229"/>
      <c r="J14" s="248">
        <v>0.35</v>
      </c>
      <c r="K14" s="229">
        <f>RESUMO!H9*J14</f>
        <v>6585.2740071999997</v>
      </c>
      <c r="L14" s="248">
        <v>0.1</v>
      </c>
      <c r="M14" s="229">
        <f>RESUMO!H9*L14</f>
        <v>1881.5068592</v>
      </c>
      <c r="N14" s="248">
        <v>0.1</v>
      </c>
      <c r="O14" s="229">
        <f>RESUMO!H9*N14</f>
        <v>1881.5068592</v>
      </c>
      <c r="P14" s="248">
        <v>0.2</v>
      </c>
      <c r="Q14" s="229">
        <f>RESUMO!H9*P14</f>
        <v>3763.0137184</v>
      </c>
      <c r="R14" s="248">
        <v>0.2</v>
      </c>
      <c r="S14" s="229">
        <f>RESUMO!H9*R14</f>
        <v>3763.0137184</v>
      </c>
      <c r="T14" s="248">
        <v>0.05</v>
      </c>
      <c r="U14" s="229">
        <f>RESUMO!H9*T14</f>
        <v>940.7534296</v>
      </c>
      <c r="V14" s="248"/>
      <c r="W14" s="229"/>
      <c r="X14" s="248"/>
      <c r="Y14" s="229"/>
    </row>
    <row r="15" spans="1:25" x14ac:dyDescent="0.25">
      <c r="A15" s="227">
        <v>9</v>
      </c>
      <c r="B15" s="228" t="str">
        <f>'MEMÓRIA DE CÁLCULO'!B173</f>
        <v>INSTALAÇÕES SANITÁRIAS</v>
      </c>
      <c r="C15" s="229">
        <f>ADITIVO!R194</f>
        <v>12330.2</v>
      </c>
      <c r="D15" s="241">
        <f>C15*(1+ADITIVO!$P$447)</f>
        <v>15368.361280000001</v>
      </c>
      <c r="E15" s="248">
        <f t="shared" si="0"/>
        <v>2.9822471405612307E-2</v>
      </c>
      <c r="F15" s="245" t="s">
        <v>536</v>
      </c>
      <c r="G15" s="245" t="s">
        <v>536</v>
      </c>
      <c r="H15" s="248"/>
      <c r="I15" s="229"/>
      <c r="J15" s="248">
        <v>0.1</v>
      </c>
      <c r="K15" s="229">
        <f>RESUMO!H10*J15</f>
        <v>1536.8361280000001</v>
      </c>
      <c r="L15" s="248">
        <v>0.1</v>
      </c>
      <c r="M15" s="229">
        <f>RESUMO!H10*L15</f>
        <v>1536.8361280000001</v>
      </c>
      <c r="N15" s="248">
        <v>0.1</v>
      </c>
      <c r="O15" s="229">
        <f>RESUMO!H10*N15</f>
        <v>1536.8361280000001</v>
      </c>
      <c r="P15" s="248">
        <v>0.35</v>
      </c>
      <c r="Q15" s="229">
        <f>RESUMO!H10*P15</f>
        <v>5378.9264480000002</v>
      </c>
      <c r="R15" s="248">
        <v>0.2</v>
      </c>
      <c r="S15" s="229">
        <f>RESUMO!H10*R15</f>
        <v>3073.6722560000003</v>
      </c>
      <c r="T15" s="248">
        <v>0.05</v>
      </c>
      <c r="U15" s="229">
        <f>RESUMO!H10*T15</f>
        <v>768.41806400000007</v>
      </c>
      <c r="V15" s="248">
        <v>0.1</v>
      </c>
      <c r="W15" s="229">
        <f>RESUMO!H10*V15</f>
        <v>1536.8361280000001</v>
      </c>
      <c r="X15" s="248"/>
      <c r="Y15" s="229"/>
    </row>
    <row r="16" spans="1:25" x14ac:dyDescent="0.25">
      <c r="A16" s="227">
        <v>10</v>
      </c>
      <c r="B16" s="228" t="str">
        <f>'MEMÓRIA DE CÁLCULO'!B195</f>
        <v>INSTALAÇÃO ELÉTRICA</v>
      </c>
      <c r="C16" s="229">
        <f>ADITIVO!R283</f>
        <v>20173.560000000001</v>
      </c>
      <c r="D16" s="241">
        <f>C16*(1+ADITIVO!$P$447)</f>
        <v>25144.325184000001</v>
      </c>
      <c r="E16" s="248">
        <f t="shared" si="0"/>
        <v>4.8792835172941577E-2</v>
      </c>
      <c r="F16" s="245" t="s">
        <v>536</v>
      </c>
      <c r="G16" s="245" t="s">
        <v>536</v>
      </c>
      <c r="H16" s="248"/>
      <c r="I16" s="229"/>
      <c r="J16" s="248">
        <v>0.1</v>
      </c>
      <c r="K16" s="229">
        <f>RESUMO!H11*J16</f>
        <v>2514.4325184000004</v>
      </c>
      <c r="L16" s="248">
        <v>0.1</v>
      </c>
      <c r="M16" s="229">
        <f>RESUMO!H11*L16</f>
        <v>2514.4325184000004</v>
      </c>
      <c r="N16" s="248">
        <v>0.1</v>
      </c>
      <c r="O16" s="229">
        <f>RESUMO!H11*N16</f>
        <v>2514.4325184000004</v>
      </c>
      <c r="P16" s="248">
        <v>0.35</v>
      </c>
      <c r="Q16" s="229">
        <f>RESUMO!H11*P16</f>
        <v>8800.5138143999993</v>
      </c>
      <c r="R16" s="248">
        <v>0.2</v>
      </c>
      <c r="S16" s="229">
        <f>RESUMO!H11*R16</f>
        <v>5028.8650368000008</v>
      </c>
      <c r="T16" s="248">
        <v>0.05</v>
      </c>
      <c r="U16" s="229">
        <f>RESUMO!H11*T16</f>
        <v>1257.2162592000002</v>
      </c>
      <c r="V16" s="248">
        <v>0.1</v>
      </c>
      <c r="W16" s="229">
        <f>RESUMO!H11*V16</f>
        <v>2514.4325184000004</v>
      </c>
      <c r="X16" s="248"/>
      <c r="Y16" s="229"/>
    </row>
    <row r="17" spans="1:25" x14ac:dyDescent="0.25">
      <c r="A17" s="227">
        <v>12</v>
      </c>
      <c r="B17" s="228" t="str">
        <f>'MEMÓRIA DE CÁLCULO'!B284</f>
        <v>ESQUADRIAS METÁLICAS</v>
      </c>
      <c r="C17" s="229">
        <f>ADITIVO!R293</f>
        <v>5212.3320000000003</v>
      </c>
      <c r="D17" s="241">
        <f>C17*(1+ADITIVO!$P$447)</f>
        <v>6496.6506048000001</v>
      </c>
      <c r="E17" s="248">
        <f t="shared" si="0"/>
        <v>1.2606820816090412E-2</v>
      </c>
      <c r="F17" s="245" t="s">
        <v>536</v>
      </c>
      <c r="G17" s="245" t="s">
        <v>536</v>
      </c>
      <c r="H17" s="248"/>
      <c r="I17" s="229"/>
      <c r="J17" s="248"/>
      <c r="K17" s="229"/>
      <c r="L17" s="248"/>
      <c r="M17" s="229"/>
      <c r="N17" s="248"/>
      <c r="O17" s="229"/>
      <c r="P17" s="248"/>
      <c r="Q17" s="229"/>
      <c r="R17" s="248">
        <v>0.35</v>
      </c>
      <c r="S17" s="229">
        <f>RESUMO!H12*R17</f>
        <v>2273.82771168</v>
      </c>
      <c r="T17" s="248">
        <v>0.35</v>
      </c>
      <c r="U17" s="229">
        <f>RESUMO!H12*T17</f>
        <v>2273.82771168</v>
      </c>
      <c r="V17" s="248">
        <v>0.30000000000000004</v>
      </c>
      <c r="W17" s="229">
        <f>RESUMO!H12*V17</f>
        <v>1948.9951814400004</v>
      </c>
      <c r="X17" s="248"/>
      <c r="Y17" s="229"/>
    </row>
    <row r="18" spans="1:25" x14ac:dyDescent="0.25">
      <c r="A18" s="227">
        <v>13</v>
      </c>
      <c r="B18" s="228" t="str">
        <f>'MEMÓRIA DE CÁLCULO'!B294</f>
        <v>FERRAGENS</v>
      </c>
      <c r="C18" s="229">
        <f>ADITIVO!R311</f>
        <v>12516.635200000001</v>
      </c>
      <c r="D18" s="241">
        <f>C18*(1+ADITIVO!$P$447)</f>
        <v>15600.734113279999</v>
      </c>
      <c r="E18" s="248">
        <f t="shared" si="0"/>
        <v>3.0273393403714495E-2</v>
      </c>
      <c r="F18" s="245" t="s">
        <v>536</v>
      </c>
      <c r="G18" s="245" t="s">
        <v>536</v>
      </c>
      <c r="H18" s="248"/>
      <c r="I18" s="229"/>
      <c r="J18" s="248"/>
      <c r="K18" s="229"/>
      <c r="L18" s="248"/>
      <c r="M18" s="229"/>
      <c r="N18" s="248"/>
      <c r="O18" s="229"/>
      <c r="P18" s="248"/>
      <c r="Q18" s="229"/>
      <c r="R18" s="248">
        <v>0.4</v>
      </c>
      <c r="S18" s="229">
        <f>RESUMO!H13*R18</f>
        <v>6240.2936453120001</v>
      </c>
      <c r="T18" s="248">
        <v>0.60000000000000009</v>
      </c>
      <c r="U18" s="229">
        <f>RESUMO!H13*T18</f>
        <v>9360.440467968001</v>
      </c>
      <c r="V18" s="248"/>
      <c r="W18" s="229"/>
      <c r="X18" s="248"/>
      <c r="Y18" s="229"/>
    </row>
    <row r="19" spans="1:25" x14ac:dyDescent="0.25">
      <c r="A19" s="227">
        <v>14</v>
      </c>
      <c r="B19" s="228" t="str">
        <f>'MEMÓRIA DE CÁLCULO'!B312</f>
        <v>REVESTIMENTO</v>
      </c>
      <c r="C19" s="229">
        <f>ADITIVO!R328</f>
        <v>24116.7988</v>
      </c>
      <c r="D19" s="241">
        <f>C19*(1+ADITIVO!$P$447)</f>
        <v>30059.178024320001</v>
      </c>
      <c r="E19" s="248">
        <f t="shared" si="0"/>
        <v>5.8330160306232275E-2</v>
      </c>
      <c r="F19" s="245">
        <f>RESUMO!I14</f>
        <v>6.8482434388813422E-3</v>
      </c>
      <c r="G19" s="246">
        <f>RESUMO!F14</f>
        <v>207.27201792000002</v>
      </c>
      <c r="H19" s="248"/>
      <c r="I19" s="229"/>
      <c r="J19" s="248"/>
      <c r="K19" s="229"/>
      <c r="L19" s="248"/>
      <c r="M19" s="229"/>
      <c r="N19" s="248">
        <f>1-R19-P19-F19</f>
        <v>0.34315175656111863</v>
      </c>
      <c r="O19" s="229">
        <f>RESUMO!H14*N19</f>
        <v>10385.985496863999</v>
      </c>
      <c r="P19" s="248">
        <v>0.35</v>
      </c>
      <c r="Q19" s="229">
        <f>RESUMO!H14*P19</f>
        <v>10593.257514784</v>
      </c>
      <c r="R19" s="248">
        <v>0.30000000000000004</v>
      </c>
      <c r="S19" s="229">
        <f>RESUMO!H14*R19</f>
        <v>9079.9350126720019</v>
      </c>
      <c r="T19" s="248"/>
      <c r="U19" s="229"/>
      <c r="V19" s="248"/>
      <c r="W19" s="229"/>
      <c r="X19" s="248"/>
      <c r="Y19" s="229"/>
    </row>
    <row r="20" spans="1:25" x14ac:dyDescent="0.25">
      <c r="A20" s="227">
        <v>15</v>
      </c>
      <c r="B20" s="228" t="str">
        <f>'MEMÓRIA DE CÁLCULO'!B329</f>
        <v>PISOS E RODAPÉS</v>
      </c>
      <c r="C20" s="229">
        <f>ADITIVO!R347</f>
        <v>26333.282176000001</v>
      </c>
      <c r="D20" s="241">
        <f>C20*(1+ADITIVO!$P$447)</f>
        <v>32821.802904166398</v>
      </c>
      <c r="E20" s="248">
        <f t="shared" si="0"/>
        <v>6.3691063787260555E-2</v>
      </c>
      <c r="F20" s="245" t="s">
        <v>536</v>
      </c>
      <c r="G20" s="245" t="s">
        <v>536</v>
      </c>
      <c r="H20" s="248"/>
      <c r="I20" s="229"/>
      <c r="J20" s="248"/>
      <c r="K20" s="229"/>
      <c r="L20" s="248"/>
      <c r="M20" s="229"/>
      <c r="N20" s="248"/>
      <c r="O20" s="229"/>
      <c r="P20" s="248">
        <v>0.35</v>
      </c>
      <c r="Q20" s="229">
        <f>RESUMO!H15*P20</f>
        <v>11487.631016458239</v>
      </c>
      <c r="R20" s="248">
        <v>0.35</v>
      </c>
      <c r="S20" s="229">
        <f>RESUMO!H15*R20</f>
        <v>11487.631016458239</v>
      </c>
      <c r="T20" s="248">
        <v>0.30000000000000004</v>
      </c>
      <c r="U20" s="229">
        <f>RESUMO!H15*T20</f>
        <v>9846.5408712499211</v>
      </c>
      <c r="V20" s="248"/>
      <c r="W20" s="229"/>
      <c r="X20" s="248"/>
      <c r="Y20" s="229"/>
    </row>
    <row r="21" spans="1:25" x14ac:dyDescent="0.25">
      <c r="A21" s="227">
        <v>17</v>
      </c>
      <c r="B21" s="228" t="str">
        <f>'MEMÓRIA DE CÁLCULO'!B348</f>
        <v>PINTURA</v>
      </c>
      <c r="C21" s="229">
        <f>ADITIVO!R358</f>
        <v>12500.975839999996</v>
      </c>
      <c r="D21" s="241">
        <f>C21*(1+ADITIVO!$P$447)</f>
        <v>15581.216286975994</v>
      </c>
      <c r="E21" s="248">
        <f t="shared" si="0"/>
        <v>3.0235518850517441E-2</v>
      </c>
      <c r="F21" s="245" t="s">
        <v>536</v>
      </c>
      <c r="G21" s="245" t="s">
        <v>536</v>
      </c>
      <c r="H21" s="248"/>
      <c r="I21" s="229"/>
      <c r="J21" s="248"/>
      <c r="K21" s="229"/>
      <c r="L21" s="248"/>
      <c r="M21" s="229"/>
      <c r="N21" s="248"/>
      <c r="O21" s="229"/>
      <c r="P21" s="248"/>
      <c r="Q21" s="229"/>
      <c r="R21" s="248"/>
      <c r="S21" s="229"/>
      <c r="T21" s="248">
        <v>0.1</v>
      </c>
      <c r="U21" s="229">
        <f>RESUMO!H16*T21</f>
        <v>1558.1216286975996</v>
      </c>
      <c r="V21" s="248">
        <v>0.65</v>
      </c>
      <c r="W21" s="229">
        <f>RESUMO!H16*V21</f>
        <v>10127.790586534396</v>
      </c>
      <c r="X21" s="248">
        <v>0.25</v>
      </c>
      <c r="Y21" s="229">
        <f>RESUMO!H16*X21</f>
        <v>3895.3040717439985</v>
      </c>
    </row>
    <row r="22" spans="1:25" x14ac:dyDescent="0.25">
      <c r="A22" s="227">
        <v>18</v>
      </c>
      <c r="B22" s="228" t="str">
        <f>'MEMÓRIA DE CÁLCULO'!B359</f>
        <v>BANCADAS, PRATELEIRAS E DIVISÓRIAS</v>
      </c>
      <c r="C22" s="229">
        <f>ADITIVO!R368</f>
        <v>120.404</v>
      </c>
      <c r="D22" s="241">
        <f>C22*(1+ADITIVO!$P$447)</f>
        <v>150.07154559999998</v>
      </c>
      <c r="E22" s="248">
        <f t="shared" si="0"/>
        <v>2.9121545855876984E-4</v>
      </c>
      <c r="F22" s="245" t="s">
        <v>536</v>
      </c>
      <c r="G22" s="245" t="s">
        <v>536</v>
      </c>
      <c r="H22" s="248"/>
      <c r="I22" s="229"/>
      <c r="J22" s="248"/>
      <c r="K22" s="229"/>
      <c r="L22" s="248"/>
      <c r="M22" s="229"/>
      <c r="N22" s="248">
        <v>0.5</v>
      </c>
      <c r="O22" s="229">
        <f>RESUMO!H17*N22</f>
        <v>75.03577279999999</v>
      </c>
      <c r="P22" s="248">
        <v>0.5</v>
      </c>
      <c r="Q22" s="229">
        <f>RESUMO!H17*P22</f>
        <v>75.03577279999999</v>
      </c>
      <c r="R22" s="248"/>
      <c r="S22" s="229"/>
      <c r="T22" s="248"/>
      <c r="U22" s="229"/>
      <c r="V22" s="251"/>
      <c r="W22" s="252"/>
      <c r="X22" s="248"/>
      <c r="Y22" s="229"/>
    </row>
    <row r="23" spans="1:25" x14ac:dyDescent="0.25">
      <c r="A23" s="227">
        <v>20</v>
      </c>
      <c r="B23" s="228" t="str">
        <f>'MEMÓRIA DE CÁLCULO'!B369</f>
        <v>QUADRA</v>
      </c>
      <c r="C23" s="229">
        <f>ADITIVO!R411</f>
        <v>224190.02660400001</v>
      </c>
      <c r="D23" s="241">
        <f>C23*(1+ADITIVO!$P$447)</f>
        <v>279430.44915922562</v>
      </c>
      <c r="E23" s="248">
        <f t="shared" si="0"/>
        <v>0.5422378110510172</v>
      </c>
      <c r="F23" s="245">
        <f>RESUMO!I18</f>
        <v>0.27906376740479777</v>
      </c>
      <c r="G23" s="246">
        <f>RESUMO!F18</f>
        <v>108163.39968000002</v>
      </c>
      <c r="H23" s="248">
        <v>0.01</v>
      </c>
      <c r="I23" s="229">
        <f>RESUMO!H18*H23</f>
        <v>3875.9384883922567</v>
      </c>
      <c r="J23" s="248">
        <v>7.0000000000000007E-2</v>
      </c>
      <c r="K23" s="229">
        <f>RESUMO!H18*J23</f>
        <v>27131.569418745799</v>
      </c>
      <c r="L23" s="248">
        <f>1-F23-H23-J23-N23-P23-R23-T23</f>
        <v>0.22093623259520209</v>
      </c>
      <c r="M23" s="229">
        <f>RESUMO!H18*L23</f>
        <v>85633.524739612767</v>
      </c>
      <c r="N23" s="248">
        <v>0.2</v>
      </c>
      <c r="O23" s="229">
        <f>RESUMO!H18*N23</f>
        <v>77518.769767845137</v>
      </c>
      <c r="P23" s="248">
        <v>0.1</v>
      </c>
      <c r="Q23" s="229">
        <f>RESUMO!H18*P23</f>
        <v>38759.384883922568</v>
      </c>
      <c r="R23" s="248">
        <v>0.08</v>
      </c>
      <c r="S23" s="229">
        <f>RESUMO!H18*R23</f>
        <v>31007.507907138053</v>
      </c>
      <c r="T23" s="248">
        <v>0.04</v>
      </c>
      <c r="U23" s="253">
        <f>RESUMO!H18*T23</f>
        <v>15503.753953569027</v>
      </c>
      <c r="V23" s="254"/>
      <c r="W23" s="254"/>
      <c r="X23" s="255"/>
      <c r="Y23" s="229"/>
    </row>
    <row r="24" spans="1:25" x14ac:dyDescent="0.25">
      <c r="A24" s="227">
        <v>23</v>
      </c>
      <c r="B24" s="228" t="s">
        <v>452</v>
      </c>
      <c r="C24" s="229">
        <f>ADITIVO!R419</f>
        <v>6503.1200000000008</v>
      </c>
      <c r="D24" s="241">
        <f>C24*(1+ADITIVO!$P$447)</f>
        <v>8105.4887680000011</v>
      </c>
      <c r="E24" s="248">
        <f t="shared" si="0"/>
        <v>1.5728788685282113E-2</v>
      </c>
      <c r="F24" s="245" t="s">
        <v>536</v>
      </c>
      <c r="G24" s="245" t="s">
        <v>536</v>
      </c>
      <c r="H24" s="248"/>
      <c r="I24" s="229"/>
      <c r="J24" s="248">
        <v>0.06</v>
      </c>
      <c r="K24" s="229">
        <f>RESUMO!H19*J24</f>
        <v>486.32932608000004</v>
      </c>
      <c r="L24" s="248">
        <v>0.06</v>
      </c>
      <c r="M24" s="229">
        <f>RESUMO!H19*L24</f>
        <v>486.32932608000004</v>
      </c>
      <c r="N24" s="248">
        <v>0.06</v>
      </c>
      <c r="O24" s="229">
        <f>RESUMO!H19*N24</f>
        <v>486.32932608000004</v>
      </c>
      <c r="P24" s="248">
        <v>0.06</v>
      </c>
      <c r="Q24" s="229">
        <f>RESUMO!H19*P24</f>
        <v>486.32932608000004</v>
      </c>
      <c r="R24" s="248">
        <v>0.06</v>
      </c>
      <c r="S24" s="229">
        <f>RESUMO!H19*R24</f>
        <v>486.32932608000004</v>
      </c>
      <c r="T24" s="248">
        <v>0.06</v>
      </c>
      <c r="U24" s="229">
        <f>RESUMO!H19*T24</f>
        <v>486.32932608000004</v>
      </c>
      <c r="V24" s="247">
        <v>0.06</v>
      </c>
      <c r="W24" s="241">
        <f>RESUMO!H19*V24</f>
        <v>486.32932608000004</v>
      </c>
      <c r="X24" s="248">
        <v>0.57999999999999996</v>
      </c>
      <c r="Y24" s="229">
        <f>RESUMO!H19*X24</f>
        <v>4701.1834854400004</v>
      </c>
    </row>
    <row r="25" spans="1:25" x14ac:dyDescent="0.25">
      <c r="A25" s="227">
        <v>24</v>
      </c>
      <c r="B25" s="228" t="s">
        <v>461</v>
      </c>
      <c r="C25" s="229">
        <f>ADITIVO!R440</f>
        <v>7052.75</v>
      </c>
      <c r="D25" s="241">
        <f>C25*(1+ADITIVO!$P$446)</f>
        <v>8878.706975000001</v>
      </c>
      <c r="E25" s="248">
        <f t="shared" si="0"/>
        <v>1.72292269850093E-2</v>
      </c>
      <c r="F25" s="245">
        <f>RESUMO!I20</f>
        <v>0.50069604259339251</v>
      </c>
      <c r="G25" s="246">
        <f>RESUMO!F20</f>
        <v>8903.4612679999991</v>
      </c>
      <c r="H25" s="255">
        <f>1-F25</f>
        <v>0.49930395740660749</v>
      </c>
      <c r="I25" s="229">
        <f>RESUMO!H20*H25</f>
        <v>8878.706975000001</v>
      </c>
      <c r="J25" s="248"/>
      <c r="K25" s="229"/>
      <c r="L25" s="248"/>
      <c r="M25" s="229"/>
      <c r="N25" s="248"/>
      <c r="O25" s="229"/>
      <c r="P25" s="248"/>
      <c r="Q25" s="229"/>
      <c r="R25" s="248"/>
      <c r="S25" s="229"/>
      <c r="T25" s="248"/>
      <c r="U25" s="229"/>
      <c r="V25" s="248"/>
      <c r="W25" s="229"/>
      <c r="X25" s="248"/>
      <c r="Y25" s="229"/>
    </row>
    <row r="26" spans="1:25" x14ac:dyDescent="0.25">
      <c r="A26" s="227">
        <v>26</v>
      </c>
      <c r="B26" s="228" t="s">
        <v>483</v>
      </c>
      <c r="C26" s="229">
        <f>ADITIVO!R444</f>
        <v>137.70000000000002</v>
      </c>
      <c r="D26" s="241">
        <f>C26*(1+ADITIVO!$P$447)</f>
        <v>171.62928000000002</v>
      </c>
      <c r="E26" s="248">
        <f t="shared" si="0"/>
        <v>3.330484754953541E-4</v>
      </c>
      <c r="F26" s="245" t="s">
        <v>536</v>
      </c>
      <c r="G26" s="245" t="s">
        <v>536</v>
      </c>
      <c r="H26" s="248"/>
      <c r="I26" s="229"/>
      <c r="J26" s="248"/>
      <c r="K26" s="229"/>
      <c r="L26" s="248"/>
      <c r="M26" s="229"/>
      <c r="N26" s="248"/>
      <c r="O26" s="229"/>
      <c r="P26" s="248"/>
      <c r="Q26" s="229"/>
      <c r="R26" s="248"/>
      <c r="S26" s="229"/>
      <c r="T26" s="248">
        <v>1</v>
      </c>
      <c r="U26" s="229">
        <f>RESUMO!H21*T26</f>
        <v>171.62928000000002</v>
      </c>
      <c r="V26" s="248"/>
      <c r="W26" s="229"/>
      <c r="X26" s="248"/>
      <c r="Y26" s="229"/>
    </row>
    <row r="27" spans="1:25" s="233" customFormat="1" ht="12.75" customHeight="1" x14ac:dyDescent="0.2">
      <c r="A27" s="379" t="s">
        <v>512</v>
      </c>
      <c r="B27" s="379"/>
      <c r="C27" s="229"/>
      <c r="D27" s="229"/>
      <c r="E27" s="230"/>
      <c r="F27" s="245">
        <f>G27/D28</f>
        <v>0.39821353401584841</v>
      </c>
      <c r="G27" s="246">
        <f>SUM(G8:G26)</f>
        <v>205210.67399496015</v>
      </c>
      <c r="H27" s="248">
        <f>I27/D28</f>
        <v>4.2652337753811206E-2</v>
      </c>
      <c r="I27" s="229">
        <f>SUM(I8:I26)</f>
        <v>21979.953543145861</v>
      </c>
      <c r="J27" s="248">
        <f>K27/D28</f>
        <v>9.2832902427560787E-2</v>
      </c>
      <c r="K27" s="229">
        <f>SUM(K8:K26)</f>
        <v>47839.414908760838</v>
      </c>
      <c r="L27" s="248">
        <f>M27/D28</f>
        <v>0.20876764887804522</v>
      </c>
      <c r="M27" s="229">
        <f>SUM(M8:M26)</f>
        <v>107583.862111783</v>
      </c>
      <c r="N27" s="248">
        <f>O27/D28</f>
        <v>0.20616411160134734</v>
      </c>
      <c r="O27" s="229">
        <f>SUM(O8:O26)</f>
        <v>106242.18586604066</v>
      </c>
      <c r="P27" s="248">
        <f>Q27/D28</f>
        <v>0.16611541480613029</v>
      </c>
      <c r="Q27" s="229">
        <f>SUM(Q8:Q26)</f>
        <v>85603.961998844796</v>
      </c>
      <c r="R27" s="248">
        <f>S27/D28</f>
        <v>0.15272003586510499</v>
      </c>
      <c r="S27" s="229">
        <f>SUM(S8:S26)</f>
        <v>78700.945134540292</v>
      </c>
      <c r="T27" s="248">
        <f>U27/D28</f>
        <v>8.1825580041271426E-2</v>
      </c>
      <c r="U27" s="229">
        <f>SUM(U8:U26)</f>
        <v>42167.030992044551</v>
      </c>
      <c r="V27" s="248">
        <f>W27/D28</f>
        <v>3.2240391476635773E-2</v>
      </c>
      <c r="W27" s="229">
        <f>SUM(W8:W26)</f>
        <v>16614.383740454396</v>
      </c>
      <c r="X27" s="248">
        <f>Y27/D28</f>
        <v>1.6681577150092986E-2</v>
      </c>
      <c r="Y27" s="229">
        <f>SUM(Y8:Y26)</f>
        <v>8596.4875571839984</v>
      </c>
    </row>
    <row r="28" spans="1:25" s="233" customFormat="1" ht="12.75" customHeight="1" x14ac:dyDescent="0.2">
      <c r="A28" s="378" t="s">
        <v>513</v>
      </c>
      <c r="B28" s="378"/>
      <c r="C28" s="234">
        <f>SUM(C8:C26)</f>
        <v>413382.59505599999</v>
      </c>
      <c r="D28" s="234">
        <f>SUM(D8:D26)</f>
        <v>515328.22585279838</v>
      </c>
      <c r="E28" s="235">
        <f>SUM(E8:E27)</f>
        <v>1.0000000000000002</v>
      </c>
      <c r="F28" s="223">
        <f>G28/D28</f>
        <v>0.39821353401584841</v>
      </c>
      <c r="G28" s="234">
        <f>G27</f>
        <v>205210.67399496015</v>
      </c>
      <c r="H28" s="223">
        <f>I28/D28</f>
        <v>4.2652337753811206E-2</v>
      </c>
      <c r="I28" s="234">
        <f>I27</f>
        <v>21979.953543145861</v>
      </c>
      <c r="J28" s="223">
        <f>H28+J27</f>
        <v>0.13548524018137198</v>
      </c>
      <c r="K28" s="234">
        <f>I28+K27</f>
        <v>69819.368451906703</v>
      </c>
      <c r="L28" s="223">
        <f>J28+L27</f>
        <v>0.3442528890594172</v>
      </c>
      <c r="M28" s="234">
        <f t="shared" ref="M28:W28" si="1">K28+M27</f>
        <v>177403.23056368972</v>
      </c>
      <c r="N28" s="223">
        <f>L28+N27</f>
        <v>0.55041700066076449</v>
      </c>
      <c r="O28" s="234">
        <f t="shared" si="1"/>
        <v>283645.41642973037</v>
      </c>
      <c r="P28" s="223">
        <f t="shared" si="1"/>
        <v>0.71653241546689483</v>
      </c>
      <c r="Q28" s="234">
        <f t="shared" si="1"/>
        <v>369249.37842857518</v>
      </c>
      <c r="R28" s="223">
        <f t="shared" si="1"/>
        <v>0.8692524513319998</v>
      </c>
      <c r="S28" s="234">
        <f t="shared" si="1"/>
        <v>447950.32356311544</v>
      </c>
      <c r="T28" s="223">
        <f t="shared" si="1"/>
        <v>0.95107803137327118</v>
      </c>
      <c r="U28" s="234">
        <f>S28+U27</f>
        <v>490117.35455515998</v>
      </c>
      <c r="V28" s="223">
        <f t="shared" si="1"/>
        <v>0.983318422849907</v>
      </c>
      <c r="W28" s="234">
        <f t="shared" si="1"/>
        <v>506731.73829561437</v>
      </c>
      <c r="X28" s="223">
        <f>Y28/D28</f>
        <v>1</v>
      </c>
      <c r="Y28" s="234">
        <f>W28+Y27</f>
        <v>515328.22585279838</v>
      </c>
    </row>
    <row r="29" spans="1:25" s="225" customFormat="1" ht="80.099999999999994" customHeight="1" x14ac:dyDescent="0.2">
      <c r="A29" s="375" t="s">
        <v>573</v>
      </c>
      <c r="B29" s="376"/>
      <c r="C29" s="376"/>
      <c r="D29" s="376"/>
      <c r="E29" s="376"/>
      <c r="F29" s="376"/>
      <c r="G29" s="376"/>
      <c r="H29" s="376"/>
      <c r="I29" s="376"/>
      <c r="J29" s="376"/>
      <c r="K29" s="376"/>
      <c r="L29" s="376"/>
      <c r="M29" s="376"/>
      <c r="N29" s="376"/>
      <c r="O29" s="376"/>
      <c r="P29" s="376"/>
      <c r="Q29" s="376"/>
      <c r="R29" s="376"/>
      <c r="S29" s="376"/>
      <c r="T29" s="374" t="s">
        <v>575</v>
      </c>
      <c r="U29" s="374"/>
      <c r="V29" s="374"/>
      <c r="W29" s="374" t="s">
        <v>580</v>
      </c>
      <c r="X29" s="374"/>
      <c r="Y29" s="377"/>
    </row>
    <row r="30" spans="1:25" s="225" customFormat="1" ht="80.099999999999994" customHeight="1" x14ac:dyDescent="0.2">
      <c r="A30" s="373" t="s">
        <v>574</v>
      </c>
      <c r="B30" s="373"/>
      <c r="C30" s="373"/>
      <c r="D30" s="373"/>
      <c r="E30" s="373"/>
      <c r="F30" s="373"/>
      <c r="G30" s="373"/>
      <c r="H30" s="373"/>
      <c r="I30" s="373"/>
      <c r="J30" s="373"/>
      <c r="K30" s="373"/>
      <c r="L30" s="373"/>
      <c r="M30" s="373"/>
      <c r="N30" s="373"/>
      <c r="O30" s="373"/>
      <c r="P30" s="373"/>
      <c r="Q30" s="373"/>
      <c r="R30" s="373"/>
      <c r="S30" s="373"/>
      <c r="T30" s="373"/>
      <c r="U30" s="373"/>
      <c r="V30" s="373"/>
      <c r="W30" s="373"/>
      <c r="X30" s="373"/>
      <c r="Y30" s="373"/>
    </row>
    <row r="32" spans="1:25" x14ac:dyDescent="0.25">
      <c r="D32" s="261"/>
      <c r="E32" s="261"/>
    </row>
    <row r="33" spans="4:9" x14ac:dyDescent="0.25">
      <c r="D33" s="261"/>
      <c r="E33" s="261"/>
    </row>
    <row r="34" spans="4:9" x14ac:dyDescent="0.25">
      <c r="D34" s="261"/>
      <c r="E34" s="261"/>
      <c r="I34" s="261"/>
    </row>
    <row r="35" spans="4:9" x14ac:dyDescent="0.25">
      <c r="D35" s="261"/>
      <c r="E35" s="261"/>
    </row>
    <row r="36" spans="4:9" x14ac:dyDescent="0.25">
      <c r="D36" s="261"/>
      <c r="E36" s="261"/>
    </row>
    <row r="37" spans="4:9" x14ac:dyDescent="0.25">
      <c r="D37" s="261"/>
      <c r="E37" s="261"/>
    </row>
    <row r="38" spans="4:9" x14ac:dyDescent="0.25">
      <c r="D38" s="261"/>
      <c r="E38" s="261"/>
    </row>
    <row r="39" spans="4:9" x14ac:dyDescent="0.25">
      <c r="D39" s="261"/>
      <c r="E39" s="261"/>
    </row>
    <row r="40" spans="4:9" x14ac:dyDescent="0.25">
      <c r="D40" s="261"/>
      <c r="E40" s="261"/>
    </row>
    <row r="41" spans="4:9" x14ac:dyDescent="0.25">
      <c r="D41" s="261"/>
      <c r="E41" s="261"/>
    </row>
    <row r="42" spans="4:9" x14ac:dyDescent="0.25">
      <c r="D42" s="261"/>
      <c r="E42" s="261"/>
    </row>
    <row r="43" spans="4:9" x14ac:dyDescent="0.25">
      <c r="D43" s="261"/>
      <c r="E43" s="261"/>
    </row>
    <row r="44" spans="4:9" x14ac:dyDescent="0.25">
      <c r="D44" s="261"/>
      <c r="E44" s="261"/>
    </row>
    <row r="45" spans="4:9" x14ac:dyDescent="0.25">
      <c r="D45" s="261"/>
      <c r="E45" s="261"/>
    </row>
    <row r="46" spans="4:9" x14ac:dyDescent="0.25">
      <c r="D46" s="261"/>
      <c r="E46" s="261"/>
    </row>
    <row r="47" spans="4:9" x14ac:dyDescent="0.25">
      <c r="D47" s="261"/>
      <c r="E47" s="261"/>
    </row>
    <row r="48" spans="4:9" x14ac:dyDescent="0.25">
      <c r="D48" s="261"/>
      <c r="E48" s="261"/>
    </row>
    <row r="49" spans="4:7" x14ac:dyDescent="0.25">
      <c r="D49" s="261"/>
      <c r="E49" s="261"/>
    </row>
    <row r="50" spans="4:7" x14ac:dyDescent="0.25">
      <c r="D50" s="261"/>
      <c r="E50" s="261"/>
    </row>
    <row r="51" spans="4:7" x14ac:dyDescent="0.25">
      <c r="D51" s="261"/>
      <c r="E51" s="261"/>
      <c r="F51" s="261"/>
      <c r="G51" s="261"/>
    </row>
    <row r="52" spans="4:7" x14ac:dyDescent="0.25">
      <c r="D52" s="261"/>
    </row>
    <row r="53" spans="4:7" x14ac:dyDescent="0.25">
      <c r="D53" s="261"/>
    </row>
    <row r="54" spans="4:7" x14ac:dyDescent="0.25">
      <c r="D54" s="261"/>
    </row>
    <row r="55" spans="4:7" x14ac:dyDescent="0.25">
      <c r="D55" s="261"/>
    </row>
    <row r="56" spans="4:7" x14ac:dyDescent="0.25">
      <c r="D56" s="261"/>
    </row>
    <row r="57" spans="4:7" x14ac:dyDescent="0.25">
      <c r="D57" s="261"/>
    </row>
    <row r="58" spans="4:7" x14ac:dyDescent="0.25">
      <c r="D58" s="261"/>
    </row>
    <row r="59" spans="4:7" x14ac:dyDescent="0.25">
      <c r="D59" s="261"/>
    </row>
    <row r="60" spans="4:7" x14ac:dyDescent="0.25">
      <c r="D60" s="261"/>
    </row>
    <row r="61" spans="4:7" x14ac:dyDescent="0.25">
      <c r="D61" s="261"/>
    </row>
    <row r="62" spans="4:7" x14ac:dyDescent="0.25">
      <c r="D62" s="261"/>
    </row>
    <row r="63" spans="4:7" x14ac:dyDescent="0.25">
      <c r="D63" s="261"/>
    </row>
    <row r="64" spans="4:7" x14ac:dyDescent="0.25">
      <c r="D64" s="261"/>
    </row>
    <row r="65" spans="4:4" x14ac:dyDescent="0.25">
      <c r="D65" s="261"/>
    </row>
    <row r="66" spans="4:4" x14ac:dyDescent="0.25">
      <c r="D66" s="261"/>
    </row>
    <row r="67" spans="4:4" x14ac:dyDescent="0.25">
      <c r="D67" s="261"/>
    </row>
    <row r="68" spans="4:4" x14ac:dyDescent="0.25">
      <c r="D68" s="261"/>
    </row>
    <row r="69" spans="4:4" x14ac:dyDescent="0.25">
      <c r="D69" s="261"/>
    </row>
    <row r="70" spans="4:4" x14ac:dyDescent="0.25">
      <c r="D70" s="261"/>
    </row>
    <row r="71" spans="4:4" x14ac:dyDescent="0.25">
      <c r="D71" s="261"/>
    </row>
    <row r="72" spans="4:4" x14ac:dyDescent="0.25">
      <c r="D72" s="261"/>
    </row>
    <row r="73" spans="4:4" x14ac:dyDescent="0.25">
      <c r="D73" s="261"/>
    </row>
    <row r="74" spans="4:4" x14ac:dyDescent="0.25">
      <c r="D74" s="261"/>
    </row>
    <row r="75" spans="4:4" x14ac:dyDescent="0.25">
      <c r="D75" s="261"/>
    </row>
    <row r="76" spans="4:4" x14ac:dyDescent="0.25">
      <c r="D76" s="261"/>
    </row>
    <row r="77" spans="4:4" x14ac:dyDescent="0.25">
      <c r="D77" s="261"/>
    </row>
    <row r="78" spans="4:4" x14ac:dyDescent="0.25">
      <c r="D78" s="261"/>
    </row>
    <row r="79" spans="4:4" x14ac:dyDescent="0.25">
      <c r="D79" s="261"/>
    </row>
    <row r="80" spans="4:4" x14ac:dyDescent="0.25">
      <c r="D80" s="261"/>
    </row>
    <row r="81" spans="4:4" x14ac:dyDescent="0.25">
      <c r="D81" s="261"/>
    </row>
    <row r="82" spans="4:4" x14ac:dyDescent="0.25">
      <c r="D82" s="261"/>
    </row>
    <row r="83" spans="4:4" x14ac:dyDescent="0.25">
      <c r="D83" s="261"/>
    </row>
    <row r="84" spans="4:4" x14ac:dyDescent="0.25">
      <c r="D84" s="261"/>
    </row>
    <row r="85" spans="4:4" x14ac:dyDescent="0.25">
      <c r="D85" s="261"/>
    </row>
    <row r="86" spans="4:4" x14ac:dyDescent="0.25">
      <c r="D86" s="261"/>
    </row>
    <row r="87" spans="4:4" x14ac:dyDescent="0.25">
      <c r="D87" s="261"/>
    </row>
    <row r="88" spans="4:4" x14ac:dyDescent="0.25">
      <c r="D88" s="261"/>
    </row>
    <row r="89" spans="4:4" x14ac:dyDescent="0.25">
      <c r="D89" s="261"/>
    </row>
    <row r="90" spans="4:4" x14ac:dyDescent="0.25">
      <c r="D90" s="261"/>
    </row>
    <row r="91" spans="4:4" x14ac:dyDescent="0.25">
      <c r="D91" s="261"/>
    </row>
    <row r="92" spans="4:4" x14ac:dyDescent="0.25">
      <c r="D92" s="261"/>
    </row>
    <row r="93" spans="4:4" x14ac:dyDescent="0.25">
      <c r="D93" s="261"/>
    </row>
    <row r="94" spans="4:4" x14ac:dyDescent="0.25">
      <c r="D94" s="261"/>
    </row>
    <row r="95" spans="4:4" x14ac:dyDescent="0.25">
      <c r="D95" s="261"/>
    </row>
    <row r="96" spans="4:4" x14ac:dyDescent="0.25">
      <c r="D96" s="261"/>
    </row>
    <row r="97" spans="4:4" x14ac:dyDescent="0.25">
      <c r="D97" s="261"/>
    </row>
    <row r="98" spans="4:4" x14ac:dyDescent="0.25">
      <c r="D98" s="261"/>
    </row>
    <row r="99" spans="4:4" x14ac:dyDescent="0.25">
      <c r="D99" s="261"/>
    </row>
    <row r="100" spans="4:4" x14ac:dyDescent="0.25">
      <c r="D100" s="261"/>
    </row>
    <row r="101" spans="4:4" x14ac:dyDescent="0.25">
      <c r="D101" s="261"/>
    </row>
    <row r="102" spans="4:4" x14ac:dyDescent="0.25">
      <c r="D102" s="261"/>
    </row>
    <row r="103" spans="4:4" x14ac:dyDescent="0.25">
      <c r="D103" s="261"/>
    </row>
    <row r="104" spans="4:4" x14ac:dyDescent="0.25">
      <c r="D104" s="261"/>
    </row>
    <row r="105" spans="4:4" x14ac:dyDescent="0.25">
      <c r="D105" s="261"/>
    </row>
    <row r="106" spans="4:4" x14ac:dyDescent="0.25">
      <c r="D106" s="261"/>
    </row>
    <row r="107" spans="4:4" x14ac:dyDescent="0.25">
      <c r="D107" s="261"/>
    </row>
    <row r="108" spans="4:4" x14ac:dyDescent="0.25">
      <c r="D108" s="261"/>
    </row>
    <row r="109" spans="4:4" x14ac:dyDescent="0.25">
      <c r="D109" s="261"/>
    </row>
    <row r="110" spans="4:4" x14ac:dyDescent="0.25">
      <c r="D110" s="261"/>
    </row>
    <row r="111" spans="4:4" x14ac:dyDescent="0.25">
      <c r="D111" s="261"/>
    </row>
    <row r="112" spans="4:4" x14ac:dyDescent="0.25">
      <c r="D112" s="261"/>
    </row>
    <row r="113" spans="4:4" x14ac:dyDescent="0.25">
      <c r="D113" s="261"/>
    </row>
    <row r="114" spans="4:4" x14ac:dyDescent="0.25">
      <c r="D114" s="261"/>
    </row>
    <row r="115" spans="4:4" x14ac:dyDescent="0.25">
      <c r="D115" s="261"/>
    </row>
    <row r="116" spans="4:4" x14ac:dyDescent="0.25">
      <c r="D116" s="261"/>
    </row>
    <row r="117" spans="4:4" x14ac:dyDescent="0.25">
      <c r="D117" s="261"/>
    </row>
    <row r="118" spans="4:4" x14ac:dyDescent="0.25">
      <c r="D118" s="261"/>
    </row>
    <row r="119" spans="4:4" x14ac:dyDescent="0.25">
      <c r="D119" s="261"/>
    </row>
    <row r="120" spans="4:4" x14ac:dyDescent="0.25">
      <c r="D120" s="261"/>
    </row>
    <row r="121" spans="4:4" x14ac:dyDescent="0.25">
      <c r="D121" s="261"/>
    </row>
    <row r="122" spans="4:4" x14ac:dyDescent="0.25">
      <c r="D122" s="261"/>
    </row>
    <row r="123" spans="4:4" x14ac:dyDescent="0.25">
      <c r="D123" s="261"/>
    </row>
    <row r="124" spans="4:4" x14ac:dyDescent="0.25">
      <c r="D124" s="261"/>
    </row>
  </sheetData>
  <sheetProtection selectLockedCells="1" selectUnlockedCells="1"/>
  <mergeCells count="31">
    <mergeCell ref="J6:K6"/>
    <mergeCell ref="L6:M6"/>
    <mergeCell ref="N6:O6"/>
    <mergeCell ref="P6:Q6"/>
    <mergeCell ref="A1:Y1"/>
    <mergeCell ref="A2:G2"/>
    <mergeCell ref="H2:Y2"/>
    <mergeCell ref="A3:G3"/>
    <mergeCell ref="H3:Y3"/>
    <mergeCell ref="A4:Y4"/>
    <mergeCell ref="C6:C7"/>
    <mergeCell ref="D6:D7"/>
    <mergeCell ref="E6:E7"/>
    <mergeCell ref="C5:E5"/>
    <mergeCell ref="F5:G5"/>
    <mergeCell ref="A29:S29"/>
    <mergeCell ref="T29:V29"/>
    <mergeCell ref="W29:Y29"/>
    <mergeCell ref="A30:Y30"/>
    <mergeCell ref="B5:B7"/>
    <mergeCell ref="A5:A7"/>
    <mergeCell ref="H5:Y5"/>
    <mergeCell ref="R6:S6"/>
    <mergeCell ref="T6:U6"/>
    <mergeCell ref="V6:W6"/>
    <mergeCell ref="X6:Y6"/>
    <mergeCell ref="A27:B27"/>
    <mergeCell ref="A28:B28"/>
    <mergeCell ref="G6:G7"/>
    <mergeCell ref="F6:F7"/>
    <mergeCell ref="H6:I6"/>
  </mergeCells>
  <phoneticPr fontId="31" type="noConversion"/>
  <pageMargins left="0.25" right="0.25" top="0.75" bottom="0.75" header="0.3" footer="0.3"/>
  <pageSetup paperSize="9" scale="44" fitToHeight="0" orientation="landscape" r:id="rId1"/>
  <headerFooter scaleWithDoc="0" alignWithMargins="0"/>
  <ignoredErrors>
    <ignoredError sqref="D25 E12" formula="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I22"/>
  <sheetViews>
    <sheetView zoomScaleNormal="100" workbookViewId="0">
      <selection activeCell="H5" sqref="H5"/>
    </sheetView>
  </sheetViews>
  <sheetFormatPr defaultColWidth="11.5703125" defaultRowHeight="15" x14ac:dyDescent="0.25"/>
  <cols>
    <col min="1" max="1" width="5.5703125" bestFit="1" customWidth="1"/>
    <col min="2" max="2" width="40.28515625" bestFit="1" customWidth="1"/>
    <col min="3" max="3" width="12.5703125" hidden="1" customWidth="1"/>
    <col min="4" max="4" width="12.7109375" customWidth="1"/>
    <col min="5" max="5" width="17.42578125" customWidth="1"/>
    <col min="6" max="6" width="13.7109375" bestFit="1" customWidth="1"/>
    <col min="7" max="7" width="16.28515625" customWidth="1"/>
    <col min="8" max="8" width="18" customWidth="1"/>
    <col min="9" max="9" width="14.5703125" customWidth="1"/>
  </cols>
  <sheetData>
    <row r="1" spans="1:9" ht="12.75" customHeight="1" x14ac:dyDescent="0.25">
      <c r="A1" s="424" t="s">
        <v>2</v>
      </c>
      <c r="B1" s="425" t="s">
        <v>514</v>
      </c>
      <c r="C1" s="426" t="s">
        <v>497</v>
      </c>
      <c r="D1" s="427" t="s">
        <v>515</v>
      </c>
      <c r="E1" s="422" t="s">
        <v>516</v>
      </c>
      <c r="F1" s="422" t="s">
        <v>546</v>
      </c>
      <c r="G1" s="422" t="s">
        <v>571</v>
      </c>
      <c r="H1" s="420" t="s">
        <v>572</v>
      </c>
      <c r="I1" s="418" t="s">
        <v>578</v>
      </c>
    </row>
    <row r="2" spans="1:9" x14ac:dyDescent="0.25">
      <c r="A2" s="424"/>
      <c r="B2" s="425"/>
      <c r="C2" s="426"/>
      <c r="D2" s="427"/>
      <c r="E2" s="422"/>
      <c r="F2" s="423"/>
      <c r="G2" s="423"/>
      <c r="H2" s="421"/>
      <c r="I2" s="418"/>
    </row>
    <row r="3" spans="1:9" ht="30" x14ac:dyDescent="0.25">
      <c r="A3" s="259">
        <v>1</v>
      </c>
      <c r="B3" s="260" t="str">
        <f>CFF!B7</f>
        <v>INSTALAÇÃO DOS SERVIÇOS DE ENGENHARIA</v>
      </c>
      <c r="C3" s="2">
        <f>'MEMÓRIA DE CÁLCULO'!F17</f>
        <v>0</v>
      </c>
      <c r="D3" s="1">
        <v>30</v>
      </c>
      <c r="E3" s="194">
        <f>CFF!D7</f>
        <v>12531.634544640001</v>
      </c>
      <c r="F3" s="195">
        <f>ADITIVO!L21*(1+ADITIVO!$J$447)</f>
        <v>12531.634544640001</v>
      </c>
      <c r="G3" s="195">
        <f>ADITIVO!R21*(1+ADITIVO!$P$447)</f>
        <v>0</v>
      </c>
      <c r="H3" s="243">
        <f>F3+G3</f>
        <v>12531.634544640001</v>
      </c>
      <c r="I3" s="256">
        <f>F3/H3</f>
        <v>1</v>
      </c>
    </row>
    <row r="4" spans="1:9" x14ac:dyDescent="0.25">
      <c r="A4" s="259">
        <v>3</v>
      </c>
      <c r="B4" s="260" t="str">
        <f>CFF!B8</f>
        <v>TRABALHOS EM TERRA</v>
      </c>
      <c r="C4" s="2">
        <f>'MEMÓRIA DE CÁLCULO'!F36</f>
        <v>0</v>
      </c>
      <c r="D4" s="1">
        <v>90</v>
      </c>
      <c r="E4" s="194">
        <f>CFF!D8</f>
        <v>7043.4561424097283</v>
      </c>
      <c r="F4" s="195">
        <f>ADITIVO!L40*(1+ADITIVO!$J$447)</f>
        <v>7043.4561424097283</v>
      </c>
      <c r="G4" s="195">
        <f>ADITIVO!R40*(1+ADITIVO!$P$447)</f>
        <v>0</v>
      </c>
      <c r="H4" s="243">
        <f t="shared" ref="H4:H22" si="0">F4+G4</f>
        <v>7043.4561424097283</v>
      </c>
      <c r="I4" s="256">
        <f t="shared" ref="I4:I21" si="1">F4/H4</f>
        <v>1</v>
      </c>
    </row>
    <row r="5" spans="1:9" ht="30" x14ac:dyDescent="0.25">
      <c r="A5" s="259">
        <v>4</v>
      </c>
      <c r="B5" s="260" t="str">
        <f>CFF!B9</f>
        <v>SONDAGEM, FUNDAÇÕES, MUROS E CONTENÇÕES</v>
      </c>
      <c r="C5" s="2">
        <f>'MEMÓRIA DE CÁLCULO'!F60</f>
        <v>0</v>
      </c>
      <c r="D5" s="1">
        <v>90</v>
      </c>
      <c r="E5" s="194">
        <f>CFF!D9</f>
        <v>58997.32866875521</v>
      </c>
      <c r="F5" s="195">
        <f>ADITIVO!L64*(1+ADITIVO!$J$447)</f>
        <v>50106.43747799041</v>
      </c>
      <c r="G5" s="195">
        <f>ADITIVO!R64*(1+ADITIVO!$P$447)</f>
        <v>8890.8911907647998</v>
      </c>
      <c r="H5" s="243">
        <f t="shared" si="0"/>
        <v>58997.32866875521</v>
      </c>
      <c r="I5" s="256">
        <f t="shared" si="1"/>
        <v>0.84930010576100223</v>
      </c>
    </row>
    <row r="6" spans="1:9" x14ac:dyDescent="0.25">
      <c r="A6" s="259">
        <v>5</v>
      </c>
      <c r="B6" s="260" t="str">
        <f>CFF!B10</f>
        <v>SUPERESTRUTURA</v>
      </c>
      <c r="C6" s="2">
        <f>'MEMÓRIA DE CÁLCULO'!F70</f>
        <v>0</v>
      </c>
      <c r="D6" s="1">
        <v>90</v>
      </c>
      <c r="E6" s="194">
        <f>CFF!D10</f>
        <v>38828.081351225592</v>
      </c>
      <c r="F6" s="195">
        <f>ADITIVO!L74*(1+ADITIVO!$J$447)</f>
        <v>5629.3466112000006</v>
      </c>
      <c r="G6" s="195">
        <f>ADITIVO!R74*(1+ADITIVO!$P$447)</f>
        <v>33198.734740025589</v>
      </c>
      <c r="H6" s="243">
        <f t="shared" si="0"/>
        <v>38828.081351225592</v>
      </c>
      <c r="I6" s="256">
        <f t="shared" si="1"/>
        <v>0.1449813231892364</v>
      </c>
    </row>
    <row r="7" spans="1:9" x14ac:dyDescent="0.25">
      <c r="A7" s="259">
        <v>6</v>
      </c>
      <c r="B7" s="260" t="str">
        <f>CFF!B11</f>
        <v>ALVENARIA</v>
      </c>
      <c r="C7" s="2">
        <f>'MEMÓRIA DE CÁLCULO'!F77</f>
        <v>0</v>
      </c>
      <c r="D7" s="1">
        <v>90</v>
      </c>
      <c r="E7" s="194">
        <f>CFF!D11</f>
        <v>16720.844449440003</v>
      </c>
      <c r="F7" s="195">
        <f>ADITIVO!L81*(1+ADITIVO!$J$447)</f>
        <v>12625.666252800002</v>
      </c>
      <c r="G7" s="195">
        <f>ADITIVO!R81*(1+ADITIVO!$P$447)</f>
        <v>4095.1781966399994</v>
      </c>
      <c r="H7" s="243">
        <f t="shared" si="0"/>
        <v>16720.844449440003</v>
      </c>
      <c r="I7" s="256">
        <f t="shared" si="1"/>
        <v>0.75508544385883858</v>
      </c>
    </row>
    <row r="8" spans="1:9" x14ac:dyDescent="0.25">
      <c r="A8" s="259">
        <v>7</v>
      </c>
      <c r="B8" s="260" t="str">
        <f>CFF!B12</f>
        <v>COBERTURA E FORRO</v>
      </c>
      <c r="C8" s="2">
        <f>'MEMÓRIA DE CÁLCULO'!F92</f>
        <v>0</v>
      </c>
      <c r="D8" s="1">
        <v>60</v>
      </c>
      <c r="E8" s="194">
        <f>CFF!D12</f>
        <v>12519.739008</v>
      </c>
      <c r="F8" s="195">
        <f>ADITIVO!L96*(1+ADITIVO!$J$447)</f>
        <v>0</v>
      </c>
      <c r="G8" s="195">
        <f>ADITIVO!R96*(1+ADITIVO!$P$447)</f>
        <v>12519.739008</v>
      </c>
      <c r="H8" s="243">
        <f t="shared" si="0"/>
        <v>12519.739008</v>
      </c>
      <c r="I8" s="256">
        <f t="shared" si="1"/>
        <v>0</v>
      </c>
    </row>
    <row r="9" spans="1:9" x14ac:dyDescent="0.25">
      <c r="A9" s="259">
        <v>8</v>
      </c>
      <c r="B9" s="260" t="str">
        <f>CFF!B13</f>
        <v>INSTALAÇÕES HIDRÁULICAS</v>
      </c>
      <c r="C9" s="2">
        <f>'MEMÓRIA DE CÁLCULO'!F180</f>
        <v>0</v>
      </c>
      <c r="D9" s="1">
        <v>180</v>
      </c>
      <c r="E9" s="194">
        <f>CFF!D13</f>
        <v>18815.068592</v>
      </c>
      <c r="F9" s="195">
        <f>ADITIVO!L172*(1+ADITIVO!$J$447)</f>
        <v>0</v>
      </c>
      <c r="G9" s="195">
        <f>ADITIVO!R172*(1+ADITIVO!$P$447)</f>
        <v>18815.068592</v>
      </c>
      <c r="H9" s="243">
        <f t="shared" si="0"/>
        <v>18815.068592</v>
      </c>
      <c r="I9" s="256">
        <f t="shared" si="1"/>
        <v>0</v>
      </c>
    </row>
    <row r="10" spans="1:9" x14ac:dyDescent="0.25">
      <c r="A10" s="259">
        <v>9</v>
      </c>
      <c r="B10" s="260" t="str">
        <f>CFF!B14</f>
        <v>INSTALAÇÕES SANITÁRIAS</v>
      </c>
      <c r="C10" s="2">
        <f>'MEMÓRIA DE CÁLCULO'!F202</f>
        <v>564.68999999999994</v>
      </c>
      <c r="D10" s="1">
        <v>210</v>
      </c>
      <c r="E10" s="194">
        <f>CFF!D14</f>
        <v>15368.361280000001</v>
      </c>
      <c r="F10" s="195">
        <f>ADITIVO!L194*(1+ADITIVO!$J$447)</f>
        <v>0</v>
      </c>
      <c r="G10" s="195">
        <f>ADITIVO!R194*(1+ADITIVO!$P$447)</f>
        <v>15368.361280000001</v>
      </c>
      <c r="H10" s="243">
        <f t="shared" si="0"/>
        <v>15368.361280000001</v>
      </c>
      <c r="I10" s="256">
        <f t="shared" si="1"/>
        <v>0</v>
      </c>
    </row>
    <row r="11" spans="1:9" x14ac:dyDescent="0.25">
      <c r="A11" s="259">
        <v>10</v>
      </c>
      <c r="B11" s="260" t="str">
        <f>CFF!B15</f>
        <v>INSTALAÇÃO ELÉTRICA</v>
      </c>
      <c r="C11" s="2">
        <f>'MEMÓRIA DE CÁLCULO'!F296</f>
        <v>0</v>
      </c>
      <c r="D11" s="1">
        <v>210</v>
      </c>
      <c r="E11" s="194">
        <f>CFF!D15</f>
        <v>25144.325184000001</v>
      </c>
      <c r="F11" s="195">
        <f>ADITIVO!L283*(1+ADITIVO!$J$447)</f>
        <v>0</v>
      </c>
      <c r="G11" s="195">
        <f>ADITIVO!R283*(1+ADITIVO!$P$447)</f>
        <v>25144.325184000001</v>
      </c>
      <c r="H11" s="243">
        <f t="shared" si="0"/>
        <v>25144.325184000001</v>
      </c>
      <c r="I11" s="256">
        <f t="shared" si="1"/>
        <v>0</v>
      </c>
    </row>
    <row r="12" spans="1:9" x14ac:dyDescent="0.25">
      <c r="A12" s="259">
        <v>12</v>
      </c>
      <c r="B12" s="260" t="str">
        <f>CFF!B16</f>
        <v>ESQUADRIAS METÁLICAS</v>
      </c>
      <c r="C12" s="2">
        <f>'MEMÓRIA DE CÁLCULO'!F306</f>
        <v>0</v>
      </c>
      <c r="D12" s="1">
        <v>90</v>
      </c>
      <c r="E12" s="194">
        <f>CFF!D16</f>
        <v>6496.6506048000001</v>
      </c>
      <c r="F12" s="195">
        <f>ADITIVO!L293*(1+ADITIVO!$J$447)</f>
        <v>0</v>
      </c>
      <c r="G12" s="195">
        <f>ADITIVO!R293*(1+ADITIVO!$P$447)</f>
        <v>6496.6506048000001</v>
      </c>
      <c r="H12" s="243">
        <f t="shared" si="0"/>
        <v>6496.6506048000001</v>
      </c>
      <c r="I12" s="256">
        <f t="shared" si="1"/>
        <v>0</v>
      </c>
    </row>
    <row r="13" spans="1:9" x14ac:dyDescent="0.25">
      <c r="A13" s="259">
        <v>13</v>
      </c>
      <c r="B13" s="260" t="str">
        <f>CFF!B17</f>
        <v>FERRAGENS</v>
      </c>
      <c r="C13" s="2">
        <f>'MEMÓRIA DE CÁLCULO'!F324</f>
        <v>0</v>
      </c>
      <c r="D13" s="1">
        <v>60</v>
      </c>
      <c r="E13" s="194">
        <f>CFF!D17</f>
        <v>15600.734113279999</v>
      </c>
      <c r="F13" s="195">
        <f>ADITIVO!L311*(1+ADITIVO!$J$447)</f>
        <v>0</v>
      </c>
      <c r="G13" s="195">
        <f>ADITIVO!R311*(1+ADITIVO!$P$447)</f>
        <v>15600.734113279999</v>
      </c>
      <c r="H13" s="243">
        <f t="shared" si="0"/>
        <v>15600.734113279999</v>
      </c>
      <c r="I13" s="256">
        <f t="shared" si="1"/>
        <v>0</v>
      </c>
    </row>
    <row r="14" spans="1:9" x14ac:dyDescent="0.25">
      <c r="A14" s="259">
        <v>14</v>
      </c>
      <c r="B14" s="260" t="str">
        <f>CFF!B18</f>
        <v>REVESTIMENTO</v>
      </c>
      <c r="C14" s="2">
        <f>'MEMÓRIA DE CÁLCULO'!F341</f>
        <v>0</v>
      </c>
      <c r="D14" s="1">
        <v>90</v>
      </c>
      <c r="E14" s="194">
        <f>CFF!D18</f>
        <v>30266.450042240001</v>
      </c>
      <c r="F14" s="195">
        <f>ADITIVO!L328*(1+ADITIVO!$J$447)</f>
        <v>207.27201792000002</v>
      </c>
      <c r="G14" s="195">
        <f>ADITIVO!R328*(1+ADITIVO!$P$447)</f>
        <v>30059.178024320001</v>
      </c>
      <c r="H14" s="243">
        <f t="shared" si="0"/>
        <v>30266.450042240001</v>
      </c>
      <c r="I14" s="256">
        <f t="shared" si="1"/>
        <v>6.8482434388813422E-3</v>
      </c>
    </row>
    <row r="15" spans="1:9" x14ac:dyDescent="0.25">
      <c r="A15" s="259">
        <v>15</v>
      </c>
      <c r="B15" s="260" t="str">
        <f>CFF!B19</f>
        <v>PISOS E RODAPÉS</v>
      </c>
      <c r="C15" s="2">
        <f>'MEMÓRIA DE CÁLCULO'!F360</f>
        <v>0</v>
      </c>
      <c r="D15" s="1">
        <v>90</v>
      </c>
      <c r="E15" s="194">
        <f>CFF!D19</f>
        <v>32821.802904166398</v>
      </c>
      <c r="F15" s="195">
        <f>ADITIVO!L347*(1+ADITIVO!$J$447)</f>
        <v>0</v>
      </c>
      <c r="G15" s="195">
        <f>ADITIVO!R347*(1+ADITIVO!$P$447)</f>
        <v>32821.802904166398</v>
      </c>
      <c r="H15" s="243">
        <f t="shared" si="0"/>
        <v>32821.802904166398</v>
      </c>
      <c r="I15" s="256">
        <f t="shared" si="1"/>
        <v>0</v>
      </c>
    </row>
    <row r="16" spans="1:9" x14ac:dyDescent="0.25">
      <c r="A16" s="259">
        <v>17</v>
      </c>
      <c r="B16" s="260" t="str">
        <f>CFF!B20</f>
        <v>PINTURA</v>
      </c>
      <c r="C16" s="2">
        <f>'MEMÓRIA DE CÁLCULO'!F371</f>
        <v>0</v>
      </c>
      <c r="D16" s="1">
        <v>90</v>
      </c>
      <c r="E16" s="194">
        <f>CFF!D20</f>
        <v>15581.216286975994</v>
      </c>
      <c r="F16" s="195">
        <f>ADITIVO!L358*(1+ADITIVO!$J$447)</f>
        <v>0</v>
      </c>
      <c r="G16" s="195">
        <f>ADITIVO!R358*(1+ADITIVO!$P$447)</f>
        <v>15581.216286975994</v>
      </c>
      <c r="H16" s="243">
        <f t="shared" si="0"/>
        <v>15581.216286975994</v>
      </c>
      <c r="I16" s="256">
        <f t="shared" si="1"/>
        <v>0</v>
      </c>
    </row>
    <row r="17" spans="1:9" x14ac:dyDescent="0.25">
      <c r="A17" s="259">
        <v>18</v>
      </c>
      <c r="B17" s="260" t="str">
        <f>CFF!B21</f>
        <v>BANCADAS, PRATELEIRAS E DIVISÓRIAS</v>
      </c>
      <c r="C17" s="2">
        <f>'MEMÓRIA DE CÁLCULO'!F389</f>
        <v>0</v>
      </c>
      <c r="D17" s="1">
        <v>60</v>
      </c>
      <c r="E17" s="194">
        <f>CFF!D21</f>
        <v>150.07154559999998</v>
      </c>
      <c r="F17" s="195">
        <f>ADITIVO!L368*(1+ADITIVO!$J$447)</f>
        <v>0</v>
      </c>
      <c r="G17" s="195">
        <f>ADITIVO!R368*(1+ADITIVO!$P$447)</f>
        <v>150.07154559999998</v>
      </c>
      <c r="H17" s="243">
        <f t="shared" si="0"/>
        <v>150.07154559999998</v>
      </c>
      <c r="I17" s="256">
        <f t="shared" si="1"/>
        <v>0</v>
      </c>
    </row>
    <row r="18" spans="1:9" x14ac:dyDescent="0.25">
      <c r="A18" s="259">
        <v>20</v>
      </c>
      <c r="B18" s="260" t="str">
        <f>CFF!B22</f>
        <v>QUADRA</v>
      </c>
      <c r="C18" s="2">
        <f>'MEMÓRIA DE CÁLCULO'!F432</f>
        <v>0</v>
      </c>
      <c r="D18" s="1">
        <v>240</v>
      </c>
      <c r="E18" s="194">
        <f>CFF!D22</f>
        <v>387593.84883922565</v>
      </c>
      <c r="F18" s="195">
        <f>ADITIVO!L411*(1+ADITIVO!$J$447)</f>
        <v>108163.39968000002</v>
      </c>
      <c r="G18" s="195">
        <f>ADITIVO!R411*(1+ADITIVO!$P$447)</f>
        <v>279430.44915922562</v>
      </c>
      <c r="H18" s="243">
        <f t="shared" si="0"/>
        <v>387593.84883922565</v>
      </c>
      <c r="I18" s="256">
        <f t="shared" si="1"/>
        <v>0.27906376740479777</v>
      </c>
    </row>
    <row r="19" spans="1:9" x14ac:dyDescent="0.25">
      <c r="A19" s="259">
        <v>23</v>
      </c>
      <c r="B19" s="260" t="str">
        <f>CFF!B23</f>
        <v>LIMPEZA</v>
      </c>
      <c r="C19" s="2">
        <f>'MEMÓRIA DE CÁLCULO'!F441</f>
        <v>0</v>
      </c>
      <c r="D19" s="1">
        <v>240</v>
      </c>
      <c r="E19" s="194">
        <f>CFF!D23</f>
        <v>8105.4887680000011</v>
      </c>
      <c r="F19" s="195">
        <f>ADITIVO!L419*(1+ADITIVO!$J$447)</f>
        <v>0</v>
      </c>
      <c r="G19" s="195">
        <f>ADITIVO!R419*(1+ADITIVO!$P$447)</f>
        <v>8105.4887680000011</v>
      </c>
      <c r="H19" s="243">
        <f t="shared" si="0"/>
        <v>8105.4887680000011</v>
      </c>
      <c r="I19" s="256">
        <f t="shared" si="1"/>
        <v>0</v>
      </c>
    </row>
    <row r="20" spans="1:9" x14ac:dyDescent="0.25">
      <c r="A20" s="259">
        <v>24</v>
      </c>
      <c r="B20" s="260" t="s">
        <v>461</v>
      </c>
      <c r="C20" s="2">
        <f>'MEMÓRIA DE CÁLCULO'!F466</f>
        <v>0</v>
      </c>
      <c r="D20" s="1">
        <v>60</v>
      </c>
      <c r="E20" s="194">
        <f>CFF!D24</f>
        <v>17782.168243</v>
      </c>
      <c r="F20" s="195">
        <f>ADITIVO!L440*(1+ADITIVO!$J$446)</f>
        <v>8903.4612679999991</v>
      </c>
      <c r="G20" s="195">
        <f>ADITIVO!R440*(1+ADITIVO!$P$446)</f>
        <v>8878.706975000001</v>
      </c>
      <c r="H20" s="243">
        <f t="shared" si="0"/>
        <v>17782.168243</v>
      </c>
      <c r="I20" s="256">
        <f t="shared" si="1"/>
        <v>0.50069604259339251</v>
      </c>
    </row>
    <row r="21" spans="1:9" x14ac:dyDescent="0.25">
      <c r="A21" s="259">
        <v>26</v>
      </c>
      <c r="B21" s="260" t="s">
        <v>483</v>
      </c>
      <c r="C21" s="2">
        <f>'MEMÓRIA DE CÁLCULO'!F470</f>
        <v>0</v>
      </c>
      <c r="D21" s="219">
        <v>30</v>
      </c>
      <c r="E21" s="220">
        <f>CFF!D25</f>
        <v>171.62928000000002</v>
      </c>
      <c r="F21" s="196">
        <f>ADITIVO!L444*(1+ADITIVO!$J$447)</f>
        <v>0</v>
      </c>
      <c r="G21" s="196">
        <f>ADITIVO!R444*(1+ADITIVO!$P$447)</f>
        <v>171.62928000000002</v>
      </c>
      <c r="H21" s="244">
        <f t="shared" si="0"/>
        <v>171.62928000000002</v>
      </c>
      <c r="I21" s="256">
        <f t="shared" si="1"/>
        <v>0</v>
      </c>
    </row>
    <row r="22" spans="1:9" ht="15" customHeight="1" x14ac:dyDescent="0.25">
      <c r="A22" s="419" t="s">
        <v>9</v>
      </c>
      <c r="B22" s="419"/>
      <c r="C22" s="218">
        <f>SUM(C3:C21)</f>
        <v>564.68999999999994</v>
      </c>
      <c r="D22" s="221"/>
      <c r="E22" s="221">
        <f>SUM(E3:E21)</f>
        <v>720538.8998477587</v>
      </c>
      <c r="F22" s="222">
        <f>SUM(F3:F21)</f>
        <v>205210.67399496015</v>
      </c>
      <c r="G22" s="222">
        <f>SUM(G3:G21)</f>
        <v>515328.22585279838</v>
      </c>
      <c r="H22" s="242">
        <f t="shared" si="0"/>
        <v>720538.89984775847</v>
      </c>
      <c r="I22" s="257">
        <f>F22/H22</f>
        <v>0.28480165892267412</v>
      </c>
    </row>
  </sheetData>
  <mergeCells count="10">
    <mergeCell ref="I1:I2"/>
    <mergeCell ref="A22:B22"/>
    <mergeCell ref="H1:H2"/>
    <mergeCell ref="F1:F2"/>
    <mergeCell ref="G1:G2"/>
    <mergeCell ref="A1:A2"/>
    <mergeCell ref="B1:B2"/>
    <mergeCell ref="C1:C2"/>
    <mergeCell ref="D1:D2"/>
    <mergeCell ref="E1:E2"/>
  </mergeCells>
  <pageMargins left="0.511811024" right="0.511811024" top="0.78740157499999996" bottom="0.78740157499999996" header="0.31496062000000002" footer="0.31496062000000002"/>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10</vt:i4>
      </vt:variant>
    </vt:vector>
  </HeadingPairs>
  <TitlesOfParts>
    <vt:vector size="15" baseType="lpstr">
      <vt:lpstr>ADITIVO</vt:lpstr>
      <vt:lpstr>MEMÓRIA DE CÁLCULO</vt:lpstr>
      <vt:lpstr>CFF</vt:lpstr>
      <vt:lpstr>CFF - CORRIGIDO</vt:lpstr>
      <vt:lpstr>RESUMO</vt:lpstr>
      <vt:lpstr>__Anonymous_Sheet_DB__1</vt:lpstr>
      <vt:lpstr>__Anonymous_Sheet_DB__2</vt:lpstr>
      <vt:lpstr>ADITIVO!Area_de_impressao</vt:lpstr>
      <vt:lpstr>'MEMÓRIA DE CÁLCULO'!Excel_BuiltIn__FilterDatabase</vt:lpstr>
      <vt:lpstr>Excel_BuiltIn__FilterDatabase_1</vt:lpstr>
      <vt:lpstr>'MEMÓRIA DE CÁLCULO'!Excel_BuiltIn_Print_Area</vt:lpstr>
      <vt:lpstr>CFF!Print_Area</vt:lpstr>
      <vt:lpstr>'CFF - CORRIGIDO'!Print_Area</vt:lpstr>
      <vt:lpstr>'MEMÓRIA DE CÁLCULO'!Print_Area</vt:lpstr>
      <vt:lpstr>'MEMÓRIA DE CÁLCULO'!Print_Titles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Petronio Xavier</dc:creator>
  <cp:lastModifiedBy>USUÁRIO</cp:lastModifiedBy>
  <cp:revision>1</cp:revision>
  <cp:lastPrinted>2025-06-10T18:00:39Z</cp:lastPrinted>
  <dcterms:created xsi:type="dcterms:W3CDTF">2021-12-07T11:05:08Z</dcterms:created>
  <dcterms:modified xsi:type="dcterms:W3CDTF">2025-09-09T13:15:40Z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1046-11.2.0.8343</vt:lpwstr>
  </property>
</Properties>
</file>