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11.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EstaPastaDeTrabalho" defaultThemeVersion="166925"/>
  <mc:AlternateContent xmlns:mc="http://schemas.openxmlformats.org/markup-compatibility/2006">
    <mc:Choice Requires="x15">
      <x15ac:absPath xmlns:x15ac="http://schemas.microsoft.com/office/spreadsheetml/2010/11/ac" url="Z:\Processos 2026\Concorrência\Reforma e implantação do Mercado Municipal\Documentos\"/>
    </mc:Choice>
  </mc:AlternateContent>
  <xr:revisionPtr revIDLastSave="0" documentId="8_{34D5AD8C-CCC5-4321-90BB-31BEC3597AA5}" xr6:coauthVersionLast="47" xr6:coauthVersionMax="47" xr10:uidLastSave="{00000000-0000-0000-0000-000000000000}"/>
  <bookViews>
    <workbookView xWindow="-120" yWindow="-120" windowWidth="29040" windowHeight="15840" tabRatio="865" xr2:uid="{9B85F8C0-6CD4-46E7-B086-214B345CD76F}"/>
  </bookViews>
  <sheets>
    <sheet name="RESUMO" sheetId="7" r:id="rId1"/>
    <sheet name="SINTÉTICA" sheetId="3" r:id="rId2"/>
    <sheet name="ANALÍTICA" sheetId="5" r:id="rId3"/>
    <sheet name="QCP" sheetId="4" r:id="rId4"/>
    <sheet name="BDI EQUIPAMENTOS" sheetId="13" r:id="rId5"/>
    <sheet name="BDI SERVIÇOS" sheetId="6" r:id="rId6"/>
    <sheet name="Encargos Sociais" sheetId="11" r:id="rId7"/>
    <sheet name="Cronograma" sheetId="10" r:id="rId8"/>
    <sheet name="Curva ABC" sheetId="37" r:id="rId9"/>
    <sheet name="Curva S" sheetId="41" r:id="rId10"/>
    <sheet name="Curva S Ref." sheetId="9" state="hidden" r:id="rId11"/>
    <sheet name="MC DIVERSOS" sheetId="34" r:id="rId12"/>
    <sheet name="MC DRENAGEM" sheetId="38" r:id="rId13"/>
    <sheet name="MC ESQUADRIAS" sheetId="32" r:id="rId14"/>
    <sheet name="MC PINTURA" sheetId="35" r:id="rId15"/>
    <sheet name="MC CORRIMÃO E GUARDA CORPO" sheetId="31" r:id="rId16"/>
    <sheet name="MC PEDRAS" sheetId="30" r:id="rId17"/>
    <sheet name="MC FORRO" sheetId="29" r:id="rId18"/>
    <sheet name="MC REVESTIMENTOS" sheetId="28" r:id="rId19"/>
    <sheet name="MC ALVENARIA" sheetId="27" r:id="rId20"/>
    <sheet name="MC PISO" sheetId="26" r:id="rId21"/>
    <sheet name="MC DEMOLIÇÕES E REMOÇÕES" sheetId="24" r:id="rId22"/>
    <sheet name="MC ESCADAS" sheetId="18" r:id="rId23"/>
    <sheet name="MC REFORÇO FUNDAÇÃO" sheetId="20" r:id="rId24"/>
    <sheet name="MC ARRIMO" sheetId="21" r:id="rId25"/>
    <sheet name="MC ELÉTRICO" sheetId="39" r:id="rId26"/>
    <sheet name="MC HIDRO" sheetId="36" r:id="rId27"/>
    <sheet name="MC LIMPO" sheetId="23" r:id="rId28"/>
  </sheets>
  <externalReferences>
    <externalReference r:id="rId29"/>
    <externalReference r:id="rId30"/>
    <externalReference r:id="rId31"/>
  </externalReferences>
  <definedNames>
    <definedName name="\0" localSheetId="4">#REF!</definedName>
    <definedName name="\0" localSheetId="25">#REF!</definedName>
    <definedName name="\0" localSheetId="26">#REF!</definedName>
    <definedName name="\0">#REF!</definedName>
    <definedName name="\a" localSheetId="25">#REF!</definedName>
    <definedName name="\a" localSheetId="26">#REF!</definedName>
    <definedName name="\a">#REF!</definedName>
    <definedName name="\b">#N/A</definedName>
    <definedName name="\c" localSheetId="4">#REF!</definedName>
    <definedName name="\c" localSheetId="6">#REF!</definedName>
    <definedName name="\c">#REF!</definedName>
    <definedName name="\d" localSheetId="4">#REF!</definedName>
    <definedName name="\d">#REF!</definedName>
    <definedName name="\e">#N/A</definedName>
    <definedName name="\f" localSheetId="4">#REF!</definedName>
    <definedName name="\f" localSheetId="6">#REF!</definedName>
    <definedName name="\f">#REF!</definedName>
    <definedName name="\g">#N/A</definedName>
    <definedName name="\h">#N/A</definedName>
    <definedName name="\i" localSheetId="4">#REF!</definedName>
    <definedName name="\i" localSheetId="6">#REF!</definedName>
    <definedName name="\i">#REF!</definedName>
    <definedName name="\j">#N/A</definedName>
    <definedName name="\m">#N/A</definedName>
    <definedName name="\p" localSheetId="4">#REF!</definedName>
    <definedName name="\p" localSheetId="6">#REF!</definedName>
    <definedName name="\p">#REF!</definedName>
    <definedName name="\q">#N/A</definedName>
    <definedName name="\r" localSheetId="4">#REF!</definedName>
    <definedName name="\r" localSheetId="6">#REF!</definedName>
    <definedName name="\r">#REF!</definedName>
    <definedName name="\s">#N/A</definedName>
    <definedName name="\t">#N/A</definedName>
    <definedName name="\u">#N/A</definedName>
    <definedName name="\v">#N/A</definedName>
    <definedName name="\w">#N/A</definedName>
    <definedName name="\x" localSheetId="4">#REF!</definedName>
    <definedName name="\x" localSheetId="7">#REF!</definedName>
    <definedName name="\x" localSheetId="9">#REF!</definedName>
    <definedName name="\x" localSheetId="10">#REF!</definedName>
    <definedName name="\x" localSheetId="6">#REF!</definedName>
    <definedName name="\x">#REF!</definedName>
    <definedName name="\z" localSheetId="7">#REF!</definedName>
    <definedName name="\z" localSheetId="9">#REF!</definedName>
    <definedName name="\z" localSheetId="10">#REF!</definedName>
    <definedName name="\z" localSheetId="6">#REF!</definedName>
    <definedName name="\z">#REF!</definedName>
    <definedName name="_">#REF!</definedName>
    <definedName name="_______________________pv3">#REF!</definedName>
    <definedName name="______________________Ele200502">#REF!</definedName>
    <definedName name="______________________pv3">#REF!</definedName>
    <definedName name="______________________Ser200705">#REF!</definedName>
    <definedName name="______________________Ser200712">#REF!</definedName>
    <definedName name="______________________Ser201104">#REF!</definedName>
    <definedName name="______________________TR2">#REF!</definedName>
    <definedName name="______________________TR5">#REF!</definedName>
    <definedName name="_____________________Ele200502">#REF!</definedName>
    <definedName name="_____________________Ele200609">#REF!</definedName>
    <definedName name="_____________________pv2">#REF!</definedName>
    <definedName name="_____________________pv3">#REF!</definedName>
    <definedName name="_____________________Ser200506">#REF!</definedName>
    <definedName name="_____________________Ser200705">#REF!</definedName>
    <definedName name="_____________________Ser200712">#REF!</definedName>
    <definedName name="_____________________Ser201104">#REF!</definedName>
    <definedName name="_____________________TR2">#REF!</definedName>
    <definedName name="_____________________TR5">#REF!</definedName>
    <definedName name="____________________Ele200502">#REF!</definedName>
    <definedName name="____________________Ele200609">#REF!</definedName>
    <definedName name="____________________pv2">#REF!</definedName>
    <definedName name="____________________pv3" localSheetId="4">#REF!</definedName>
    <definedName name="____________________pv3" localSheetId="7">#REF!</definedName>
    <definedName name="____________________pv3" localSheetId="9">#REF!</definedName>
    <definedName name="____________________pv3" localSheetId="10">#REF!</definedName>
    <definedName name="____________________pv3" localSheetId="6">#REF!</definedName>
    <definedName name="____________________pv3">#REF!</definedName>
    <definedName name="____________________Ser200506">#REF!</definedName>
    <definedName name="____________________Ser200705">#REF!</definedName>
    <definedName name="____________________Ser200712">#REF!</definedName>
    <definedName name="____________________Ser201104">#REF!</definedName>
    <definedName name="____________________TR2">#REF!</definedName>
    <definedName name="____________________TR5">#REF!</definedName>
    <definedName name="___________________Ele200502">#REF!</definedName>
    <definedName name="___________________Ele200609">#REF!</definedName>
    <definedName name="___________________pv2">#REF!</definedName>
    <definedName name="___________________pv3">#REF!</definedName>
    <definedName name="___________________Ser200506">#REF!</definedName>
    <definedName name="___________________Ser200705">#REF!</definedName>
    <definedName name="___________________Ser200712">#REF!</definedName>
    <definedName name="___________________Ser201104">#REF!</definedName>
    <definedName name="___________________TR2">#REF!</definedName>
    <definedName name="___________________TR5">#REF!</definedName>
    <definedName name="__________________Ele200502">#REF!</definedName>
    <definedName name="__________________Ele200609">#REF!</definedName>
    <definedName name="__________________pv2">#REF!</definedName>
    <definedName name="__________________pv3">#REF!</definedName>
    <definedName name="__________________Ser200506">#REF!</definedName>
    <definedName name="__________________Ser200705">#REF!</definedName>
    <definedName name="__________________Ser200712">#REF!</definedName>
    <definedName name="__________________Ser201104">#REF!</definedName>
    <definedName name="__________________TR2">#REF!</definedName>
    <definedName name="__________________TR5">#REF!</definedName>
    <definedName name="_________________Ele200502">#REF!</definedName>
    <definedName name="_________________Ele200609">#REF!</definedName>
    <definedName name="_________________pv2">#REF!</definedName>
    <definedName name="_________________pv3">#REF!</definedName>
    <definedName name="_________________Ser200506">#REF!</definedName>
    <definedName name="_________________Ser200705">#REF!</definedName>
    <definedName name="_________________Ser200712">#REF!</definedName>
    <definedName name="_________________Ser201104">#REF!</definedName>
    <definedName name="_________________TR2">#REF!</definedName>
    <definedName name="_________________TR5">#REF!</definedName>
    <definedName name="________________Ele200502">#REF!</definedName>
    <definedName name="________________Ele200609">#REF!</definedName>
    <definedName name="________________pv2">#REF!</definedName>
    <definedName name="________________pv3">#REF!</definedName>
    <definedName name="________________Ser200506">#REF!</definedName>
    <definedName name="________________Ser200705">#REF!</definedName>
    <definedName name="________________Ser200712">#REF!</definedName>
    <definedName name="________________Ser201104">#REF!</definedName>
    <definedName name="________________TR2">#REF!</definedName>
    <definedName name="________________TR5">#REF!</definedName>
    <definedName name="_______________Ele200502">#REF!</definedName>
    <definedName name="_______________Ele200609">#REF!</definedName>
    <definedName name="_______________pv2">#REF!</definedName>
    <definedName name="_______________pv3">#REF!</definedName>
    <definedName name="_______________REV5">#REF!</definedName>
    <definedName name="_______________Ser200506">#REF!</definedName>
    <definedName name="_______________Ser200705">#REF!</definedName>
    <definedName name="_______________Ser200712">#REF!</definedName>
    <definedName name="_______________Ser201104">#REF!</definedName>
    <definedName name="_______________TR2">#REF!</definedName>
    <definedName name="_______________TR5">#REF!</definedName>
    <definedName name="______________Ele200502">#REF!</definedName>
    <definedName name="______________Ele200609">#REF!</definedName>
    <definedName name="______________FOG50">#REF!</definedName>
    <definedName name="______________pv2">#REF!</definedName>
    <definedName name="______________pv3">#REF!</definedName>
    <definedName name="______________PVC100">#REF!</definedName>
    <definedName name="______________PVC150">#REF!</definedName>
    <definedName name="______________PVC50">#REF!</definedName>
    <definedName name="______________PVC75">#REF!</definedName>
    <definedName name="______________REV5">#REF!</definedName>
    <definedName name="______________Ser200506">#REF!</definedName>
    <definedName name="______________Ser200705">#REF!</definedName>
    <definedName name="______________Ser200712">#REF!</definedName>
    <definedName name="______________Ser201104">#REF!</definedName>
    <definedName name="______________TR2">#REF!</definedName>
    <definedName name="______________TR5">#REF!</definedName>
    <definedName name="_____________Ele200502">#REF!</definedName>
    <definedName name="_____________Ele200609">#REF!</definedName>
    <definedName name="_____________FOG50">#REF!</definedName>
    <definedName name="_____________pv2">#REF!</definedName>
    <definedName name="_____________pv3">#REF!</definedName>
    <definedName name="_____________PVC100">#REF!</definedName>
    <definedName name="_____________PVC150">#REF!</definedName>
    <definedName name="_____________PVC50">#REF!</definedName>
    <definedName name="_____________PVC75">#REF!</definedName>
    <definedName name="_____________REV5">#REF!</definedName>
    <definedName name="_____________Ser200506">#REF!</definedName>
    <definedName name="_____________Ser200705">#REF!</definedName>
    <definedName name="_____________Ser200712">#REF!</definedName>
    <definedName name="_____________Ser201104">#REF!</definedName>
    <definedName name="_____________TR2">#REF!</definedName>
    <definedName name="_____________TR5">#REF!</definedName>
    <definedName name="____________abc2">#REF!</definedName>
    <definedName name="____________Ele200502">#REF!</definedName>
    <definedName name="____________Ele200609">#REF!</definedName>
    <definedName name="____________FOG50">#REF!</definedName>
    <definedName name="____________pv2">#REF!</definedName>
    <definedName name="____________pv3">#REF!</definedName>
    <definedName name="____________PVC100">#REF!</definedName>
    <definedName name="____________PVC150">#REF!</definedName>
    <definedName name="____________PVC50">#REF!</definedName>
    <definedName name="____________PVC75">#REF!</definedName>
    <definedName name="____________REV5">#REF!</definedName>
    <definedName name="____________Ser200506">#REF!</definedName>
    <definedName name="____________Ser200705">#REF!</definedName>
    <definedName name="____________Ser200712">#REF!</definedName>
    <definedName name="____________Ser201104">#REF!</definedName>
    <definedName name="____________TR2">#REF!</definedName>
    <definedName name="____________TR5">#REF!</definedName>
    <definedName name="___________abc2">#REF!</definedName>
    <definedName name="___________Ele200502">#REF!</definedName>
    <definedName name="___________Ele200609">#REF!</definedName>
    <definedName name="___________FOG50">"#ref!"</definedName>
    <definedName name="___________pv2">#REF!</definedName>
    <definedName name="___________pv3">#REF!</definedName>
    <definedName name="___________PVC100">"#ref!"</definedName>
    <definedName name="___________PVC150">"#ref!"</definedName>
    <definedName name="___________PVC50">"#ref!"</definedName>
    <definedName name="___________PVC75">"#ref!"</definedName>
    <definedName name="___________REV5">#REF!</definedName>
    <definedName name="___________Ser200506">#REF!</definedName>
    <definedName name="___________Ser200705">#REF!</definedName>
    <definedName name="___________Ser200712">#REF!</definedName>
    <definedName name="___________Ser201104">#REF!</definedName>
    <definedName name="___________TR2">#REF!</definedName>
    <definedName name="___________TR5">#REF!</definedName>
    <definedName name="___________VBF1">"#ref!"</definedName>
    <definedName name="___________VE1">"#ref!"</definedName>
    <definedName name="___________VO1">"#ref!"</definedName>
    <definedName name="___________VR1">"#ref!"</definedName>
    <definedName name="__________abc2">#REF!</definedName>
    <definedName name="__________Ele200502">#REF!</definedName>
    <definedName name="__________Ele200609">#REF!</definedName>
    <definedName name="__________FOG50">#REF!</definedName>
    <definedName name="__________pv2">#REF!</definedName>
    <definedName name="__________pv3">#REF!</definedName>
    <definedName name="__________PVC100">#REF!</definedName>
    <definedName name="__________PVC150">#REF!</definedName>
    <definedName name="__________PVC50">#REF!</definedName>
    <definedName name="__________PVC75">#REF!</definedName>
    <definedName name="__________REV5">#REF!</definedName>
    <definedName name="__________Ser200506">#REF!</definedName>
    <definedName name="__________Ser200705">#REF!</definedName>
    <definedName name="__________Ser200712">#REF!</definedName>
    <definedName name="__________Ser201104">#REF!</definedName>
    <definedName name="__________TR2">#REF!</definedName>
    <definedName name="__________TR5">#REF!</definedName>
    <definedName name="__________VBF1">#REF!</definedName>
    <definedName name="__________VE1">#REF!</definedName>
    <definedName name="__________VO1">#REF!</definedName>
    <definedName name="__________VR1">#REF!</definedName>
    <definedName name="_________abc2">#REF!</definedName>
    <definedName name="_________Ele200502">#REF!</definedName>
    <definedName name="_________Ele200609">#REF!</definedName>
    <definedName name="_________FOG50">#REF!</definedName>
    <definedName name="_________pv2">#REF!</definedName>
    <definedName name="_________pv3">#REF!</definedName>
    <definedName name="_________PVC100">#REF!</definedName>
    <definedName name="_________PVC150">#REF!</definedName>
    <definedName name="_________PVC50">#REF!</definedName>
    <definedName name="_________PVC75">#REF!</definedName>
    <definedName name="_________REV5">#REF!</definedName>
    <definedName name="_________Ser200506">#REF!</definedName>
    <definedName name="_________Ser200705">#REF!</definedName>
    <definedName name="_________Ser200712">#REF!</definedName>
    <definedName name="_________Ser201104">#REF!</definedName>
    <definedName name="_________TR2">#REF!</definedName>
    <definedName name="_________TR5">#REF!</definedName>
    <definedName name="_________VBF1">#REF!</definedName>
    <definedName name="_________VE1">#REF!</definedName>
    <definedName name="_________VO1">#REF!</definedName>
    <definedName name="_________VR1">#REF!</definedName>
    <definedName name="________abc2">#REF!</definedName>
    <definedName name="________Ele200502">#REF!</definedName>
    <definedName name="________Ele200609">#REF!</definedName>
    <definedName name="________FOG50">#REF!</definedName>
    <definedName name="________pv2">#REF!</definedName>
    <definedName name="________pv3">#REF!</definedName>
    <definedName name="________PVC100">#REF!</definedName>
    <definedName name="________PVC150">#REF!</definedName>
    <definedName name="________PVC50">#REF!</definedName>
    <definedName name="________PVC75">#REF!</definedName>
    <definedName name="________REV5">#REF!</definedName>
    <definedName name="________Ser200506">#REF!</definedName>
    <definedName name="________Ser200705">#REF!</definedName>
    <definedName name="________Ser200712">#REF!</definedName>
    <definedName name="________Ser201104">#REF!</definedName>
    <definedName name="________TR2">#REF!</definedName>
    <definedName name="________TR5">#REF!</definedName>
    <definedName name="________VBF1">#REF!</definedName>
    <definedName name="________VE1">#REF!</definedName>
    <definedName name="________VO1">#REF!</definedName>
    <definedName name="________VR1">#REF!</definedName>
    <definedName name="_______abc2">#REF!</definedName>
    <definedName name="_______Ele200502">#REF!</definedName>
    <definedName name="_______Ele200609">#REF!</definedName>
    <definedName name="_______FOG50">#REF!</definedName>
    <definedName name="_______pv2">#REF!</definedName>
    <definedName name="_______pv3">#REF!</definedName>
    <definedName name="_______PVC100">#REF!</definedName>
    <definedName name="_______PVC150">#REF!</definedName>
    <definedName name="_______PVC50">#REF!</definedName>
    <definedName name="_______PVC75">#REF!</definedName>
    <definedName name="_______REV5">#REF!</definedName>
    <definedName name="_______Ser200506">#REF!</definedName>
    <definedName name="_______Ser200705">#REF!</definedName>
    <definedName name="_______Ser200712">#REF!</definedName>
    <definedName name="_______Ser201104">#REF!</definedName>
    <definedName name="_______TR2">#REF!</definedName>
    <definedName name="_______TR5">#REF!</definedName>
    <definedName name="_______VBF1">#REF!</definedName>
    <definedName name="_______VE1">#REF!</definedName>
    <definedName name="_______VO1">#REF!</definedName>
    <definedName name="_______VR1">#REF!</definedName>
    <definedName name="______abc2">#REF!</definedName>
    <definedName name="______Ele200502">#REF!</definedName>
    <definedName name="______Ele200609">#REF!</definedName>
    <definedName name="______FOG50">#REF!</definedName>
    <definedName name="______pv2">#REF!</definedName>
    <definedName name="______pv3">#REF!</definedName>
    <definedName name="______PVC100">#REF!</definedName>
    <definedName name="______PVC150">#REF!</definedName>
    <definedName name="______PVC50">#REF!</definedName>
    <definedName name="______PVC75">#REF!</definedName>
    <definedName name="______REV5">#REF!</definedName>
    <definedName name="______Ser200506">#REF!</definedName>
    <definedName name="______Ser200705">#REF!</definedName>
    <definedName name="______Ser200712">#REF!</definedName>
    <definedName name="______Ser201104">#REF!</definedName>
    <definedName name="______TR2">#REF!</definedName>
    <definedName name="______TR5">#REF!</definedName>
    <definedName name="______VBF1">#REF!</definedName>
    <definedName name="______VE1">#REF!</definedName>
    <definedName name="______VO1">#REF!</definedName>
    <definedName name="______VR1">#REF!</definedName>
    <definedName name="_____abc2">#REF!</definedName>
    <definedName name="_____Ele200502">#REF!</definedName>
    <definedName name="_____Ele200609">#REF!</definedName>
    <definedName name="_____FOG50">#REF!</definedName>
    <definedName name="_____pv2">#REF!</definedName>
    <definedName name="_____pv3">#REF!</definedName>
    <definedName name="_____PVC100">#REF!</definedName>
    <definedName name="_____PVC150">#REF!</definedName>
    <definedName name="_____PVC50">#REF!</definedName>
    <definedName name="_____PVC75">#REF!</definedName>
    <definedName name="_____R">#N/A</definedName>
    <definedName name="_____REV5" localSheetId="7">#REF!</definedName>
    <definedName name="_____REV5" localSheetId="9">#REF!</definedName>
    <definedName name="_____REV5" localSheetId="10">#REF!</definedName>
    <definedName name="_____REV5" localSheetId="6">#REF!</definedName>
    <definedName name="_____REV5">#REF!</definedName>
    <definedName name="_____Ser200506" localSheetId="7">#REF!</definedName>
    <definedName name="_____Ser200506" localSheetId="9">#REF!</definedName>
    <definedName name="_____Ser200506" localSheetId="10">#REF!</definedName>
    <definedName name="_____Ser200506" localSheetId="6">#REF!</definedName>
    <definedName name="_____Ser200506">#REF!</definedName>
    <definedName name="_____Ser200705" localSheetId="7">#REF!</definedName>
    <definedName name="_____Ser200705" localSheetId="9">#REF!</definedName>
    <definedName name="_____Ser200705" localSheetId="10">#REF!</definedName>
    <definedName name="_____Ser200705" localSheetId="6">#REF!</definedName>
    <definedName name="_____Ser200705">#REF!</definedName>
    <definedName name="_____Ser200712">#REF!</definedName>
    <definedName name="_____Ser201104">#REF!</definedName>
    <definedName name="_____TR2">#REF!</definedName>
    <definedName name="_____TR5">#REF!</definedName>
    <definedName name="_____VBF1">#REF!</definedName>
    <definedName name="_____VE1">#REF!</definedName>
    <definedName name="_____VO1">#REF!</definedName>
    <definedName name="_____VR1">#REF!</definedName>
    <definedName name="____abc2">#REF!</definedName>
    <definedName name="____Ele200502">#REF!</definedName>
    <definedName name="____Ele200609">#REF!</definedName>
    <definedName name="____FOG50">#REF!</definedName>
    <definedName name="____pv2">#REF!</definedName>
    <definedName name="____pv3">#REF!</definedName>
    <definedName name="____PVC100">#REF!</definedName>
    <definedName name="____PVC150">#REF!</definedName>
    <definedName name="____PVC50">#REF!</definedName>
    <definedName name="____PVC75">#REF!</definedName>
    <definedName name="____R">#REF!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_VBF1">#REF!</definedName>
    <definedName name="____VE1">#REF!</definedName>
    <definedName name="____VO1">#REF!</definedName>
    <definedName name="____VR1">#REF!</definedName>
    <definedName name="____VV9">"$#REF!.$#REF!$#REF!"</definedName>
    <definedName name="___abc2" localSheetId="4">#REF!</definedName>
    <definedName name="___abc2">#REF!</definedName>
    <definedName name="___C" localSheetId="4">#REF!</definedName>
    <definedName name="___C">#REF!</definedName>
    <definedName name="___Ele200502" localSheetId="4">#REF!</definedName>
    <definedName name="___Ele200502">#REF!</definedName>
    <definedName name="___Ele200609">#REF!</definedName>
    <definedName name="___FOG50">#REF!</definedName>
    <definedName name="___MTV1">#REF!</definedName>
    <definedName name="___MTV2">#REF!</definedName>
    <definedName name="___MTV3">#REF!</definedName>
    <definedName name="___MTV4">#REF!</definedName>
    <definedName name="___MTV5">#REF!</definedName>
    <definedName name="___pv2" localSheetId="4">#REF!</definedName>
    <definedName name="___pv2">#REF!</definedName>
    <definedName name="___pv3">#REF!</definedName>
    <definedName name="___PVC100">#REF!</definedName>
    <definedName name="___PVC150">#REF!</definedName>
    <definedName name="___PVC50">#REF!</definedName>
    <definedName name="___PVC75">#REF!</definedName>
    <definedName name="___R">#REF!</definedName>
    <definedName name="___REV5">#REF!</definedName>
    <definedName name="___Ser200506">#REF!</definedName>
    <definedName name="___Ser200705">#REF!</definedName>
    <definedName name="___Ser200712">#REF!</definedName>
    <definedName name="___Ser201104">#REF!</definedName>
    <definedName name="___tab1">#REF!</definedName>
    <definedName name="___TOT1">#REF!</definedName>
    <definedName name="___TOT2">#REF!</definedName>
    <definedName name="___TOT3">#REF!</definedName>
    <definedName name="___TOT5">#REF!</definedName>
    <definedName name="___TOT6">#REF!</definedName>
    <definedName name="___TOT7">#REF!</definedName>
    <definedName name="___TR2">#REF!</definedName>
    <definedName name="___TR5">#REF!</definedName>
    <definedName name="___VBF1">#REF!</definedName>
    <definedName name="___VE1">#REF!</definedName>
    <definedName name="___VO1">#REF!</definedName>
    <definedName name="___VR1">#REF!</definedName>
    <definedName name="___VV9">"$#REF!.$#REF!$#REF!"</definedName>
    <definedName name="__1Excel_BuiltIn_Print_Area_1_1">#REF!</definedName>
    <definedName name="__6Excel_BuiltIn_Print_Area_4_1">#REF!</definedName>
    <definedName name="__a1"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a1"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a1"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a1"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a1"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a1"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a1"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a1"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abc2" localSheetId="4">#REF!</definedName>
    <definedName name="__abc2">#REF!</definedName>
    <definedName name="__Abr1" localSheetId="7">#REF!</definedName>
    <definedName name="__Abr1" localSheetId="9">#REF!</definedName>
    <definedName name="__Abr1" localSheetId="10">#REF!</definedName>
    <definedName name="__Abr1" localSheetId="6">#REF!</definedName>
    <definedName name="__Abr1">#REF!</definedName>
    <definedName name="__Ago1" localSheetId="7">#REF!</definedName>
    <definedName name="__Ago1" localSheetId="9">#REF!</definedName>
    <definedName name="__Ago1" localSheetId="10">#REF!</definedName>
    <definedName name="__Ago1" localSheetId="6">#REF!</definedName>
    <definedName name="__Ago1">#REF!</definedName>
    <definedName name="__BBB5"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5"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5"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5"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5"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5"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5"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8"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8"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8"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8"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8"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8"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8"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8"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9"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9"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9"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9"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9"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9"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9"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BB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br4" localSheetId="4">#REF!</definedName>
    <definedName name="__br4">#REF!</definedName>
    <definedName name="__Brz1" localSheetId="7">#REF!</definedName>
    <definedName name="__Brz1" localSheetId="9">#REF!</definedName>
    <definedName name="__Brz1" localSheetId="10">#REF!</definedName>
    <definedName name="__Brz1" localSheetId="6">#REF!</definedName>
    <definedName name="__Brz1">#REF!</definedName>
    <definedName name="__Brz2" localSheetId="7">#REF!</definedName>
    <definedName name="__Brz2" localSheetId="9">#REF!</definedName>
    <definedName name="__Brz2" localSheetId="10">#REF!</definedName>
    <definedName name="__Brz2" localSheetId="6">#REF!</definedName>
    <definedName name="__Brz2">#REF!</definedName>
    <definedName name="__C">#REF!</definedName>
    <definedName name="__cab1">#REF!</definedName>
    <definedName name="__cab2">#REF!</definedName>
    <definedName name="__CCC2"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2"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2"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2"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2"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2"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2"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3"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3"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3"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3"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3"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3"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3"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3"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6"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6"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6"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6"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6"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6"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6"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7"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7"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7"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7"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7"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7"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7"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CCC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1"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1"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1"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1"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1"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1"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1"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1"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2"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2"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2"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2"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2"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2"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2"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3"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3"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3"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3"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3"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3"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3"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3"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4"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4"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4"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4"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4"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4"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4"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5"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5"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5"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5"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5"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5"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5"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6"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6"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6"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6"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6"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6"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6"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Dez1" localSheetId="4">#REF!</definedName>
    <definedName name="__Dez1">#REF!</definedName>
    <definedName name="__ee1"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1"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1"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1"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1"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1"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1"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1"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2"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2"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2"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2"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2"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2"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2"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3"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3"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3"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3"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3"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3"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3"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3"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4"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4"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4"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4"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4"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4"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4"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5"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5"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5"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5"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5"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5"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5"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e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Ele200502" localSheetId="4">#REF!</definedName>
    <definedName name="__Ele200502">#REF!</definedName>
    <definedName name="__Ele200609" localSheetId="7">#REF!</definedName>
    <definedName name="__Ele200609" localSheetId="9">#REF!</definedName>
    <definedName name="__Ele200609" localSheetId="10">#REF!</definedName>
    <definedName name="__Ele200609" localSheetId="6">#REF!</definedName>
    <definedName name="__Ele200609">#REF!</definedName>
    <definedName name="__f5"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5"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5"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5"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5"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5"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5"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8"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8"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8"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8"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8"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8"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8"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8"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9"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9"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9"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9"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9"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9"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9"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Fev1" localSheetId="4">#REF!</definedName>
    <definedName name="__Fev1">#REF!</definedName>
    <definedName name="__FOG50">#REF!</definedName>
    <definedName name="__Jan1" localSheetId="7">#REF!</definedName>
    <definedName name="__Jan1" localSheetId="9">#REF!</definedName>
    <definedName name="__Jan1" localSheetId="10">#REF!</definedName>
    <definedName name="__Jan1" localSheetId="6">#REF!</definedName>
    <definedName name="__Jan1">#REF!</definedName>
    <definedName name="__Jul1" localSheetId="7">#REF!</definedName>
    <definedName name="__Jul1" localSheetId="9">#REF!</definedName>
    <definedName name="__Jul1" localSheetId="10">#REF!</definedName>
    <definedName name="__Jul1" localSheetId="6">#REF!</definedName>
    <definedName name="__Jul1">#REF!</definedName>
    <definedName name="__Jun1">#REF!</definedName>
    <definedName name="__LUP1">#N/A</definedName>
    <definedName name="__LUP2">#N/A</definedName>
    <definedName name="__Mai1" localSheetId="7">#REF!</definedName>
    <definedName name="__Mai1" localSheetId="9">#REF!</definedName>
    <definedName name="__Mai1" localSheetId="10">#REF!</definedName>
    <definedName name="__Mai1" localSheetId="6">#REF!</definedName>
    <definedName name="__Mai1">#REF!</definedName>
    <definedName name="__Mar1" localSheetId="7">#REF!</definedName>
    <definedName name="__Mar1" localSheetId="9">#REF!</definedName>
    <definedName name="__Mar1" localSheetId="10">#REF!</definedName>
    <definedName name="__Mar1" localSheetId="6">#REF!</definedName>
    <definedName name="__Mar1">#REF!</definedName>
    <definedName name="__MTV1" localSheetId="7">#REF!</definedName>
    <definedName name="__MTV1" localSheetId="9">#REF!</definedName>
    <definedName name="__MTV1" localSheetId="10">#REF!</definedName>
    <definedName name="__MTV1" localSheetId="6">#REF!</definedName>
    <definedName name="__MTV1">#REF!</definedName>
    <definedName name="__MTV2">#REF!</definedName>
    <definedName name="__MTV3">#REF!</definedName>
    <definedName name="__MTV4">#REF!</definedName>
    <definedName name="__MTV5">#REF!</definedName>
    <definedName name="__NNN1"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1"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1"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1"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1"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1"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1"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1"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2"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2"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2"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2"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2"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2"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2"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3"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3"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3"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3"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3"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3"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3"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3"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5"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5"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5"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5"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5"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5"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5"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6"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6"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6"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6"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6"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6"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6"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NN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Nov1" localSheetId="4">#REF!</definedName>
    <definedName name="__Nov1">#REF!</definedName>
    <definedName name="__Out1" localSheetId="7">#REF!</definedName>
    <definedName name="__Out1" localSheetId="9">#REF!</definedName>
    <definedName name="__Out1" localSheetId="10">#REF!</definedName>
    <definedName name="__Out1" localSheetId="6">#REF!</definedName>
    <definedName name="__Out1">#REF!</definedName>
    <definedName name="__pA5">#REF!</definedName>
    <definedName name="__pA6">#REF!</definedName>
    <definedName name="__pC5">#REF!</definedName>
    <definedName name="__pla1">#REF!</definedName>
    <definedName name="__pv2" localSheetId="4">#REF!</definedName>
    <definedName name="__pv2">#REF!</definedName>
    <definedName name="__pv3">#REF!</definedName>
    <definedName name="__PVC100">#REF!</definedName>
    <definedName name="__PVC150">#REF!</definedName>
    <definedName name="__PVC50">#REF!</definedName>
    <definedName name="__PVC75">#REF!</definedName>
    <definedName name="__qq6"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6"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6"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6"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6"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6"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6"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7"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7"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7"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7"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7"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7"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7"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qq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 localSheetId="4">#REF!</definedName>
    <definedName name="__R" localSheetId="6">#REF!</definedName>
    <definedName name="__R">#REF!</definedName>
    <definedName name="__r1" localSheetId="4" hidden="1">{#N/A,#N/A,FALSE,"GERAL";#N/A,#N/A,FALSE,"012-96";#N/A,#N/A,FALSE,"018-96";#N/A,#N/A,FALSE,"027-96";#N/A,#N/A,FALSE,"059-96";#N/A,#N/A,FALSE,"076-96";#N/A,#N/A,FALSE,"019-97";#N/A,#N/A,FALSE,"021-97";#N/A,#N/A,FALSE,"022-97";#N/A,#N/A,FALSE,"028-97"}</definedName>
    <definedName name="__r1" localSheetId="7" hidden="1">{#N/A,#N/A,FALSE,"GERAL";#N/A,#N/A,FALSE,"012-96";#N/A,#N/A,FALSE,"018-96";#N/A,#N/A,FALSE,"027-96";#N/A,#N/A,FALSE,"059-96";#N/A,#N/A,FALSE,"076-96";#N/A,#N/A,FALSE,"019-97";#N/A,#N/A,FALSE,"021-97";#N/A,#N/A,FALSE,"022-97";#N/A,#N/A,FALSE,"028-97"}</definedName>
    <definedName name="__r1" localSheetId="9" hidden="1">{#N/A,#N/A,FALSE,"GERAL";#N/A,#N/A,FALSE,"012-96";#N/A,#N/A,FALSE,"018-96";#N/A,#N/A,FALSE,"027-96";#N/A,#N/A,FALSE,"059-96";#N/A,#N/A,FALSE,"076-96";#N/A,#N/A,FALSE,"019-97";#N/A,#N/A,FALSE,"021-97";#N/A,#N/A,FALSE,"022-97";#N/A,#N/A,FALSE,"028-97"}</definedName>
    <definedName name="__r1" localSheetId="10" hidden="1">{#N/A,#N/A,FALSE,"GERAL";#N/A,#N/A,FALSE,"012-96";#N/A,#N/A,FALSE,"018-96";#N/A,#N/A,FALSE,"027-96";#N/A,#N/A,FALSE,"059-96";#N/A,#N/A,FALSE,"076-96";#N/A,#N/A,FALSE,"019-97";#N/A,#N/A,FALSE,"021-97";#N/A,#N/A,FALSE,"022-97";#N/A,#N/A,FALSE,"028-97"}</definedName>
    <definedName name="__r1" localSheetId="6" hidden="1">{#N/A,#N/A,FALSE,"GERAL";#N/A,#N/A,FALSE,"012-96";#N/A,#N/A,FALSE,"018-96";#N/A,#N/A,FALSE,"027-96";#N/A,#N/A,FALSE,"059-96";#N/A,#N/A,FALSE,"076-96";#N/A,#N/A,FALSE,"019-97";#N/A,#N/A,FALSE,"021-97";#N/A,#N/A,FALSE,"022-97";#N/A,#N/A,FALSE,"028-97"}</definedName>
    <definedName name="__r1" localSheetId="25" hidden="1">{#N/A,#N/A,FALSE,"GERAL";#N/A,#N/A,FALSE,"012-96";#N/A,#N/A,FALSE,"018-96";#N/A,#N/A,FALSE,"027-96";#N/A,#N/A,FALSE,"059-96";#N/A,#N/A,FALSE,"076-96";#N/A,#N/A,FALSE,"019-97";#N/A,#N/A,FALSE,"021-97";#N/A,#N/A,FALSE,"022-97";#N/A,#N/A,FALSE,"028-97"}</definedName>
    <definedName name="__r1" localSheetId="26" hidden="1">{#N/A,#N/A,FALSE,"GERAL";#N/A,#N/A,FALSE,"012-96";#N/A,#N/A,FALSE,"018-96";#N/A,#N/A,FALSE,"027-96";#N/A,#N/A,FALSE,"059-96";#N/A,#N/A,FALSE,"076-96";#N/A,#N/A,FALSE,"019-97";#N/A,#N/A,FALSE,"021-97";#N/A,#N/A,FALSE,"022-97";#N/A,#N/A,FALSE,"028-97"}</definedName>
    <definedName name="__r1" hidden="1">{#N/A,#N/A,FALSE,"GERAL";#N/A,#N/A,FALSE,"012-96";#N/A,#N/A,FALSE,"018-96";#N/A,#N/A,FALSE,"027-96";#N/A,#N/A,FALSE,"059-96";#N/A,#N/A,FALSE,"076-96";#N/A,#N/A,FALSE,"019-97";#N/A,#N/A,FALSE,"021-97";#N/A,#N/A,FALSE,"022-97";#N/A,#N/A,FALSE,"028-97"}</definedName>
    <definedName name="__REV5" localSheetId="4">#REF!</definedName>
    <definedName name="__REV5">#REF!</definedName>
    <definedName name="__rr4"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4"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4"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4"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4"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4"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4"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7"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7"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7"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7"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7"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7"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7"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8"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8"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8"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8"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8"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8"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8"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8"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9"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9"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9"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9"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9"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9"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9"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rr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2"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2"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2"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2"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2"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2"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2"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3"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3"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3"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3"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3"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3"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3"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3"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6"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6"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6"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6"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6"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6"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6"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7"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7"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7"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7"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7"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7"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7"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Ser200506" localSheetId="4">#REF!</definedName>
    <definedName name="__Ser200506">#REF!</definedName>
    <definedName name="__Ser200705" localSheetId="7">#REF!</definedName>
    <definedName name="__Ser200705" localSheetId="9">#REF!</definedName>
    <definedName name="__Ser200705" localSheetId="10">#REF!</definedName>
    <definedName name="__Ser200705" localSheetId="6">#REF!</definedName>
    <definedName name="__Ser200705">#REF!</definedName>
    <definedName name="__Ser200712" localSheetId="7">#REF!</definedName>
    <definedName name="__Ser200712" localSheetId="9">#REF!</definedName>
    <definedName name="__Ser200712" localSheetId="10">#REF!</definedName>
    <definedName name="__Ser200712" localSheetId="6">#REF!</definedName>
    <definedName name="__Ser200712">#REF!</definedName>
    <definedName name="__Ser201104">#REF!</definedName>
    <definedName name="__Set1">#REF!</definedName>
    <definedName name="__shared_1_0_0" localSheetId="4">#REF!/#REF!</definedName>
    <definedName name="__shared_1_0_0">#REF!/#REF!</definedName>
    <definedName name="__shared_1_1_0">#REF!*#REF!</definedName>
    <definedName name="__shared_1_10_0">#REF!/#REF!</definedName>
    <definedName name="__shared_1_11_0">#REF!/#REF!</definedName>
    <definedName name="__shared_1_12_0">#REF!/#REF!</definedName>
    <definedName name="__shared_1_13_0">#REF!/#REF!</definedName>
    <definedName name="__shared_1_14_0">#REF!/#REF!</definedName>
    <definedName name="__shared_1_15_0">#REF!/#REF!</definedName>
    <definedName name="__shared_1_16_0">#REF!/#REF!</definedName>
    <definedName name="__shared_1_17_0">#REF!/#REF!</definedName>
    <definedName name="__shared_1_18_0">#REF!+1</definedName>
    <definedName name="__shared_1_19_0" localSheetId="4">#REF!/#REF!</definedName>
    <definedName name="__shared_1_19_0" localSheetId="6">#REF!/#REF!</definedName>
    <definedName name="__shared_1_19_0">#REF!/#REF!</definedName>
    <definedName name="__shared_1_2_0">#REF!+1</definedName>
    <definedName name="__shared_1_20_0" localSheetId="4">#REF!/#REF!</definedName>
    <definedName name="__shared_1_20_0" localSheetId="6">#REF!/#REF!</definedName>
    <definedName name="__shared_1_20_0">#REF!/#REF!</definedName>
    <definedName name="__shared_1_21_0" localSheetId="4">#REF!/#REF!</definedName>
    <definedName name="__shared_1_21_0">#REF!/#REF!</definedName>
    <definedName name="__shared_1_22_0">#REF!+1</definedName>
    <definedName name="__shared_1_23_0">#REF!+1</definedName>
    <definedName name="__shared_1_24_0" localSheetId="4">#REF!/#REF!</definedName>
    <definedName name="__shared_1_24_0" localSheetId="6">#REF!/#REF!</definedName>
    <definedName name="__shared_1_24_0">#REF!/#REF!</definedName>
    <definedName name="__shared_1_25_0">#REF!+1</definedName>
    <definedName name="__shared_1_26_0" localSheetId="4">#REF!/#REF!</definedName>
    <definedName name="__shared_1_26_0" localSheetId="6">#REF!/#REF!</definedName>
    <definedName name="__shared_1_26_0">#REF!/#REF!</definedName>
    <definedName name="__shared_1_3_0" localSheetId="4">#REF!/#REF!</definedName>
    <definedName name="__shared_1_3_0">#REF!/#REF!</definedName>
    <definedName name="__shared_1_4_0">#REF!+1</definedName>
    <definedName name="__shared_1_5_0" localSheetId="4">#REF!*#REF!</definedName>
    <definedName name="__shared_1_5_0" localSheetId="6">#REF!*#REF!</definedName>
    <definedName name="__shared_1_5_0">#REF!*#REF!</definedName>
    <definedName name="__shared_1_6_0" localSheetId="4">#REF!/#REF!</definedName>
    <definedName name="__shared_1_6_0">#REF!/#REF!</definedName>
    <definedName name="__shared_1_7_0">#REF!/#REF!</definedName>
    <definedName name="__shared_1_8_0">#REF!/#REF!</definedName>
    <definedName name="__shared_1_9_0">#REF!+1</definedName>
    <definedName name="__shared_10_0_0" localSheetId="4">#REF!*#REF!*#REF!*#REF!</definedName>
    <definedName name="__shared_10_0_0" localSheetId="6">#REF!*#REF!*#REF!*#REF!</definedName>
    <definedName name="__shared_10_0_0">#REF!*#REF!*#REF!*#REF!</definedName>
    <definedName name="__shared_10_1_0" localSheetId="4">#REF!*#REF!*#REF!*#REF!</definedName>
    <definedName name="__shared_10_1_0">#REF!*#REF!*#REF!*#REF!</definedName>
    <definedName name="__shared_10_10_0">#REF!*#REF!*#REF!*#REF!</definedName>
    <definedName name="__shared_10_11_0">#REF!*#REF!*#REF!*#REF!</definedName>
    <definedName name="__shared_10_12_0">#REF!*#REF!*#REF!*#REF!</definedName>
    <definedName name="__shared_10_13_0">#REF!*#REF!*#REF!*#REF!</definedName>
    <definedName name="__shared_10_14_0">#REF!*#REF!*#REF!*#REF!</definedName>
    <definedName name="__shared_10_15_0">MINA(#REF!)</definedName>
    <definedName name="__shared_10_2_0" localSheetId="4">#REF!*#REF!*#REF!*#REF!</definedName>
    <definedName name="__shared_10_2_0" localSheetId="6">#REF!*#REF!*#REF!*#REF!</definedName>
    <definedName name="__shared_10_2_0">#REF!*#REF!*#REF!*#REF!</definedName>
    <definedName name="__shared_10_3_0" localSheetId="4">#REF!*#REF!*#REF!*#REF!</definedName>
    <definedName name="__shared_10_3_0">#REF!*#REF!*#REF!*#REF!</definedName>
    <definedName name="__shared_10_4_0">#REF!*#REF!*#REF!*#REF!</definedName>
    <definedName name="__shared_10_5_0">#REF!*#REF!*#REF!*#REF!</definedName>
    <definedName name="__shared_10_6_0">#REF!*#REF!*#REF!*#REF!</definedName>
    <definedName name="__shared_10_7_0">#REF!*#REF!*#REF!*#REF!</definedName>
    <definedName name="__shared_10_8_0">#REF!*#REF!*#REF!*#REF!</definedName>
    <definedName name="__shared_10_9_0">#REF!*#REF!*#REF!*#REF!</definedName>
    <definedName name="__shared_11_0_0">#REF!*#REF!*#REF!*#REF!</definedName>
    <definedName name="__shared_11_1_0">#REF!*#REF!*#REF!*#REF!</definedName>
    <definedName name="__shared_11_10_0">#REF!*#REF!*#REF!*#REF!</definedName>
    <definedName name="__shared_11_11_0">#REF!*#REF!*#REF!*#REF!</definedName>
    <definedName name="__shared_11_12_0">#REF!*#REF!*#REF!*#REF!</definedName>
    <definedName name="__shared_11_13_0">#REF!*#REF!*#REF!*#REF!</definedName>
    <definedName name="__shared_11_14_0">#REF!*#REF!*#REF!*#REF!</definedName>
    <definedName name="__shared_11_15_0">MINA(#REF!)</definedName>
    <definedName name="__shared_11_2_0" localSheetId="4">#REF!*#REF!*#REF!*#REF!</definedName>
    <definedName name="__shared_11_2_0" localSheetId="6">#REF!*#REF!*#REF!*#REF!</definedName>
    <definedName name="__shared_11_2_0">#REF!*#REF!*#REF!*#REF!</definedName>
    <definedName name="__shared_11_3_0" localSheetId="4">#REF!*#REF!*#REF!*#REF!</definedName>
    <definedName name="__shared_11_3_0">#REF!*#REF!*#REF!*#REF!</definedName>
    <definedName name="__shared_11_4_0">#REF!*#REF!*#REF!*#REF!</definedName>
    <definedName name="__shared_11_5_0">#REF!*#REF!*#REF!*#REF!</definedName>
    <definedName name="__shared_11_6_0">#REF!*#REF!*#REF!*#REF!</definedName>
    <definedName name="__shared_11_7_0">#REF!*#REF!*#REF!*#REF!</definedName>
    <definedName name="__shared_11_8_0">#REF!*#REF!*#REF!*#REF!</definedName>
    <definedName name="__shared_11_9_0">#REF!*#REF!*#REF!*#REF!</definedName>
    <definedName name="__shared_12_0_0">#REF!*#REF!*#REF!*#REF!</definedName>
    <definedName name="__shared_12_1_0">#REF!*#REF!*#REF!*#REF!</definedName>
    <definedName name="__shared_12_10_0">#REF!*#REF!*#REF!*#REF!</definedName>
    <definedName name="__shared_12_11_0">#REF!*#REF!*#REF!*#REF!</definedName>
    <definedName name="__shared_12_12_0">#REF!*#REF!*#REF!*#REF!</definedName>
    <definedName name="__shared_12_13_0">#REF!*#REF!*#REF!*#REF!</definedName>
    <definedName name="__shared_12_14_0">#REF!*#REF!*#REF!*#REF!</definedName>
    <definedName name="__shared_12_15_0">MINA(#REF!)</definedName>
    <definedName name="__shared_12_2_0" localSheetId="4">#REF!*#REF!*#REF!*#REF!</definedName>
    <definedName name="__shared_12_2_0" localSheetId="6">#REF!*#REF!*#REF!*#REF!</definedName>
    <definedName name="__shared_12_2_0">#REF!*#REF!*#REF!*#REF!</definedName>
    <definedName name="__shared_12_3_0" localSheetId="4">#REF!*#REF!*#REF!*#REF!</definedName>
    <definedName name="__shared_12_3_0">#REF!*#REF!*#REF!*#REF!</definedName>
    <definedName name="__shared_12_4_0">#REF!*#REF!*#REF!*#REF!</definedName>
    <definedName name="__shared_12_5_0">#REF!*#REF!*#REF!*#REF!</definedName>
    <definedName name="__shared_12_6_0">#REF!*#REF!*#REF!*#REF!</definedName>
    <definedName name="__shared_12_7_0">#REF!*#REF!*#REF!*#REF!</definedName>
    <definedName name="__shared_12_8_0">#REF!*#REF!*#REF!*#REF!</definedName>
    <definedName name="__shared_12_9_0">#REF!*#REF!*#REF!*#REF!</definedName>
    <definedName name="__shared_13_0_0">#REF!*#REF!*#REF!*#REF!</definedName>
    <definedName name="__shared_13_1_0">#REF!*#REF!*#REF!*#REF!</definedName>
    <definedName name="__shared_13_2_0">#REF!*#REF!*#REF!*#REF!</definedName>
    <definedName name="__shared_13_3_0">#REF!*#REF!*#REF!*#REF!</definedName>
    <definedName name="__shared_13_4_0">#REF!*#REF!*#REF!*#REF!</definedName>
    <definedName name="__shared_14_0_0">#REF!*#REF!*#REF!*#REF!</definedName>
    <definedName name="__shared_14_1_0">#REF!*#REF!*#REF!*#REF!</definedName>
    <definedName name="__shared_14_2_0">#REF!*#REF!*#REF!*#REF!</definedName>
    <definedName name="__shared_14_3_0">#REF!*#REF!*#REF!*#REF!</definedName>
    <definedName name="__shared_14_4_0">#REF!*#REF!*#REF!*#REF!</definedName>
    <definedName name="__shared_15_0_0">#REF!*#REF!*#REF!</definedName>
    <definedName name="__shared_15_1_0">#REF!*#REF!*#REF!*#REF!</definedName>
    <definedName name="__shared_15_2_0">#REF!*#REF!*#REF!</definedName>
    <definedName name="__shared_15_3_0">#REF!*#REF!*#REF!*#REF!</definedName>
    <definedName name="__shared_15_4_0">#REF!*#REF!*#REF!*#REF!</definedName>
    <definedName name="__shared_15_5_0">#REF!*#REF!*#REF!</definedName>
    <definedName name="__shared_15_6_0">#REF!*#REF!*#REF!*#REF!</definedName>
    <definedName name="__shared_15_7_0">#REF!*#REF!*#REF!*#REF!</definedName>
    <definedName name="__shared_15_8_0">#REF!*#REF!*#REF!</definedName>
    <definedName name="__shared_16_0_0">#REF!*#REF!*#REF!</definedName>
    <definedName name="__shared_16_1_0">#REF!*#REF!*#REF!*#REF!</definedName>
    <definedName name="__shared_16_2_0">#REF!*#REF!*#REF!</definedName>
    <definedName name="__shared_16_3_0">#REF!*#REF!*#REF!*#REF!</definedName>
    <definedName name="__shared_16_4_0">#REF!*#REF!*#REF!*#REF!</definedName>
    <definedName name="__shared_16_5_0">#REF!*#REF!*#REF!</definedName>
    <definedName name="__shared_16_6_0">#REF!*#REF!*#REF!*#REF!</definedName>
    <definedName name="__shared_17_0_0">#REF!*#REF!*#REF!</definedName>
    <definedName name="__shared_17_1_0">#REF!*#REF!*#REF!*#REF!</definedName>
    <definedName name="__shared_17_2_0">#REF!*#REF!*#REF!*#REF!</definedName>
    <definedName name="__shared_17_3_0">#REF!*#REF!*#REF!</definedName>
    <definedName name="__shared_17_4_0">#REF!*#REF!*#REF!*#REF!</definedName>
    <definedName name="__shared_17_5_0">#REF!*#REF!*#REF!*#REF!</definedName>
    <definedName name="__shared_17_6_0">#REF!*#REF!*#REF!</definedName>
    <definedName name="__shared_17_7_0">#REF!*#REF!*#REF!*#REF!</definedName>
    <definedName name="__shared_17_8_0">#REF!*#REF!*#REF!*#REF!</definedName>
    <definedName name="__shared_17_9_0">#REF!*#REF!*#REF!*#REF!</definedName>
    <definedName name="__shared_18_0_0">#REF!*#REF!*#REF!*#REF!</definedName>
    <definedName name="__shared_18_1_0">#REF!*#REF!*#REF!*#REF!</definedName>
    <definedName name="__shared_19_0_0">#REF!*#REF!*#REF!*#REF!</definedName>
    <definedName name="__shared_2_0_0" localSheetId="4">#REF!*#REF!*#REF!*#REF!*#REF!</definedName>
    <definedName name="__shared_2_0_0" localSheetId="25">#REF!*#REF!*#REF!*#REF!*#REF!</definedName>
    <definedName name="__shared_2_0_0" localSheetId="26">#REF!*#REF!*#REF!*#REF!*#REF!</definedName>
    <definedName name="__shared_2_0_0">#REF!*#REF!*#REF!*#REF!*#REF!</definedName>
    <definedName name="__shared_2_1_0">#REF!*#REF!*#REF!*#REF!</definedName>
    <definedName name="__shared_2_2_0">#REF!*#REF!*#REF!*#REF!</definedName>
    <definedName name="__shared_20_0_0">#REF!*#REF!*#REF!*#REF!</definedName>
    <definedName name="__shared_20_1_0">#REF!*#REF!*#REF!*#REF!</definedName>
    <definedName name="__shared_20_10_0">#REF!*#REF!*#REF!*#REF!</definedName>
    <definedName name="__shared_20_11_0">#REF!*#REF!*#REF!*#REF!</definedName>
    <definedName name="__shared_20_12_0">#REF!*#REF!*#REF!*#REF!</definedName>
    <definedName name="__shared_20_13_0">#REF!*#REF!*#REF!*#REF!</definedName>
    <definedName name="__shared_20_14_0">#REF!*#REF!*#REF!*#REF!</definedName>
    <definedName name="__shared_20_15_0">MINA(#REF!)</definedName>
    <definedName name="__shared_20_2_0" localSheetId="4">#REF!*#REF!*#REF!*#REF!</definedName>
    <definedName name="__shared_20_2_0" localSheetId="6">#REF!*#REF!*#REF!*#REF!</definedName>
    <definedName name="__shared_20_2_0">#REF!*#REF!*#REF!*#REF!</definedName>
    <definedName name="__shared_20_3_0" localSheetId="4">#REF!*#REF!*#REF!*#REF!</definedName>
    <definedName name="__shared_20_3_0">#REF!*#REF!*#REF!*#REF!</definedName>
    <definedName name="__shared_20_4_0">#REF!*#REF!*#REF!*#REF!</definedName>
    <definedName name="__shared_20_5_0">#REF!*#REF!*#REF!*#REF!</definedName>
    <definedName name="__shared_20_6_0">#REF!*#REF!*#REF!*#REF!</definedName>
    <definedName name="__shared_20_7_0">#REF!*#REF!*#REF!*#REF!</definedName>
    <definedName name="__shared_20_8_0">#REF!*#REF!*#REF!*#REF!</definedName>
    <definedName name="__shared_20_9_0">#REF!*#REF!*#REF!*#REF!</definedName>
    <definedName name="__shared_21_0_0">#REF!*#REF!*#REF!*#REF!</definedName>
    <definedName name="__shared_21_1_0">#REF!*#REF!*#REF!*#REF!</definedName>
    <definedName name="__shared_21_2_0">#REF!*#REF!*#REF!*#REF!</definedName>
    <definedName name="__shared_21_3_0">#REF!*#REF!*#REF!*#REF!</definedName>
    <definedName name="__shared_22_0_0">#REF!*#REF!*#REF!*#REF!</definedName>
    <definedName name="__shared_22_1_0">#REF!*#REF!*#REF!*#REF!</definedName>
    <definedName name="__shared_22_10_0">#REF!*#REF!*#REF!*#REF!</definedName>
    <definedName name="__shared_22_11_0">MINA(#REF!)</definedName>
    <definedName name="__shared_22_2_0" localSheetId="4">#REF!*#REF!*#REF!*#REF!</definedName>
    <definedName name="__shared_22_2_0" localSheetId="6">#REF!*#REF!*#REF!*#REF!</definedName>
    <definedName name="__shared_22_2_0">#REF!*#REF!*#REF!*#REF!</definedName>
    <definedName name="__shared_22_3_0" localSheetId="4">#REF!*#REF!*#REF!*#REF!</definedName>
    <definedName name="__shared_22_3_0">#REF!*#REF!*#REF!*#REF!</definedName>
    <definedName name="__shared_22_4_0">#REF!*#REF!*#REF!*#REF!</definedName>
    <definedName name="__shared_22_5_0">#REF!*#REF!*#REF!*#REF!</definedName>
    <definedName name="__shared_22_6_0">#REF!*#REF!*#REF!*#REF!</definedName>
    <definedName name="__shared_22_7_0">#REF!*#REF!*#REF!*#REF!</definedName>
    <definedName name="__shared_22_8_0">#REF!*#REF!*#REF!*#REF!</definedName>
    <definedName name="__shared_22_9_0">#REF!*#REF!*#REF!*#REF!</definedName>
    <definedName name="__shared_23_0_0">#REF!*#REF!*#REF!*#REF!</definedName>
    <definedName name="__shared_23_1_0">#REF!*#REF!*#REF!*#REF!</definedName>
    <definedName name="__shared_23_2_0">#REF!*#REF!*#REF!*#REF!</definedName>
    <definedName name="__shared_23_3_0">#REF!*#REF!*#REF!*#REF!</definedName>
    <definedName name="__shared_24_0_0">#REF!*#REF!*#REF!*#REF!</definedName>
    <definedName name="__shared_24_1_0">#REF!*#REF!*#REF!*#REF!</definedName>
    <definedName name="__shared_24_10_0">#REF!*#REF!*#REF!*#REF!</definedName>
    <definedName name="__shared_24_11_0">MINA(#REF!)</definedName>
    <definedName name="__shared_24_2_0" localSheetId="4">#REF!*#REF!*#REF!*#REF!</definedName>
    <definedName name="__shared_24_2_0" localSheetId="6">#REF!*#REF!*#REF!*#REF!</definedName>
    <definedName name="__shared_24_2_0">#REF!*#REF!*#REF!*#REF!</definedName>
    <definedName name="__shared_24_3_0" localSheetId="4">#REF!*#REF!*#REF!*#REF!</definedName>
    <definedName name="__shared_24_3_0">#REF!*#REF!*#REF!*#REF!</definedName>
    <definedName name="__shared_24_4_0">#REF!*#REF!*#REF!*#REF!</definedName>
    <definedName name="__shared_24_5_0">#REF!*#REF!*#REF!*#REF!</definedName>
    <definedName name="__shared_24_6_0">#REF!*#REF!*#REF!*#REF!</definedName>
    <definedName name="__shared_24_7_0">#REF!*#REF!*#REF!*#REF!</definedName>
    <definedName name="__shared_24_8_0">#REF!*#REF!*#REF!*#REF!</definedName>
    <definedName name="__shared_24_9_0">#REF!*#REF!*#REF!*#REF!</definedName>
    <definedName name="__shared_25_0_0">#REF!*#REF!*#REF!*#REF!*#REF!</definedName>
    <definedName name="__shared_25_1_0">#REF!*#REF!*#REF!*#REF!*#REF!</definedName>
    <definedName name="__shared_25_2_0">#REF!*#REF!*#REF!*#REF!*#REF!</definedName>
    <definedName name="__shared_25_3_0">#REF!*#REF!*#REF!*#REF!*#REF!</definedName>
    <definedName name="__shared_25_4_0">#REF!*#REF!*#REF!*#REF!*#REF!</definedName>
    <definedName name="__shared_26_0_0">#REF!*#REF!*#REF!*#REF!*#REF!</definedName>
    <definedName name="__shared_26_1_0">#REF!*#REF!*#REF!*#REF!</definedName>
    <definedName name="__shared_26_2_0">#REF!*#REF!*#REF!*#REF!</definedName>
    <definedName name="__shared_26_3_0">#REF!*#REF!*#REF!*#REF!</definedName>
    <definedName name="__shared_26_4_0">#REF!*#REF!*#REF!*#REF!</definedName>
    <definedName name="__shared_26_5_0">#REF!*#REF!*#REF!*#REF!</definedName>
    <definedName name="__shared_27_0_0">#REF!*#REF!*#REF!*#REF!*#REF!</definedName>
    <definedName name="__shared_27_1_0">#REF!*#REF!*#REF!*#REF!</definedName>
    <definedName name="__shared_27_2_0">#REF!*#REF!*#REF!*#REF!</definedName>
    <definedName name="__shared_27_3_0">#REF!*#REF!*#REF!*#REF!</definedName>
    <definedName name="__shared_27_4_0">#REF!*#REF!*#REF!*#REF!</definedName>
    <definedName name="__shared_27_5_0">#REF!*#REF!*#REF!*#REF!</definedName>
    <definedName name="__shared_28_0_0">#REF!*#REF!*#REF!*#REF!</definedName>
    <definedName name="__shared_28_1_0">#REF!*#REF!*#REF!*#REF!</definedName>
    <definedName name="__shared_28_2_0">#REF!*#REF!*#REF!*#REF!</definedName>
    <definedName name="__shared_28_3_0">#REF!*#REF!*#REF!*#REF!</definedName>
    <definedName name="__shared_28_4_0">#REF!*#REF!*#REF!*#REF!</definedName>
    <definedName name="__shared_3_0_0">#REF!*#REF!*#REF!</definedName>
    <definedName name="__shared_3_1_0">#REF!*#REF!*#REF!*#REF!</definedName>
    <definedName name="__shared_3_10_0">#REF!*#REF!*#REF!*#REF!*#REF!</definedName>
    <definedName name="__shared_3_11_0">#REF!*#REF!*#REF!*#REF!*#REF!</definedName>
    <definedName name="__shared_3_12_0">MINA(#REF!)</definedName>
    <definedName name="__shared_3_13_0" localSheetId="4">#REF!*#REF!*#REF!*#REF!*#REF!</definedName>
    <definedName name="__shared_3_13_0" localSheetId="6">#REF!*#REF!*#REF!*#REF!*#REF!</definedName>
    <definedName name="__shared_3_13_0">#REF!*#REF!*#REF!*#REF!*#REF!</definedName>
    <definedName name="__shared_3_14_0" localSheetId="4">#REF!*#REF!*#REF!*#REF!</definedName>
    <definedName name="__shared_3_14_0">#REF!*#REF!*#REF!*#REF!</definedName>
    <definedName name="__shared_3_15_0">#REF!*#REF!*#REF!*#REF!*#REF!</definedName>
    <definedName name="__shared_3_16_0">#REF!*#REF!*#REF!*#REF!*#REF!</definedName>
    <definedName name="__shared_3_17_0">#REF!*#REF!*#REF!*#REF!*#REF!</definedName>
    <definedName name="__shared_3_18_0">#REF!*#REF!*#REF!*#REF!*#REF!</definedName>
    <definedName name="__shared_3_19_0">MINA(#REF!)</definedName>
    <definedName name="__shared_3_2_0" localSheetId="4">#REF!*#REF!*#REF!*#REF!</definedName>
    <definedName name="__shared_3_2_0" localSheetId="6">#REF!*#REF!*#REF!*#REF!</definedName>
    <definedName name="__shared_3_2_0">#REF!*#REF!*#REF!*#REF!</definedName>
    <definedName name="__shared_3_20_0" localSheetId="4">#REF!*#REF!*#REF!*#REF!*#REF!</definedName>
    <definedName name="__shared_3_20_0">#REF!*#REF!*#REF!*#REF!*#REF!</definedName>
    <definedName name="__shared_3_21_0">#REF!*#REF!*#REF!*#REF!*#REF!</definedName>
    <definedName name="__shared_3_22_0">#REF!*#REF!*#REF!*#REF!*#REF!</definedName>
    <definedName name="__shared_3_23_0">#REF!*#REF!*#REF!*#REF!*#REF!</definedName>
    <definedName name="__shared_3_24_0">#REF!*#REF!*#REF!*#REF!*#REF!</definedName>
    <definedName name="__shared_3_25_0">MINA(#REF!)</definedName>
    <definedName name="__shared_3_26_0" localSheetId="4">#REF!*#REF!*#REF!*#REF!*#REF!</definedName>
    <definedName name="__shared_3_26_0" localSheetId="6">#REF!*#REF!*#REF!*#REF!*#REF!</definedName>
    <definedName name="__shared_3_26_0">#REF!*#REF!*#REF!*#REF!*#REF!</definedName>
    <definedName name="__shared_3_27_0" localSheetId="4">#REF!*#REF!*#REF!*#REF!*#REF!</definedName>
    <definedName name="__shared_3_27_0">#REF!*#REF!*#REF!*#REF!*#REF!</definedName>
    <definedName name="__shared_3_28_0">#REF!*#REF!*#REF!*#REF!*#REF!</definedName>
    <definedName name="__shared_3_29_0">#REF!*#REF!*#REF!*#REF!*#REF!</definedName>
    <definedName name="__shared_3_3_0">#REF!*#REF!*#REF!*#REF!</definedName>
    <definedName name="__shared_3_30_0">#REF!*#REF!*#REF!*#REF!*#REF!</definedName>
    <definedName name="__shared_3_31_0">MINA(#REF!)</definedName>
    <definedName name="__shared_3_32_0" localSheetId="4">#REF!*#REF!*#REF!*#REF!*#REF!</definedName>
    <definedName name="__shared_3_32_0" localSheetId="6">#REF!*#REF!*#REF!*#REF!*#REF!</definedName>
    <definedName name="__shared_3_32_0">#REF!*#REF!*#REF!*#REF!*#REF!</definedName>
    <definedName name="__shared_3_33_0" localSheetId="4">#REF!*#REF!*#REF!*#REF!*#REF!</definedName>
    <definedName name="__shared_3_33_0">#REF!*#REF!*#REF!*#REF!*#REF!</definedName>
    <definedName name="__shared_3_34_0">#REF!*#REF!*#REF!*#REF!*#REF!</definedName>
    <definedName name="__shared_3_35_0">#REF!*#REF!*#REF!*#REF!*#REF!</definedName>
    <definedName name="__shared_3_36_0">#REF!*#REF!*#REF!*#REF!*#REF!</definedName>
    <definedName name="__shared_3_37_0">MINA(#REF!)</definedName>
    <definedName name="__shared_3_4_0" localSheetId="4">#REF!*#REF!*#REF!</definedName>
    <definedName name="__shared_3_4_0" localSheetId="6">#REF!*#REF!*#REF!</definedName>
    <definedName name="__shared_3_4_0">#REF!*#REF!*#REF!</definedName>
    <definedName name="__shared_3_5_0" localSheetId="4">#REF!*#REF!*#REF!*#REF!</definedName>
    <definedName name="__shared_3_5_0">#REF!*#REF!*#REF!*#REF!</definedName>
    <definedName name="__shared_3_6_0">#REF!*#REF!*#REF!*#REF!</definedName>
    <definedName name="__shared_3_7_0">#REF!*#REF!*#REF!*#REF!</definedName>
    <definedName name="__shared_3_8_0">#REF!*#REF!*#REF!*#REF!</definedName>
    <definedName name="__shared_3_9_0">MINA(#REF!)</definedName>
    <definedName name="__shared_4_0_0" localSheetId="4">#REF!*#REF!*#REF!</definedName>
    <definedName name="__shared_4_0_0" localSheetId="6">#REF!*#REF!*#REF!</definedName>
    <definedName name="__shared_4_0_0">#REF!*#REF!*#REF!</definedName>
    <definedName name="__shared_4_1_0" localSheetId="4">#REF!*#REF!*#REF!*#REF!</definedName>
    <definedName name="__shared_4_1_0">#REF!*#REF!*#REF!*#REF!</definedName>
    <definedName name="__shared_4_10_0" localSheetId="4">#REF!*#REF!*(#REF!+#REF!+#REF!+#REF!)*#REF!</definedName>
    <definedName name="__shared_4_10_0" localSheetId="6">#REF!*#REF!*(#REF!+#REF!+#REF!+#REF!)*#REF!</definedName>
    <definedName name="__shared_4_10_0" localSheetId="25">#REF!*#REF!*(#REF!+#REF!+#REF!+#REF!)*#REF!</definedName>
    <definedName name="__shared_4_10_0" localSheetId="26">#REF!*#REF!*(#REF!+#REF!+#REF!+#REF!)*#REF!</definedName>
    <definedName name="__shared_4_10_0">#REF!*#REF!*(#REF!+#REF!+#REF!+#REF!)*#REF!</definedName>
    <definedName name="__shared_4_11_0" localSheetId="4">#REF!*#REF!*#REF!*#REF!*#REF!</definedName>
    <definedName name="__shared_4_11_0">#REF!*#REF!*#REF!*#REF!*#REF!</definedName>
    <definedName name="__shared_4_12_0">MINA(#REF!)</definedName>
    <definedName name="__shared_4_13_0" localSheetId="4">#REF!*#REF!*#REF!*#REF!*#REF!</definedName>
    <definedName name="__shared_4_13_0" localSheetId="6">#REF!*#REF!*#REF!*#REF!*#REF!</definedName>
    <definedName name="__shared_4_13_0">#REF!*#REF!*#REF!*#REF!*#REF!</definedName>
    <definedName name="__shared_4_14_0" localSheetId="4">#REF!*#REF!*#REF!*#REF!*#REF!</definedName>
    <definedName name="__shared_4_14_0">#REF!*#REF!*#REF!*#REF!*#REF!</definedName>
    <definedName name="__shared_4_15_0">MINA(#REF!)</definedName>
    <definedName name="__shared_4_16_0" localSheetId="4">#REF!*#REF!*#REF!*#REF!*#REF!</definedName>
    <definedName name="__shared_4_16_0" localSheetId="6">#REF!*#REF!*#REF!*#REF!*#REF!</definedName>
    <definedName name="__shared_4_16_0">#REF!*#REF!*#REF!*#REF!*#REF!</definedName>
    <definedName name="__shared_4_17_0" localSheetId="4">#REF!*#REF!*#REF!*#REF!*#REF!</definedName>
    <definedName name="__shared_4_17_0">#REF!*#REF!*#REF!*#REF!*#REF!</definedName>
    <definedName name="__shared_4_18_0">#REF!*#REF!*#REF!*#REF!*#REF!</definedName>
    <definedName name="__shared_4_19_0">#REF!*#REF!*#REF!*#REF!*#REF!</definedName>
    <definedName name="__shared_4_2_0">#REF!*#REF!*#REF!*#REF!</definedName>
    <definedName name="__shared_4_20_0">#REF!*#REF!*#REF!*#REF!*#REF!</definedName>
    <definedName name="__shared_4_21_0">#REF!*#REF!*#REF!*#REF!*#REF!</definedName>
    <definedName name="__shared_4_22_0">MINA(#REF!)</definedName>
    <definedName name="__shared_4_23_0" localSheetId="4">#REF!*#REF!*#REF!*#REF!*#REF!</definedName>
    <definedName name="__shared_4_23_0" localSheetId="6">#REF!*#REF!*#REF!*#REF!*#REF!</definedName>
    <definedName name="__shared_4_23_0">#REF!*#REF!*#REF!*#REF!*#REF!</definedName>
    <definedName name="__shared_4_24_0" localSheetId="4">#REF!*#REF!*#REF!*#REF!*#REF!</definedName>
    <definedName name="__shared_4_24_0">#REF!*#REF!*#REF!*#REF!*#REF!</definedName>
    <definedName name="__shared_4_25_0">#REF!*#REF!*#REF!*#REF!*#REF!</definedName>
    <definedName name="__shared_4_26_0">#REF!*#REF!*#REF!*#REF!*#REF!</definedName>
    <definedName name="__shared_4_27_0">#REF!*#REF!*#REF!*#REF!*#REF!</definedName>
    <definedName name="__shared_4_28_0">#REF!*#REF!*#REF!*#REF!*#REF!</definedName>
    <definedName name="__shared_4_29_0">#REF!*#REF!*#REF!*#REF!*#REF!</definedName>
    <definedName name="__shared_4_3_0">#REF!*#REF!*#REF!</definedName>
    <definedName name="__shared_4_30_0">#REF!*#REF!*#REF!*#REF!*#REF!</definedName>
    <definedName name="__shared_4_31_0">#REF!*#REF!*#REF!*#REF!*#REF!</definedName>
    <definedName name="__shared_4_32_0">MINA(#REF!)</definedName>
    <definedName name="__shared_4_33_0" localSheetId="4">#REF!*#REF!*#REF!*#REF!*#REF!</definedName>
    <definedName name="__shared_4_33_0" localSheetId="6">#REF!*#REF!*#REF!*#REF!*#REF!</definedName>
    <definedName name="__shared_4_33_0">#REF!*#REF!*#REF!*#REF!*#REF!</definedName>
    <definedName name="__shared_4_34_0" localSheetId="4">#REF!*#REF!*(#REF!+#REF!+#REF!+#REF!)*#REF!</definedName>
    <definedName name="__shared_4_34_0" localSheetId="6">#REF!*#REF!*(#REF!+#REF!+#REF!+#REF!)*#REF!</definedName>
    <definedName name="__shared_4_34_0">#REF!*#REF!*(#REF!+#REF!+#REF!+#REF!)*#REF!</definedName>
    <definedName name="__shared_4_35_0" localSheetId="4">#REF!*#REF!*#REF!*#REF!*#REF!</definedName>
    <definedName name="__shared_4_35_0">#REF!*#REF!*#REF!*#REF!*#REF!</definedName>
    <definedName name="__shared_4_36_0" localSheetId="4">#REF!*#REF!*#REF!*#REF!*#REF!</definedName>
    <definedName name="__shared_4_36_0">#REF!*#REF!*#REF!*#REF!*#REF!</definedName>
    <definedName name="__shared_4_37_0">#REF!*#REF!*#REF!*#REF!*#REF!</definedName>
    <definedName name="__shared_4_38_0">#REF!*#REF!*#REF!*#REF!*#REF!</definedName>
    <definedName name="__shared_4_39_0">MINA(#REF!)</definedName>
    <definedName name="__shared_4_4_0" localSheetId="4">#REF!*#REF!*#REF!*#REF!</definedName>
    <definedName name="__shared_4_4_0" localSheetId="6">#REF!*#REF!*#REF!*#REF!</definedName>
    <definedName name="__shared_4_4_0">#REF!*#REF!*#REF!*#REF!</definedName>
    <definedName name="__shared_4_5_0" localSheetId="4">#REF!*#REF!*#REF!*#REF!</definedName>
    <definedName name="__shared_4_5_0">#REF!*#REF!*#REF!*#REF!</definedName>
    <definedName name="__shared_4_6_0">#REF!*#REF!*#REF!*#REF!</definedName>
    <definedName name="__shared_4_7_0">#REF!*#REF!*#REF!*#REF!</definedName>
    <definedName name="__shared_4_8_0">MINA(#REF!)</definedName>
    <definedName name="__shared_4_9_0" localSheetId="4">#REF!*#REF!*#REF!*#REF!*#REF!</definedName>
    <definedName name="__shared_4_9_0" localSheetId="6">#REF!*#REF!*#REF!*#REF!*#REF!</definedName>
    <definedName name="__shared_4_9_0">#REF!*#REF!*#REF!*#REF!*#REF!</definedName>
    <definedName name="__shared_5_0_0" localSheetId="4">#REF!*#REF!*#REF!</definedName>
    <definedName name="__shared_5_0_0">#REF!*#REF!*#REF!</definedName>
    <definedName name="__shared_5_1_0">#REF!*#REF!*#REF!*#REF!</definedName>
    <definedName name="__shared_5_10_0" localSheetId="4">#REF!*#REF!*(#REF!+#REF!+#REF!+#REF!)*#REF!</definedName>
    <definedName name="__shared_5_10_0" localSheetId="6">#REF!*#REF!*(#REF!+#REF!+#REF!+#REF!)*#REF!</definedName>
    <definedName name="__shared_5_10_0">#REF!*#REF!*(#REF!+#REF!+#REF!+#REF!)*#REF!</definedName>
    <definedName name="__shared_5_11_0" localSheetId="4">#REF!*#REF!*#REF!*#REF!*#REF!</definedName>
    <definedName name="__shared_5_11_0">#REF!*#REF!*#REF!*#REF!*#REF!</definedName>
    <definedName name="__shared_5_12_0">MINA(#REF!)</definedName>
    <definedName name="__shared_5_13_0" localSheetId="4">#REF!*#REF!*#REF!*#REF!*#REF!</definedName>
    <definedName name="__shared_5_13_0" localSheetId="6">#REF!*#REF!*#REF!*#REF!*#REF!</definedName>
    <definedName name="__shared_5_13_0">#REF!*#REF!*#REF!*#REF!*#REF!</definedName>
    <definedName name="__shared_5_14_0" localSheetId="4">#REF!*#REF!*#REF!*#REF!*#REF!</definedName>
    <definedName name="__shared_5_14_0">#REF!*#REF!*#REF!*#REF!*#REF!</definedName>
    <definedName name="__shared_5_15_0">#REF!*#REF!*#REF!*#REF!*#REF!</definedName>
    <definedName name="__shared_5_16_0">MINA(#REF!)</definedName>
    <definedName name="__shared_5_17_0" localSheetId="4">#REF!*#REF!*#REF!*#REF!*#REF!</definedName>
    <definedName name="__shared_5_17_0" localSheetId="6">#REF!*#REF!*#REF!*#REF!*#REF!</definedName>
    <definedName name="__shared_5_17_0">#REF!*#REF!*#REF!*#REF!*#REF!</definedName>
    <definedName name="__shared_5_18_0" localSheetId="4">#REF!*#REF!*#REF!*#REF!*#REF!</definedName>
    <definedName name="__shared_5_18_0">#REF!*#REF!*#REF!*#REF!*#REF!</definedName>
    <definedName name="__shared_5_19_0">MINA(#REF!)</definedName>
    <definedName name="__shared_5_2_0" localSheetId="4">#REF!*#REF!*#REF!*#REF!</definedName>
    <definedName name="__shared_5_2_0" localSheetId="6">#REF!*#REF!*#REF!*#REF!</definedName>
    <definedName name="__shared_5_2_0">#REF!*#REF!*#REF!*#REF!</definedName>
    <definedName name="__shared_5_3_0" localSheetId="4">#REF!*#REF!*#REF!</definedName>
    <definedName name="__shared_5_3_0">#REF!*#REF!*#REF!</definedName>
    <definedName name="__shared_5_4_0">#REF!*#REF!*#REF!*#REF!</definedName>
    <definedName name="__shared_5_5_0">#REF!*#REF!*#REF!*#REF!</definedName>
    <definedName name="__shared_5_6_0">#REF!*#REF!*#REF!*#REF!</definedName>
    <definedName name="__shared_5_7_0">#REF!*#REF!*#REF!*#REF!</definedName>
    <definedName name="__shared_5_8_0">MINA(#REF!)</definedName>
    <definedName name="__shared_5_9_0" localSheetId="4">#REF!*#REF!*(#REF!+#REF!+#REF!+#REF!)*#REF!</definedName>
    <definedName name="__shared_5_9_0" localSheetId="6">#REF!*#REF!*(#REF!+#REF!+#REF!+#REF!)*#REF!</definedName>
    <definedName name="__shared_5_9_0">#REF!*#REF!*(#REF!+#REF!+#REF!+#REF!)*#REF!</definedName>
    <definedName name="__shared_6_0_0" localSheetId="4">#REF!*#REF!*#REF!*#REF!</definedName>
    <definedName name="__shared_6_0_0">#REF!*#REF!*#REF!*#REF!</definedName>
    <definedName name="__shared_6_1_0" localSheetId="4">#REF!*#REF!*#REF!*#REF!</definedName>
    <definedName name="__shared_6_1_0">#REF!*#REF!*#REF!*#REF!</definedName>
    <definedName name="__shared_6_10_0">#REF!*#REF!*#REF!*#REF!</definedName>
    <definedName name="__shared_6_11_0">MINA(#REF!)</definedName>
    <definedName name="__shared_6_2_0" localSheetId="4">#REF!*#REF!*#REF!*#REF!</definedName>
    <definedName name="__shared_6_2_0" localSheetId="6">#REF!*#REF!*#REF!*#REF!</definedName>
    <definedName name="__shared_6_2_0">#REF!*#REF!*#REF!*#REF!</definedName>
    <definedName name="__shared_6_3_0" localSheetId="4">#REF!*#REF!*#REF!*#REF!</definedName>
    <definedName name="__shared_6_3_0">#REF!*#REF!*#REF!*#REF!</definedName>
    <definedName name="__shared_6_4_0">#REF!*#REF!*#REF!*#REF!</definedName>
    <definedName name="__shared_6_5_0">#REF!*#REF!*#REF!*#REF!</definedName>
    <definedName name="__shared_6_6_0">#REF!*#REF!*#REF!*#REF!</definedName>
    <definedName name="__shared_6_7_0">#REF!*#REF!*#REF!*#REF!</definedName>
    <definedName name="__shared_6_8_0">#REF!*#REF!*#REF!*#REF!</definedName>
    <definedName name="__shared_6_9_0">#REF!*#REF!*#REF!*#REF!</definedName>
    <definedName name="__shared_7_0_0">#REF!*#REF!*#REF!*#REF!</definedName>
    <definedName name="__shared_7_1_0">#REF!*#REF!*#REF!*#REF!</definedName>
    <definedName name="__shared_7_2_0">#REF!*#REF!*#REF!*#REF!</definedName>
    <definedName name="__shared_7_3_0">#REF!*#REF!*#REF!*#REF!</definedName>
    <definedName name="__shared_8_0_0">#REF!*#REF!*#REF!*#REF!</definedName>
    <definedName name="__shared_8_1_0">#REF!*#REF!*#REF!*#REF!</definedName>
    <definedName name="__shared_8_2_0">#REF!*#REF!*#REF!*#REF!</definedName>
    <definedName name="__shared_8_3_0">#REF!*#REF!*#REF!</definedName>
    <definedName name="__shared_8_4_0">#REF!*#REF!*#REF!*#REF!</definedName>
    <definedName name="__shared_9_0_0" localSheetId="4">#REF!*#REF!*#REF!*#REF!*#REF!</definedName>
    <definedName name="__shared_9_0_0">#REF!*#REF!*#REF!*#REF!*#REF!</definedName>
    <definedName name="__shared_9_1_0">#REF!*#REF!*#REF!*#REF!</definedName>
    <definedName name="__shared_9_2_0">#REF!*#REF!*#REF!*#REF!</definedName>
    <definedName name="__shared_9_3_0">#REF!*#REF!*#REF!*#REF!</definedName>
    <definedName name="__shared_9_4_0">#REF!*#REF!*#REF!*#REF!</definedName>
    <definedName name="__shared_9_5_0" localSheetId="4">#REF!*#REF!*#REF!*#REF!*#REF!</definedName>
    <definedName name="__shared_9_5_0">#REF!*#REF!*#REF!*#REF!*#REF!</definedName>
    <definedName name="__shared_9_6_0">#REF!*#REF!*#REF!*#REF!</definedName>
    <definedName name="__sjp4">#REF!</definedName>
    <definedName name="__tab1">#REF!</definedName>
    <definedName name="__TI1"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I1"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I1"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I1"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I1"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I1"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I1"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I1"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OT1" localSheetId="4">#REF!</definedName>
    <definedName name="__TOT1" localSheetId="6">#REF!</definedName>
    <definedName name="__TOT1">#REF!</definedName>
    <definedName name="__TOT2" localSheetId="4">#REF!</definedName>
    <definedName name="__TOT2">#REF!</definedName>
    <definedName name="__TOT3">#REF!</definedName>
    <definedName name="__TOT4">#REF!</definedName>
    <definedName name="__TOT5">#REF!</definedName>
    <definedName name="__TOT6">#REF!</definedName>
    <definedName name="__TOT7">#REF!</definedName>
    <definedName name="__TR2">#REF!</definedName>
    <definedName name="__TR5">#REF!</definedName>
    <definedName name="__TT1" localSheetId="4">#REF!</definedName>
    <definedName name="__tt1"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1"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1"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1"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1"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1"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1"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2" localSheetId="4">#REF!</definedName>
    <definedName name="__tt2"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2"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2"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2"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2"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2"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4" localSheetId="4">#REF!</definedName>
    <definedName name="__tt4"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4"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4"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4"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4"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4"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5"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5"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5"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5"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5"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5"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5"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tt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BF1">#REF!</definedName>
    <definedName name="__VE1">#REF!</definedName>
    <definedName name="__VO1">#REF!</definedName>
    <definedName name="__VR1">#REF!</definedName>
    <definedName name="__VV9">"$#REF!.$#REF!$#REF!"</definedName>
    <definedName name="__VVV1"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1"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1"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1"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1"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1"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1"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1"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2"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2"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2"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2"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2"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2"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2"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3"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3"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3"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3"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3"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3"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3"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3"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4"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4"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4"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4"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4"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4"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4"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5"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5"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5"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5"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5"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5"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5"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6"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6"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6"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6"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6"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6"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6"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VVV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1"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1"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1"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1"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1"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1"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1"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1"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2"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2"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2"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2"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2"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2"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2"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5"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5"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5"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5"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5"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5"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5"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6"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6"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6"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6"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6"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6"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6"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9"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9"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9"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9"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9"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9"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9"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ww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1"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1"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1"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1"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1"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1"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1"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1"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2"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2"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2"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2"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2"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2"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2"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3"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3"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3"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3"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3"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3"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3"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3"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5"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5"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5"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5"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5"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5"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5"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6"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6"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6"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6"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6"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6"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6"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xlnm.Database">#N/A</definedName>
    <definedName name="__xlnm.Print_Titles">#N/A</definedName>
    <definedName name="__z7"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7"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7"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7"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7"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7"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7"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8"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8"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8"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8"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8"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8"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8"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_z8"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_16.3___VEÍCULOS" localSheetId="4">#REF!</definedName>
    <definedName name="_16.3___VEÍCULOS" localSheetId="6">#REF!</definedName>
    <definedName name="_16.3___VEÍCULOS">#REF!</definedName>
    <definedName name="_16.4___COMBÚSTIVEL" localSheetId="4">#REF!</definedName>
    <definedName name="_16.4___COMBÚSTIVEL">#REF!</definedName>
    <definedName name="_16.5___EQUIPAMENTOS_DE_ESCRITÓRIO">#REF!</definedName>
    <definedName name="_17.1_MENSALISTA">#REF!</definedName>
    <definedName name="_17.2___HORISTA">#REF!</definedName>
    <definedName name="_1Excel_BuiltIn__FilterDatabase_1_1" localSheetId="4">#REF!</definedName>
    <definedName name="_1Excel_BuiltIn__FilterDatabase_1_1">#REF!</definedName>
    <definedName name="_1Excel_BuiltIn_Print_Area_1_1">#REF!</definedName>
    <definedName name="_1Excel_BuiltIn_Print_Area_2_1">#REF!</definedName>
    <definedName name="_2Excel_BuiltIn__FilterDatabase_1_1_1">#REF!</definedName>
    <definedName name="_2Excel_BuiltIn_Print_Area_2_1" localSheetId="4">#REF!</definedName>
    <definedName name="_2Excel_BuiltIn_Print_Area_2_1">#REF!</definedName>
    <definedName name="_2Excel_BuiltIn_Print_Titles_1_1" localSheetId="25">#REF!,#REF!</definedName>
    <definedName name="_2Excel_BuiltIn_Print_Titles_1_1" localSheetId="26">#REF!,#REF!</definedName>
    <definedName name="_2Excel_BuiltIn_Print_Titles_1_1">#REF!,#REF!</definedName>
    <definedName name="_3Excel_BuiltIn_Print_Area_4_1" localSheetId="4">#REF!</definedName>
    <definedName name="_3Excel_BuiltIn_Print_Area_4_1">#REF!</definedName>
    <definedName name="_3Excel_BuiltIn_Print_Titles_1_1">#REF!,#REF!</definedName>
    <definedName name="_4Excel_BuiltIn_Print_Area_1_1">#REF!</definedName>
    <definedName name="_5Excel_BuiltIn_Print_Area_2_1">#REF!</definedName>
    <definedName name="_63" localSheetId="4">#REF!</definedName>
    <definedName name="_63">#REF!</definedName>
    <definedName name="_6Excel_BuiltIn_Print_Area_4_1" localSheetId="4">#REF!</definedName>
    <definedName name="_6Excel_BuiltIn_Print_Area_4_1">#REF!</definedName>
    <definedName name="_abc2">#REF!</definedName>
    <definedName name="_Abr1">#REF!</definedName>
    <definedName name="_Ago1">#REF!</definedName>
    <definedName name="_Akm1" localSheetId="4">#REF!</definedName>
    <definedName name="_Akm1">#REF!</definedName>
    <definedName name="_BDI1">#REF!</definedName>
    <definedName name="_BDI2">#REF!</definedName>
    <definedName name="_br4">#REF!</definedName>
    <definedName name="_Brz1">#REF!</definedName>
    <definedName name="_Brz2">#REF!</definedName>
    <definedName name="_C" localSheetId="4">#REF!</definedName>
    <definedName name="_C">#REF!</definedName>
    <definedName name="_cab1">#REF!</definedName>
    <definedName name="_cab2">#REF!</definedName>
    <definedName name="_Dez1">#REF!</definedName>
    <definedName name="_Ele200502">#REF!</definedName>
    <definedName name="_Ele200609">#REF!</definedName>
    <definedName name="_Fev1">#REF!</definedName>
    <definedName name="_Fill" localSheetId="4" hidden="1">#REF!</definedName>
    <definedName name="_Fill" hidden="1">#REF!</definedName>
    <definedName name="_xlnm._FilterDatabase" localSheetId="8" hidden="1">'Curva ABC'!$A$16:$L$278</definedName>
    <definedName name="_FOG50">#REF!</definedName>
    <definedName name="_inv2" localSheetId="4">#REF!</definedName>
    <definedName name="_inv2" localSheetId="7">#REF!</definedName>
    <definedName name="_inv2" localSheetId="9">#REF!</definedName>
    <definedName name="_inv2" localSheetId="10">#REF!</definedName>
    <definedName name="_inv2">#REF!</definedName>
    <definedName name="_Jan1">#REF!</definedName>
    <definedName name="_Jul1">#REF!</definedName>
    <definedName name="_Jun1">#REF!</definedName>
    <definedName name="_Key1" localSheetId="4" hidden="1">#REF!</definedName>
    <definedName name="_Key1" hidden="1">#REF!</definedName>
    <definedName name="_Key2" hidden="1">#REF!</definedName>
    <definedName name="_LUP1">#N/A</definedName>
    <definedName name="_LUP2">#N/A</definedName>
    <definedName name="_Mai1" localSheetId="7">#REF!</definedName>
    <definedName name="_Mai1" localSheetId="9">#REF!</definedName>
    <definedName name="_Mai1" localSheetId="10">#REF!</definedName>
    <definedName name="_Mai1" localSheetId="6">#REF!</definedName>
    <definedName name="_Mai1">#REF!</definedName>
    <definedName name="_Mar1" localSheetId="7">#REF!</definedName>
    <definedName name="_Mar1" localSheetId="9">#REF!</definedName>
    <definedName name="_Mar1" localSheetId="10">#REF!</definedName>
    <definedName name="_Mar1" localSheetId="6">#REF!</definedName>
    <definedName name="_Mar1">#REF!</definedName>
    <definedName name="_MTV1" localSheetId="7">#REF!</definedName>
    <definedName name="_MTV1" localSheetId="9">#REF!</definedName>
    <definedName name="_MTV1" localSheetId="10">#REF!</definedName>
    <definedName name="_MTV1" localSheetId="6">#REF!</definedName>
    <definedName name="_MTV1">#REF!</definedName>
    <definedName name="_MTV2">#REF!</definedName>
    <definedName name="_MTV3">#REF!</definedName>
    <definedName name="_MTV4">#REF!</definedName>
    <definedName name="_MTV5">#REF!</definedName>
    <definedName name="_Nov1">#REF!</definedName>
    <definedName name="_Order1" hidden="1">255</definedName>
    <definedName name="_Order2" hidden="1">255</definedName>
    <definedName name="_Out1" localSheetId="7">#REF!</definedName>
    <definedName name="_Out1" localSheetId="9">#REF!</definedName>
    <definedName name="_Out1" localSheetId="10">#REF!</definedName>
    <definedName name="_Out1" localSheetId="6">#REF!</definedName>
    <definedName name="_Out1">#REF!</definedName>
    <definedName name="_pA5">#REF!</definedName>
    <definedName name="_pA6">#REF!</definedName>
    <definedName name="_pC5">#REF!</definedName>
    <definedName name="_pla1">#REF!</definedName>
    <definedName name="_pv2" localSheetId="4">#REF!</definedName>
    <definedName name="_pv2">#REF!</definedName>
    <definedName name="_pv3">#REF!</definedName>
    <definedName name="_PVC100">#REF!</definedName>
    <definedName name="_PVC150">#REF!</definedName>
    <definedName name="_PVC50">#REF!</definedName>
    <definedName name="_PVC75">#REF!</definedName>
    <definedName name="_R">#REF!</definedName>
    <definedName name="_r1" localSheetId="4" hidden="1">{#N/A,#N/A,FALSE,"GERAL";#N/A,#N/A,FALSE,"012-96";#N/A,#N/A,FALSE,"018-96";#N/A,#N/A,FALSE,"027-96";#N/A,#N/A,FALSE,"059-96";#N/A,#N/A,FALSE,"076-96";#N/A,#N/A,FALSE,"019-97";#N/A,#N/A,FALSE,"021-97";#N/A,#N/A,FALSE,"022-97";#N/A,#N/A,FALSE,"028-97"}</definedName>
    <definedName name="_r1" localSheetId="7" hidden="1">{#N/A,#N/A,FALSE,"GERAL";#N/A,#N/A,FALSE,"012-96";#N/A,#N/A,FALSE,"018-96";#N/A,#N/A,FALSE,"027-96";#N/A,#N/A,FALSE,"059-96";#N/A,#N/A,FALSE,"076-96";#N/A,#N/A,FALSE,"019-97";#N/A,#N/A,FALSE,"021-97";#N/A,#N/A,FALSE,"022-97";#N/A,#N/A,FALSE,"028-97"}</definedName>
    <definedName name="_r1" localSheetId="9" hidden="1">{#N/A,#N/A,FALSE,"GERAL";#N/A,#N/A,FALSE,"012-96";#N/A,#N/A,FALSE,"018-96";#N/A,#N/A,FALSE,"027-96";#N/A,#N/A,FALSE,"059-96";#N/A,#N/A,FALSE,"076-96";#N/A,#N/A,FALSE,"019-97";#N/A,#N/A,FALSE,"021-97";#N/A,#N/A,FALSE,"022-97";#N/A,#N/A,FALSE,"028-97"}</definedName>
    <definedName name="_r1" localSheetId="10" hidden="1">{#N/A,#N/A,FALSE,"GERAL";#N/A,#N/A,FALSE,"012-96";#N/A,#N/A,FALSE,"018-96";#N/A,#N/A,FALSE,"027-96";#N/A,#N/A,FALSE,"059-96";#N/A,#N/A,FALSE,"076-96";#N/A,#N/A,FALSE,"019-97";#N/A,#N/A,FALSE,"021-97";#N/A,#N/A,FALSE,"022-97";#N/A,#N/A,FALSE,"028-97"}</definedName>
    <definedName name="_r1" localSheetId="6" hidden="1">{#N/A,#N/A,FALSE,"GERAL";#N/A,#N/A,FALSE,"012-96";#N/A,#N/A,FALSE,"018-96";#N/A,#N/A,FALSE,"027-96";#N/A,#N/A,FALSE,"059-96";#N/A,#N/A,FALSE,"076-96";#N/A,#N/A,FALSE,"019-97";#N/A,#N/A,FALSE,"021-97";#N/A,#N/A,FALSE,"022-97";#N/A,#N/A,FALSE,"028-97"}</definedName>
    <definedName name="_r1" localSheetId="25" hidden="1">{#N/A,#N/A,FALSE,"GERAL";#N/A,#N/A,FALSE,"012-96";#N/A,#N/A,FALSE,"018-96";#N/A,#N/A,FALSE,"027-96";#N/A,#N/A,FALSE,"059-96";#N/A,#N/A,FALSE,"076-96";#N/A,#N/A,FALSE,"019-97";#N/A,#N/A,FALSE,"021-97";#N/A,#N/A,FALSE,"022-97";#N/A,#N/A,FALSE,"028-97"}</definedName>
    <definedName name="_r1" localSheetId="26" hidden="1">{#N/A,#N/A,FALSE,"GERAL";#N/A,#N/A,FALSE,"012-96";#N/A,#N/A,FALSE,"018-96";#N/A,#N/A,FALSE,"027-96";#N/A,#N/A,FALSE,"059-96";#N/A,#N/A,FALSE,"076-96";#N/A,#N/A,FALSE,"019-97";#N/A,#N/A,FALSE,"021-97";#N/A,#N/A,FALSE,"022-97";#N/A,#N/A,FALSE,"028-97"}</definedName>
    <definedName name="_r1" hidden="1">{#N/A,#N/A,FALSE,"GERAL";#N/A,#N/A,FALSE,"012-96";#N/A,#N/A,FALSE,"018-96";#N/A,#N/A,FALSE,"027-96";#N/A,#N/A,FALSE,"059-96";#N/A,#N/A,FALSE,"076-96";#N/A,#N/A,FALSE,"019-97";#N/A,#N/A,FALSE,"021-97";#N/A,#N/A,FALSE,"022-97";#N/A,#N/A,FALSE,"028-97"}</definedName>
    <definedName name="_REV5" localSheetId="4">#REF!</definedName>
    <definedName name="_REV5">#REF!</definedName>
    <definedName name="_Ser200506" localSheetId="7">#REF!</definedName>
    <definedName name="_Ser200506" localSheetId="9">#REF!</definedName>
    <definedName name="_Ser200506" localSheetId="10">#REF!</definedName>
    <definedName name="_Ser200506" localSheetId="6">#REF!</definedName>
    <definedName name="_Ser200506">#REF!</definedName>
    <definedName name="_Ser200705" localSheetId="7">#REF!</definedName>
    <definedName name="_Ser200705" localSheetId="9">#REF!</definedName>
    <definedName name="_Ser200705" localSheetId="10">#REF!</definedName>
    <definedName name="_Ser200705" localSheetId="6">#REF!</definedName>
    <definedName name="_Ser200705">#REF!</definedName>
    <definedName name="_Ser200712">#REF!</definedName>
    <definedName name="_Ser201104">#REF!</definedName>
    <definedName name="_Set1">#REF!</definedName>
    <definedName name="_sjp4">#REF!</definedName>
    <definedName name="_Sort" hidden="1">#REF!</definedName>
    <definedName name="_tab1">#REF!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R2">#REF!</definedName>
    <definedName name="_TR5">#REF!</definedName>
    <definedName name="_TT1">#REF!</definedName>
    <definedName name="_TT2">#REF!</definedName>
    <definedName name="_TT4">#REF!</definedName>
    <definedName name="_VBF1">#REF!</definedName>
    <definedName name="_VE1">#REF!</definedName>
    <definedName name="_VO1">#REF!</definedName>
    <definedName name="_VR1">#REF!</definedName>
    <definedName name="_VV9">#REF!</definedName>
    <definedName name="A">#REF!</definedName>
    <definedName name="A__1">#REF!</definedName>
    <definedName name="A__1_1">#REF!</definedName>
    <definedName name="A__2">#REF!</definedName>
    <definedName name="A__2_1">#REF!</definedName>
    <definedName name="A__3">#REF!</definedName>
    <definedName name="A__3_1">#REF!</definedName>
    <definedName name="A__4">#REF!</definedName>
    <definedName name="A__4_1">#REF!</definedName>
    <definedName name="A__5">#REF!</definedName>
    <definedName name="A__5_1">#REF!</definedName>
    <definedName name="A__6">#REF!</definedName>
    <definedName name="A__6_1">#REF!</definedName>
    <definedName name="A__INICIO">#REF!</definedName>
    <definedName name="A_1">#REF!</definedName>
    <definedName name="A_1_1">#REF!</definedName>
    <definedName name="A_2">#REF!</definedName>
    <definedName name="A_2_1">#REF!</definedName>
    <definedName name="A_3">#REF!</definedName>
    <definedName name="A_3_1">#REF!</definedName>
    <definedName name="A_km">#REF!</definedName>
    <definedName name="A010160100">#REF!</definedName>
    <definedName name="A010505000">#REF!</definedName>
    <definedName name="A020200010">#REF!</definedName>
    <definedName name="A020200080">#REF!</definedName>
    <definedName name="A03.020.0851">#REF!</definedName>
    <definedName name="A030130010">#REF!</definedName>
    <definedName name="A030130011">#REF!</definedName>
    <definedName name="A030160501">#REF!</definedName>
    <definedName name="A030250100">#REF!</definedName>
    <definedName name="A040050130">#REF!</definedName>
    <definedName name="A040110511">#REF!</definedName>
    <definedName name="A050150050">#REF!</definedName>
    <definedName name="A050200140">#REF!</definedName>
    <definedName name="A050210050">#REF!</definedName>
    <definedName name="A050210100">#REF!</definedName>
    <definedName name="A050210750">#REF!</definedName>
    <definedName name="a06.004.0320">#REF!</definedName>
    <definedName name="A060030500">#REF!</definedName>
    <definedName name="A060040300">#REF!</definedName>
    <definedName name="A060140120">#REF!</definedName>
    <definedName name="A060160120">#REF!</definedName>
    <definedName name="A060160410">#REF!</definedName>
    <definedName name="A080010030">#REF!</definedName>
    <definedName name="A080150100">#REF!</definedName>
    <definedName name="A080270120">#REF!</definedName>
    <definedName name="A150010310">#REF!</definedName>
    <definedName name="A1OO" localSheetId="4">#REF!</definedName>
    <definedName name="A1OO">#REF!</definedName>
    <definedName name="A200040031">#REF!</definedName>
    <definedName name="A200090011">#REF!</definedName>
    <definedName name="A200280200">#REF!</definedName>
    <definedName name="AA" localSheetId="4">#REF!</definedName>
    <definedName name="AA">#REF!</definedName>
    <definedName name="AA1OO" localSheetId="4">#REF!</definedName>
    <definedName name="AA1OO">#REF!</definedName>
    <definedName name="aaa">#REF!</definedName>
    <definedName name="AAAA">#REF!</definedName>
    <definedName name="aaaaa"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aaaa"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aaaa"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aaaa"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aaaa"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aaaa"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aaaa"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aaaa"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aaaaa" localSheetId="4">#REF!</definedName>
    <definedName name="aaaaaa">#REF!</definedName>
    <definedName name="aaaaaa2" localSheetId="25">#REF!,#REF!</definedName>
    <definedName name="aaaaaa2" localSheetId="26">#REF!,#REF!</definedName>
    <definedName name="aaaaaa2">#REF!,#REF!</definedName>
    <definedName name="AAAAAAA" localSheetId="7">#REF!</definedName>
    <definedName name="AAAAAAA" localSheetId="9">#REF!</definedName>
    <definedName name="AAAAAAA" localSheetId="10">#REF!</definedName>
    <definedName name="AAAAAAA" localSheetId="6">#REF!</definedName>
    <definedName name="AAAAAAA">#REF!</definedName>
    <definedName name="AAAAAAAA">#REF!,#REF!</definedName>
    <definedName name="aaaaaaaaaaa">#REF!,#REF!</definedName>
    <definedName name="aaaaaaaaaaaa" localSheetId="7">#REF!</definedName>
    <definedName name="aaaaaaaaaaaa" localSheetId="9">#REF!</definedName>
    <definedName name="aaaaaaaaaaaa" localSheetId="10">#REF!</definedName>
    <definedName name="aaaaaaaaaaaa" localSheetId="6">#REF!</definedName>
    <definedName name="aaaaaaaaaaaa">#REF!</definedName>
    <definedName name="aaaaaaaaaaaaaaaaaaaaa">#REF!</definedName>
    <definedName name="AB" localSheetId="4">#REF!</definedName>
    <definedName name="AB">#REF!</definedName>
    <definedName name="ABC" localSheetId="4" hidden="1">{#N/A,#N/A,FALSE,"ET-CAPA";#N/A,#N/A,FALSE,"ET-PAG1";#N/A,#N/A,FALSE,"ET-PAG2";#N/A,#N/A,FALSE,"ET-PAG3";#N/A,#N/A,FALSE,"ET-PAG4";#N/A,#N/A,FALSE,"ET-PAG5"}</definedName>
    <definedName name="ABC" localSheetId="7" hidden="1">{#N/A,#N/A,FALSE,"ET-CAPA";#N/A,#N/A,FALSE,"ET-PAG1";#N/A,#N/A,FALSE,"ET-PAG2";#N/A,#N/A,FALSE,"ET-PAG3";#N/A,#N/A,FALSE,"ET-PAG4";#N/A,#N/A,FALSE,"ET-PAG5"}</definedName>
    <definedName name="ABC" localSheetId="9" hidden="1">{#N/A,#N/A,FALSE,"ET-CAPA";#N/A,#N/A,FALSE,"ET-PAG1";#N/A,#N/A,FALSE,"ET-PAG2";#N/A,#N/A,FALSE,"ET-PAG3";#N/A,#N/A,FALSE,"ET-PAG4";#N/A,#N/A,FALSE,"ET-PAG5"}</definedName>
    <definedName name="ABC" localSheetId="10" hidden="1">{#N/A,#N/A,FALSE,"ET-CAPA";#N/A,#N/A,FALSE,"ET-PAG1";#N/A,#N/A,FALSE,"ET-PAG2";#N/A,#N/A,FALSE,"ET-PAG3";#N/A,#N/A,FALSE,"ET-PAG4";#N/A,#N/A,FALSE,"ET-PAG5"}</definedName>
    <definedName name="ABC" localSheetId="6" hidden="1">{#N/A,#N/A,FALSE,"ET-CAPA";#N/A,#N/A,FALSE,"ET-PAG1";#N/A,#N/A,FALSE,"ET-PAG2";#N/A,#N/A,FALSE,"ET-PAG3";#N/A,#N/A,FALSE,"ET-PAG4";#N/A,#N/A,FALSE,"ET-PAG5"}</definedName>
    <definedName name="ABC" localSheetId="25" hidden="1">{#N/A,#N/A,FALSE,"ET-CAPA";#N/A,#N/A,FALSE,"ET-PAG1";#N/A,#N/A,FALSE,"ET-PAG2";#N/A,#N/A,FALSE,"ET-PAG3";#N/A,#N/A,FALSE,"ET-PAG4";#N/A,#N/A,FALSE,"ET-PAG5"}</definedName>
    <definedName name="ABC" localSheetId="26" hidden="1">{#N/A,#N/A,FALSE,"ET-CAPA";#N/A,#N/A,FALSE,"ET-PAG1";#N/A,#N/A,FALSE,"ET-PAG2";#N/A,#N/A,FALSE,"ET-PAG3";#N/A,#N/A,FALSE,"ET-PAG4";#N/A,#N/A,FALSE,"ET-PAG5"}</definedName>
    <definedName name="ABC" hidden="1">{#N/A,#N/A,FALSE,"ET-CAPA";#N/A,#N/A,FALSE,"ET-PAG1";#N/A,#N/A,FALSE,"ET-PAG2";#N/A,#N/A,FALSE,"ET-PAG3";#N/A,#N/A,FALSE,"ET-PAG4";#N/A,#N/A,FALSE,"ET-PAG5"}</definedName>
    <definedName name="Abrigo_moto_gerador_consulta" localSheetId="4">#REF!</definedName>
    <definedName name="Abrigo_moto_gerador_consulta">#REF!</definedName>
    <definedName name="acabamento">#REF!</definedName>
    <definedName name="Acabamento_Solesa" localSheetId="4">#REF!</definedName>
    <definedName name="Acabamento_Solesa">#REF!</definedName>
    <definedName name="Acabamento_Solesa_1" localSheetId="4">#REF!</definedName>
    <definedName name="Acabamento_Solesa_1">#REF!</definedName>
    <definedName name="Acabamento_Solesa_2">#REF!</definedName>
    <definedName name="Acabamento_Solesa_3">#REF!</definedName>
    <definedName name="AccessDatabase" hidden="1">"D:\Arquivos do excel\Planilha modelo1.mdb"</definedName>
    <definedName name="Acesso_Estacao_01">#REF!</definedName>
    <definedName name="Aco">#REF!</definedName>
    <definedName name="AÇO_TRILHO">#REF!</definedName>
    <definedName name="ademir" localSheetId="9" hidden="1">{#N/A,#N/A,FALSE,"Cronograma";#N/A,#N/A,FALSE,"Cronogr. 2"}</definedName>
    <definedName name="ademir" localSheetId="25" hidden="1">{#N/A,#N/A,FALSE,"Cronograma";#N/A,#N/A,FALSE,"Cronogr. 2"}</definedName>
    <definedName name="ademir" localSheetId="26" hidden="1">{#N/A,#N/A,FALSE,"Cronograma";#N/A,#N/A,FALSE,"Cronogr. 2"}</definedName>
    <definedName name="ademir" hidden="1">{#N/A,#N/A,FALSE,"Cronograma";#N/A,#N/A,FALSE,"Cronogr. 2"}</definedName>
    <definedName name="adfv">#REF!</definedName>
    <definedName name="adicional_eixo">#REF!</definedName>
    <definedName name="Administração">#REF!</definedName>
    <definedName name="af">#REF!</definedName>
    <definedName name="afag">#REF!</definedName>
    <definedName name="ag">#REF!</definedName>
    <definedName name="AJUDA">#REF!</definedName>
    <definedName name="Ajustes"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justes"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justes"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justes"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justes"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justes"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justes"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justes"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alcada" localSheetId="4">#REF!</definedName>
    <definedName name="alcada" localSheetId="6">#REF!</definedName>
    <definedName name="alcada">#REF!</definedName>
    <definedName name="ALMOCO">#N/A</definedName>
    <definedName name="ALMOCOMES">#N/A</definedName>
    <definedName name="ALTABSAL">#N/A</definedName>
    <definedName name="ALTERSAL">#N/A</definedName>
    <definedName name="alturadocorte" localSheetId="7">#REF!</definedName>
    <definedName name="alturadocorte" localSheetId="9">#REF!</definedName>
    <definedName name="alturadocorte" localSheetId="10">#REF!</definedName>
    <definedName name="alturadocorte" localSheetId="6">#REF!</definedName>
    <definedName name="alturadocorte">#REF!</definedName>
    <definedName name="Analista" localSheetId="4">#REF!</definedName>
    <definedName name="Analista">#REF!</definedName>
    <definedName name="ANEXO_10_MATRIZ_DE_RESPONSABILIDADE">#REF!</definedName>
    <definedName name="ANILHAS1">#REF!</definedName>
    <definedName name="Ano">#REF!</definedName>
    <definedName name="APAGTAB">#N/A</definedName>
    <definedName name="APAr" localSheetId="4">#REF!</definedName>
    <definedName name="APAr" localSheetId="6">#REF!</definedName>
    <definedName name="APAr">#REF!</definedName>
    <definedName name="APARENTE">#REF!</definedName>
    <definedName name="AREA" localSheetId="4">#REF!</definedName>
    <definedName name="AREA">#REF!</definedName>
    <definedName name="ÀREA">#REF!</definedName>
    <definedName name="ÀREA_ACUM">#REF!</definedName>
    <definedName name="_xlnm.Extract" localSheetId="4">#REF!</definedName>
    <definedName name="_xlnm.Extract">#REF!</definedName>
    <definedName name="_xlnm.Print_Area" localSheetId="2">ANALÍTICA!$A$1:$J$108</definedName>
    <definedName name="_xlnm.Print_Area" localSheetId="4">'BDI EQUIPAMENTOS'!$B$1:$L$51</definedName>
    <definedName name="_xlnm.Print_Area" localSheetId="5">'BDI SERVIÇOS'!$A$1:$AA$33</definedName>
    <definedName name="_xlnm.Print_Area" localSheetId="7">Cronograma!$A$1:$R$65</definedName>
    <definedName name="_xlnm.Print_Area" localSheetId="8">'Curva ABC'!$A$1:$L$290</definedName>
    <definedName name="_xlnm.Print_Area" localSheetId="9">'Curva S'!$G$1:$X$48</definedName>
    <definedName name="_xlnm.Print_Area" localSheetId="10">'Curva S Ref.'!$G$1:$X$36</definedName>
    <definedName name="_xlnm.Print_Area" localSheetId="6">'Encargos Sociais'!$A$1:$I$55</definedName>
    <definedName name="_xlnm.Print_Area" localSheetId="24">'MC ARRIMO'!$A$1:$E$497</definedName>
    <definedName name="_xlnm.Print_Area" localSheetId="21">'MC DEMOLIÇÕES E REMOÇÕES'!$A$1:$E$512</definedName>
    <definedName name="_xlnm.Print_Area" localSheetId="12">'MC DRENAGEM'!$A$1:$E$133</definedName>
    <definedName name="_xlnm.Print_Area" localSheetId="25">'MC ELÉTRICO'!$A$1:$E$231</definedName>
    <definedName name="_xlnm.Print_Area" localSheetId="22">'MC ESCADAS'!$A$1:$E$654</definedName>
    <definedName name="_xlnm.Print_Area" localSheetId="13">'MC ESQUADRIAS'!$A$1:$G$136</definedName>
    <definedName name="_xlnm.Print_Area" localSheetId="26">'MC HIDRO'!$A$1:$E$412</definedName>
    <definedName name="_xlnm.Print_Area" localSheetId="23">'MC REFORÇO FUNDAÇÃO'!$A$1:$E$357</definedName>
    <definedName name="_xlnm.Print_Area" localSheetId="0">RESUMO!$A$1:$I$44</definedName>
    <definedName name="_xlnm.Print_Area" localSheetId="1">SINTÉTICA!$A$1:$L$381</definedName>
    <definedName name="_xlnm.Print_Area">#REF!</definedName>
    <definedName name="Area_Executante" localSheetId="4">#REF!</definedName>
    <definedName name="Area_Executante">#REF!</definedName>
    <definedName name="Área_impressão_IM">#N/A</definedName>
    <definedName name="Area_Solicitante" localSheetId="4">#REF!</definedName>
    <definedName name="Area_Solicitante" localSheetId="6">#REF!</definedName>
    <definedName name="Area_Solicitante">#REF!</definedName>
    <definedName name="AreaCanteiro" localSheetId="4">#REF!</definedName>
    <definedName name="AreaCanteiro">#REF!</definedName>
    <definedName name="AreaEightThreeZero" localSheetId="4">#REF!</definedName>
    <definedName name="AreaEightThreeZero">#REF!</definedName>
    <definedName name="AreaFiveOneZero" localSheetId="4">#REF!</definedName>
    <definedName name="AreaFiveOneZero">#REF!</definedName>
    <definedName name="AreaFiveSevenZero" localSheetId="4">#REF!</definedName>
    <definedName name="AreaFiveSevenZero">#REF!</definedName>
    <definedName name="AreaFiveTwoZero" localSheetId="4">#REF!</definedName>
    <definedName name="AreaFiveTwoZero">#REF!</definedName>
    <definedName name="AreaFourFourZero" localSheetId="4">#REF!</definedName>
    <definedName name="AreaFourFourZero">#REF!</definedName>
    <definedName name="AreaFourOneZero" localSheetId="4">#REF!</definedName>
    <definedName name="AreaFourOneZero">#REF!</definedName>
    <definedName name="AreaFourTwoZero" localSheetId="4">#REF!</definedName>
    <definedName name="AreaFourTwoZero">#REF!</definedName>
    <definedName name="AreaNineEightFour" localSheetId="4">#REF!</definedName>
    <definedName name="AreaNineEightFour">#REF!</definedName>
    <definedName name="AreaNineEightTwo" localSheetId="4">#REF!</definedName>
    <definedName name="AreaNineEightTwo">#REF!</definedName>
    <definedName name="AreaNineEightZero" localSheetId="4">#REF!</definedName>
    <definedName name="AreaNineEightZero">#REF!</definedName>
    <definedName name="AreaNineFourZero" localSheetId="4">#REF!</definedName>
    <definedName name="AreaNineFourZero">#REF!</definedName>
    <definedName name="AreaNineNineZero" localSheetId="4">#REF!</definedName>
    <definedName name="AreaNineNineZero">#REF!</definedName>
    <definedName name="AreaNineSixZero" localSheetId="4">#REF!</definedName>
    <definedName name="AreaNineSixZero">#REF!</definedName>
    <definedName name="AreaNineThreeZero" localSheetId="4">#REF!</definedName>
    <definedName name="AreaNineThreeZero">#REF!</definedName>
    <definedName name="AreaNineTwoZero" localSheetId="4">#REF!</definedName>
    <definedName name="AreaNineTwoZero">#REF!</definedName>
    <definedName name="AreaOneOneZero" localSheetId="4">#REF!</definedName>
    <definedName name="AreaOneOneZero">#REF!</definedName>
    <definedName name="AreaOneThreeZero" localSheetId="4">#REF!</definedName>
    <definedName name="AreaOneThreeZero">#REF!</definedName>
    <definedName name="AreaOneTwoZero" localSheetId="4">#REF!</definedName>
    <definedName name="AreaOneTwoZero">#REF!</definedName>
    <definedName name="AreaSevenFiveZero" localSheetId="4">#REF!</definedName>
    <definedName name="AreaSevenFiveZero">#REF!</definedName>
    <definedName name="AreaSevenFourZero" localSheetId="4">#REF!</definedName>
    <definedName name="AreaSevenFourZero">#REF!</definedName>
    <definedName name="AreaThreeFiveFive" localSheetId="4">#REF!</definedName>
    <definedName name="AreaThreeFiveFive">#REF!</definedName>
    <definedName name="AreaThreeFiveFour" localSheetId="4">#REF!</definedName>
    <definedName name="AreaThreeFiveFour">#REF!</definedName>
    <definedName name="AreaThreeFiveOne" localSheetId="4">#REF!</definedName>
    <definedName name="AreaThreeFiveOne">#REF!</definedName>
    <definedName name="AreaThreeFiveSeven" localSheetId="4">#REF!</definedName>
    <definedName name="AreaThreeFiveSeven">#REF!</definedName>
    <definedName name="AreaThreeFiveSix" localSheetId="4">#REF!</definedName>
    <definedName name="AreaThreeFiveSix">#REF!</definedName>
    <definedName name="AreaThreeFiveThree" localSheetId="4">#REF!</definedName>
    <definedName name="AreaThreeFiveThree">#REF!</definedName>
    <definedName name="AreaThreeFiveTwo" localSheetId="4">#REF!</definedName>
    <definedName name="AreaThreeFiveTwo">#REF!</definedName>
    <definedName name="AreaThreeNineZero" localSheetId="4">#REF!</definedName>
    <definedName name="AreaThreeNineZero">#REF!</definedName>
    <definedName name="AreaThreeSevenFive" localSheetId="4">#REF!</definedName>
    <definedName name="AreaThreeSevenFive">#REF!</definedName>
    <definedName name="AreaThreeSevenFour" localSheetId="4">#REF!</definedName>
    <definedName name="AreaThreeSevenFour">#REF!</definedName>
    <definedName name="AreaThreeSevenOne" localSheetId="4">#REF!</definedName>
    <definedName name="AreaThreeSevenOne">#REF!</definedName>
    <definedName name="AreaThreeSevenThree" localSheetId="4">#REF!</definedName>
    <definedName name="AreaThreeSevenThree">#REF!</definedName>
    <definedName name="AreaThreeThreeFive" localSheetId="4">#REF!</definedName>
    <definedName name="AreaThreeThreeFive">#REF!</definedName>
    <definedName name="AreaThreeThreeFour" localSheetId="4">#REF!</definedName>
    <definedName name="AreaThreeThreeFour">#REF!</definedName>
    <definedName name="AreaThreeThreeOne" localSheetId="4">#REF!</definedName>
    <definedName name="AreaThreeThreeOne">#REF!</definedName>
    <definedName name="AreaThreeThreeSix" localSheetId="4">#REF!</definedName>
    <definedName name="AreaThreeThreeSix">#REF!</definedName>
    <definedName name="AreaThreeThreeThree" localSheetId="4">#REF!</definedName>
    <definedName name="AreaThreeThreeThree">#REF!</definedName>
    <definedName name="AreaThreeThreeTwo" localSheetId="4">#REF!</definedName>
    <definedName name="AreaThreeThreeTwo">#REF!</definedName>
    <definedName name="AreaThreeTwoOne" localSheetId="4">#REF!</definedName>
    <definedName name="AreaThreeTwoOne">#REF!</definedName>
    <definedName name="AreaThreeTwoTwo" localSheetId="4">#REF!</definedName>
    <definedName name="AreaThreeTwoTwo">#REF!</definedName>
    <definedName name="AreaTwoEightZero" localSheetId="4">#REF!</definedName>
    <definedName name="AreaTwoEightZero">#REF!</definedName>
    <definedName name="AreaTwoFiveZero" localSheetId="4">#REF!</definedName>
    <definedName name="AreaTwoFiveZero">#REF!</definedName>
    <definedName name="AreaTwoFourZero" localSheetId="4">#REF!</definedName>
    <definedName name="AreaTwoFourZero">#REF!</definedName>
    <definedName name="AreaTwoOneZero" localSheetId="4">#REF!</definedName>
    <definedName name="AreaTwoOneZero">#REF!</definedName>
    <definedName name="AreaTwoThreeZero" localSheetId="4">#REF!</definedName>
    <definedName name="AreaTwoThreeZero">#REF!</definedName>
    <definedName name="AreaTwoTwoZero" localSheetId="4">#REF!</definedName>
    <definedName name="AreaTwoTwoZero">#REF!</definedName>
    <definedName name="arquivo">#REF!</definedName>
    <definedName name="arquivo_1">#REF!</definedName>
    <definedName name="arquivo_2">#REF!</definedName>
    <definedName name="arquivo_3">#REF!</definedName>
    <definedName name="as" localSheetId="4">#REF!</definedName>
    <definedName name="as">#REF!</definedName>
    <definedName name="asd">#REF!</definedName>
    <definedName name="ASFALTO">#REF!</definedName>
    <definedName name="ASFALTO_1">#REF!</definedName>
    <definedName name="ASSINATURA">#REF!</definedName>
    <definedName name="aterro">#REF!</definedName>
    <definedName name="ATF">#REF!</definedName>
    <definedName name="ATRA">#REF!</definedName>
    <definedName name="Atual" localSheetId="4" hidden="1">{#N/A,#N/A,FALSE,"GERAL";#N/A,#N/A,FALSE,"012-96";#N/A,#N/A,FALSE,"018-96";#N/A,#N/A,FALSE,"027-96";#N/A,#N/A,FALSE,"059-96";#N/A,#N/A,FALSE,"076-96";#N/A,#N/A,FALSE,"019-97";#N/A,#N/A,FALSE,"021-97";#N/A,#N/A,FALSE,"022-97";#N/A,#N/A,FALSE,"028-97"}</definedName>
    <definedName name="Atual" localSheetId="7" hidden="1">{#N/A,#N/A,FALSE,"GERAL";#N/A,#N/A,FALSE,"012-96";#N/A,#N/A,FALSE,"018-96";#N/A,#N/A,FALSE,"027-96";#N/A,#N/A,FALSE,"059-96";#N/A,#N/A,FALSE,"076-96";#N/A,#N/A,FALSE,"019-97";#N/A,#N/A,FALSE,"021-97";#N/A,#N/A,FALSE,"022-97";#N/A,#N/A,FALSE,"028-97"}</definedName>
    <definedName name="Atual" localSheetId="9" hidden="1">{#N/A,#N/A,FALSE,"GERAL";#N/A,#N/A,FALSE,"012-96";#N/A,#N/A,FALSE,"018-96";#N/A,#N/A,FALSE,"027-96";#N/A,#N/A,FALSE,"059-96";#N/A,#N/A,FALSE,"076-96";#N/A,#N/A,FALSE,"019-97";#N/A,#N/A,FALSE,"021-97";#N/A,#N/A,FALSE,"022-97";#N/A,#N/A,FALSE,"028-97"}</definedName>
    <definedName name="Atual" localSheetId="10" hidden="1">{#N/A,#N/A,FALSE,"GERAL";#N/A,#N/A,FALSE,"012-96";#N/A,#N/A,FALSE,"018-96";#N/A,#N/A,FALSE,"027-96";#N/A,#N/A,FALSE,"059-96";#N/A,#N/A,FALSE,"076-96";#N/A,#N/A,FALSE,"019-97";#N/A,#N/A,FALSE,"021-97";#N/A,#N/A,FALSE,"022-97";#N/A,#N/A,FALSE,"028-97"}</definedName>
    <definedName name="Atual" localSheetId="6" hidden="1">{#N/A,#N/A,FALSE,"GERAL";#N/A,#N/A,FALSE,"012-96";#N/A,#N/A,FALSE,"018-96";#N/A,#N/A,FALSE,"027-96";#N/A,#N/A,FALSE,"059-96";#N/A,#N/A,FALSE,"076-96";#N/A,#N/A,FALSE,"019-97";#N/A,#N/A,FALSE,"021-97";#N/A,#N/A,FALSE,"022-97";#N/A,#N/A,FALSE,"028-97"}</definedName>
    <definedName name="Atual" localSheetId="25" hidden="1">{#N/A,#N/A,FALSE,"GERAL";#N/A,#N/A,FALSE,"012-96";#N/A,#N/A,FALSE,"018-96";#N/A,#N/A,FALSE,"027-96";#N/A,#N/A,FALSE,"059-96";#N/A,#N/A,FALSE,"076-96";#N/A,#N/A,FALSE,"019-97";#N/A,#N/A,FALSE,"021-97";#N/A,#N/A,FALSE,"022-97";#N/A,#N/A,FALSE,"028-97"}</definedName>
    <definedName name="Atual" localSheetId="26" hidden="1">{#N/A,#N/A,FALSE,"GERAL";#N/A,#N/A,FALSE,"012-96";#N/A,#N/A,FALSE,"018-96";#N/A,#N/A,FALSE,"027-96";#N/A,#N/A,FALSE,"059-96";#N/A,#N/A,FALSE,"076-96";#N/A,#N/A,FALSE,"019-97";#N/A,#N/A,FALSE,"021-97";#N/A,#N/A,FALSE,"022-97";#N/A,#N/A,FALSE,"028-97"}</definedName>
    <definedName name="Atual" hidden="1">{#N/A,#N/A,FALSE,"GERAL";#N/A,#N/A,FALSE,"012-96";#N/A,#N/A,FALSE,"018-96";#N/A,#N/A,FALSE,"027-96";#N/A,#N/A,FALSE,"059-96";#N/A,#N/A,FALSE,"076-96";#N/A,#N/A,FALSE,"019-97";#N/A,#N/A,FALSE,"021-97";#N/A,#N/A,FALSE,"022-97";#N/A,#N/A,FALSE,"028-97"}</definedName>
    <definedName name="ATUALIZAR7" localSheetId="4">#REF!</definedName>
    <definedName name="ATUALIZAR7">#REF!</definedName>
    <definedName name="auxiliar" localSheetId="4">#REF!</definedName>
    <definedName name="auxiliar">#REF!</definedName>
    <definedName name="Auxiliar_Pintura___0" localSheetId="4">#REF!</definedName>
    <definedName name="Auxiliar_Pintura___0">#REF!</definedName>
    <definedName name="B">#REF!</definedName>
    <definedName name="BA">#REF!</definedName>
    <definedName name="BALTO">#REF!</definedName>
    <definedName name="BANCO_1_INSUMO">#REF!</definedName>
    <definedName name="BANCO_1_SERVICO" localSheetId="5">#REF!</definedName>
    <definedName name="BANCO_1_SERVICO" localSheetId="7">#REF!</definedName>
    <definedName name="BANCO_1_SERVICO" localSheetId="10">#REF!</definedName>
    <definedName name="BANCO_1_SERVICO" localSheetId="6">#REF!</definedName>
    <definedName name="BANCO_1_SERVICO">#REF!</definedName>
    <definedName name="BANCO_10_SERVICO" localSheetId="5">#REF!</definedName>
    <definedName name="BANCO_10_SERVICO" localSheetId="7">#REF!</definedName>
    <definedName name="BANCO_10_SERVICO" localSheetId="10">#REF!</definedName>
    <definedName name="BANCO_10_SERVICO" localSheetId="6">#REF!</definedName>
    <definedName name="BANCO_10_SERVICO">#REF!</definedName>
    <definedName name="BANCO_2_INSUMO">#REF!</definedName>
    <definedName name="BANCO_2_SERVICO" localSheetId="5">#REF!</definedName>
    <definedName name="BANCO_2_SERVICO" localSheetId="7">#REF!</definedName>
    <definedName name="BANCO_2_SERVICO" localSheetId="10">#REF!</definedName>
    <definedName name="BANCO_2_SERVICO" localSheetId="6">#REF!</definedName>
    <definedName name="BANCO_2_SERVICO">#REF!</definedName>
    <definedName name="BANCO_3_INSUMO">#REF!</definedName>
    <definedName name="BANCO_3_SERVICO" localSheetId="5">#REF!</definedName>
    <definedName name="BANCO_3_SERVICO" localSheetId="7">#REF!</definedName>
    <definedName name="BANCO_3_SERVICO" localSheetId="10">#REF!</definedName>
    <definedName name="BANCO_3_SERVICO" localSheetId="6">#REF!</definedName>
    <definedName name="BANCO_3_SERVICO">#REF!</definedName>
    <definedName name="BANCO_4_INSUMO">#REF!</definedName>
    <definedName name="BANCO_4_SERVICO" localSheetId="5">#REF!</definedName>
    <definedName name="BANCO_4_SERVICO" localSheetId="7">#REF!</definedName>
    <definedName name="BANCO_4_SERVICO" localSheetId="10">#REF!</definedName>
    <definedName name="BANCO_4_SERVICO" localSheetId="6">#REF!</definedName>
    <definedName name="BANCO_4_SERVICO">#REF!</definedName>
    <definedName name="BANCO_5_SERVICO" localSheetId="5">#REF!</definedName>
    <definedName name="BANCO_5_SERVICO" localSheetId="7">#REF!</definedName>
    <definedName name="BANCO_5_SERVICO" localSheetId="10">#REF!</definedName>
    <definedName name="BANCO_5_SERVICO" localSheetId="6">#REF!</definedName>
    <definedName name="BANCO_5_SERVICO">#REF!</definedName>
    <definedName name="BANCO_6_SERVICO" localSheetId="5">#REF!</definedName>
    <definedName name="BANCO_6_SERVICO" localSheetId="7">#REF!</definedName>
    <definedName name="BANCO_6_SERVICO" localSheetId="10">#REF!</definedName>
    <definedName name="BANCO_6_SERVICO" localSheetId="6">#REF!</definedName>
    <definedName name="BANCO_6_SERVICO">#REF!</definedName>
    <definedName name="BANCO_7_SERVICO" localSheetId="5">#REF!</definedName>
    <definedName name="BANCO_7_SERVICO" localSheetId="7">#REF!</definedName>
    <definedName name="BANCO_7_SERVICO" localSheetId="10">#REF!</definedName>
    <definedName name="BANCO_7_SERVICO" localSheetId="6">#REF!</definedName>
    <definedName name="BANCO_7_SERVICO">#REF!</definedName>
    <definedName name="BANCO_8_SERVICO" localSheetId="5">#REF!</definedName>
    <definedName name="BANCO_8_SERVICO" localSheetId="7">#REF!</definedName>
    <definedName name="BANCO_8_SERVICO" localSheetId="10">#REF!</definedName>
    <definedName name="BANCO_8_SERVICO" localSheetId="6">#REF!</definedName>
    <definedName name="BANCO_8_SERVICO">#REF!</definedName>
    <definedName name="BANCO_9_SERVICO" localSheetId="5">#REF!</definedName>
    <definedName name="BANCO_9_SERVICO" localSheetId="7">#REF!</definedName>
    <definedName name="BANCO_9_SERVICO" localSheetId="10">#REF!</definedName>
    <definedName name="BANCO_9_SERVICO" localSheetId="6">#REF!</definedName>
    <definedName name="BANCO_9_SERVICO">#REF!</definedName>
    <definedName name="Banco_dados_IM" localSheetId="4">#REF!</definedName>
    <definedName name="Banco_dados_IM">#REF!</definedName>
    <definedName name="_xlnm.Database">#REF!</definedName>
    <definedName name="BARRACHEIA">#N/A</definedName>
    <definedName name="BARRAS">#N/A</definedName>
    <definedName name="BARRAUM">#N/A</definedName>
    <definedName name="BASICO" localSheetId="7">#REF!</definedName>
    <definedName name="BASICO" localSheetId="9">#REF!</definedName>
    <definedName name="BASICO" localSheetId="10">#REF!</definedName>
    <definedName name="BASICO" localSheetId="6">#REF!</definedName>
    <definedName name="BASICO">#REF!</definedName>
    <definedName name="BB">#REF!</definedName>
    <definedName name="bbb" localSheetId="4">#REF!</definedName>
    <definedName name="bbb">#REF!</definedName>
    <definedName name="BBBB" localSheetId="25">#REF!,#REF!</definedName>
    <definedName name="BBBB" localSheetId="26">#REF!,#REF!</definedName>
    <definedName name="BBBB">#REF!,#REF!</definedName>
    <definedName name="bbbbvvvvvvv">#REF!</definedName>
    <definedName name="bca" localSheetId="4" hidden="1">{#N/A,#N/A,FALSE,"ET-CAPA";#N/A,#N/A,FALSE,"ET-PAG1";#N/A,#N/A,FALSE,"ET-PAG2";#N/A,#N/A,FALSE,"ET-PAG3";#N/A,#N/A,FALSE,"ET-PAG4";#N/A,#N/A,FALSE,"ET-PAG5"}</definedName>
    <definedName name="bca" localSheetId="7" hidden="1">{#N/A,#N/A,FALSE,"ET-CAPA";#N/A,#N/A,FALSE,"ET-PAG1";#N/A,#N/A,FALSE,"ET-PAG2";#N/A,#N/A,FALSE,"ET-PAG3";#N/A,#N/A,FALSE,"ET-PAG4";#N/A,#N/A,FALSE,"ET-PAG5"}</definedName>
    <definedName name="bca" localSheetId="9" hidden="1">{#N/A,#N/A,FALSE,"ET-CAPA";#N/A,#N/A,FALSE,"ET-PAG1";#N/A,#N/A,FALSE,"ET-PAG2";#N/A,#N/A,FALSE,"ET-PAG3";#N/A,#N/A,FALSE,"ET-PAG4";#N/A,#N/A,FALSE,"ET-PAG5"}</definedName>
    <definedName name="bca" localSheetId="10" hidden="1">{#N/A,#N/A,FALSE,"ET-CAPA";#N/A,#N/A,FALSE,"ET-PAG1";#N/A,#N/A,FALSE,"ET-PAG2";#N/A,#N/A,FALSE,"ET-PAG3";#N/A,#N/A,FALSE,"ET-PAG4";#N/A,#N/A,FALSE,"ET-PAG5"}</definedName>
    <definedName name="bca" localSheetId="6" hidden="1">{#N/A,#N/A,FALSE,"ET-CAPA";#N/A,#N/A,FALSE,"ET-PAG1";#N/A,#N/A,FALSE,"ET-PAG2";#N/A,#N/A,FALSE,"ET-PAG3";#N/A,#N/A,FALSE,"ET-PAG4";#N/A,#N/A,FALSE,"ET-PAG5"}</definedName>
    <definedName name="bca" localSheetId="25" hidden="1">{#N/A,#N/A,FALSE,"ET-CAPA";#N/A,#N/A,FALSE,"ET-PAG1";#N/A,#N/A,FALSE,"ET-PAG2";#N/A,#N/A,FALSE,"ET-PAG3";#N/A,#N/A,FALSE,"ET-PAG4";#N/A,#N/A,FALSE,"ET-PAG5"}</definedName>
    <definedName name="bca" localSheetId="26" hidden="1">{#N/A,#N/A,FALSE,"ET-CAPA";#N/A,#N/A,FALSE,"ET-PAG1";#N/A,#N/A,FALSE,"ET-PAG2";#N/A,#N/A,FALSE,"ET-PAG3";#N/A,#N/A,FALSE,"ET-PAG4";#N/A,#N/A,FALSE,"ET-PAG5"}</definedName>
    <definedName name="bca" hidden="1">{#N/A,#N/A,FALSE,"ET-CAPA";#N/A,#N/A,FALSE,"ET-PAG1";#N/A,#N/A,FALSE,"ET-PAG2";#N/A,#N/A,FALSE,"ET-PAG3";#N/A,#N/A,FALSE,"ET-PAG4";#N/A,#N/A,FALSE,"ET-PAG5"}</definedName>
    <definedName name="BD">#REF!</definedName>
    <definedName name="BDI" localSheetId="4">#REF!</definedName>
    <definedName name="BDI">#REF!</definedName>
    <definedName name="bdi_1" localSheetId="4">#REF!</definedName>
    <definedName name="bdi_1">#REF!</definedName>
    <definedName name="bdi_2">#REF!</definedName>
    <definedName name="bdi_3">#REF!</definedName>
    <definedName name="BDIFIXO">#REF!</definedName>
    <definedName name="BenCust">#REF!</definedName>
    <definedName name="Beneficio_Custo" localSheetId="4">#REF!</definedName>
    <definedName name="Beneficio_Custo">#REF!</definedName>
    <definedName name="bento">#REF!</definedName>
    <definedName name="BF">#REF!</definedName>
    <definedName name="BF_1">#REF!</definedName>
    <definedName name="BLOCRET">#REF!</definedName>
    <definedName name="BLOCRET_1">#REF!</definedName>
    <definedName name="BLPH10" hidden="1">#REF!</definedName>
    <definedName name="BLPH23" hidden="1">#REF!</definedName>
    <definedName name="BLPH24" hidden="1">#REF!</definedName>
    <definedName name="BLPH25" hidden="1">#REF!</definedName>
    <definedName name="bosta" localSheetId="9" hidden="1">{#N/A,#N/A,FALSE,"Cronograma";#N/A,#N/A,FALSE,"Cronogr. 2"}</definedName>
    <definedName name="bosta" localSheetId="25" hidden="1">{#N/A,#N/A,FALSE,"Cronograma";#N/A,#N/A,FALSE,"Cronogr. 2"}</definedName>
    <definedName name="bosta" localSheetId="26" hidden="1">{#N/A,#N/A,FALSE,"Cronograma";#N/A,#N/A,FALSE,"Cronogr. 2"}</definedName>
    <definedName name="bosta" hidden="1">{#N/A,#N/A,FALSE,"Cronograma";#N/A,#N/A,FALSE,"Cronogr. 2"}</definedName>
    <definedName name="botafora">#REF!</definedName>
    <definedName name="br">#REF!</definedName>
    <definedName name="BRANCO">#N/A</definedName>
    <definedName name="BRANCO1">#N/A</definedName>
    <definedName name="brita" localSheetId="7">#REF!</definedName>
    <definedName name="brita" localSheetId="9">#REF!</definedName>
    <definedName name="brita" localSheetId="10">#REF!</definedName>
    <definedName name="brita" localSheetId="6">#REF!</definedName>
    <definedName name="brita">#REF!</definedName>
    <definedName name="bstc20" localSheetId="7">#REF!</definedName>
    <definedName name="bstc20" localSheetId="9">#REF!</definedName>
    <definedName name="bstc20" localSheetId="10">#REF!</definedName>
    <definedName name="bstc20" localSheetId="6">#REF!</definedName>
    <definedName name="bstc20">#REF!</definedName>
    <definedName name="bstc40" localSheetId="7">#REF!</definedName>
    <definedName name="bstc40" localSheetId="9">#REF!</definedName>
    <definedName name="bstc40" localSheetId="10">#REF!</definedName>
    <definedName name="bstc40" localSheetId="6">#REF!</definedName>
    <definedName name="bstc40">#REF!</definedName>
    <definedName name="bstc60">#REF!</definedName>
    <definedName name="bstc80">#REF!</definedName>
    <definedName name="BuiltIn_Print_Area" localSheetId="4">#REF!</definedName>
    <definedName name="BuiltIn_Print_Area">#REF!</definedName>
    <definedName name="BuiltIn_Print_Titles">#REF!</definedName>
    <definedName name="BUSCTAB">#N/A</definedName>
    <definedName name="Ç" localSheetId="4" hidden="1">{#N/A,#N/A,FALSE,"GERAL";#N/A,#N/A,FALSE,"012-96";#N/A,#N/A,FALSE,"018-96";#N/A,#N/A,FALSE,"027-96";#N/A,#N/A,FALSE,"059-96";#N/A,#N/A,FALSE,"076-96";#N/A,#N/A,FALSE,"019-97";#N/A,#N/A,FALSE,"021-97";#N/A,#N/A,FALSE,"022-97";#N/A,#N/A,FALSE,"028-97"}</definedName>
    <definedName name="Ç" localSheetId="7" hidden="1">{#N/A,#N/A,FALSE,"GERAL";#N/A,#N/A,FALSE,"012-96";#N/A,#N/A,FALSE,"018-96";#N/A,#N/A,FALSE,"027-96";#N/A,#N/A,FALSE,"059-96";#N/A,#N/A,FALSE,"076-96";#N/A,#N/A,FALSE,"019-97";#N/A,#N/A,FALSE,"021-97";#N/A,#N/A,FALSE,"022-97";#N/A,#N/A,FALSE,"028-97"}</definedName>
    <definedName name="Ç" localSheetId="9" hidden="1">{#N/A,#N/A,FALSE,"GERAL";#N/A,#N/A,FALSE,"012-96";#N/A,#N/A,FALSE,"018-96";#N/A,#N/A,FALSE,"027-96";#N/A,#N/A,FALSE,"059-96";#N/A,#N/A,FALSE,"076-96";#N/A,#N/A,FALSE,"019-97";#N/A,#N/A,FALSE,"021-97";#N/A,#N/A,FALSE,"022-97";#N/A,#N/A,FALSE,"028-97"}</definedName>
    <definedName name="Ç" localSheetId="10" hidden="1">{#N/A,#N/A,FALSE,"GERAL";#N/A,#N/A,FALSE,"012-96";#N/A,#N/A,FALSE,"018-96";#N/A,#N/A,FALSE,"027-96";#N/A,#N/A,FALSE,"059-96";#N/A,#N/A,FALSE,"076-96";#N/A,#N/A,FALSE,"019-97";#N/A,#N/A,FALSE,"021-97";#N/A,#N/A,FALSE,"022-97";#N/A,#N/A,FALSE,"028-97"}</definedName>
    <definedName name="Ç" localSheetId="6" hidden="1">{#N/A,#N/A,FALSE,"GERAL";#N/A,#N/A,FALSE,"012-96";#N/A,#N/A,FALSE,"018-96";#N/A,#N/A,FALSE,"027-96";#N/A,#N/A,FALSE,"059-96";#N/A,#N/A,FALSE,"076-96";#N/A,#N/A,FALSE,"019-97";#N/A,#N/A,FALSE,"021-97";#N/A,#N/A,FALSE,"022-97";#N/A,#N/A,FALSE,"028-97"}</definedName>
    <definedName name="Ç" localSheetId="25" hidden="1">{#N/A,#N/A,FALSE,"GERAL";#N/A,#N/A,FALSE,"012-96";#N/A,#N/A,FALSE,"018-96";#N/A,#N/A,FALSE,"027-96";#N/A,#N/A,FALSE,"059-96";#N/A,#N/A,FALSE,"076-96";#N/A,#N/A,FALSE,"019-97";#N/A,#N/A,FALSE,"021-97";#N/A,#N/A,FALSE,"022-97";#N/A,#N/A,FALSE,"028-97"}</definedName>
    <definedName name="Ç" localSheetId="26" hidden="1">{#N/A,#N/A,FALSE,"GERAL";#N/A,#N/A,FALSE,"012-96";#N/A,#N/A,FALSE,"018-96";#N/A,#N/A,FALSE,"027-96";#N/A,#N/A,FALSE,"059-96";#N/A,#N/A,FALSE,"076-96";#N/A,#N/A,FALSE,"019-97";#N/A,#N/A,FALSE,"021-97";#N/A,#N/A,FALSE,"022-97";#N/A,#N/A,FALSE,"028-97"}</definedName>
    <definedName name="Ç" hidden="1">{#N/A,#N/A,FALSE,"GERAL";#N/A,#N/A,FALSE,"012-96";#N/A,#N/A,FALSE,"018-96";#N/A,#N/A,FALSE,"027-96";#N/A,#N/A,FALSE,"059-96";#N/A,#N/A,FALSE,"076-96";#N/A,#N/A,FALSE,"019-97";#N/A,#N/A,FALSE,"021-97";#N/A,#N/A,FALSE,"022-97";#N/A,#N/A,FALSE,"028-97"}</definedName>
    <definedName name="C_" localSheetId="4">#REF!</definedName>
    <definedName name="C_">#REF!</definedName>
    <definedName name="CA" localSheetId="4">#REF!</definedName>
    <definedName name="CA">#REF!</definedName>
    <definedName name="CA´L" localSheetId="9" hidden="1">{#N/A,#N/A,FALSE,"Cronograma";#N/A,#N/A,FALSE,"Cronogr. 2"}</definedName>
    <definedName name="CA´L" localSheetId="25" hidden="1">{#N/A,#N/A,FALSE,"Cronograma";#N/A,#N/A,FALSE,"Cronogr. 2"}</definedName>
    <definedName name="CA´L" localSheetId="26" hidden="1">{#N/A,#N/A,FALSE,"Cronograma";#N/A,#N/A,FALSE,"Cronogr. 2"}</definedName>
    <definedName name="CA´L" hidden="1">{#N/A,#N/A,FALSE,"Cronograma";#N/A,#N/A,FALSE,"Cronogr. 2"}</definedName>
    <definedName name="CAB" localSheetId="4">#REF!</definedName>
    <definedName name="CAB">#REF!</definedName>
    <definedName name="Cabecalho">"Grupo 1"</definedName>
    <definedName name="CAC">"$#REF!.$#REF!$#REF!"</definedName>
    <definedName name="CAC_1">#REF!</definedName>
    <definedName name="CAC_2" localSheetId="4">#REF!</definedName>
    <definedName name="CAC_2" localSheetId="7">#REF!</definedName>
    <definedName name="CAC_2" localSheetId="9">#REF!</definedName>
    <definedName name="CAC_2" localSheetId="10">#REF!</definedName>
    <definedName name="CAC_2" localSheetId="6">#REF!</definedName>
    <definedName name="CAC_2">#REF!</definedName>
    <definedName name="CAC_3" localSheetId="4">#REF!</definedName>
    <definedName name="CAC_3" localSheetId="7">#REF!</definedName>
    <definedName name="CAC_3" localSheetId="9">#REF!</definedName>
    <definedName name="CAC_3" localSheetId="10">#REF!</definedName>
    <definedName name="CAC_3" localSheetId="6">#REF!</definedName>
    <definedName name="CAC_3">#REF!</definedName>
    <definedName name="caca">#REF!</definedName>
    <definedName name="CadastroDeNaturezas">#REF!</definedName>
    <definedName name="Cadista_SABESP">#REF!</definedName>
    <definedName name="caixadecentro">#REF!</definedName>
    <definedName name="CALBUMMEDIDAACUM2" localSheetId="4">#REF!</definedName>
    <definedName name="CALBUMMEDIDAACUM2">#REF!</definedName>
    <definedName name="CALCEQUIP">#N/A</definedName>
    <definedName name="Cantoneiras" localSheetId="4">#REF!</definedName>
    <definedName name="Cantoneiras" localSheetId="6">#REF!</definedName>
    <definedName name="Cantoneiras">#REF!</definedName>
    <definedName name="capa" localSheetId="4">#REF!</definedName>
    <definedName name="capa">#REF!</definedName>
    <definedName name="CAPA2">#REF!</definedName>
    <definedName name="capina">#REF!</definedName>
    <definedName name="CAR">#REF!</definedName>
    <definedName name="caracProcessoCompra">#REF!</definedName>
    <definedName name="CARGOS_E_SALÁRIOS">"$#REF!.$A$1:$F$1"</definedName>
    <definedName name="Cargos_Salários" localSheetId="4">#REF!</definedName>
    <definedName name="Cargos_Salários" localSheetId="6">#REF!</definedName>
    <definedName name="Cargos_Salários">#REF!</definedName>
    <definedName name="Casa_de_maquinas" localSheetId="4">#REF!</definedName>
    <definedName name="Casa_de_maquinas">#REF!</definedName>
    <definedName name="CATAGUASES1">#REF!</definedName>
    <definedName name="CB" localSheetId="4">#REF!</definedName>
    <definedName name="CB">#REF!</definedName>
    <definedName name="CBUQ">#REF!,#REF!</definedName>
    <definedName name="cbuq2">#REF!,#REF!</definedName>
    <definedName name="ccc">#REF!,#REF!</definedName>
    <definedName name="ÇÇÇ" localSheetId="4">#REF!</definedName>
    <definedName name="ÇÇÇ">#REF!</definedName>
    <definedName name="cccccc">#REF!</definedName>
    <definedName name="CCM">#REF!</definedName>
    <definedName name="ccvcxvxc">#REF!</definedName>
    <definedName name="cd" localSheetId="4" hidden="1">{#N/A,#N/A,FALSE,"GERAL";#N/A,#N/A,FALSE,"012-96";#N/A,#N/A,FALSE,"018-96";#N/A,#N/A,FALSE,"027-96";#N/A,#N/A,FALSE,"059-96";#N/A,#N/A,FALSE,"076-96";#N/A,#N/A,FALSE,"019-97";#N/A,#N/A,FALSE,"021-97";#N/A,#N/A,FALSE,"022-97";#N/A,#N/A,FALSE,"028-97"}</definedName>
    <definedName name="cd" localSheetId="7" hidden="1">{#N/A,#N/A,FALSE,"GERAL";#N/A,#N/A,FALSE,"012-96";#N/A,#N/A,FALSE,"018-96";#N/A,#N/A,FALSE,"027-96";#N/A,#N/A,FALSE,"059-96";#N/A,#N/A,FALSE,"076-96";#N/A,#N/A,FALSE,"019-97";#N/A,#N/A,FALSE,"021-97";#N/A,#N/A,FALSE,"022-97";#N/A,#N/A,FALSE,"028-97"}</definedName>
    <definedName name="cd" localSheetId="9" hidden="1">{#N/A,#N/A,FALSE,"GERAL";#N/A,#N/A,FALSE,"012-96";#N/A,#N/A,FALSE,"018-96";#N/A,#N/A,FALSE,"027-96";#N/A,#N/A,FALSE,"059-96";#N/A,#N/A,FALSE,"076-96";#N/A,#N/A,FALSE,"019-97";#N/A,#N/A,FALSE,"021-97";#N/A,#N/A,FALSE,"022-97";#N/A,#N/A,FALSE,"028-97"}</definedName>
    <definedName name="cd" localSheetId="10" hidden="1">{#N/A,#N/A,FALSE,"GERAL";#N/A,#N/A,FALSE,"012-96";#N/A,#N/A,FALSE,"018-96";#N/A,#N/A,FALSE,"027-96";#N/A,#N/A,FALSE,"059-96";#N/A,#N/A,FALSE,"076-96";#N/A,#N/A,FALSE,"019-97";#N/A,#N/A,FALSE,"021-97";#N/A,#N/A,FALSE,"022-97";#N/A,#N/A,FALSE,"028-97"}</definedName>
    <definedName name="cd" localSheetId="6" hidden="1">{#N/A,#N/A,FALSE,"GERAL";#N/A,#N/A,FALSE,"012-96";#N/A,#N/A,FALSE,"018-96";#N/A,#N/A,FALSE,"027-96";#N/A,#N/A,FALSE,"059-96";#N/A,#N/A,FALSE,"076-96";#N/A,#N/A,FALSE,"019-97";#N/A,#N/A,FALSE,"021-97";#N/A,#N/A,FALSE,"022-97";#N/A,#N/A,FALSE,"028-97"}</definedName>
    <definedName name="cd" localSheetId="25" hidden="1">{#N/A,#N/A,FALSE,"GERAL";#N/A,#N/A,FALSE,"012-96";#N/A,#N/A,FALSE,"018-96";#N/A,#N/A,FALSE,"027-96";#N/A,#N/A,FALSE,"059-96";#N/A,#N/A,FALSE,"076-96";#N/A,#N/A,FALSE,"019-97";#N/A,#N/A,FALSE,"021-97";#N/A,#N/A,FALSE,"022-97";#N/A,#N/A,FALSE,"028-97"}</definedName>
    <definedName name="cd" localSheetId="26" hidden="1">{#N/A,#N/A,FALSE,"GERAL";#N/A,#N/A,FALSE,"012-96";#N/A,#N/A,FALSE,"018-96";#N/A,#N/A,FALSE,"027-96";#N/A,#N/A,FALSE,"059-96";#N/A,#N/A,FALSE,"076-96";#N/A,#N/A,FALSE,"019-97";#N/A,#N/A,FALSE,"021-97";#N/A,#N/A,FALSE,"022-97";#N/A,#N/A,FALSE,"028-97"}</definedName>
    <definedName name="cd" hidden="1">{#N/A,#N/A,FALSE,"GERAL";#N/A,#N/A,FALSE,"012-96";#N/A,#N/A,FALSE,"018-96";#N/A,#N/A,FALSE,"027-96";#N/A,#N/A,FALSE,"059-96";#N/A,#N/A,FALSE,"076-96";#N/A,#N/A,FALSE,"019-97";#N/A,#N/A,FALSE,"021-97";#N/A,#N/A,FALSE,"022-97";#N/A,#N/A,FALSE,"028-97"}</definedName>
    <definedName name="ce">#REF!</definedName>
    <definedName name="CERCA" localSheetId="4">#REF!</definedName>
    <definedName name="CERCA">#REF!</definedName>
    <definedName name="Cercamento" localSheetId="7">#REF!</definedName>
    <definedName name="Cercamento" localSheetId="9">#REF!</definedName>
    <definedName name="Cercamento" localSheetId="10">#REF!</definedName>
    <definedName name="Cercamento" localSheetId="6">#REF!</definedName>
    <definedName name="Cercamento">#REF!</definedName>
    <definedName name="CFCG">"$#REF!.$#REF!$#REF!"</definedName>
    <definedName name="CFCG_1">#REF!</definedName>
    <definedName name="CFCG_2" localSheetId="4">#REF!</definedName>
    <definedName name="CFCG_2" localSheetId="7">#REF!</definedName>
    <definedName name="CFCG_2" localSheetId="9">#REF!</definedName>
    <definedName name="CFCG_2" localSheetId="10">#REF!</definedName>
    <definedName name="CFCG_2" localSheetId="6">#REF!</definedName>
    <definedName name="CFCG_2">#REF!</definedName>
    <definedName name="CFCG_3" localSheetId="4">#REF!</definedName>
    <definedName name="CFCG_3" localSheetId="7">#REF!</definedName>
    <definedName name="CFCG_3" localSheetId="9">#REF!</definedName>
    <definedName name="CFCG_3" localSheetId="10">#REF!</definedName>
    <definedName name="CFCG_3" localSheetId="6">#REF!</definedName>
    <definedName name="CFCG_3">#REF!</definedName>
    <definedName name="CHEKGER">#N/A</definedName>
    <definedName name="CHEKGER1">#N/A</definedName>
    <definedName name="CHEKGER2">#N/A</definedName>
    <definedName name="cho">#REF!</definedName>
    <definedName name="ci">#REF!</definedName>
    <definedName name="ciclopico">#REF!</definedName>
    <definedName name="ciclopico_1">#REF!</definedName>
    <definedName name="Cisterna_e_Castelo_d_agua_Consulta" localSheetId="4">#REF!</definedName>
    <definedName name="Cisterna_e_Castelo_d_agua_Consulta" localSheetId="7">#REF!</definedName>
    <definedName name="Cisterna_e_Castelo_d_agua_Consulta" localSheetId="9">#REF!</definedName>
    <definedName name="Cisterna_e_Castelo_d_agua_Consulta" localSheetId="10">#REF!</definedName>
    <definedName name="Cisterna_e_Castelo_d_agua_Consulta" localSheetId="6">#REF!</definedName>
    <definedName name="Cisterna_e_Castelo_d_agua_Consulta">#REF!</definedName>
    <definedName name="Class_Equipamentos">"$#REF!.$#REF!$#REF!:$#REF!$#REF!"</definedName>
    <definedName name="Class_Equipamentos_1">#REF!</definedName>
    <definedName name="Class_Equipamentos_2" localSheetId="4">#REF!</definedName>
    <definedName name="Class_Equipamentos_2" localSheetId="7">#REF!</definedName>
    <definedName name="Class_Equipamentos_2" localSheetId="9">#REF!</definedName>
    <definedName name="Class_Equipamentos_2" localSheetId="10">#REF!</definedName>
    <definedName name="Class_Equipamentos_2" localSheetId="6">#REF!</definedName>
    <definedName name="Class_Equipamentos_2">#REF!</definedName>
    <definedName name="Class_Equipamentos_3" localSheetId="4">#REF!</definedName>
    <definedName name="Class_Equipamentos_3" localSheetId="7">#REF!</definedName>
    <definedName name="Class_Equipamentos_3" localSheetId="9">#REF!</definedName>
    <definedName name="Class_Equipamentos_3" localSheetId="10">#REF!</definedName>
    <definedName name="Class_Equipamentos_3" localSheetId="6">#REF!</definedName>
    <definedName name="Class_Equipamentos_3">#REF!</definedName>
    <definedName name="Class_Mão_de_Obra">"$#REF!.$#REF!$#REF!:$#REF!$#REF!"</definedName>
    <definedName name="Class_Mão_de_Obra_1">#REF!</definedName>
    <definedName name="Class_Mão_de_Obra_2" localSheetId="4">#REF!</definedName>
    <definedName name="Class_Mão_de_Obra_2" localSheetId="7">#REF!</definedName>
    <definedName name="Class_Mão_de_Obra_2" localSheetId="9">#REF!</definedName>
    <definedName name="Class_Mão_de_Obra_2" localSheetId="10">#REF!</definedName>
    <definedName name="Class_Mão_de_Obra_2" localSheetId="6">#REF!</definedName>
    <definedName name="Class_Mão_de_Obra_2">#REF!</definedName>
    <definedName name="Class_Mão_de_Obra_3" localSheetId="4">#REF!</definedName>
    <definedName name="Class_Mão_de_Obra_3" localSheetId="7">#REF!</definedName>
    <definedName name="Class_Mão_de_Obra_3" localSheetId="9">#REF!</definedName>
    <definedName name="Class_Mão_de_Obra_3" localSheetId="10">#REF!</definedName>
    <definedName name="Class_Mão_de_Obra_3" localSheetId="6">#REF!</definedName>
    <definedName name="Class_Mão_de_Obra_3">#REF!</definedName>
    <definedName name="Class_Materiais">"$#REF!.$A$2:$J$148"</definedName>
    <definedName name="Class_Materiais_1">#REF!</definedName>
    <definedName name="Class_Materiais_2" localSheetId="4">#REF!</definedName>
    <definedName name="Class_Materiais_2" localSheetId="7">#REF!</definedName>
    <definedName name="Class_Materiais_2" localSheetId="9">#REF!</definedName>
    <definedName name="Class_Materiais_2" localSheetId="10">#REF!</definedName>
    <definedName name="Class_Materiais_2" localSheetId="6">#REF!</definedName>
    <definedName name="Class_Materiais_2">#REF!</definedName>
    <definedName name="Class_Materiais_3" localSheetId="4">#REF!</definedName>
    <definedName name="Class_Materiais_3" localSheetId="7">#REF!</definedName>
    <definedName name="Class_Materiais_3" localSheetId="9">#REF!</definedName>
    <definedName name="Class_Materiais_3" localSheetId="10">#REF!</definedName>
    <definedName name="Class_Materiais_3" localSheetId="6">#REF!</definedName>
    <definedName name="Class_Materiais_3">#REF!</definedName>
    <definedName name="classe_HH">#REF!</definedName>
    <definedName name="CLIENTE" localSheetId="4">#REF!</definedName>
    <definedName name="CLIENTE">#REF!</definedName>
    <definedName name="CM">#REF!</definedName>
    <definedName name="coc" localSheetId="7">#REF!,#REF!,#REF!,#REF!</definedName>
    <definedName name="coc" localSheetId="9">#REF!,#REF!,#REF!,#REF!</definedName>
    <definedName name="coc" localSheetId="10">#REF!,#REF!,#REF!,#REF!</definedName>
    <definedName name="coc" localSheetId="6">#REF!,#REF!,#REF!,#REF!</definedName>
    <definedName name="coc">#REF!,#REF!,#REF!,#REF!</definedName>
    <definedName name="COD">#N/A</definedName>
    <definedName name="CODENOME">#N/A</definedName>
    <definedName name="CODENOME1">#N/A</definedName>
    <definedName name="Codigo" localSheetId="4">#REF!</definedName>
    <definedName name="Codigo" localSheetId="6">#REF!</definedName>
    <definedName name="Codigo">#REF!</definedName>
    <definedName name="Codigos" localSheetId="4">#REF!</definedName>
    <definedName name="Codigos">#REF!</definedName>
    <definedName name="COEFCUSIND">#REF!</definedName>
    <definedName name="Coluna_ProcuraSolesa">#REF!</definedName>
    <definedName name="Coluna_ProcuraSolesa_1">#REF!</definedName>
    <definedName name="Coluna_ProcuraSolesa_2">#REF!</definedName>
    <definedName name="Coluna_ProcuraSolesa_3">#REF!</definedName>
    <definedName name="COMECO">#N/A</definedName>
    <definedName name="COML_BARBOSA" localSheetId="4">#REF!</definedName>
    <definedName name="COML_BARBOSA" localSheetId="6">#REF!</definedName>
    <definedName name="COML_BARBOSA">#REF!</definedName>
    <definedName name="comp" localSheetId="4">#REF!</definedName>
    <definedName name="comp">#REF!</definedName>
    <definedName name="comp_custo">#REF!</definedName>
    <definedName name="COMPLETO">#REF!</definedName>
    <definedName name="composicao">#REF!</definedName>
    <definedName name="Composição_do_BDI">"$#REF!.$#REF!$#REF!:$#REF!$#REF!"</definedName>
    <definedName name="Composição_do_BDI_1">#REF!</definedName>
    <definedName name="Composição_do_BDI_2" localSheetId="4">#REF!</definedName>
    <definedName name="Composição_do_BDI_2" localSheetId="7">#REF!</definedName>
    <definedName name="Composição_do_BDI_2" localSheetId="9">#REF!</definedName>
    <definedName name="Composição_do_BDI_2" localSheetId="10">#REF!</definedName>
    <definedName name="Composição_do_BDI_2" localSheetId="6">#REF!</definedName>
    <definedName name="Composição_do_BDI_2">#REF!</definedName>
    <definedName name="Composição_do_BDI_3" localSheetId="4">#REF!</definedName>
    <definedName name="Composição_do_BDI_3" localSheetId="7">#REF!</definedName>
    <definedName name="Composição_do_BDI_3" localSheetId="9">#REF!</definedName>
    <definedName name="Composição_do_BDI_3" localSheetId="10">#REF!</definedName>
    <definedName name="Composição_do_BDI_3" localSheetId="6">#REF!</definedName>
    <definedName name="Composição_do_BDI_3">#REF!</definedName>
    <definedName name="COMPOSICAO01">#REF!</definedName>
    <definedName name="COMPOSIÇÃO01">#REF!</definedName>
    <definedName name="COMPOSICAO01_1">#REF!</definedName>
    <definedName name="COMPOSICAO02">#REF!</definedName>
    <definedName name="COMPOSICAO02_1">#REF!</definedName>
    <definedName name="COMPOSIÇÕES" localSheetId="5">#REF!</definedName>
    <definedName name="COMPOSIÇÕES" localSheetId="7">#REF!</definedName>
    <definedName name="COMPOSIÇÕES" localSheetId="10">#REF!</definedName>
    <definedName name="COMPOSIÇÕES" localSheetId="6">#REF!</definedName>
    <definedName name="COMPOSIÇÕES">#REF!</definedName>
    <definedName name="COMPRA" localSheetId="4">#REF!</definedName>
    <definedName name="COMPRA">#REF!</definedName>
    <definedName name="COMPRAS">#REF!</definedName>
    <definedName name="COMPRIM">#REF!</definedName>
    <definedName name="comprimento">#REF!</definedName>
    <definedName name="ComprimentoAcessoCanteiro">#REF!</definedName>
    <definedName name="ComprimentoCanteiro">#REF!</definedName>
    <definedName name="concciclo">#REF!</definedName>
    <definedName name="concorrentes" localSheetId="9" hidden="1">{#N/A,#N/A,FALSE,"Cronograma";#N/A,#N/A,FALSE,"Cronogr. 2"}</definedName>
    <definedName name="concorrentes" localSheetId="25" hidden="1">{#N/A,#N/A,FALSE,"Cronograma";#N/A,#N/A,FALSE,"Cronogr. 2"}</definedName>
    <definedName name="concorrentes" localSheetId="26" hidden="1">{#N/A,#N/A,FALSE,"Cronograma";#N/A,#N/A,FALSE,"Cronogr. 2"}</definedName>
    <definedName name="concorrentes" hidden="1">{#N/A,#N/A,FALSE,"Cronograma";#N/A,#N/A,FALSE,"Cronogr. 2"}</definedName>
    <definedName name="concreto">#REF!</definedName>
    <definedName name="Construcao_Casa_Maq_Plano_Inclinado" localSheetId="4">#REF!</definedName>
    <definedName name="Construcao_Casa_Maq_Plano_Inclinado">#REF!</definedName>
    <definedName name="Construcao_de_Acesso_a_Estacao_I">#REF!</definedName>
    <definedName name="Construcao_do_acesso_a_Estacao_I" localSheetId="4">#REF!</definedName>
    <definedName name="Construcao_do_acesso_a_Estacao_I">#REF!</definedName>
    <definedName name="Construcao_Escadaria_Apoio">#REF!</definedName>
    <definedName name="Consulta5">#REF!</definedName>
    <definedName name="CONT1" localSheetId="4">#REF!</definedName>
    <definedName name="CONT1">#REF!</definedName>
    <definedName name="CONT2" localSheetId="4">#REF!</definedName>
    <definedName name="CONT2">#REF!</definedName>
    <definedName name="CONT3" localSheetId="4">#REF!</definedName>
    <definedName name="CONT3">#REF!</definedName>
    <definedName name="CONT4" localSheetId="4">#REF!</definedName>
    <definedName name="CONT4">#REF!</definedName>
    <definedName name="CONT5" localSheetId="4">#REF!</definedName>
    <definedName name="CONT5">#REF!</definedName>
    <definedName name="CONT6" localSheetId="4">#REF!</definedName>
    <definedName name="CONT6">#REF!</definedName>
    <definedName name="CONT7" localSheetId="4">#REF!</definedName>
    <definedName name="CONT7">#REF!</definedName>
    <definedName name="CONT8" localSheetId="4">#REF!</definedName>
    <definedName name="CONT8">#REF!</definedName>
    <definedName name="CONT9" localSheetId="4">#REF!</definedName>
    <definedName name="CONT9">#REF!</definedName>
    <definedName name="CONTADOR">#N/A</definedName>
    <definedName name="CONTCRONMOB">#N/A</definedName>
    <definedName name="Contencao" localSheetId="4">#REF!</definedName>
    <definedName name="Contencao" localSheetId="7">#REF!</definedName>
    <definedName name="Contencao" localSheetId="9">#REF!</definedName>
    <definedName name="Contencao" localSheetId="10">#REF!</definedName>
    <definedName name="Contencao" localSheetId="6">#REF!</definedName>
    <definedName name="Contencao">#REF!</definedName>
    <definedName name="Contencao_" localSheetId="7">#REF!</definedName>
    <definedName name="Contencao_" localSheetId="9">#REF!</definedName>
    <definedName name="Contencao_" localSheetId="10">#REF!</definedName>
    <definedName name="Contencao_" localSheetId="6">#REF!</definedName>
    <definedName name="Contencao_">#REF!</definedName>
    <definedName name="CONTLINHA">#N/A</definedName>
    <definedName name="CONTROLE" localSheetId="4">#REF!</definedName>
    <definedName name="CONTROLE" localSheetId="6">#REF!</definedName>
    <definedName name="CONTROLE">#REF!</definedName>
    <definedName name="COPDIR">#N/A</definedName>
    <definedName name="COPIAR">#N/A</definedName>
    <definedName name="copiaranch"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2"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2"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2"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2"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2"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2"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2"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ND">#N/A</definedName>
    <definedName name="CorrosionAllowance" localSheetId="4">#REF!</definedName>
    <definedName name="CorrosionAllowance">#REF!</definedName>
    <definedName name="corte">#REF!</definedName>
    <definedName name="Corte1" localSheetId="7">#REF!</definedName>
    <definedName name="Corte1" localSheetId="9">#REF!</definedName>
    <definedName name="Corte1" localSheetId="10">#REF!</definedName>
    <definedName name="Corte1" localSheetId="6">#REF!</definedName>
    <definedName name="Corte1">#REF!</definedName>
    <definedName name="cot" localSheetId="7">#REF!</definedName>
    <definedName name="cot" localSheetId="9">#REF!</definedName>
    <definedName name="cot" localSheetId="10">#REF!</definedName>
    <definedName name="cot" localSheetId="6">#REF!</definedName>
    <definedName name="cot">#REF!</definedName>
    <definedName name="cota">#REF!</definedName>
    <definedName name="COTACAO" localSheetId="5">#REF!</definedName>
    <definedName name="COTACAO" localSheetId="7">#REF!</definedName>
    <definedName name="COTACAO" localSheetId="10">#REF!</definedName>
    <definedName name="COTACAO" localSheetId="6">#REF!</definedName>
    <definedName name="COTACAO">#REF!</definedName>
    <definedName name="cpartida">#REF!</definedName>
    <definedName name="CPuzona">#REF!</definedName>
    <definedName name="_xlnm.Criteria">#REF!</definedName>
    <definedName name="Critérios_IM" localSheetId="4">#REF!</definedName>
    <definedName name="Critérios_IM">#REF!</definedName>
    <definedName name="CRONGER">#N/A</definedName>
    <definedName name="CRONIMP">#N/A</definedName>
    <definedName name="CRONOG0">#N/A</definedName>
    <definedName name="CRONOG1">#N/A</definedName>
    <definedName name="CRONOGFIS">#N/A</definedName>
    <definedName name="CRONOGRAMAS">#N/A</definedName>
    <definedName name="CS" localSheetId="7">#REF!</definedName>
    <definedName name="CS" localSheetId="9">#REF!</definedName>
    <definedName name="CS" localSheetId="10">#REF!</definedName>
    <definedName name="CS" localSheetId="6">#REF!</definedName>
    <definedName name="CS">#REF!</definedName>
    <definedName name="cs_fase1" localSheetId="7">#REF!</definedName>
    <definedName name="cs_fase1" localSheetId="9">#REF!</definedName>
    <definedName name="cs_fase1" localSheetId="10">#REF!</definedName>
    <definedName name="cs_fase1" localSheetId="6">#REF!</definedName>
    <definedName name="cs_fase1">#REF!</definedName>
    <definedName name="CSA">#REF!</definedName>
    <definedName name="CSA_1">#REF!</definedName>
    <definedName name="CSPP">#REF!</definedName>
    <definedName name="CSPP_1">#REF!</definedName>
    <definedName name="ct" localSheetId="4">#REF!</definedName>
    <definedName name="ct">#REF!</definedName>
    <definedName name="cu">#REF!</definedName>
    <definedName name="CURRENCY">#REF!</definedName>
    <definedName name="curva_aprendizado">#REF!</definedName>
    <definedName name="CUSRED">#REF!</definedName>
    <definedName name="custo" localSheetId="4">#REF!</definedName>
    <definedName name="custo">#REF!</definedName>
    <definedName name="CUSTO_BDI_MATERIAL" localSheetId="25">TRUNC(#REF!*(1+#REF!),2)</definedName>
    <definedName name="CUSTO_BDI_MATERIAL" localSheetId="26">TRUNC(#REF!*(1+#REF!),2)</definedName>
    <definedName name="CUSTO_BDI_MATERIAL">TRUNC(#REF!*(1+#REF!),2)</definedName>
    <definedName name="CUSTO_BDI_SERVICO" localSheetId="4">TRUNC(#REF!*(1+#REF!),2)</definedName>
    <definedName name="CUSTO_BDI_SERVICO" localSheetId="5">TRUNC(#REF!*(1+#REF!),2)</definedName>
    <definedName name="CUSTO_BDI_SERVICO" localSheetId="7">TRUNC(#REF!*(1+#REF!),2)</definedName>
    <definedName name="CUSTO_BDI_SERVICO" localSheetId="8">TRUNC('Curva ABC'!XFD1*(1+'Curva ABC'!$I$3),2)</definedName>
    <definedName name="CUSTO_BDI_SERVICO" localSheetId="9">TRUNC([1]Sintética!XFD1*(1+[1]Sintética!$J$3),2)</definedName>
    <definedName name="CUSTO_BDI_SERVICO" localSheetId="10">TRUNC(#REF!*(1+#REF!),2)</definedName>
    <definedName name="CUSTO_BDI_SERVICO" localSheetId="6">TRUNC(#REF!*(1+#REF!),2)</definedName>
    <definedName name="CUSTO_BDI_SERVICO" localSheetId="25">TRUNC([2]SINTÉTICA!XFD1*(1+[2]SINTÉTICA!$I$3),2)</definedName>
    <definedName name="CUSTO_BDI_SERVICO" localSheetId="26">TRUNC([2]SINTÉTICA!XFD1*(1+[2]SINTÉTICA!$I$3),2)</definedName>
    <definedName name="CUSTO_BDI_SERVICO">TRUNC(SINTÉTICA!XFD1*(1+SINTÉTICA!$I$3),2)</definedName>
    <definedName name="CUSTO_TOTAL_MATERIAL">TRUNC(#REF!*#REF!,2)</definedName>
    <definedName name="CUSTO_TOTAL_SERVICO" localSheetId="4">TRUNC(#REF!*#REF!,2)</definedName>
    <definedName name="CUSTO_TOTAL_SERVICO" localSheetId="5">TRUNC(#REF!*#REF!,2)</definedName>
    <definedName name="CUSTO_TOTAL_SERVICO" localSheetId="7">TRUNC(#REF!*#REF!,2)</definedName>
    <definedName name="CUSTO_TOTAL_SERVICO" localSheetId="8">TRUNC('Curva ABC'!XFD1*'Curva ABC'!XFB1,2)</definedName>
    <definedName name="CUSTO_TOTAL_SERVICO" localSheetId="9">TRUNC([1]Sintética!XFD1*[1]Sintética!XFB1,2)</definedName>
    <definedName name="CUSTO_TOTAL_SERVICO" localSheetId="10">TRUNC(#REF!*#REF!,2)</definedName>
    <definedName name="CUSTO_TOTAL_SERVICO" localSheetId="6">TRUNC(#REF!*#REF!,2)</definedName>
    <definedName name="CUSTO_TOTAL_SERVICO" localSheetId="25">TRUNC([2]SINTÉTICA!XFD1*[2]SINTÉTICA!XFB1,2)</definedName>
    <definedName name="CUSTO_TOTAL_SERVICO" localSheetId="26">TRUNC([2]SINTÉTICA!XFD1*[2]SINTÉTICA!XFB1,2)</definedName>
    <definedName name="CUSTO_TOTAL_SERVICO">TRUNC(SINTÉTICA!XFD1*SINTÉTICA!XFB1,2)</definedName>
    <definedName name="custo_var" localSheetId="4">#REF!</definedName>
    <definedName name="custo_var">#REF!</definedName>
    <definedName name="custoA" localSheetId="4">#REF!</definedName>
    <definedName name="custoA">#REF!</definedName>
    <definedName name="custoB" localSheetId="4">#REF!</definedName>
    <definedName name="custoB">#REF!</definedName>
    <definedName name="custoSUB">#REF!</definedName>
    <definedName name="CV">#REF!</definedName>
    <definedName name="d" localSheetId="4" hidden="1">{#N/A,#N/A,FALSE,"GERAL";#N/A,#N/A,FALSE,"012-96";#N/A,#N/A,FALSE,"018-96";#N/A,#N/A,FALSE,"027-96";#N/A,#N/A,FALSE,"059-96";#N/A,#N/A,FALSE,"076-96";#N/A,#N/A,FALSE,"019-97";#N/A,#N/A,FALSE,"021-97";#N/A,#N/A,FALSE,"022-97";#N/A,#N/A,FALSE,"028-97"}</definedName>
    <definedName name="d" localSheetId="7" hidden="1">{#N/A,#N/A,FALSE,"GERAL";#N/A,#N/A,FALSE,"012-96";#N/A,#N/A,FALSE,"018-96";#N/A,#N/A,FALSE,"027-96";#N/A,#N/A,FALSE,"059-96";#N/A,#N/A,FALSE,"076-96";#N/A,#N/A,FALSE,"019-97";#N/A,#N/A,FALSE,"021-97";#N/A,#N/A,FALSE,"022-97";#N/A,#N/A,FALSE,"028-97"}</definedName>
    <definedName name="d" localSheetId="9" hidden="1">{#N/A,#N/A,FALSE,"GERAL";#N/A,#N/A,FALSE,"012-96";#N/A,#N/A,FALSE,"018-96";#N/A,#N/A,FALSE,"027-96";#N/A,#N/A,FALSE,"059-96";#N/A,#N/A,FALSE,"076-96";#N/A,#N/A,FALSE,"019-97";#N/A,#N/A,FALSE,"021-97";#N/A,#N/A,FALSE,"022-97";#N/A,#N/A,FALSE,"028-97"}</definedName>
    <definedName name="d" localSheetId="10" hidden="1">{#N/A,#N/A,FALSE,"GERAL";#N/A,#N/A,FALSE,"012-96";#N/A,#N/A,FALSE,"018-96";#N/A,#N/A,FALSE,"027-96";#N/A,#N/A,FALSE,"059-96";#N/A,#N/A,FALSE,"076-96";#N/A,#N/A,FALSE,"019-97";#N/A,#N/A,FALSE,"021-97";#N/A,#N/A,FALSE,"022-97";#N/A,#N/A,FALSE,"028-97"}</definedName>
    <definedName name="d" localSheetId="6" hidden="1">{#N/A,#N/A,FALSE,"GERAL";#N/A,#N/A,FALSE,"012-96";#N/A,#N/A,FALSE,"018-96";#N/A,#N/A,FALSE,"027-96";#N/A,#N/A,FALSE,"059-96";#N/A,#N/A,FALSE,"076-96";#N/A,#N/A,FALSE,"019-97";#N/A,#N/A,FALSE,"021-97";#N/A,#N/A,FALSE,"022-97";#N/A,#N/A,FALSE,"028-97"}</definedName>
    <definedName name="d" localSheetId="25" hidden="1">{#N/A,#N/A,FALSE,"GERAL";#N/A,#N/A,FALSE,"012-96";#N/A,#N/A,FALSE,"018-96";#N/A,#N/A,FALSE,"027-96";#N/A,#N/A,FALSE,"059-96";#N/A,#N/A,FALSE,"076-96";#N/A,#N/A,FALSE,"019-97";#N/A,#N/A,FALSE,"021-97";#N/A,#N/A,FALSE,"022-97";#N/A,#N/A,FALSE,"028-97"}</definedName>
    <definedName name="d" localSheetId="26" hidden="1">{#N/A,#N/A,FALSE,"GERAL";#N/A,#N/A,FALSE,"012-96";#N/A,#N/A,FALSE,"018-96";#N/A,#N/A,FALSE,"027-96";#N/A,#N/A,FALSE,"059-96";#N/A,#N/A,FALSE,"076-96";#N/A,#N/A,FALSE,"019-97";#N/A,#N/A,FALSE,"021-97";#N/A,#N/A,FALSE,"022-97";#N/A,#N/A,FALSE,"028-97"}</definedName>
    <definedName name="d" hidden="1">{#N/A,#N/A,FALSE,"GERAL";#N/A,#N/A,FALSE,"012-96";#N/A,#N/A,FALSE,"018-96";#N/A,#N/A,FALSE,"027-96";#N/A,#N/A,FALSE,"059-96";#N/A,#N/A,FALSE,"076-96";#N/A,#N/A,FALSE,"019-97";#N/A,#N/A,FALSE,"021-97";#N/A,#N/A,FALSE,"022-97";#N/A,#N/A,FALSE,"028-97"}</definedName>
    <definedName name="Dados" localSheetId="4">#REF!</definedName>
    <definedName name="Dados" localSheetId="6">#REF!</definedName>
    <definedName name="Dados">#REF!</definedName>
    <definedName name="Dados_1" localSheetId="4">#REF!</definedName>
    <definedName name="Dados_1">#REF!</definedName>
    <definedName name="Dados_2">#REF!</definedName>
    <definedName name="Dados_3">#REF!</definedName>
    <definedName name="DADOS_OPERACIONAIS">#REF!</definedName>
    <definedName name="dalmo" localSheetId="4" hidden="1">{#N/A,#N/A,FALSE,"GERAL";#N/A,#N/A,FALSE,"012-96";#N/A,#N/A,FALSE,"018-96";#N/A,#N/A,FALSE,"027-96";#N/A,#N/A,FALSE,"059-96";#N/A,#N/A,FALSE,"076-96";#N/A,#N/A,FALSE,"019-97";#N/A,#N/A,FALSE,"021-97";#N/A,#N/A,FALSE,"022-97";#N/A,#N/A,FALSE,"028-97"}</definedName>
    <definedName name="dalmo" localSheetId="7" hidden="1">{#N/A,#N/A,FALSE,"GERAL";#N/A,#N/A,FALSE,"012-96";#N/A,#N/A,FALSE,"018-96";#N/A,#N/A,FALSE,"027-96";#N/A,#N/A,FALSE,"059-96";#N/A,#N/A,FALSE,"076-96";#N/A,#N/A,FALSE,"019-97";#N/A,#N/A,FALSE,"021-97";#N/A,#N/A,FALSE,"022-97";#N/A,#N/A,FALSE,"028-97"}</definedName>
    <definedName name="dalmo" localSheetId="9" hidden="1">{#N/A,#N/A,FALSE,"GERAL";#N/A,#N/A,FALSE,"012-96";#N/A,#N/A,FALSE,"018-96";#N/A,#N/A,FALSE,"027-96";#N/A,#N/A,FALSE,"059-96";#N/A,#N/A,FALSE,"076-96";#N/A,#N/A,FALSE,"019-97";#N/A,#N/A,FALSE,"021-97";#N/A,#N/A,FALSE,"022-97";#N/A,#N/A,FALSE,"028-97"}</definedName>
    <definedName name="dalmo" localSheetId="10" hidden="1">{#N/A,#N/A,FALSE,"GERAL";#N/A,#N/A,FALSE,"012-96";#N/A,#N/A,FALSE,"018-96";#N/A,#N/A,FALSE,"027-96";#N/A,#N/A,FALSE,"059-96";#N/A,#N/A,FALSE,"076-96";#N/A,#N/A,FALSE,"019-97";#N/A,#N/A,FALSE,"021-97";#N/A,#N/A,FALSE,"022-97";#N/A,#N/A,FALSE,"028-97"}</definedName>
    <definedName name="dalmo" localSheetId="6" hidden="1">{#N/A,#N/A,FALSE,"GERAL";#N/A,#N/A,FALSE,"012-96";#N/A,#N/A,FALSE,"018-96";#N/A,#N/A,FALSE,"027-96";#N/A,#N/A,FALSE,"059-96";#N/A,#N/A,FALSE,"076-96";#N/A,#N/A,FALSE,"019-97";#N/A,#N/A,FALSE,"021-97";#N/A,#N/A,FALSE,"022-97";#N/A,#N/A,FALSE,"028-97"}</definedName>
    <definedName name="dalmo" localSheetId="25" hidden="1">{#N/A,#N/A,FALSE,"GERAL";#N/A,#N/A,FALSE,"012-96";#N/A,#N/A,FALSE,"018-96";#N/A,#N/A,FALSE,"027-96";#N/A,#N/A,FALSE,"059-96";#N/A,#N/A,FALSE,"076-96";#N/A,#N/A,FALSE,"019-97";#N/A,#N/A,FALSE,"021-97";#N/A,#N/A,FALSE,"022-97";#N/A,#N/A,FALSE,"028-97"}</definedName>
    <definedName name="dalmo" localSheetId="26" hidden="1">{#N/A,#N/A,FALSE,"GERAL";#N/A,#N/A,FALSE,"012-96";#N/A,#N/A,FALSE,"018-96";#N/A,#N/A,FALSE,"027-96";#N/A,#N/A,FALSE,"059-96";#N/A,#N/A,FALSE,"076-96";#N/A,#N/A,FALSE,"019-97";#N/A,#N/A,FALSE,"021-97";#N/A,#N/A,FALSE,"022-97";#N/A,#N/A,FALSE,"028-97"}</definedName>
    <definedName name="dalmo" hidden="1">{#N/A,#N/A,FALSE,"GERAL";#N/A,#N/A,FALSE,"012-96";#N/A,#N/A,FALSE,"018-96";#N/A,#N/A,FALSE,"027-96";#N/A,#N/A,FALSE,"059-96";#N/A,#N/A,FALSE,"076-96";#N/A,#N/A,FALSE,"019-97";#N/A,#N/A,FALSE,"021-97";#N/A,#N/A,FALSE,"022-97";#N/A,#N/A,FALSE,"028-97"}</definedName>
    <definedName name="das" localSheetId="4" hidden="1">{#N/A,#N/A,FALSE,"ET-CAPA";#N/A,#N/A,FALSE,"ET-PAG1";#N/A,#N/A,FALSE,"ET-PAG2";#N/A,#N/A,FALSE,"ET-PAG3";#N/A,#N/A,FALSE,"ET-PAG4";#N/A,#N/A,FALSE,"ET-PAG5"}</definedName>
    <definedName name="das" localSheetId="7" hidden="1">{#N/A,#N/A,FALSE,"ET-CAPA";#N/A,#N/A,FALSE,"ET-PAG1";#N/A,#N/A,FALSE,"ET-PAG2";#N/A,#N/A,FALSE,"ET-PAG3";#N/A,#N/A,FALSE,"ET-PAG4";#N/A,#N/A,FALSE,"ET-PAG5"}</definedName>
    <definedName name="das" localSheetId="9" hidden="1">{#N/A,#N/A,FALSE,"ET-CAPA";#N/A,#N/A,FALSE,"ET-PAG1";#N/A,#N/A,FALSE,"ET-PAG2";#N/A,#N/A,FALSE,"ET-PAG3";#N/A,#N/A,FALSE,"ET-PAG4";#N/A,#N/A,FALSE,"ET-PAG5"}</definedName>
    <definedName name="das" localSheetId="10" hidden="1">{#N/A,#N/A,FALSE,"ET-CAPA";#N/A,#N/A,FALSE,"ET-PAG1";#N/A,#N/A,FALSE,"ET-PAG2";#N/A,#N/A,FALSE,"ET-PAG3";#N/A,#N/A,FALSE,"ET-PAG4";#N/A,#N/A,FALSE,"ET-PAG5"}</definedName>
    <definedName name="das" localSheetId="6" hidden="1">{#N/A,#N/A,FALSE,"ET-CAPA";#N/A,#N/A,FALSE,"ET-PAG1";#N/A,#N/A,FALSE,"ET-PAG2";#N/A,#N/A,FALSE,"ET-PAG3";#N/A,#N/A,FALSE,"ET-PAG4";#N/A,#N/A,FALSE,"ET-PAG5"}</definedName>
    <definedName name="das" localSheetId="25" hidden="1">{#N/A,#N/A,FALSE,"ET-CAPA";#N/A,#N/A,FALSE,"ET-PAG1";#N/A,#N/A,FALSE,"ET-PAG2";#N/A,#N/A,FALSE,"ET-PAG3";#N/A,#N/A,FALSE,"ET-PAG4";#N/A,#N/A,FALSE,"ET-PAG5"}</definedName>
    <definedName name="das" localSheetId="26" hidden="1">{#N/A,#N/A,FALSE,"ET-CAPA";#N/A,#N/A,FALSE,"ET-PAG1";#N/A,#N/A,FALSE,"ET-PAG2";#N/A,#N/A,FALSE,"ET-PAG3";#N/A,#N/A,FALSE,"ET-PAG4";#N/A,#N/A,FALSE,"ET-PAG5"}</definedName>
    <definedName name="das" hidden="1">{#N/A,#N/A,FALSE,"ET-CAPA";#N/A,#N/A,FALSE,"ET-PAG1";#N/A,#N/A,FALSE,"ET-PAG2";#N/A,#N/A,FALSE,"ET-PAG3";#N/A,#N/A,FALSE,"ET-PAG4";#N/A,#N/A,FALSE,"ET-PAG5"}</definedName>
    <definedName name="DATA" localSheetId="4">#REF!</definedName>
    <definedName name="DATA" localSheetId="6">#REF!</definedName>
    <definedName name="DATA">#REF!</definedName>
    <definedName name="Database">#REF!</definedName>
    <definedName name="datas" localSheetId="4">#REF!</definedName>
    <definedName name="datas">#REF!</definedName>
    <definedName name="DATMODELE">#REF!</definedName>
    <definedName name="DATMODMEC">#REF!</definedName>
    <definedName name="DATTML">#REF!</definedName>
    <definedName name="DDD" localSheetId="4" hidden="1">{#N/A,#N/A,FALSE,"GERAL";#N/A,#N/A,FALSE,"012-96";#N/A,#N/A,FALSE,"018-96";#N/A,#N/A,FALSE,"027-96";#N/A,#N/A,FALSE,"059-96";#N/A,#N/A,FALSE,"076-96";#N/A,#N/A,FALSE,"019-97";#N/A,#N/A,FALSE,"021-97";#N/A,#N/A,FALSE,"022-97";#N/A,#N/A,FALSE,"028-97"}</definedName>
    <definedName name="ddd"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D" localSheetId="4" hidden="1">{#N/A,#N/A,FALSE,"ET-CAPA";#N/A,#N/A,FALSE,"ET-PAG1";#N/A,#N/A,FALSE,"ET-PAG2";#N/A,#N/A,FALSE,"ET-PAG3";#N/A,#N/A,FALSE,"ET-PAG4";#N/A,#N/A,FALSE,"ET-PAG5"}</definedName>
    <definedName name="dddd"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d"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d"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d"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d"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d"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d"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dd" localSheetId="4">#REF!</definedName>
    <definedName name="ddddd" localSheetId="6">#REF!</definedName>
    <definedName name="ddddd">#REF!</definedName>
    <definedName name="DDDDDDD" localSheetId="4">#REF!</definedName>
    <definedName name="DDDDDDD">#REF!</definedName>
    <definedName name="dddddddddddd">#REF!</definedName>
    <definedName name="DE_km">#REF!</definedName>
    <definedName name="DEFEQUIP">#N/A</definedName>
    <definedName name="DEFEQUIP1">#N/A</definedName>
    <definedName name="DEFOFO">#REF!</definedName>
    <definedName name="DEFOFO100">#REF!</definedName>
    <definedName name="DEFOFO150">#REF!</definedName>
    <definedName name="DEFOFO200">#REF!</definedName>
    <definedName name="DEFOFO250">#REF!</definedName>
    <definedName name="DEFOFO300">#REF!</definedName>
    <definedName name="delete" localSheetId="4" hidden="1">{#N/A,#N/A,FALSE,"GERAL";#N/A,#N/A,FALSE,"012-96";#N/A,#N/A,FALSE,"018-96";#N/A,#N/A,FALSE,"027-96";#N/A,#N/A,FALSE,"059-96";#N/A,#N/A,FALSE,"076-96";#N/A,#N/A,FALSE,"019-97";#N/A,#N/A,FALSE,"021-97";#N/A,#N/A,FALSE,"022-97";#N/A,#N/A,FALSE,"028-97"}</definedName>
    <definedName name="delete" localSheetId="7" hidden="1">{#N/A,#N/A,FALSE,"GERAL";#N/A,#N/A,FALSE,"012-96";#N/A,#N/A,FALSE,"018-96";#N/A,#N/A,FALSE,"027-96";#N/A,#N/A,FALSE,"059-96";#N/A,#N/A,FALSE,"076-96";#N/A,#N/A,FALSE,"019-97";#N/A,#N/A,FALSE,"021-97";#N/A,#N/A,FALSE,"022-97";#N/A,#N/A,FALSE,"028-97"}</definedName>
    <definedName name="delete" localSheetId="9" hidden="1">{#N/A,#N/A,FALSE,"GERAL";#N/A,#N/A,FALSE,"012-96";#N/A,#N/A,FALSE,"018-96";#N/A,#N/A,FALSE,"027-96";#N/A,#N/A,FALSE,"059-96";#N/A,#N/A,FALSE,"076-96";#N/A,#N/A,FALSE,"019-97";#N/A,#N/A,FALSE,"021-97";#N/A,#N/A,FALSE,"022-97";#N/A,#N/A,FALSE,"028-97"}</definedName>
    <definedName name="delete" localSheetId="10" hidden="1">{#N/A,#N/A,FALSE,"GERAL";#N/A,#N/A,FALSE,"012-96";#N/A,#N/A,FALSE,"018-96";#N/A,#N/A,FALSE,"027-96";#N/A,#N/A,FALSE,"059-96";#N/A,#N/A,FALSE,"076-96";#N/A,#N/A,FALSE,"019-97";#N/A,#N/A,FALSE,"021-97";#N/A,#N/A,FALSE,"022-97";#N/A,#N/A,FALSE,"028-97"}</definedName>
    <definedName name="delete" localSheetId="6" hidden="1">{#N/A,#N/A,FALSE,"GERAL";#N/A,#N/A,FALSE,"012-96";#N/A,#N/A,FALSE,"018-96";#N/A,#N/A,FALSE,"027-96";#N/A,#N/A,FALSE,"059-96";#N/A,#N/A,FALSE,"076-96";#N/A,#N/A,FALSE,"019-97";#N/A,#N/A,FALSE,"021-97";#N/A,#N/A,FALSE,"022-97";#N/A,#N/A,FALSE,"028-97"}</definedName>
    <definedName name="delete" localSheetId="25" hidden="1">{#N/A,#N/A,FALSE,"GERAL";#N/A,#N/A,FALSE,"012-96";#N/A,#N/A,FALSE,"018-96";#N/A,#N/A,FALSE,"027-96";#N/A,#N/A,FALSE,"059-96";#N/A,#N/A,FALSE,"076-96";#N/A,#N/A,FALSE,"019-97";#N/A,#N/A,FALSE,"021-97";#N/A,#N/A,FALSE,"022-97";#N/A,#N/A,FALSE,"028-97"}</definedName>
    <definedName name="delete" localSheetId="26" hidden="1">{#N/A,#N/A,FALSE,"GERAL";#N/A,#N/A,FALSE,"012-96";#N/A,#N/A,FALSE,"018-96";#N/A,#N/A,FALSE,"027-96";#N/A,#N/A,FALSE,"059-96";#N/A,#N/A,FALSE,"076-96";#N/A,#N/A,FALSE,"019-97";#N/A,#N/A,FALSE,"021-97";#N/A,#N/A,FALSE,"022-97";#N/A,#N/A,FALSE,"028-97"}</definedName>
    <definedName name="delete" hidden="1">{#N/A,#N/A,FALSE,"GERAL";#N/A,#N/A,FALSE,"012-96";#N/A,#N/A,FALSE,"018-96";#N/A,#N/A,FALSE,"027-96";#N/A,#N/A,FALSE,"059-96";#N/A,#N/A,FALSE,"076-96";#N/A,#N/A,FALSE,"019-97";#N/A,#N/A,FALSE,"021-97";#N/A,#N/A,FALSE,"022-97";#N/A,#N/A,FALSE,"028-97"}</definedName>
    <definedName name="Dem_Lavanderia" localSheetId="4">#REF!</definedName>
    <definedName name="Dem_Lavanderia">#REF!</definedName>
    <definedName name="Demolicao_de_Guarita_Consulta" localSheetId="7">#REF!</definedName>
    <definedName name="Demolicao_de_Guarita_Consulta" localSheetId="9">#REF!</definedName>
    <definedName name="Demolicao_de_Guarita_Consulta" localSheetId="10">#REF!</definedName>
    <definedName name="Demolicao_de_Guarita_Consulta" localSheetId="6">#REF!</definedName>
    <definedName name="Demolicao_de_Guarita_Consulta">#REF!</definedName>
    <definedName name="Demolicao_Lavanderia_Existente" localSheetId="7">#REF!</definedName>
    <definedName name="Demolicao_Lavanderia_Existente" localSheetId="9">#REF!</definedName>
    <definedName name="Demolicao_Lavanderia_Existente" localSheetId="10">#REF!</definedName>
    <definedName name="Demolicao_Lavanderia_Existente" localSheetId="6">#REF!</definedName>
    <definedName name="Demolicao_Lavanderia_Existente">#REF!</definedName>
    <definedName name="Demonstrativo">"$#REF!.$A$1:$I$1"</definedName>
    <definedName name="Demonstrativo_1">#REF!</definedName>
    <definedName name="Demonstrativo_2" localSheetId="4">#REF!</definedName>
    <definedName name="Demonstrativo_2" localSheetId="7">#REF!</definedName>
    <definedName name="Demonstrativo_2" localSheetId="9">#REF!</definedName>
    <definedName name="Demonstrativo_2" localSheetId="10">#REF!</definedName>
    <definedName name="Demonstrativo_2" localSheetId="6">#REF!</definedName>
    <definedName name="Demonstrativo_2">#REF!</definedName>
    <definedName name="Demonstrativo_3" localSheetId="4">#REF!</definedName>
    <definedName name="Demonstrativo_3" localSheetId="7">#REF!</definedName>
    <definedName name="Demonstrativo_3" localSheetId="9">#REF!</definedName>
    <definedName name="Demonstrativo_3" localSheetId="10">#REF!</definedName>
    <definedName name="Demonstrativo_3" localSheetId="6">#REF!</definedName>
    <definedName name="Demonstrativo_3">#REF!</definedName>
    <definedName name="Denominação" localSheetId="4">#REF!</definedName>
    <definedName name="Denominação">#REF!</definedName>
    <definedName name="DEOP.13" localSheetId="4">#REF!</definedName>
    <definedName name="DEOP.13">#REF!</definedName>
    <definedName name="DEOPSETOP" localSheetId="4">#REF!</definedName>
    <definedName name="DEOPSETOP">#REF!</definedName>
    <definedName name="desc">#REF!</definedName>
    <definedName name="Descricao">#REF!</definedName>
    <definedName name="DESCRIÇÃO">#REF!</definedName>
    <definedName name="DESCRITIVO1">#REF!</definedName>
    <definedName name="Descritivo2">#REF!</definedName>
    <definedName name="DESFPORC">#N/A</definedName>
    <definedName name="desmat">#REF!</definedName>
    <definedName name="DEZEMBRO06" localSheetId="7">#REF!</definedName>
    <definedName name="DEZEMBRO06" localSheetId="9">#REF!</definedName>
    <definedName name="DEZEMBRO06" localSheetId="10">#REF!</definedName>
    <definedName name="DEZEMBRO06" localSheetId="6">#REF!</definedName>
    <definedName name="DEZEMBRO06">#REF!</definedName>
    <definedName name="dfdf"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fdf"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fdf"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fdf"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fdf"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fdf"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fdf"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fdf"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fdfsdf">#REF!</definedName>
    <definedName name="dfg" localSheetId="4">#REF!</definedName>
    <definedName name="dfg">#REF!</definedName>
    <definedName name="DI_Jorge" localSheetId="4">#REF!</definedName>
    <definedName name="DI_Jorge">#REF!</definedName>
    <definedName name="DI_Jorge_II" localSheetId="4">#REF!</definedName>
    <definedName name="DI_Jorge_II">#REF!</definedName>
    <definedName name="DIFHH">#N/A</definedName>
    <definedName name="DIFMOB">#N/A</definedName>
    <definedName name="DIFMOB1">#N/A</definedName>
    <definedName name="DIFMOB2">#N/A</definedName>
    <definedName name="DIRIND">#N/A</definedName>
    <definedName name="DIS" localSheetId="4">#REF!</definedName>
    <definedName name="DIS" localSheetId="6">#REF!</definedName>
    <definedName name="DIS">#REF!</definedName>
    <definedName name="disp_oper" localSheetId="4">#REF!</definedName>
    <definedName name="disp_oper">#REF!</definedName>
    <definedName name="dng" localSheetId="4" hidden="1">{#N/A,#N/A,FALSE,"GERAL";#N/A,#N/A,FALSE,"012-96";#N/A,#N/A,FALSE,"018-96";#N/A,#N/A,FALSE,"027-96";#N/A,#N/A,FALSE,"059-96";#N/A,#N/A,FALSE,"076-96";#N/A,#N/A,FALSE,"019-97";#N/A,#N/A,FALSE,"021-97";#N/A,#N/A,FALSE,"022-97";#N/A,#N/A,FALSE,"028-97"}</definedName>
    <definedName name="dng" localSheetId="7" hidden="1">{#N/A,#N/A,FALSE,"GERAL";#N/A,#N/A,FALSE,"012-96";#N/A,#N/A,FALSE,"018-96";#N/A,#N/A,FALSE,"027-96";#N/A,#N/A,FALSE,"059-96";#N/A,#N/A,FALSE,"076-96";#N/A,#N/A,FALSE,"019-97";#N/A,#N/A,FALSE,"021-97";#N/A,#N/A,FALSE,"022-97";#N/A,#N/A,FALSE,"028-97"}</definedName>
    <definedName name="dng" localSheetId="9" hidden="1">{#N/A,#N/A,FALSE,"GERAL";#N/A,#N/A,FALSE,"012-96";#N/A,#N/A,FALSE,"018-96";#N/A,#N/A,FALSE,"027-96";#N/A,#N/A,FALSE,"059-96";#N/A,#N/A,FALSE,"076-96";#N/A,#N/A,FALSE,"019-97";#N/A,#N/A,FALSE,"021-97";#N/A,#N/A,FALSE,"022-97";#N/A,#N/A,FALSE,"028-97"}</definedName>
    <definedName name="dng" localSheetId="10" hidden="1">{#N/A,#N/A,FALSE,"GERAL";#N/A,#N/A,FALSE,"012-96";#N/A,#N/A,FALSE,"018-96";#N/A,#N/A,FALSE,"027-96";#N/A,#N/A,FALSE,"059-96";#N/A,#N/A,FALSE,"076-96";#N/A,#N/A,FALSE,"019-97";#N/A,#N/A,FALSE,"021-97";#N/A,#N/A,FALSE,"022-97";#N/A,#N/A,FALSE,"028-97"}</definedName>
    <definedName name="dng" localSheetId="6" hidden="1">{#N/A,#N/A,FALSE,"GERAL";#N/A,#N/A,FALSE,"012-96";#N/A,#N/A,FALSE,"018-96";#N/A,#N/A,FALSE,"027-96";#N/A,#N/A,FALSE,"059-96";#N/A,#N/A,FALSE,"076-96";#N/A,#N/A,FALSE,"019-97";#N/A,#N/A,FALSE,"021-97";#N/A,#N/A,FALSE,"022-97";#N/A,#N/A,FALSE,"028-97"}</definedName>
    <definedName name="dng" localSheetId="25" hidden="1">{#N/A,#N/A,FALSE,"GERAL";#N/A,#N/A,FALSE,"012-96";#N/A,#N/A,FALSE,"018-96";#N/A,#N/A,FALSE,"027-96";#N/A,#N/A,FALSE,"059-96";#N/A,#N/A,FALSE,"076-96";#N/A,#N/A,FALSE,"019-97";#N/A,#N/A,FALSE,"021-97";#N/A,#N/A,FALSE,"022-97";#N/A,#N/A,FALSE,"028-97"}</definedName>
    <definedName name="dng" localSheetId="26" hidden="1">{#N/A,#N/A,FALSE,"GERAL";#N/A,#N/A,FALSE,"012-96";#N/A,#N/A,FALSE,"018-96";#N/A,#N/A,FALSE,"027-96";#N/A,#N/A,FALSE,"059-96";#N/A,#N/A,FALSE,"076-96";#N/A,#N/A,FALSE,"019-97";#N/A,#N/A,FALSE,"021-97";#N/A,#N/A,FALSE,"022-97";#N/A,#N/A,FALSE,"028-97"}</definedName>
    <definedName name="dng" hidden="1">{#N/A,#N/A,FALSE,"GERAL";#N/A,#N/A,FALSE,"012-96";#N/A,#N/A,FALSE,"018-96";#N/A,#N/A,FALSE,"027-96";#N/A,#N/A,FALSE,"059-96";#N/A,#N/A,FALSE,"076-96";#N/A,#N/A,FALSE,"019-97";#N/A,#N/A,FALSE,"021-97";#N/A,#N/A,FALSE,"022-97";#N/A,#N/A,FALSE,"028-97"}</definedName>
    <definedName name="DOC_1" localSheetId="4">#REF!</definedName>
    <definedName name="DOC_1" localSheetId="6">#REF!</definedName>
    <definedName name="DOC_1">#REF!</definedName>
    <definedName name="DOCAS" localSheetId="4">#REF!</definedName>
    <definedName name="DOCAS">#REF!</definedName>
    <definedName name="docas_">#REF!</definedName>
    <definedName name="DOLAR">"$#REF!.$#REF!$#REF!"</definedName>
    <definedName name="Dólar" localSheetId="4">#REF!</definedName>
    <definedName name="Dólar" localSheetId="6">#REF!</definedName>
    <definedName name="Dólar">#REF!</definedName>
    <definedName name="DOLAR_1" localSheetId="4">#REF!</definedName>
    <definedName name="DOLAR_1">#REF!</definedName>
    <definedName name="DOLAR_2">#REF!</definedName>
    <definedName name="DOLAR_3">#REF!</definedName>
    <definedName name="Dormentes_7K1FAB">#REF!</definedName>
    <definedName name="Dormentes_Especiais_7K1FAC">#REF!</definedName>
    <definedName name="Drafting_India_Sell" localSheetId="4">#REF!</definedName>
    <definedName name="Drafting_India_Sell">#REF!</definedName>
    <definedName name="DRENAGEM" localSheetId="4">#REF!</definedName>
    <definedName name="DRENAGEM">#REF!</definedName>
    <definedName name="DSUM">#N/A</definedName>
    <definedName name="DTEE" localSheetId="7">#REF!</definedName>
    <definedName name="DTEE" localSheetId="9">#REF!</definedName>
    <definedName name="DTEE" localSheetId="10">#REF!</definedName>
    <definedName name="DTEE" localSheetId="6">#REF!</definedName>
    <definedName name="DTEE">#REF!</definedName>
    <definedName name="DTEP" localSheetId="7">#REF!</definedName>
    <definedName name="DTEP" localSheetId="9">#REF!</definedName>
    <definedName name="DTEP" localSheetId="10">#REF!</definedName>
    <definedName name="DTEP" localSheetId="6">#REF!</definedName>
    <definedName name="DTEP">#REF!</definedName>
    <definedName name="DTET" localSheetId="7">#REF!</definedName>
    <definedName name="DTET" localSheetId="9">#REF!</definedName>
    <definedName name="DTET" localSheetId="10">#REF!</definedName>
    <definedName name="DTET" localSheetId="6">#REF!</definedName>
    <definedName name="DTET">#REF!</definedName>
    <definedName name="DTFE">#REF!</definedName>
    <definedName name="DTFM">#REF!</definedName>
    <definedName name="DTL">#REF!</definedName>
    <definedName name="E">#REF!</definedName>
    <definedName name="e__cm" localSheetId="4">#REF!</definedName>
    <definedName name="e__cm">#REF!</definedName>
    <definedName name="EAP_CIV" localSheetId="4">#REF!</definedName>
    <definedName name="EAP_CIV">#REF!</definedName>
    <definedName name="ECVCFELE">#REF!</definedName>
    <definedName name="ECVCFMEC">#REF!</definedName>
    <definedName name="EDC"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DC"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DC"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DC"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DC"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DC"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DC"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DC"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dital" localSheetId="4">#REF!</definedName>
    <definedName name="edital">#REF!</definedName>
    <definedName name="EEEEEE"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EEEEE"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EEEEE"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EEEEE"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EEEEE"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EEEEE"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EEEEE"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EEEEE"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eeeeeeeeeeeeeee" localSheetId="4">#REF!</definedName>
    <definedName name="eeeeeeeeeeeeeeee" localSheetId="6">#REF!</definedName>
    <definedName name="eeeeeeeeeeeeeeee">#REF!</definedName>
    <definedName name="Efetivo" localSheetId="4">#REF!</definedName>
    <definedName name="Efetivo">#REF!</definedName>
    <definedName name="EFETOT">#N/A</definedName>
    <definedName name="EFETOTMES">#N/A</definedName>
    <definedName name="eficiencia" localSheetId="4">#REF!</definedName>
    <definedName name="eficiencia" localSheetId="7">#REF!</definedName>
    <definedName name="eficiencia" localSheetId="9">#REF!</definedName>
    <definedName name="eficiencia" localSheetId="10">#REF!</definedName>
    <definedName name="eficiencia" localSheetId="6">#REF!</definedName>
    <definedName name="eficiencia">#REF!</definedName>
    <definedName name="EIXO" localSheetId="7">#REF!</definedName>
    <definedName name="EIXO" localSheetId="9">#REF!</definedName>
    <definedName name="EIXO" localSheetId="10">#REF!</definedName>
    <definedName name="EIXO" localSheetId="6">#REF!</definedName>
    <definedName name="EIXO">#REF!</definedName>
    <definedName name="EIXO_DADOS" localSheetId="4">#REF!,#REF!</definedName>
    <definedName name="EIXO_DADOS" localSheetId="7">#REF!,#REF!</definedName>
    <definedName name="EIXO_DADOS" localSheetId="9">#REF!,#REF!</definedName>
    <definedName name="EIXO_DADOS" localSheetId="10">#REF!,#REF!</definedName>
    <definedName name="EIXO_DADOS" localSheetId="6">#REF!,#REF!</definedName>
    <definedName name="EIXO_DADOS">#REF!,#REF!</definedName>
    <definedName name="eixos" localSheetId="4">#REF!</definedName>
    <definedName name="eixos" localSheetId="6">#REF!</definedName>
    <definedName name="eixos">#REF!</definedName>
    <definedName name="ELEMVS07" localSheetId="4">#REF!</definedName>
    <definedName name="ELEMVS07">#REF!</definedName>
    <definedName name="Eletric" localSheetId="4">#REF!</definedName>
    <definedName name="Eletric">#REF!</definedName>
    <definedName name="ELEVATÓRIAS" localSheetId="4">#REF!</definedName>
    <definedName name="ELEVATÓRIAS">#REF!</definedName>
    <definedName name="EMBAL">#REF!</definedName>
    <definedName name="Embalagem">#REF!</definedName>
    <definedName name="EmpMn"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mpMn"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mpMn"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mpMn"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mpMn"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mpMn"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mpMn"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mpMn"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mpolamento" localSheetId="4">#REF!</definedName>
    <definedName name="empolamento">#REF!</definedName>
    <definedName name="EMPRESA" localSheetId="4">#REF!</definedName>
    <definedName name="EMPRESA">#REF!</definedName>
    <definedName name="ENCHOR">#N/A</definedName>
    <definedName name="ENCMEN">#N/A</definedName>
    <definedName name="ENG" localSheetId="7">#REF!</definedName>
    <definedName name="ENG" localSheetId="9">#REF!</definedName>
    <definedName name="ENG" localSheetId="10">#REF!</definedName>
    <definedName name="ENG" localSheetId="6">#REF!</definedName>
    <definedName name="ENG">#REF!</definedName>
    <definedName name="ENGEMEC">#REF!</definedName>
    <definedName name="ENT">#REF!</definedName>
    <definedName name="ENTDADOS">#N/A</definedName>
    <definedName name="EQSTR">#N/A</definedName>
    <definedName name="equip" localSheetId="4">#REF!</definedName>
    <definedName name="equip" localSheetId="6">#REF!</definedName>
    <definedName name="equip">#REF!</definedName>
    <definedName name="ERASECRON">#N/A</definedName>
    <definedName name="ere" localSheetId="4">#REF!</definedName>
    <definedName name="ere" localSheetId="6">#REF!</definedName>
    <definedName name="ere">#REF!</definedName>
    <definedName name="ERERERERERE">#REF!</definedName>
    <definedName name="ersrwerwer" localSheetId="4">#REF!</definedName>
    <definedName name="ersrwerwer">#REF!</definedName>
    <definedName name="ESC_AGUA_0A2">#REF!</definedName>
    <definedName name="ESC_AGUA_2A100">#REF!</definedName>
    <definedName name="ESC_DREN">#REF!</definedName>
    <definedName name="ESC_ESG_0A2">#REF!</definedName>
    <definedName name="ESC_ESG_2A4">#REF!</definedName>
    <definedName name="ESC_ESG_4A6">#REF!</definedName>
    <definedName name="ESC_ESG_6A8">#REF!</definedName>
    <definedName name="Escadaria">#REF!</definedName>
    <definedName name="ESCMAN">#REF!</definedName>
    <definedName name="ESCRITÓRIO">#REF!</definedName>
    <definedName name="Esgoto">#REF!</definedName>
    <definedName name="ESocial" localSheetId="4">#REF!</definedName>
    <definedName name="ESocial">#REF!</definedName>
    <definedName name="ESSENCIAIS" localSheetId="4">#REF!</definedName>
    <definedName name="ESSENCIAIS">#REF!</definedName>
    <definedName name="Estacao_01" localSheetId="4">#REF!</definedName>
    <definedName name="Estacao_01">#REF!</definedName>
    <definedName name="Estacao_02">#REF!</definedName>
    <definedName name="Estacao_03">#REF!</definedName>
    <definedName name="Estacao_04">#REF!</definedName>
    <definedName name="Estacao_05">#REF!</definedName>
    <definedName name="ESTACIONAMENTO">#REF!</definedName>
    <definedName name="ESTELE">#REF!</definedName>
    <definedName name="ESTMEC">#REF!</definedName>
    <definedName name="EstTotalF">#REF!</definedName>
    <definedName name="ETAPA">#REF!</definedName>
    <definedName name="ETE">#REF!</definedName>
    <definedName name="EWEWEWE">#REF!</definedName>
    <definedName name="EWWEW">#REF!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3">#REF!</definedName>
    <definedName name="Excel_BuiltIn__FilterDatabase_1_4">#REF!</definedName>
    <definedName name="Excel_BuiltIn__FilterDatabase_1_5">#REF!</definedName>
    <definedName name="Excel_BuiltIn__FilterDatabase_1_6">#REF!</definedName>
    <definedName name="Excel_BuiltIn__FilterDatabase_1_7">#REF!</definedName>
    <definedName name="Excel_BuiltIn__FilterDatabase_1_9">#REF!</definedName>
    <definedName name="Excel_BuiltIn__FilterDatabase_2">#REF!</definedName>
    <definedName name="Excel_BuiltIn__FilterDatabase_2_1">#REF!</definedName>
    <definedName name="Excel_BuiltIn__FilterDatabase_3">#REF!</definedName>
    <definedName name="Excel_BuiltIn__FilterDatabase_6">#REF!</definedName>
    <definedName name="Excel_BuiltIn_Database">"$#REF!.$#REF!$#REF!:$#REF!$#REF!"</definedName>
    <definedName name="Excel_BuiltIn_Database_1">#REF!</definedName>
    <definedName name="Excel_BuiltIn_Database_10">#REF!</definedName>
    <definedName name="Excel_BuiltIn_Database_11">#REF!</definedName>
    <definedName name="Excel_BuiltIn_Database_12">#REF!</definedName>
    <definedName name="Excel_BuiltIn_Database_13">#REF!</definedName>
    <definedName name="Excel_BuiltIn_Database_14">#REF!</definedName>
    <definedName name="Excel_BuiltIn_Database_15">#REF!</definedName>
    <definedName name="Excel_BuiltIn_Database_3">#REF!</definedName>
    <definedName name="Excel_BuiltIn_Database_4">#REF!</definedName>
    <definedName name="Excel_BuiltIn_Database_5">#REF!</definedName>
    <definedName name="Excel_BuiltIn_Database_6">#REF!</definedName>
    <definedName name="Excel_BuiltIn_Database_7">#REF!</definedName>
    <definedName name="Excel_BuiltIn_Database_9">#REF!</definedName>
    <definedName name="Excel_BuiltIn_Extract_2" localSheetId="4">#REF!</definedName>
    <definedName name="Excel_BuiltIn_Extract_2" localSheetId="6">#REF!</definedName>
    <definedName name="Excel_BuiltIn_Extract_2">#REF!</definedName>
    <definedName name="Excel_BuiltIn_Print_Area_0">"$#REF!.$A$1:$G$349"</definedName>
    <definedName name="Excel_BuiltIn_Print_Area_1" localSheetId="4">#REF!</definedName>
    <definedName name="Excel_BuiltIn_Print_Area_1" localSheetId="6">#REF!</definedName>
    <definedName name="Excel_BuiltIn_Print_Area_1">#REF!</definedName>
    <definedName name="Excel_BuiltIn_Print_Area_1_1" localSheetId="4">#REF!</definedName>
    <definedName name="Excel_BuiltIn_Print_Area_1_1">#REF!</definedName>
    <definedName name="Excel_BuiltIn_Print_Area_1_1_1" localSheetId="4">#REF!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 localSheetId="4">#REF!</definedName>
    <definedName name="Excel_BuiltIn_Print_Area_1_1_1_1_1_1_1">#REF!</definedName>
    <definedName name="Excel_BuiltIn_Print_Area_1_1_1_1_1_1_1_1" localSheetId="4">#REF!</definedName>
    <definedName name="Excel_BuiltIn_Print_Area_1_1_1_1_1_1_1_1">#REF!</definedName>
    <definedName name="Excel_BuiltIn_Print_Area_1_1_1_1_1_1_1_1_1">#REF!</definedName>
    <definedName name="Excel_BuiltIn_Print_Area_1_1_5" localSheetId="4">#REF!</definedName>
    <definedName name="Excel_BuiltIn_Print_Area_1_1_5">#REF!</definedName>
    <definedName name="Excel_BuiltIn_Print_Area_1_1_6">#REF!</definedName>
    <definedName name="Excel_BuiltIn_Print_Area_1_6">#REF!</definedName>
    <definedName name="Excel_BuiltIn_Print_Area_1_7">#REF!</definedName>
    <definedName name="Excel_BuiltIn_Print_Area_1_8">#REF!</definedName>
    <definedName name="Excel_BuiltIn_Print_Area_1_9">#REF!</definedName>
    <definedName name="Excel_BuiltIn_Print_Area_2">#REF!</definedName>
    <definedName name="Excel_BuiltIn_Print_Area_2_1" localSheetId="4">#REF!</definedName>
    <definedName name="Excel_BuiltIn_Print_Area_2_1">#REF!</definedName>
    <definedName name="Excel_BuiltIn_Print_Area_2_1_1">#REF!</definedName>
    <definedName name="Excel_BuiltIn_Print_Area_2_1_1_1">#REF!</definedName>
    <definedName name="Excel_BuiltIn_Print_Area_2_6">#REF!</definedName>
    <definedName name="Excel_BuiltIn_Print_Area_2_7">#REF!</definedName>
    <definedName name="Excel_BuiltIn_Print_Area_2_8">#REF!</definedName>
    <definedName name="Excel_BuiltIn_Print_Area_2_9">#REF!</definedName>
    <definedName name="Excel_BuiltIn_Print_Area_3" localSheetId="4">#REF!</definedName>
    <definedName name="Excel_BuiltIn_Print_Area_3">#REF!</definedName>
    <definedName name="Excel_BuiltIn_Print_Area_3_1">#REF!</definedName>
    <definedName name="Excel_BuiltIn_Print_Area_3_1_1">#REF!</definedName>
    <definedName name="Excel_BuiltIn_Print_Area_4">#REF!</definedName>
    <definedName name="Excel_BuiltIn_Print_Area_4_1">#REF!</definedName>
    <definedName name="Excel_BuiltIn_Print_Area_5">#REF!</definedName>
    <definedName name="Excel_BuiltIn_Print_Area_5_1">#REF!</definedName>
    <definedName name="Excel_BuiltIn_Print_Area_5_1_1">#REF!</definedName>
    <definedName name="Excel_BuiltIn_Print_Area_6">#REF!</definedName>
    <definedName name="Excel_BuiltIn_Print_Area_6_1">#REF!</definedName>
    <definedName name="Excel_BuiltIn_Print_Area_7">#REF!</definedName>
    <definedName name="Excel_BuiltIn_Print_Area_8">#REF!</definedName>
    <definedName name="Excel_BuiltIn_Print_Area_8_1">#REF!</definedName>
    <definedName name="Excel_BuiltIn_Print_Titles_0">"$#REF!.$A$1:$IJ$7"</definedName>
    <definedName name="Excel_BuiltIn_Print_Titles_1">#REF!</definedName>
    <definedName name="Excel_BuiltIn_Print_Titles_1_1" localSheetId="4">#REF!</definedName>
    <definedName name="Excel_BuiltIn_Print_Titles_1_1" localSheetId="6">#REF!</definedName>
    <definedName name="Excel_BuiltIn_Print_Titles_1_1">#REF!</definedName>
    <definedName name="Excel_BuiltIn_Print_Titles_1_1_5" localSheetId="4">#REF!</definedName>
    <definedName name="Excel_BuiltIn_Print_Titles_1_1_5">#REF!</definedName>
    <definedName name="Excel_BuiltIn_Print_Titles_1_1_6">#REF!</definedName>
    <definedName name="Excel_BuiltIn_Print_Titles_2_1">#REF!</definedName>
    <definedName name="Excel_BuiltIn_Print_Titles_3">#REF!</definedName>
    <definedName name="Excel_BuiltIn_Print_Titles_3_1">#REF!</definedName>
    <definedName name="Excel_BuiltIn_Print_Titles_4">#REF!</definedName>
    <definedName name="Excel_BuiltIn_Print_Titles_5_1">#REF!</definedName>
    <definedName name="Excel_BuiltIn_Print_Titles_6">#REF!</definedName>
    <definedName name="Excel_BuiltIn_Print_Titles_7">#REF!</definedName>
    <definedName name="Excel_BuiltIn_Print_Titles_8">#REF!</definedName>
    <definedName name="ExecFerro"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xecFerro"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xecFerro"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xecFerro"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xecFerro"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xecFerro"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xecFerro"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xecFerro"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Execucao_Fundacoes_Plano_Inclinado" localSheetId="4">#REF!</definedName>
    <definedName name="Execucao_Fundacoes_Plano_Inclinado">#REF!</definedName>
    <definedName name="Exibir_Dat_Com" localSheetId="7">#REF!</definedName>
    <definedName name="Exibir_Dat_Com" localSheetId="9">#REF!</definedName>
    <definedName name="Exibir_Dat_Com" localSheetId="10">#REF!</definedName>
    <definedName name="Exibir_Dat_Com" localSheetId="6">#REF!</definedName>
    <definedName name="Exibir_Dat_Com">#REF!</definedName>
    <definedName name="Exibir_Fer_EUA" localSheetId="7">#REF!</definedName>
    <definedName name="Exibir_Fer_EUA" localSheetId="9">#REF!</definedName>
    <definedName name="Exibir_Fer_EUA" localSheetId="10">#REF!</definedName>
    <definedName name="Exibir_Fer_EUA" localSheetId="6">#REF!</definedName>
    <definedName name="Exibir_Fer_EUA">#REF!</definedName>
    <definedName name="Exibir_Fer_Nac">#REF!</definedName>
    <definedName name="EXPLOSIVOS" localSheetId="4" hidden="1">{#N/A,#N/A,FALSE,"GERAL";#N/A,#N/A,FALSE,"012-96";#N/A,#N/A,FALSE,"018-96";#N/A,#N/A,FALSE,"027-96";#N/A,#N/A,FALSE,"059-96";#N/A,#N/A,FALSE,"076-96";#N/A,#N/A,FALSE,"019-97";#N/A,#N/A,FALSE,"021-97";#N/A,#N/A,FALSE,"022-97";#N/A,#N/A,FALSE,"028-97"}</definedName>
    <definedName name="EXPLOSIVOS" localSheetId="7" hidden="1">{#N/A,#N/A,FALSE,"GERAL";#N/A,#N/A,FALSE,"012-96";#N/A,#N/A,FALSE,"018-96";#N/A,#N/A,FALSE,"027-96";#N/A,#N/A,FALSE,"059-96";#N/A,#N/A,FALSE,"076-96";#N/A,#N/A,FALSE,"019-97";#N/A,#N/A,FALSE,"021-97";#N/A,#N/A,FALSE,"022-97";#N/A,#N/A,FALSE,"028-97"}</definedName>
    <definedName name="EXPLOSIVOS" localSheetId="9" hidden="1">{#N/A,#N/A,FALSE,"GERAL";#N/A,#N/A,FALSE,"012-96";#N/A,#N/A,FALSE,"018-96";#N/A,#N/A,FALSE,"027-96";#N/A,#N/A,FALSE,"059-96";#N/A,#N/A,FALSE,"076-96";#N/A,#N/A,FALSE,"019-97";#N/A,#N/A,FALSE,"021-97";#N/A,#N/A,FALSE,"022-97";#N/A,#N/A,FALSE,"028-97"}</definedName>
    <definedName name="EXPLOSIVOS" localSheetId="10" hidden="1">{#N/A,#N/A,FALSE,"GERAL";#N/A,#N/A,FALSE,"012-96";#N/A,#N/A,FALSE,"018-96";#N/A,#N/A,FALSE,"027-96";#N/A,#N/A,FALSE,"059-96";#N/A,#N/A,FALSE,"076-96";#N/A,#N/A,FALSE,"019-97";#N/A,#N/A,FALSE,"021-97";#N/A,#N/A,FALSE,"022-97";#N/A,#N/A,FALSE,"028-97"}</definedName>
    <definedName name="EXPLOSIVOS" localSheetId="6" hidden="1">{#N/A,#N/A,FALSE,"GERAL";#N/A,#N/A,FALSE,"012-96";#N/A,#N/A,FALSE,"018-96";#N/A,#N/A,FALSE,"027-96";#N/A,#N/A,FALSE,"059-96";#N/A,#N/A,FALSE,"076-96";#N/A,#N/A,FALSE,"019-97";#N/A,#N/A,FALSE,"021-97";#N/A,#N/A,FALSE,"022-97";#N/A,#N/A,FALSE,"028-97"}</definedName>
    <definedName name="EXPLOSIVOS" localSheetId="25" hidden="1">{#N/A,#N/A,FALSE,"GERAL";#N/A,#N/A,FALSE,"012-96";#N/A,#N/A,FALSE,"018-96";#N/A,#N/A,FALSE,"027-96";#N/A,#N/A,FALSE,"059-96";#N/A,#N/A,FALSE,"076-96";#N/A,#N/A,FALSE,"019-97";#N/A,#N/A,FALSE,"021-97";#N/A,#N/A,FALSE,"022-97";#N/A,#N/A,FALSE,"028-97"}</definedName>
    <definedName name="EXPLOSIVOS" localSheetId="26" hidden="1">{#N/A,#N/A,FALSE,"GERAL";#N/A,#N/A,FALSE,"012-96";#N/A,#N/A,FALSE,"018-96";#N/A,#N/A,FALSE,"027-96";#N/A,#N/A,FALSE,"059-96";#N/A,#N/A,FALSE,"076-96";#N/A,#N/A,FALSE,"019-97";#N/A,#N/A,FALSE,"021-97";#N/A,#N/A,FALSE,"022-97";#N/A,#N/A,FALSE,"028-97"}</definedName>
    <definedName name="EXPLOSIVOS" hidden="1">{#N/A,#N/A,FALSE,"GERAL";#N/A,#N/A,FALSE,"012-96";#N/A,#N/A,FALSE,"018-96";#N/A,#N/A,FALSE,"027-96";#N/A,#N/A,FALSE,"059-96";#N/A,#N/A,FALSE,"076-96";#N/A,#N/A,FALSE,"019-97";#N/A,#N/A,FALSE,"021-97";#N/A,#N/A,FALSE,"022-97";#N/A,#N/A,FALSE,"028-97"}</definedName>
    <definedName name="EXT" localSheetId="4">#REF!</definedName>
    <definedName name="EXT">#REF!</definedName>
    <definedName name="EXT__m" localSheetId="4">#REF!</definedName>
    <definedName name="EXT__m">#REF!</definedName>
    <definedName name="extensao" localSheetId="4">#REF!</definedName>
    <definedName name="extensao">#REF!</definedName>
    <definedName name="EXTENSÃO">#REF!</definedName>
    <definedName name="EXTENSÃO_1">#REF!</definedName>
    <definedName name="Extrair_IM">#REF!</definedName>
    <definedName name="extred100">#REF!</definedName>
    <definedName name="EXTREDE">#REF!</definedName>
    <definedName name="EXTREDE_1">#REF!</definedName>
    <definedName name="f" localSheetId="4" hidden="1">{#N/A,#N/A,FALSE,"GERAL";#N/A,#N/A,FALSE,"012-96";#N/A,#N/A,FALSE,"018-96";#N/A,#N/A,FALSE,"027-96";#N/A,#N/A,FALSE,"059-96";#N/A,#N/A,FALSE,"076-96";#N/A,#N/A,FALSE,"019-97";#N/A,#N/A,FALSE,"021-97";#N/A,#N/A,FALSE,"022-97";#N/A,#N/A,FALSE,"028-97"}</definedName>
    <definedName name="f" localSheetId="7" hidden="1">{#N/A,#N/A,FALSE,"GERAL";#N/A,#N/A,FALSE,"012-96";#N/A,#N/A,FALSE,"018-96";#N/A,#N/A,FALSE,"027-96";#N/A,#N/A,FALSE,"059-96";#N/A,#N/A,FALSE,"076-96";#N/A,#N/A,FALSE,"019-97";#N/A,#N/A,FALSE,"021-97";#N/A,#N/A,FALSE,"022-97";#N/A,#N/A,FALSE,"028-97"}</definedName>
    <definedName name="f" localSheetId="9" hidden="1">{#N/A,#N/A,FALSE,"GERAL";#N/A,#N/A,FALSE,"012-96";#N/A,#N/A,FALSE,"018-96";#N/A,#N/A,FALSE,"027-96";#N/A,#N/A,FALSE,"059-96";#N/A,#N/A,FALSE,"076-96";#N/A,#N/A,FALSE,"019-97";#N/A,#N/A,FALSE,"021-97";#N/A,#N/A,FALSE,"022-97";#N/A,#N/A,FALSE,"028-97"}</definedName>
    <definedName name="f" localSheetId="10" hidden="1">{#N/A,#N/A,FALSE,"GERAL";#N/A,#N/A,FALSE,"012-96";#N/A,#N/A,FALSE,"018-96";#N/A,#N/A,FALSE,"027-96";#N/A,#N/A,FALSE,"059-96";#N/A,#N/A,FALSE,"076-96";#N/A,#N/A,FALSE,"019-97";#N/A,#N/A,FALSE,"021-97";#N/A,#N/A,FALSE,"022-97";#N/A,#N/A,FALSE,"028-97"}</definedName>
    <definedName name="f" localSheetId="6" hidden="1">{#N/A,#N/A,FALSE,"GERAL";#N/A,#N/A,FALSE,"012-96";#N/A,#N/A,FALSE,"018-96";#N/A,#N/A,FALSE,"027-96";#N/A,#N/A,FALSE,"059-96";#N/A,#N/A,FALSE,"076-96";#N/A,#N/A,FALSE,"019-97";#N/A,#N/A,FALSE,"021-97";#N/A,#N/A,FALSE,"022-97";#N/A,#N/A,FALSE,"028-97"}</definedName>
    <definedName name="f" localSheetId="25" hidden="1">{#N/A,#N/A,FALSE,"GERAL";#N/A,#N/A,FALSE,"012-96";#N/A,#N/A,FALSE,"018-96";#N/A,#N/A,FALSE,"027-96";#N/A,#N/A,FALSE,"059-96";#N/A,#N/A,FALSE,"076-96";#N/A,#N/A,FALSE,"019-97";#N/A,#N/A,FALSE,"021-97";#N/A,#N/A,FALSE,"022-97";#N/A,#N/A,FALSE,"028-97"}</definedName>
    <definedName name="f" localSheetId="26" hidden="1">{#N/A,#N/A,FALSE,"GERAL";#N/A,#N/A,FALSE,"012-96";#N/A,#N/A,FALSE,"018-96";#N/A,#N/A,FALSE,"027-96";#N/A,#N/A,FALSE,"059-96";#N/A,#N/A,FALSE,"076-96";#N/A,#N/A,FALSE,"019-97";#N/A,#N/A,FALSE,"021-97";#N/A,#N/A,FALSE,"022-97";#N/A,#N/A,FALSE,"028-97"}</definedName>
    <definedName name="f" hidden="1">{#N/A,#N/A,FALSE,"GERAL";#N/A,#N/A,FALSE,"012-96";#N/A,#N/A,FALSE,"018-96";#N/A,#N/A,FALSE,"027-96";#N/A,#N/A,FALSE,"059-96";#N/A,#N/A,FALSE,"076-96";#N/A,#N/A,FALSE,"019-97";#N/A,#N/A,FALSE,"021-97";#N/A,#N/A,FALSE,"022-97";#N/A,#N/A,FALSE,"028-97"}</definedName>
    <definedName name="F." localSheetId="4">#REF!</definedName>
    <definedName name="F." localSheetId="6">#REF!</definedName>
    <definedName name="F.">#REF!</definedName>
    <definedName name="FAB">"Figura 3"</definedName>
    <definedName name="FAIXACRON">#N/A</definedName>
    <definedName name="FAT">#REF!</definedName>
    <definedName name="FATELE" localSheetId="4">#REF!</definedName>
    <definedName name="FATELE">#REF!</definedName>
    <definedName name="FATMEC" localSheetId="4">#REF!</definedName>
    <definedName name="FATMEC">#REF!</definedName>
    <definedName name="fator">#REF!</definedName>
    <definedName name="fatorg">#REF!</definedName>
    <definedName name="FATTML">#REF!</definedName>
    <definedName name="FC">#REF!</definedName>
    <definedName name="fcs">#REF!</definedName>
    <definedName name="fdf" localSheetId="4">#REF!</definedName>
    <definedName name="fdf">#REF!</definedName>
    <definedName name="fdfd" localSheetId="4" hidden="1">{#N/A,#N/A,FALSE,"GERAL";#N/A,#N/A,FALSE,"012-96";#N/A,#N/A,FALSE,"018-96";#N/A,#N/A,FALSE,"027-96";#N/A,#N/A,FALSE,"059-96";#N/A,#N/A,FALSE,"076-96";#N/A,#N/A,FALSE,"019-97";#N/A,#N/A,FALSE,"021-97";#N/A,#N/A,FALSE,"022-97";#N/A,#N/A,FALSE,"028-97"}</definedName>
    <definedName name="fdfd" localSheetId="7" hidden="1">{#N/A,#N/A,FALSE,"GERAL";#N/A,#N/A,FALSE,"012-96";#N/A,#N/A,FALSE,"018-96";#N/A,#N/A,FALSE,"027-96";#N/A,#N/A,FALSE,"059-96";#N/A,#N/A,FALSE,"076-96";#N/A,#N/A,FALSE,"019-97";#N/A,#N/A,FALSE,"021-97";#N/A,#N/A,FALSE,"022-97";#N/A,#N/A,FALSE,"028-97"}</definedName>
    <definedName name="fdfd" localSheetId="9" hidden="1">{#N/A,#N/A,FALSE,"GERAL";#N/A,#N/A,FALSE,"012-96";#N/A,#N/A,FALSE,"018-96";#N/A,#N/A,FALSE,"027-96";#N/A,#N/A,FALSE,"059-96";#N/A,#N/A,FALSE,"076-96";#N/A,#N/A,FALSE,"019-97";#N/A,#N/A,FALSE,"021-97";#N/A,#N/A,FALSE,"022-97";#N/A,#N/A,FALSE,"028-97"}</definedName>
    <definedName name="fdfd" localSheetId="10" hidden="1">{#N/A,#N/A,FALSE,"GERAL";#N/A,#N/A,FALSE,"012-96";#N/A,#N/A,FALSE,"018-96";#N/A,#N/A,FALSE,"027-96";#N/A,#N/A,FALSE,"059-96";#N/A,#N/A,FALSE,"076-96";#N/A,#N/A,FALSE,"019-97";#N/A,#N/A,FALSE,"021-97";#N/A,#N/A,FALSE,"022-97";#N/A,#N/A,FALSE,"028-97"}</definedName>
    <definedName name="fdfd" localSheetId="6" hidden="1">{#N/A,#N/A,FALSE,"GERAL";#N/A,#N/A,FALSE,"012-96";#N/A,#N/A,FALSE,"018-96";#N/A,#N/A,FALSE,"027-96";#N/A,#N/A,FALSE,"059-96";#N/A,#N/A,FALSE,"076-96";#N/A,#N/A,FALSE,"019-97";#N/A,#N/A,FALSE,"021-97";#N/A,#N/A,FALSE,"022-97";#N/A,#N/A,FALSE,"028-97"}</definedName>
    <definedName name="fdfd" localSheetId="25" hidden="1">{#N/A,#N/A,FALSE,"GERAL";#N/A,#N/A,FALSE,"012-96";#N/A,#N/A,FALSE,"018-96";#N/A,#N/A,FALSE,"027-96";#N/A,#N/A,FALSE,"059-96";#N/A,#N/A,FALSE,"076-96";#N/A,#N/A,FALSE,"019-97";#N/A,#N/A,FALSE,"021-97";#N/A,#N/A,FALSE,"022-97";#N/A,#N/A,FALSE,"028-97"}</definedName>
    <definedName name="fdfd" localSheetId="26" hidden="1">{#N/A,#N/A,FALSE,"GERAL";#N/A,#N/A,FALSE,"012-96";#N/A,#N/A,FALSE,"018-96";#N/A,#N/A,FALSE,"027-96";#N/A,#N/A,FALSE,"059-96";#N/A,#N/A,FALSE,"076-96";#N/A,#N/A,FALSE,"019-97";#N/A,#N/A,FALSE,"021-97";#N/A,#N/A,FALSE,"022-97";#N/A,#N/A,FALSE,"028-97"}</definedName>
    <definedName name="fdfd" hidden="1">{#N/A,#N/A,FALSE,"GERAL";#N/A,#N/A,FALSE,"012-96";#N/A,#N/A,FALSE,"018-96";#N/A,#N/A,FALSE,"027-96";#N/A,#N/A,FALSE,"059-96";#N/A,#N/A,FALSE,"076-96";#N/A,#N/A,FALSE,"019-97";#N/A,#N/A,FALSE,"021-97";#N/A,#N/A,FALSE,"022-97";#N/A,#N/A,FALSE,"028-97"}</definedName>
    <definedName name="fdfdf" localSheetId="4" hidden="1">{#N/A,#N/A,FALSE,"GERAL";#N/A,#N/A,FALSE,"012-96";#N/A,#N/A,FALSE,"018-96";#N/A,#N/A,FALSE,"027-96";#N/A,#N/A,FALSE,"059-96";#N/A,#N/A,FALSE,"076-96";#N/A,#N/A,FALSE,"019-97";#N/A,#N/A,FALSE,"021-97";#N/A,#N/A,FALSE,"022-97";#N/A,#N/A,FALSE,"028-97"}</definedName>
    <definedName name="fdfdf" localSheetId="7" hidden="1">{#N/A,#N/A,FALSE,"GERAL";#N/A,#N/A,FALSE,"012-96";#N/A,#N/A,FALSE,"018-96";#N/A,#N/A,FALSE,"027-96";#N/A,#N/A,FALSE,"059-96";#N/A,#N/A,FALSE,"076-96";#N/A,#N/A,FALSE,"019-97";#N/A,#N/A,FALSE,"021-97";#N/A,#N/A,FALSE,"022-97";#N/A,#N/A,FALSE,"028-97"}</definedName>
    <definedName name="fdfdf" localSheetId="9" hidden="1">{#N/A,#N/A,FALSE,"GERAL";#N/A,#N/A,FALSE,"012-96";#N/A,#N/A,FALSE,"018-96";#N/A,#N/A,FALSE,"027-96";#N/A,#N/A,FALSE,"059-96";#N/A,#N/A,FALSE,"076-96";#N/A,#N/A,FALSE,"019-97";#N/A,#N/A,FALSE,"021-97";#N/A,#N/A,FALSE,"022-97";#N/A,#N/A,FALSE,"028-97"}</definedName>
    <definedName name="fdfdf" localSheetId="10" hidden="1">{#N/A,#N/A,FALSE,"GERAL";#N/A,#N/A,FALSE,"012-96";#N/A,#N/A,FALSE,"018-96";#N/A,#N/A,FALSE,"027-96";#N/A,#N/A,FALSE,"059-96";#N/A,#N/A,FALSE,"076-96";#N/A,#N/A,FALSE,"019-97";#N/A,#N/A,FALSE,"021-97";#N/A,#N/A,FALSE,"022-97";#N/A,#N/A,FALSE,"028-97"}</definedName>
    <definedName name="fdfdf" localSheetId="6" hidden="1">{#N/A,#N/A,FALSE,"GERAL";#N/A,#N/A,FALSE,"012-96";#N/A,#N/A,FALSE,"018-96";#N/A,#N/A,FALSE,"027-96";#N/A,#N/A,FALSE,"059-96";#N/A,#N/A,FALSE,"076-96";#N/A,#N/A,FALSE,"019-97";#N/A,#N/A,FALSE,"021-97";#N/A,#N/A,FALSE,"022-97";#N/A,#N/A,FALSE,"028-97"}</definedName>
    <definedName name="fdfdf" localSheetId="25" hidden="1">{#N/A,#N/A,FALSE,"GERAL";#N/A,#N/A,FALSE,"012-96";#N/A,#N/A,FALSE,"018-96";#N/A,#N/A,FALSE,"027-96";#N/A,#N/A,FALSE,"059-96";#N/A,#N/A,FALSE,"076-96";#N/A,#N/A,FALSE,"019-97";#N/A,#N/A,FALSE,"021-97";#N/A,#N/A,FALSE,"022-97";#N/A,#N/A,FALSE,"028-97"}</definedName>
    <definedName name="fdfdf" localSheetId="26" hidden="1">{#N/A,#N/A,FALSE,"GERAL";#N/A,#N/A,FALSE,"012-96";#N/A,#N/A,FALSE,"018-96";#N/A,#N/A,FALSE,"027-96";#N/A,#N/A,FALSE,"059-96";#N/A,#N/A,FALSE,"076-96";#N/A,#N/A,FALSE,"019-97";#N/A,#N/A,FALSE,"021-97";#N/A,#N/A,FALSE,"022-97";#N/A,#N/A,FALSE,"028-97"}</definedName>
    <definedName name="fdfdf" hidden="1">{#N/A,#N/A,FALSE,"GERAL";#N/A,#N/A,FALSE,"012-96";#N/A,#N/A,FALSE,"018-96";#N/A,#N/A,FALSE,"027-96";#N/A,#N/A,FALSE,"059-96";#N/A,#N/A,FALSE,"076-96";#N/A,#N/A,FALSE,"019-97";#N/A,#N/A,FALSE,"021-97";#N/A,#N/A,FALSE,"022-97";#N/A,#N/A,FALSE,"028-97"}</definedName>
    <definedName name="fdfng" localSheetId="4" hidden="1">{#N/A,#N/A,FALSE,"GERAL";#N/A,#N/A,FALSE,"012-96";#N/A,#N/A,FALSE,"018-96";#N/A,#N/A,FALSE,"027-96";#N/A,#N/A,FALSE,"059-96";#N/A,#N/A,FALSE,"076-96";#N/A,#N/A,FALSE,"019-97";#N/A,#N/A,FALSE,"021-97";#N/A,#N/A,FALSE,"022-97";#N/A,#N/A,FALSE,"028-97"}</definedName>
    <definedName name="fdfng" localSheetId="7" hidden="1">{#N/A,#N/A,FALSE,"GERAL";#N/A,#N/A,FALSE,"012-96";#N/A,#N/A,FALSE,"018-96";#N/A,#N/A,FALSE,"027-96";#N/A,#N/A,FALSE,"059-96";#N/A,#N/A,FALSE,"076-96";#N/A,#N/A,FALSE,"019-97";#N/A,#N/A,FALSE,"021-97";#N/A,#N/A,FALSE,"022-97";#N/A,#N/A,FALSE,"028-97"}</definedName>
    <definedName name="fdfng" localSheetId="9" hidden="1">{#N/A,#N/A,FALSE,"GERAL";#N/A,#N/A,FALSE,"012-96";#N/A,#N/A,FALSE,"018-96";#N/A,#N/A,FALSE,"027-96";#N/A,#N/A,FALSE,"059-96";#N/A,#N/A,FALSE,"076-96";#N/A,#N/A,FALSE,"019-97";#N/A,#N/A,FALSE,"021-97";#N/A,#N/A,FALSE,"022-97";#N/A,#N/A,FALSE,"028-97"}</definedName>
    <definedName name="fdfng" localSheetId="10" hidden="1">{#N/A,#N/A,FALSE,"GERAL";#N/A,#N/A,FALSE,"012-96";#N/A,#N/A,FALSE,"018-96";#N/A,#N/A,FALSE,"027-96";#N/A,#N/A,FALSE,"059-96";#N/A,#N/A,FALSE,"076-96";#N/A,#N/A,FALSE,"019-97";#N/A,#N/A,FALSE,"021-97";#N/A,#N/A,FALSE,"022-97";#N/A,#N/A,FALSE,"028-97"}</definedName>
    <definedName name="fdfng" localSheetId="6" hidden="1">{#N/A,#N/A,FALSE,"GERAL";#N/A,#N/A,FALSE,"012-96";#N/A,#N/A,FALSE,"018-96";#N/A,#N/A,FALSE,"027-96";#N/A,#N/A,FALSE,"059-96";#N/A,#N/A,FALSE,"076-96";#N/A,#N/A,FALSE,"019-97";#N/A,#N/A,FALSE,"021-97";#N/A,#N/A,FALSE,"022-97";#N/A,#N/A,FALSE,"028-97"}</definedName>
    <definedName name="fdfng" localSheetId="25" hidden="1">{#N/A,#N/A,FALSE,"GERAL";#N/A,#N/A,FALSE,"012-96";#N/A,#N/A,FALSE,"018-96";#N/A,#N/A,FALSE,"027-96";#N/A,#N/A,FALSE,"059-96";#N/A,#N/A,FALSE,"076-96";#N/A,#N/A,FALSE,"019-97";#N/A,#N/A,FALSE,"021-97";#N/A,#N/A,FALSE,"022-97";#N/A,#N/A,FALSE,"028-97"}</definedName>
    <definedName name="fdfng" localSheetId="26" hidden="1">{#N/A,#N/A,FALSE,"GERAL";#N/A,#N/A,FALSE,"012-96";#N/A,#N/A,FALSE,"018-96";#N/A,#N/A,FALSE,"027-96";#N/A,#N/A,FALSE,"059-96";#N/A,#N/A,FALSE,"076-96";#N/A,#N/A,FALSE,"019-97";#N/A,#N/A,FALSE,"021-97";#N/A,#N/A,FALSE,"022-97";#N/A,#N/A,FALSE,"028-97"}</definedName>
    <definedName name="fdfng" hidden="1">{#N/A,#N/A,FALSE,"GERAL";#N/A,#N/A,FALSE,"012-96";#N/A,#N/A,FALSE,"018-96";#N/A,#N/A,FALSE,"027-96";#N/A,#N/A,FALSE,"059-96";#N/A,#N/A,FALSE,"076-96";#N/A,#N/A,FALSE,"019-97";#N/A,#N/A,FALSE,"021-97";#N/A,#N/A,FALSE,"022-97";#N/A,#N/A,FALSE,"028-97"}</definedName>
    <definedName name="FG" localSheetId="4">#REF!</definedName>
    <definedName name="FG" localSheetId="6">#REF!</definedName>
    <definedName name="FG">#REF!</definedName>
    <definedName name="FGV" localSheetId="4">#REF!</definedName>
    <definedName name="FGV">#REF!</definedName>
    <definedName name="FGVC" localSheetId="4">#REF!</definedName>
    <definedName name="FGVC">#REF!</definedName>
    <definedName name="FGVC0504" localSheetId="4">#REF!</definedName>
    <definedName name="FGVC0504">#REF!</definedName>
    <definedName name="FGVSER">#REF!</definedName>
    <definedName name="fifty">#REF!</definedName>
    <definedName name="FILTRAGEM" localSheetId="4" hidden="1">{#N/A,#N/A,FALSE,"GERAL";#N/A,#N/A,FALSE,"012-96";#N/A,#N/A,FALSE,"018-96";#N/A,#N/A,FALSE,"027-96";#N/A,#N/A,FALSE,"059-96";#N/A,#N/A,FALSE,"076-96";#N/A,#N/A,FALSE,"019-97";#N/A,#N/A,FALSE,"021-97";#N/A,#N/A,FALSE,"022-97";#N/A,#N/A,FALSE,"028-97"}</definedName>
    <definedName name="FILTRAGEM" localSheetId="7" hidden="1">{#N/A,#N/A,FALSE,"GERAL";#N/A,#N/A,FALSE,"012-96";#N/A,#N/A,FALSE,"018-96";#N/A,#N/A,FALSE,"027-96";#N/A,#N/A,FALSE,"059-96";#N/A,#N/A,FALSE,"076-96";#N/A,#N/A,FALSE,"019-97";#N/A,#N/A,FALSE,"021-97";#N/A,#N/A,FALSE,"022-97";#N/A,#N/A,FALSE,"028-97"}</definedName>
    <definedName name="FILTRAGEM" localSheetId="9" hidden="1">{#N/A,#N/A,FALSE,"GERAL";#N/A,#N/A,FALSE,"012-96";#N/A,#N/A,FALSE,"018-96";#N/A,#N/A,FALSE,"027-96";#N/A,#N/A,FALSE,"059-96";#N/A,#N/A,FALSE,"076-96";#N/A,#N/A,FALSE,"019-97";#N/A,#N/A,FALSE,"021-97";#N/A,#N/A,FALSE,"022-97";#N/A,#N/A,FALSE,"028-97"}</definedName>
    <definedName name="FILTRAGEM" localSheetId="10" hidden="1">{#N/A,#N/A,FALSE,"GERAL";#N/A,#N/A,FALSE,"012-96";#N/A,#N/A,FALSE,"018-96";#N/A,#N/A,FALSE,"027-96";#N/A,#N/A,FALSE,"059-96";#N/A,#N/A,FALSE,"076-96";#N/A,#N/A,FALSE,"019-97";#N/A,#N/A,FALSE,"021-97";#N/A,#N/A,FALSE,"022-97";#N/A,#N/A,FALSE,"028-97"}</definedName>
    <definedName name="FILTRAGEM" localSheetId="6" hidden="1">{#N/A,#N/A,FALSE,"GERAL";#N/A,#N/A,FALSE,"012-96";#N/A,#N/A,FALSE,"018-96";#N/A,#N/A,FALSE,"027-96";#N/A,#N/A,FALSE,"059-96";#N/A,#N/A,FALSE,"076-96";#N/A,#N/A,FALSE,"019-97";#N/A,#N/A,FALSE,"021-97";#N/A,#N/A,FALSE,"022-97";#N/A,#N/A,FALSE,"028-97"}</definedName>
    <definedName name="FILTRAGEM" localSheetId="25" hidden="1">{#N/A,#N/A,FALSE,"GERAL";#N/A,#N/A,FALSE,"012-96";#N/A,#N/A,FALSE,"018-96";#N/A,#N/A,FALSE,"027-96";#N/A,#N/A,FALSE,"059-96";#N/A,#N/A,FALSE,"076-96";#N/A,#N/A,FALSE,"019-97";#N/A,#N/A,FALSE,"021-97";#N/A,#N/A,FALSE,"022-97";#N/A,#N/A,FALSE,"028-97"}</definedName>
    <definedName name="FILTRAGEM" localSheetId="26" hidden="1">{#N/A,#N/A,FALSE,"GERAL";#N/A,#N/A,FALSE,"012-96";#N/A,#N/A,FALSE,"018-96";#N/A,#N/A,FALSE,"027-96";#N/A,#N/A,FALSE,"059-96";#N/A,#N/A,FALSE,"076-96";#N/A,#N/A,FALSE,"019-97";#N/A,#N/A,FALSE,"021-97";#N/A,#N/A,FALSE,"022-97";#N/A,#N/A,FALSE,"028-97"}</definedName>
    <definedName name="FILTRAGEM" hidden="1">{#N/A,#N/A,FALSE,"GERAL";#N/A,#N/A,FALSE,"012-96";#N/A,#N/A,FALSE,"018-96";#N/A,#N/A,FALSE,"027-96";#N/A,#N/A,FALSE,"059-96";#N/A,#N/A,FALSE,"076-96";#N/A,#N/A,FALSE,"019-97";#N/A,#N/A,FALSE,"021-97";#N/A,#N/A,FALSE,"022-97";#N/A,#N/A,FALSE,"028-97"}</definedName>
    <definedName name="firma1" localSheetId="4">#REF!</definedName>
    <definedName name="firma1">#REF!</definedName>
    <definedName name="firma2" localSheetId="7">#REF!</definedName>
    <definedName name="firma2" localSheetId="9">#REF!</definedName>
    <definedName name="firma2" localSheetId="10">#REF!</definedName>
    <definedName name="firma2" localSheetId="6">#REF!</definedName>
    <definedName name="firma2">#REF!</definedName>
    <definedName name="fisico">#REF!</definedName>
    <definedName name="FiveA" localSheetId="4">#REF!</definedName>
    <definedName name="FiveA">#REF!</definedName>
    <definedName name="FiveB" localSheetId="4">#REF!</definedName>
    <definedName name="FiveB">#REF!</definedName>
    <definedName name="FiveC" localSheetId="4">#REF!</definedName>
    <definedName name="FiveC">#REF!</definedName>
    <definedName name="FiveD" localSheetId="4">#REF!</definedName>
    <definedName name="FiveD">#REF!</definedName>
    <definedName name="FiveE" localSheetId="4">#REF!</definedName>
    <definedName name="FiveE">#REF!</definedName>
    <definedName name="FiveF" localSheetId="4">#REF!</definedName>
    <definedName name="FiveF">#REF!</definedName>
    <definedName name="FiveG" localSheetId="4">#REF!</definedName>
    <definedName name="FiveG">#REF!</definedName>
    <definedName name="FiveH" localSheetId="4">#REF!</definedName>
    <definedName name="FiveH">#REF!</definedName>
    <definedName name="FiveI" localSheetId="4">#REF!</definedName>
    <definedName name="FiveI">#REF!</definedName>
    <definedName name="FiveJ" localSheetId="4">#REF!</definedName>
    <definedName name="FiveJ">#REF!</definedName>
    <definedName name="FiveK" localSheetId="4">#REF!</definedName>
    <definedName name="FiveK">#REF!</definedName>
    <definedName name="FiveL" localSheetId="4">#REF!</definedName>
    <definedName name="FiveL">#REF!</definedName>
    <definedName name="FiveM" localSheetId="4">#REF!</definedName>
    <definedName name="FiveM">#REF!</definedName>
    <definedName name="FO" localSheetId="4">#REF!</definedName>
    <definedName name="FO">#REF!</definedName>
    <definedName name="FOFO">#REF!</definedName>
    <definedName name="FOFO150">#REF!</definedName>
    <definedName name="FOFO200">#REF!</definedName>
    <definedName name="FOFO50">#REF!</definedName>
    <definedName name="FOFO75">#REF!</definedName>
    <definedName name="FOFO80">#REF!</definedName>
    <definedName name="FORDSUM">#N/A</definedName>
    <definedName name="FORM4" localSheetId="7">#REF!</definedName>
    <definedName name="FORM4" localSheetId="9">#REF!</definedName>
    <definedName name="FORM4" localSheetId="10">#REF!</definedName>
    <definedName name="FORM4" localSheetId="6">#REF!</definedName>
    <definedName name="FORM4">#REF!</definedName>
    <definedName name="Format" localSheetId="7">#REF!</definedName>
    <definedName name="Format" localSheetId="9">#REF!</definedName>
    <definedName name="Format" localSheetId="10">#REF!</definedName>
    <definedName name="Format" localSheetId="6">#REF!</definedName>
    <definedName name="Format">#REF!</definedName>
    <definedName name="FORMAT_">#N/A</definedName>
    <definedName name="FORMAT_1">#N/A</definedName>
    <definedName name="FORMAT_2">#N/A</definedName>
    <definedName name="FORNO" localSheetId="4">#REF!</definedName>
    <definedName name="FORNO" localSheetId="6">#REF!</definedName>
    <definedName name="FORNO">#REF!</definedName>
    <definedName name="FornosBOZ"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FornosBOZ"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FornosBOZ"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FornosBOZ"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FornosBOZ"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FornosBOZ"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FornosBOZ"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FornosBOZ"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FourA" localSheetId="4">#REF!</definedName>
    <definedName name="FourA" localSheetId="6">#REF!</definedName>
    <definedName name="FourA">#REF!</definedName>
    <definedName name="FourB" localSheetId="4">#REF!</definedName>
    <definedName name="FourB">#REF!</definedName>
    <definedName name="FourC" localSheetId="4">#REF!</definedName>
    <definedName name="FourC">#REF!</definedName>
    <definedName name="FourD" localSheetId="4">#REF!</definedName>
    <definedName name="FourD">#REF!</definedName>
    <definedName name="FourE" localSheetId="4">#REF!</definedName>
    <definedName name="FourE">#REF!</definedName>
    <definedName name="FourF" localSheetId="4">#REF!</definedName>
    <definedName name="FourF">#REF!</definedName>
    <definedName name="FourG" localSheetId="4">#REF!</definedName>
    <definedName name="FourG">#REF!</definedName>
    <definedName name="FourH" localSheetId="4">#REF!</definedName>
    <definedName name="FourH">#REF!</definedName>
    <definedName name="FourI" localSheetId="4">#REF!</definedName>
    <definedName name="FourI">#REF!</definedName>
    <definedName name="FourJ" localSheetId="4">#REF!</definedName>
    <definedName name="FourJ">#REF!</definedName>
    <definedName name="FourK" localSheetId="4">#REF!</definedName>
    <definedName name="FourK">#REF!</definedName>
    <definedName name="FourL" localSheetId="4">#REF!</definedName>
    <definedName name="FourL">#REF!</definedName>
    <definedName name="Fourm" localSheetId="4">#REF!</definedName>
    <definedName name="Fourm">#REF!</definedName>
    <definedName name="fp" localSheetId="4">#REF!</definedName>
    <definedName name="fp">#REF!</definedName>
    <definedName name="FREADVAL">#REF!</definedName>
    <definedName name="FREFIX">#REF!</definedName>
    <definedName name="FREPES">#REF!</definedName>
    <definedName name="FRESAGEM">#REF!</definedName>
    <definedName name="Frete" localSheetId="4">#REF!</definedName>
    <definedName name="Frete">#REF!</definedName>
    <definedName name="FRG">#REF!</definedName>
    <definedName name="FRONT">#REF!</definedName>
    <definedName name="fse" localSheetId="4">#REF!</definedName>
    <definedName name="fse">#REF!</definedName>
    <definedName name="fsn">#REF!</definedName>
    <definedName name="FUI">#REF!</definedName>
    <definedName name="FUNC">#N/A</definedName>
    <definedName name="função">#REF!</definedName>
    <definedName name="Fundacao_Plano_Inclinado" localSheetId="7">#REF!</definedName>
    <definedName name="Fundacao_Plano_Inclinado" localSheetId="9">#REF!</definedName>
    <definedName name="Fundacao_Plano_Inclinado" localSheetId="10">#REF!</definedName>
    <definedName name="Fundacao_Plano_Inclinado" localSheetId="6">#REF!</definedName>
    <definedName name="Fundacao_Plano_Inclinado">#REF!</definedName>
    <definedName name="FUNGER">#N/A</definedName>
    <definedName name="FUNX">#N/A</definedName>
    <definedName name="g" localSheetId="7">#REF!</definedName>
    <definedName name="g" localSheetId="9">#REF!</definedName>
    <definedName name="g" localSheetId="10">#REF!</definedName>
    <definedName name="g" localSheetId="6">#REF!</definedName>
    <definedName name="g">#REF!</definedName>
    <definedName name="GAGAGAG">#REF!</definedName>
    <definedName name="Ganhos_intangiveis" localSheetId="4">#REF!</definedName>
    <definedName name="Ganhos_intangiveis">#REF!</definedName>
    <definedName name="Ganhos_Tangiveis">#REF!</definedName>
    <definedName name="gasa" localSheetId="4" hidden="1">{#N/A,#N/A,FALSE,"GERAL";#N/A,#N/A,FALSE,"012-96";#N/A,#N/A,FALSE,"018-96";#N/A,#N/A,FALSE,"027-96";#N/A,#N/A,FALSE,"059-96";#N/A,#N/A,FALSE,"076-96";#N/A,#N/A,FALSE,"019-97";#N/A,#N/A,FALSE,"021-97";#N/A,#N/A,FALSE,"022-97";#N/A,#N/A,FALSE,"028-97"}</definedName>
    <definedName name="gasa" localSheetId="7" hidden="1">{#N/A,#N/A,FALSE,"GERAL";#N/A,#N/A,FALSE,"012-96";#N/A,#N/A,FALSE,"018-96";#N/A,#N/A,FALSE,"027-96";#N/A,#N/A,FALSE,"059-96";#N/A,#N/A,FALSE,"076-96";#N/A,#N/A,FALSE,"019-97";#N/A,#N/A,FALSE,"021-97";#N/A,#N/A,FALSE,"022-97";#N/A,#N/A,FALSE,"028-97"}</definedName>
    <definedName name="gasa" localSheetId="9" hidden="1">{#N/A,#N/A,FALSE,"GERAL";#N/A,#N/A,FALSE,"012-96";#N/A,#N/A,FALSE,"018-96";#N/A,#N/A,FALSE,"027-96";#N/A,#N/A,FALSE,"059-96";#N/A,#N/A,FALSE,"076-96";#N/A,#N/A,FALSE,"019-97";#N/A,#N/A,FALSE,"021-97";#N/A,#N/A,FALSE,"022-97";#N/A,#N/A,FALSE,"028-97"}</definedName>
    <definedName name="gasa" localSheetId="10" hidden="1">{#N/A,#N/A,FALSE,"GERAL";#N/A,#N/A,FALSE,"012-96";#N/A,#N/A,FALSE,"018-96";#N/A,#N/A,FALSE,"027-96";#N/A,#N/A,FALSE,"059-96";#N/A,#N/A,FALSE,"076-96";#N/A,#N/A,FALSE,"019-97";#N/A,#N/A,FALSE,"021-97";#N/A,#N/A,FALSE,"022-97";#N/A,#N/A,FALSE,"028-97"}</definedName>
    <definedName name="gasa" localSheetId="6" hidden="1">{#N/A,#N/A,FALSE,"GERAL";#N/A,#N/A,FALSE,"012-96";#N/A,#N/A,FALSE,"018-96";#N/A,#N/A,FALSE,"027-96";#N/A,#N/A,FALSE,"059-96";#N/A,#N/A,FALSE,"076-96";#N/A,#N/A,FALSE,"019-97";#N/A,#N/A,FALSE,"021-97";#N/A,#N/A,FALSE,"022-97";#N/A,#N/A,FALSE,"028-97"}</definedName>
    <definedName name="gasa" localSheetId="25" hidden="1">{#N/A,#N/A,FALSE,"GERAL";#N/A,#N/A,FALSE,"012-96";#N/A,#N/A,FALSE,"018-96";#N/A,#N/A,FALSE,"027-96";#N/A,#N/A,FALSE,"059-96";#N/A,#N/A,FALSE,"076-96";#N/A,#N/A,FALSE,"019-97";#N/A,#N/A,FALSE,"021-97";#N/A,#N/A,FALSE,"022-97";#N/A,#N/A,FALSE,"028-97"}</definedName>
    <definedName name="gasa" localSheetId="26" hidden="1">{#N/A,#N/A,FALSE,"GERAL";#N/A,#N/A,FALSE,"012-96";#N/A,#N/A,FALSE,"018-96";#N/A,#N/A,FALSE,"027-96";#N/A,#N/A,FALSE,"059-96";#N/A,#N/A,FALSE,"076-96";#N/A,#N/A,FALSE,"019-97";#N/A,#N/A,FALSE,"021-97";#N/A,#N/A,FALSE,"022-97";#N/A,#N/A,FALSE,"028-97"}</definedName>
    <definedName name="gasa" hidden="1">{#N/A,#N/A,FALSE,"GERAL";#N/A,#N/A,FALSE,"012-96";#N/A,#N/A,FALSE,"018-96";#N/A,#N/A,FALSE,"027-96";#N/A,#N/A,FALSE,"059-96";#N/A,#N/A,FALSE,"076-96";#N/A,#N/A,FALSE,"019-97";#N/A,#N/A,FALSE,"021-97";#N/A,#N/A,FALSE,"022-97";#N/A,#N/A,FALSE,"028-97"}</definedName>
    <definedName name="gasalves" localSheetId="4" hidden="1">{#N/A,#N/A,FALSE,"GERAL";#N/A,#N/A,FALSE,"012-96";#N/A,#N/A,FALSE,"018-96";#N/A,#N/A,FALSE,"027-96";#N/A,#N/A,FALSE,"059-96";#N/A,#N/A,FALSE,"076-96";#N/A,#N/A,FALSE,"019-97";#N/A,#N/A,FALSE,"021-97";#N/A,#N/A,FALSE,"022-97";#N/A,#N/A,FALSE,"028-97"}</definedName>
    <definedName name="gasalves" localSheetId="7" hidden="1">{#N/A,#N/A,FALSE,"GERAL";#N/A,#N/A,FALSE,"012-96";#N/A,#N/A,FALSE,"018-96";#N/A,#N/A,FALSE,"027-96";#N/A,#N/A,FALSE,"059-96";#N/A,#N/A,FALSE,"076-96";#N/A,#N/A,FALSE,"019-97";#N/A,#N/A,FALSE,"021-97";#N/A,#N/A,FALSE,"022-97";#N/A,#N/A,FALSE,"028-97"}</definedName>
    <definedName name="gasalves" localSheetId="9" hidden="1">{#N/A,#N/A,FALSE,"GERAL";#N/A,#N/A,FALSE,"012-96";#N/A,#N/A,FALSE,"018-96";#N/A,#N/A,FALSE,"027-96";#N/A,#N/A,FALSE,"059-96";#N/A,#N/A,FALSE,"076-96";#N/A,#N/A,FALSE,"019-97";#N/A,#N/A,FALSE,"021-97";#N/A,#N/A,FALSE,"022-97";#N/A,#N/A,FALSE,"028-97"}</definedName>
    <definedName name="gasalves" localSheetId="10" hidden="1">{#N/A,#N/A,FALSE,"GERAL";#N/A,#N/A,FALSE,"012-96";#N/A,#N/A,FALSE,"018-96";#N/A,#N/A,FALSE,"027-96";#N/A,#N/A,FALSE,"059-96";#N/A,#N/A,FALSE,"076-96";#N/A,#N/A,FALSE,"019-97";#N/A,#N/A,FALSE,"021-97";#N/A,#N/A,FALSE,"022-97";#N/A,#N/A,FALSE,"028-97"}</definedName>
    <definedName name="gasalves" localSheetId="6" hidden="1">{#N/A,#N/A,FALSE,"GERAL";#N/A,#N/A,FALSE,"012-96";#N/A,#N/A,FALSE,"018-96";#N/A,#N/A,FALSE,"027-96";#N/A,#N/A,FALSE,"059-96";#N/A,#N/A,FALSE,"076-96";#N/A,#N/A,FALSE,"019-97";#N/A,#N/A,FALSE,"021-97";#N/A,#N/A,FALSE,"022-97";#N/A,#N/A,FALSE,"028-97"}</definedName>
    <definedName name="gasalves" localSheetId="25" hidden="1">{#N/A,#N/A,FALSE,"GERAL";#N/A,#N/A,FALSE,"012-96";#N/A,#N/A,FALSE,"018-96";#N/A,#N/A,FALSE,"027-96";#N/A,#N/A,FALSE,"059-96";#N/A,#N/A,FALSE,"076-96";#N/A,#N/A,FALSE,"019-97";#N/A,#N/A,FALSE,"021-97";#N/A,#N/A,FALSE,"022-97";#N/A,#N/A,FALSE,"028-97"}</definedName>
    <definedName name="gasalves" localSheetId="26" hidden="1">{#N/A,#N/A,FALSE,"GERAL";#N/A,#N/A,FALSE,"012-96";#N/A,#N/A,FALSE,"018-96";#N/A,#N/A,FALSE,"027-96";#N/A,#N/A,FALSE,"059-96";#N/A,#N/A,FALSE,"076-96";#N/A,#N/A,FALSE,"019-97";#N/A,#N/A,FALSE,"021-97";#N/A,#N/A,FALSE,"022-97";#N/A,#N/A,FALSE,"028-97"}</definedName>
    <definedName name="gasalves" hidden="1">{#N/A,#N/A,FALSE,"GERAL";#N/A,#N/A,FALSE,"012-96";#N/A,#N/A,FALSE,"018-96";#N/A,#N/A,FALSE,"027-96";#N/A,#N/A,FALSE,"059-96";#N/A,#N/A,FALSE,"076-96";#N/A,#N/A,FALSE,"019-97";#N/A,#N/A,FALSE,"021-97";#N/A,#N/A,FALSE,"022-97";#N/A,#N/A,FALSE,"028-97"}</definedName>
    <definedName name="GERVAL">#N/A</definedName>
    <definedName name="GF" localSheetId="4">#REF!</definedName>
    <definedName name="GF" localSheetId="6">#REF!</definedName>
    <definedName name="GF">#REF!</definedName>
    <definedName name="ggggggg" localSheetId="4">#REF!</definedName>
    <definedName name="ggggggg">#REF!</definedName>
    <definedName name="gggggggggggggg">#REF!</definedName>
    <definedName name="gil">#REF!</definedName>
    <definedName name="gjgh" localSheetId="4" hidden="1">{#N/A,#N/A,FALSE,"GERAL";#N/A,#N/A,FALSE,"012-96";#N/A,#N/A,FALSE,"018-96";#N/A,#N/A,FALSE,"027-96";#N/A,#N/A,FALSE,"059-96";#N/A,#N/A,FALSE,"076-96";#N/A,#N/A,FALSE,"019-97";#N/A,#N/A,FALSE,"021-97";#N/A,#N/A,FALSE,"022-97";#N/A,#N/A,FALSE,"028-97"}</definedName>
    <definedName name="gjgh" localSheetId="7" hidden="1">{#N/A,#N/A,FALSE,"GERAL";#N/A,#N/A,FALSE,"012-96";#N/A,#N/A,FALSE,"018-96";#N/A,#N/A,FALSE,"027-96";#N/A,#N/A,FALSE,"059-96";#N/A,#N/A,FALSE,"076-96";#N/A,#N/A,FALSE,"019-97";#N/A,#N/A,FALSE,"021-97";#N/A,#N/A,FALSE,"022-97";#N/A,#N/A,FALSE,"028-97"}</definedName>
    <definedName name="gjgh" localSheetId="9" hidden="1">{#N/A,#N/A,FALSE,"GERAL";#N/A,#N/A,FALSE,"012-96";#N/A,#N/A,FALSE,"018-96";#N/A,#N/A,FALSE,"027-96";#N/A,#N/A,FALSE,"059-96";#N/A,#N/A,FALSE,"076-96";#N/A,#N/A,FALSE,"019-97";#N/A,#N/A,FALSE,"021-97";#N/A,#N/A,FALSE,"022-97";#N/A,#N/A,FALSE,"028-97"}</definedName>
    <definedName name="gjgh" localSheetId="10" hidden="1">{#N/A,#N/A,FALSE,"GERAL";#N/A,#N/A,FALSE,"012-96";#N/A,#N/A,FALSE,"018-96";#N/A,#N/A,FALSE,"027-96";#N/A,#N/A,FALSE,"059-96";#N/A,#N/A,FALSE,"076-96";#N/A,#N/A,FALSE,"019-97";#N/A,#N/A,FALSE,"021-97";#N/A,#N/A,FALSE,"022-97";#N/A,#N/A,FALSE,"028-97"}</definedName>
    <definedName name="gjgh" localSheetId="6" hidden="1">{#N/A,#N/A,FALSE,"GERAL";#N/A,#N/A,FALSE,"012-96";#N/A,#N/A,FALSE,"018-96";#N/A,#N/A,FALSE,"027-96";#N/A,#N/A,FALSE,"059-96";#N/A,#N/A,FALSE,"076-96";#N/A,#N/A,FALSE,"019-97";#N/A,#N/A,FALSE,"021-97";#N/A,#N/A,FALSE,"022-97";#N/A,#N/A,FALSE,"028-97"}</definedName>
    <definedName name="gjgh" localSheetId="25" hidden="1">{#N/A,#N/A,FALSE,"GERAL";#N/A,#N/A,FALSE,"012-96";#N/A,#N/A,FALSE,"018-96";#N/A,#N/A,FALSE,"027-96";#N/A,#N/A,FALSE,"059-96";#N/A,#N/A,FALSE,"076-96";#N/A,#N/A,FALSE,"019-97";#N/A,#N/A,FALSE,"021-97";#N/A,#N/A,FALSE,"022-97";#N/A,#N/A,FALSE,"028-97"}</definedName>
    <definedName name="gjgh" localSheetId="26" hidden="1">{#N/A,#N/A,FALSE,"GERAL";#N/A,#N/A,FALSE,"012-96";#N/A,#N/A,FALSE,"018-96";#N/A,#N/A,FALSE,"027-96";#N/A,#N/A,FALSE,"059-96";#N/A,#N/A,FALSE,"076-96";#N/A,#N/A,FALSE,"019-97";#N/A,#N/A,FALSE,"021-97";#N/A,#N/A,FALSE,"022-97";#N/A,#N/A,FALSE,"028-97"}</definedName>
    <definedName name="gjgh" hidden="1">{#N/A,#N/A,FALSE,"GERAL";#N/A,#N/A,FALSE,"012-96";#N/A,#N/A,FALSE,"018-96";#N/A,#N/A,FALSE,"027-96";#N/A,#N/A,FALSE,"059-96";#N/A,#N/A,FALSE,"076-96";#N/A,#N/A,FALSE,"019-97";#N/A,#N/A,FALSE,"021-97";#N/A,#N/A,FALSE,"022-97";#N/A,#N/A,FALSE,"028-97"}</definedName>
    <definedName name="graduad" localSheetId="4">#REF!</definedName>
    <definedName name="graduad" localSheetId="6">#REF!</definedName>
    <definedName name="graduad">#REF!</definedName>
    <definedName name="GRADUADA" localSheetId="4">#REF!</definedName>
    <definedName name="GRADUADA">#REF!</definedName>
    <definedName name="graf" localSheetId="4">#REF!</definedName>
    <definedName name="graf">#REF!</definedName>
    <definedName name="GRAF_1" localSheetId="4">#REF!</definedName>
    <definedName name="GRAF_1">#REF!</definedName>
    <definedName name="GRAF_1B">#REF!</definedName>
    <definedName name="GRAFACUM">#REF!</definedName>
    <definedName name="_xlnm.Recorder">#REF!</definedName>
    <definedName name="Header">#REF!</definedName>
    <definedName name="HENFEL4">#REF!</definedName>
    <definedName name="HENFEL6">#REF!</definedName>
    <definedName name="HH" localSheetId="4">#REF!</definedName>
    <definedName name="HH">#REF!</definedName>
    <definedName name="HHDESELE">#REF!</definedName>
    <definedName name="HHDESMEC">#REF!</definedName>
    <definedName name="HHENGELE">#REF!</definedName>
    <definedName name="HHENGMEC">#REF!</definedName>
    <definedName name="hhh">#REF!</definedName>
    <definedName name="HHHH"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HHHH"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HHHH"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HHHH"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HHHH"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HHHH"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HHHH"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HHHH"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HHMONELE" localSheetId="4">#REF!</definedName>
    <definedName name="HHMONELE" localSheetId="6">#REF!</definedName>
    <definedName name="HHMONELE">#REF!</definedName>
    <definedName name="HHMONMEC" localSheetId="4">#REF!</definedName>
    <definedName name="HHMONMEC">#REF!</definedName>
    <definedName name="HHPERELMECCAL">#N/A</definedName>
    <definedName name="HHPROELE" localSheetId="4">#REF!</definedName>
    <definedName name="HHPROELE" localSheetId="6">#REF!</definedName>
    <definedName name="HHPROELE">#REF!</definedName>
    <definedName name="HHPROMEC" localSheetId="4">#REF!</definedName>
    <definedName name="HHPROMEC">#REF!</definedName>
    <definedName name="HHTOTCAL">#N/A</definedName>
    <definedName name="HHTOTLIN">#N/A</definedName>
    <definedName name="HHTOTRES">#N/A</definedName>
    <definedName name="HIDRAULICA">#REF!</definedName>
    <definedName name="histo" localSheetId="4">#REF!</definedName>
    <definedName name="histo" localSheetId="6">#REF!</definedName>
    <definedName name="histo">#REF!</definedName>
    <definedName name="HoraManha1" localSheetId="4">#REF!</definedName>
    <definedName name="HoraManha1">#REF!</definedName>
    <definedName name="HoraManha2">#REF!</definedName>
    <definedName name="horas_ano">#REF!</definedName>
    <definedName name="horas_base">#REF!</definedName>
    <definedName name="HoraTarde1">#REF!</definedName>
    <definedName name="HoraTarde2">#REF!</definedName>
    <definedName name="HTML_CodePage" hidden="1">1252</definedName>
    <definedName name="HTML_Control" localSheetId="4" hidden="1">{"'Plan1 (2)'!$A$5:$F$63"}</definedName>
    <definedName name="HTML_Control" localSheetId="7" hidden="1">{"'Plan1 (2)'!$A$5:$F$63"}</definedName>
    <definedName name="HTML_Control" localSheetId="9" hidden="1">{"'Plan1 (2)'!$A$5:$F$63"}</definedName>
    <definedName name="HTML_Control" localSheetId="10" hidden="1">{"'Plan1 (2)'!$A$5:$F$63"}</definedName>
    <definedName name="HTML_Control" localSheetId="6" hidden="1">{"'Plan1 (2)'!$A$5:$F$63"}</definedName>
    <definedName name="HTML_Control" localSheetId="25" hidden="1">{"'Plan1 (2)'!$A$5:$F$63"}</definedName>
    <definedName name="HTML_Control" localSheetId="26" hidden="1">{"'Plan1 (2)'!$A$5:$F$63"}</definedName>
    <definedName name="HTML_Control" hidden="1">{"'Plan1 (2)'!$A$5:$F$63"}</definedName>
    <definedName name="HTML_Description" hidden="1">""</definedName>
    <definedName name="HTML_Email" hidden="1">""</definedName>
    <definedName name="HTML_Header" hidden="1">"Plan1 (2)"</definedName>
    <definedName name="HTML_LastUpdate" hidden="1">"04/03/1999"</definedName>
    <definedName name="HTML_LineAfter" hidden="1">FALSE</definedName>
    <definedName name="HTML_LineBefore" hidden="1">FALSE</definedName>
    <definedName name="HTML_Name" hidden="1">"Ana Tereza"</definedName>
    <definedName name="HTML_OBDlg2" hidden="1">TRUE</definedName>
    <definedName name="HTML_OBDlg4" hidden="1">TRUE</definedName>
    <definedName name="HTML_OS" hidden="1">0</definedName>
    <definedName name="HTML_PathFile" hidden="1">"V:\Operacao de Maquinas\INTERDIÇÕES NA VP\MeuHTML.htm"</definedName>
    <definedName name="HTML_Title" hidden="1">"TabLoc"</definedName>
    <definedName name="i"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AT" localSheetId="4">#REF!</definedName>
    <definedName name="IAT" localSheetId="6">#REF!</definedName>
    <definedName name="IAT">#REF!</definedName>
    <definedName name="ICAT16" localSheetId="4">#REF!</definedName>
    <definedName name="ICAT16">#REF!</definedName>
    <definedName name="ICMS">#REF!</definedName>
    <definedName name="ICMS_Solesa">#REF!</definedName>
    <definedName name="ICMS_Solesa_1">#REF!</definedName>
    <definedName name="ICMS_Solesa_2">#REF!</definedName>
    <definedName name="ICMS_Solesa_3">#REF!</definedName>
    <definedName name="IIIII"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IIII"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IIII"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IIII"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IIII"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IIII"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IIII"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IIII"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IIIIIIIIIIIIIIIIIIIIIIIIIIIIIII" localSheetId="25">#REF!,#REF!</definedName>
    <definedName name="IIIIIIIIIIIIIIIIIIIIIIIIIIIIIIII" localSheetId="26">#REF!,#REF!</definedName>
    <definedName name="IIIIIIIIIIIIIIIIIIIIIIIIIIIIIIII">#REF!,#REF!</definedName>
    <definedName name="iinstalações" localSheetId="4" hidden="1">{#N/A,#N/A,FALSE,"GERAL";#N/A,#N/A,FALSE,"012-96";#N/A,#N/A,FALSE,"018-96";#N/A,#N/A,FALSE,"027-96";#N/A,#N/A,FALSE,"059-96";#N/A,#N/A,FALSE,"076-96";#N/A,#N/A,FALSE,"019-97";#N/A,#N/A,FALSE,"021-97";#N/A,#N/A,FALSE,"022-97";#N/A,#N/A,FALSE,"028-97"}</definedName>
    <definedName name="iinstalações" localSheetId="7" hidden="1">{#N/A,#N/A,FALSE,"GERAL";#N/A,#N/A,FALSE,"012-96";#N/A,#N/A,FALSE,"018-96";#N/A,#N/A,FALSE,"027-96";#N/A,#N/A,FALSE,"059-96";#N/A,#N/A,FALSE,"076-96";#N/A,#N/A,FALSE,"019-97";#N/A,#N/A,FALSE,"021-97";#N/A,#N/A,FALSE,"022-97";#N/A,#N/A,FALSE,"028-97"}</definedName>
    <definedName name="iinstalações" localSheetId="9" hidden="1">{#N/A,#N/A,FALSE,"GERAL";#N/A,#N/A,FALSE,"012-96";#N/A,#N/A,FALSE,"018-96";#N/A,#N/A,FALSE,"027-96";#N/A,#N/A,FALSE,"059-96";#N/A,#N/A,FALSE,"076-96";#N/A,#N/A,FALSE,"019-97";#N/A,#N/A,FALSE,"021-97";#N/A,#N/A,FALSE,"022-97";#N/A,#N/A,FALSE,"028-97"}</definedName>
    <definedName name="iinstalações" localSheetId="10" hidden="1">{#N/A,#N/A,FALSE,"GERAL";#N/A,#N/A,FALSE,"012-96";#N/A,#N/A,FALSE,"018-96";#N/A,#N/A,FALSE,"027-96";#N/A,#N/A,FALSE,"059-96";#N/A,#N/A,FALSE,"076-96";#N/A,#N/A,FALSE,"019-97";#N/A,#N/A,FALSE,"021-97";#N/A,#N/A,FALSE,"022-97";#N/A,#N/A,FALSE,"028-97"}</definedName>
    <definedName name="iinstalações" localSheetId="6" hidden="1">{#N/A,#N/A,FALSE,"GERAL";#N/A,#N/A,FALSE,"012-96";#N/A,#N/A,FALSE,"018-96";#N/A,#N/A,FALSE,"027-96";#N/A,#N/A,FALSE,"059-96";#N/A,#N/A,FALSE,"076-96";#N/A,#N/A,FALSE,"019-97";#N/A,#N/A,FALSE,"021-97";#N/A,#N/A,FALSE,"022-97";#N/A,#N/A,FALSE,"028-97"}</definedName>
    <definedName name="iinstalações" localSheetId="25" hidden="1">{#N/A,#N/A,FALSE,"GERAL";#N/A,#N/A,FALSE,"012-96";#N/A,#N/A,FALSE,"018-96";#N/A,#N/A,FALSE,"027-96";#N/A,#N/A,FALSE,"059-96";#N/A,#N/A,FALSE,"076-96";#N/A,#N/A,FALSE,"019-97";#N/A,#N/A,FALSE,"021-97";#N/A,#N/A,FALSE,"022-97";#N/A,#N/A,FALSE,"028-97"}</definedName>
    <definedName name="iinstalações" localSheetId="26" hidden="1">{#N/A,#N/A,FALSE,"GERAL";#N/A,#N/A,FALSE,"012-96";#N/A,#N/A,FALSE,"018-96";#N/A,#N/A,FALSE,"027-96";#N/A,#N/A,FALSE,"059-96";#N/A,#N/A,FALSE,"076-96";#N/A,#N/A,FALSE,"019-97";#N/A,#N/A,FALSE,"021-97";#N/A,#N/A,FALSE,"022-97";#N/A,#N/A,FALSE,"028-97"}</definedName>
    <definedName name="iinstalações" hidden="1">{#N/A,#N/A,FALSE,"GERAL";#N/A,#N/A,FALSE,"012-96";#N/A,#N/A,FALSE,"018-96";#N/A,#N/A,FALSE,"027-96";#N/A,#N/A,FALSE,"059-96";#N/A,#N/A,FALSE,"076-96";#N/A,#N/A,FALSE,"019-97";#N/A,#N/A,FALSE,"021-97";#N/A,#N/A,FALSE,"022-97";#N/A,#N/A,FALSE,"028-97"}</definedName>
    <definedName name="IMP" localSheetId="4" hidden="1">#REF!</definedName>
    <definedName name="IMP" localSheetId="6" hidden="1">#REF!</definedName>
    <definedName name="IMP" hidden="1">#REF!</definedName>
    <definedName name="IMPCRON1">#N/A</definedName>
    <definedName name="Implantacao_Consulta" localSheetId="7">#REF!</definedName>
    <definedName name="Implantacao_Consulta" localSheetId="9">#REF!</definedName>
    <definedName name="Implantacao_Consulta" localSheetId="10">#REF!</definedName>
    <definedName name="Implantacao_Consulta" localSheetId="6">#REF!</definedName>
    <definedName name="Implantacao_Consulta">#REF!</definedName>
    <definedName name="imprimação" localSheetId="25">#REF!,#REF!</definedName>
    <definedName name="imprimação" localSheetId="26">#REF!,#REF!</definedName>
    <definedName name="imprimação">#REF!,#REF!</definedName>
    <definedName name="IMPRIMIR">#N/A</definedName>
    <definedName name="Imprimir_títulos_IM" localSheetId="4">#REF!</definedName>
    <definedName name="Imprimir_títulos_IM" localSheetId="6">#REF!</definedName>
    <definedName name="Imprimir_títulos_IM">#REF!</definedName>
    <definedName name="in" localSheetId="4">#REF!</definedName>
    <definedName name="in">#REF!</definedName>
    <definedName name="INCIVIL">#N/A</definedName>
    <definedName name="Indicador_Desempenho" localSheetId="4">#REF!</definedName>
    <definedName name="Indicador_Desempenho" localSheetId="6">#REF!</definedName>
    <definedName name="Indicador_Desempenho">#REF!</definedName>
    <definedName name="InhaltsvezSUMMEN" localSheetId="4">#REF!</definedName>
    <definedName name="InhaltsvezSUMMEN">#REF!</definedName>
    <definedName name="inic_aterro">#REF!</definedName>
    <definedName name="inic_capina">#REF!</definedName>
    <definedName name="inic_corte">#REF!</definedName>
    <definedName name="inic_desmat">#REF!</definedName>
    <definedName name="inic_reaterro">#REF!</definedName>
    <definedName name="inic_reg_placa">#REF!</definedName>
    <definedName name="inic_reg_rolo">#REF!</definedName>
    <definedName name="INICAL">#N/A</definedName>
    <definedName name="INICDISC">#N/A</definedName>
    <definedName name="INICIO">#N/A</definedName>
    <definedName name="INICIVIL">#N/A</definedName>
    <definedName name="INIEI">#N/A</definedName>
    <definedName name="INIEM">#N/A</definedName>
    <definedName name="INIGER">#N/A</definedName>
    <definedName name="INIJP">#N/A</definedName>
    <definedName name="INIMEC">#N/A</definedName>
    <definedName name="INITUB">#N/A</definedName>
    <definedName name="inst" localSheetId="4">#REF!</definedName>
    <definedName name="inst" localSheetId="6">#REF!</definedName>
    <definedName name="inst">#REF!</definedName>
    <definedName name="instalaçoes2" localSheetId="4" hidden="1">{#N/A,#N/A,FALSE,"GERAL";#N/A,#N/A,FALSE,"012-96";#N/A,#N/A,FALSE,"018-96";#N/A,#N/A,FALSE,"027-96";#N/A,#N/A,FALSE,"059-96";#N/A,#N/A,FALSE,"076-96";#N/A,#N/A,FALSE,"019-97";#N/A,#N/A,FALSE,"021-97";#N/A,#N/A,FALSE,"022-97";#N/A,#N/A,FALSE,"028-97"}</definedName>
    <definedName name="instalaçoes2" localSheetId="7" hidden="1">{#N/A,#N/A,FALSE,"GERAL";#N/A,#N/A,FALSE,"012-96";#N/A,#N/A,FALSE,"018-96";#N/A,#N/A,FALSE,"027-96";#N/A,#N/A,FALSE,"059-96";#N/A,#N/A,FALSE,"076-96";#N/A,#N/A,FALSE,"019-97";#N/A,#N/A,FALSE,"021-97";#N/A,#N/A,FALSE,"022-97";#N/A,#N/A,FALSE,"028-97"}</definedName>
    <definedName name="instalaçoes2" localSheetId="9" hidden="1">{#N/A,#N/A,FALSE,"GERAL";#N/A,#N/A,FALSE,"012-96";#N/A,#N/A,FALSE,"018-96";#N/A,#N/A,FALSE,"027-96";#N/A,#N/A,FALSE,"059-96";#N/A,#N/A,FALSE,"076-96";#N/A,#N/A,FALSE,"019-97";#N/A,#N/A,FALSE,"021-97";#N/A,#N/A,FALSE,"022-97";#N/A,#N/A,FALSE,"028-97"}</definedName>
    <definedName name="instalaçoes2" localSheetId="10" hidden="1">{#N/A,#N/A,FALSE,"GERAL";#N/A,#N/A,FALSE,"012-96";#N/A,#N/A,FALSE,"018-96";#N/A,#N/A,FALSE,"027-96";#N/A,#N/A,FALSE,"059-96";#N/A,#N/A,FALSE,"076-96";#N/A,#N/A,FALSE,"019-97";#N/A,#N/A,FALSE,"021-97";#N/A,#N/A,FALSE,"022-97";#N/A,#N/A,FALSE,"028-97"}</definedName>
    <definedName name="instalaçoes2" localSheetId="6" hidden="1">{#N/A,#N/A,FALSE,"GERAL";#N/A,#N/A,FALSE,"012-96";#N/A,#N/A,FALSE,"018-96";#N/A,#N/A,FALSE,"027-96";#N/A,#N/A,FALSE,"059-96";#N/A,#N/A,FALSE,"076-96";#N/A,#N/A,FALSE,"019-97";#N/A,#N/A,FALSE,"021-97";#N/A,#N/A,FALSE,"022-97";#N/A,#N/A,FALSE,"028-97"}</definedName>
    <definedName name="instalaçoes2" localSheetId="25" hidden="1">{#N/A,#N/A,FALSE,"GERAL";#N/A,#N/A,FALSE,"012-96";#N/A,#N/A,FALSE,"018-96";#N/A,#N/A,FALSE,"027-96";#N/A,#N/A,FALSE,"059-96";#N/A,#N/A,FALSE,"076-96";#N/A,#N/A,FALSE,"019-97";#N/A,#N/A,FALSE,"021-97";#N/A,#N/A,FALSE,"022-97";#N/A,#N/A,FALSE,"028-97"}</definedName>
    <definedName name="instalaçoes2" localSheetId="26" hidden="1">{#N/A,#N/A,FALSE,"GERAL";#N/A,#N/A,FALSE,"012-96";#N/A,#N/A,FALSE,"018-96";#N/A,#N/A,FALSE,"027-96";#N/A,#N/A,FALSE,"059-96";#N/A,#N/A,FALSE,"076-96";#N/A,#N/A,FALSE,"019-97";#N/A,#N/A,FALSE,"021-97";#N/A,#N/A,FALSE,"022-97";#N/A,#N/A,FALSE,"028-97"}</definedName>
    <definedName name="instalaçoes2" hidden="1">{#N/A,#N/A,FALSE,"GERAL";#N/A,#N/A,FALSE,"012-96";#N/A,#N/A,FALSE,"018-96";#N/A,#N/A,FALSE,"027-96";#N/A,#N/A,FALSE,"059-96";#N/A,#N/A,FALSE,"076-96";#N/A,#N/A,FALSE,"019-97";#N/A,#N/A,FALSE,"021-97";#N/A,#N/A,FALSE,"022-97";#N/A,#N/A,FALSE,"028-97"}</definedName>
    <definedName name="INTERCEPTORES___EMISSÁRIOS" localSheetId="4">#REF!</definedName>
    <definedName name="INTERCEPTORES___EMISSÁRIOS">#REF!</definedName>
    <definedName name="INVALIDO" localSheetId="4" hidden="1">{#N/A,#N/A,FALSE,"GERAL";#N/A,#N/A,FALSE,"012-96";#N/A,#N/A,FALSE,"018-96";#N/A,#N/A,FALSE,"027-96";#N/A,#N/A,FALSE,"059-96";#N/A,#N/A,FALSE,"076-96";#N/A,#N/A,FALSE,"019-97";#N/A,#N/A,FALSE,"021-97";#N/A,#N/A,FALSE,"022-97";#N/A,#N/A,FALSE,"028-97"}</definedName>
    <definedName name="INVALIDO" localSheetId="7" hidden="1">{#N/A,#N/A,FALSE,"GERAL";#N/A,#N/A,FALSE,"012-96";#N/A,#N/A,FALSE,"018-96";#N/A,#N/A,FALSE,"027-96";#N/A,#N/A,FALSE,"059-96";#N/A,#N/A,FALSE,"076-96";#N/A,#N/A,FALSE,"019-97";#N/A,#N/A,FALSE,"021-97";#N/A,#N/A,FALSE,"022-97";#N/A,#N/A,FALSE,"028-97"}</definedName>
    <definedName name="INVALIDO" localSheetId="9" hidden="1">{#N/A,#N/A,FALSE,"GERAL";#N/A,#N/A,FALSE,"012-96";#N/A,#N/A,FALSE,"018-96";#N/A,#N/A,FALSE,"027-96";#N/A,#N/A,FALSE,"059-96";#N/A,#N/A,FALSE,"076-96";#N/A,#N/A,FALSE,"019-97";#N/A,#N/A,FALSE,"021-97";#N/A,#N/A,FALSE,"022-97";#N/A,#N/A,FALSE,"028-97"}</definedName>
    <definedName name="INVALIDO" localSheetId="10" hidden="1">{#N/A,#N/A,FALSE,"GERAL";#N/A,#N/A,FALSE,"012-96";#N/A,#N/A,FALSE,"018-96";#N/A,#N/A,FALSE,"027-96";#N/A,#N/A,FALSE,"059-96";#N/A,#N/A,FALSE,"076-96";#N/A,#N/A,FALSE,"019-97";#N/A,#N/A,FALSE,"021-97";#N/A,#N/A,FALSE,"022-97";#N/A,#N/A,FALSE,"028-97"}</definedName>
    <definedName name="INVALIDO" localSheetId="6" hidden="1">{#N/A,#N/A,FALSE,"GERAL";#N/A,#N/A,FALSE,"012-96";#N/A,#N/A,FALSE,"018-96";#N/A,#N/A,FALSE,"027-96";#N/A,#N/A,FALSE,"059-96";#N/A,#N/A,FALSE,"076-96";#N/A,#N/A,FALSE,"019-97";#N/A,#N/A,FALSE,"021-97";#N/A,#N/A,FALSE,"022-97";#N/A,#N/A,FALSE,"028-97"}</definedName>
    <definedName name="INVALIDO" localSheetId="25" hidden="1">{#N/A,#N/A,FALSE,"GERAL";#N/A,#N/A,FALSE,"012-96";#N/A,#N/A,FALSE,"018-96";#N/A,#N/A,FALSE,"027-96";#N/A,#N/A,FALSE,"059-96";#N/A,#N/A,FALSE,"076-96";#N/A,#N/A,FALSE,"019-97";#N/A,#N/A,FALSE,"021-97";#N/A,#N/A,FALSE,"022-97";#N/A,#N/A,FALSE,"028-97"}</definedName>
    <definedName name="INVALIDO" localSheetId="26" hidden="1">{#N/A,#N/A,FALSE,"GERAL";#N/A,#N/A,FALSE,"012-96";#N/A,#N/A,FALSE,"018-96";#N/A,#N/A,FALSE,"027-96";#N/A,#N/A,FALSE,"059-96";#N/A,#N/A,FALSE,"076-96";#N/A,#N/A,FALSE,"019-97";#N/A,#N/A,FALSE,"021-97";#N/A,#N/A,FALSE,"022-97";#N/A,#N/A,FALSE,"028-97"}</definedName>
    <definedName name="INVALIDO" hidden="1">{#N/A,#N/A,FALSE,"GERAL";#N/A,#N/A,FALSE,"012-96";#N/A,#N/A,FALSE,"018-96";#N/A,#N/A,FALSE,"027-96";#N/A,#N/A,FALSE,"059-96";#N/A,#N/A,FALSE,"076-96";#N/A,#N/A,FALSE,"019-97";#N/A,#N/A,FALSE,"021-97";#N/A,#N/A,FALSE,"022-97";#N/A,#N/A,FALSE,"028-97"}</definedName>
    <definedName name="Investimento_Ano_Anterior" localSheetId="4">#REF!</definedName>
    <definedName name="Investimento_Ano_Anterior" localSheetId="6">#REF!</definedName>
    <definedName name="Investimento_Ano_Anterior">#REF!</definedName>
    <definedName name="Investimento_Ano0" localSheetId="4">#REF!</definedName>
    <definedName name="Investimento_Ano0">#REF!</definedName>
    <definedName name="Investimento_Ano1">#REF!</definedName>
    <definedName name="Investimento_Ano2">#REF!</definedName>
    <definedName name="Investimento_Ano3">#REF!</definedName>
    <definedName name="Investimento_Ano4">#REF!</definedName>
    <definedName name="Investimento_Ano5">#REF!</definedName>
    <definedName name="Investimento_Ano6">#REF!</definedName>
    <definedName name="Investimento_Total_RS">#REF!</definedName>
    <definedName name="Investimento_Total_US">#REF!</definedName>
    <definedName name="IOPES_INSUMO">#REF!</definedName>
    <definedName name="IOPES_SERVICO" localSheetId="5">#REF!</definedName>
    <definedName name="IOPES_SERVICO" localSheetId="7">#REF!</definedName>
    <definedName name="IOPES_SERVICO" localSheetId="10">#REF!</definedName>
    <definedName name="IOPES_SERVICO" localSheetId="6">#REF!</definedName>
    <definedName name="IOPES_SERVICO">#REF!</definedName>
    <definedName name="ir_032305">#REF!</definedName>
    <definedName name="IR_ABCE">#REF!</definedName>
    <definedName name="IR_DER_SSO">#REF!</definedName>
    <definedName name="IR_RD">#REF!</definedName>
    <definedName name="IR_SB">#REF!</definedName>
    <definedName name="IR_SIURB">#REF!</definedName>
    <definedName name="IRRF">#REF!</definedName>
    <definedName name="IT"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T"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T"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T"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T"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T"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T"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T"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Item" localSheetId="4">#REF!</definedName>
    <definedName name="Item" localSheetId="6">#REF!</definedName>
    <definedName name="Item">#REF!</definedName>
    <definedName name="item_1" localSheetId="4">#REF!</definedName>
    <definedName name="item_1">#REF!</definedName>
    <definedName name="item1">#REF!</definedName>
    <definedName name="ITEMFIS">#N/A</definedName>
    <definedName name="ITENS" localSheetId="4">#REF!</definedName>
    <definedName name="ITENS" localSheetId="6">#REF!</definedName>
    <definedName name="ITENS">#REF!</definedName>
    <definedName name="J" localSheetId="4">#REF!</definedName>
    <definedName name="J">#REF!</definedName>
    <definedName name="JAGUARA">#REF!</definedName>
    <definedName name="jazida5">#REF!</definedName>
    <definedName name="jazida6">#REF!</definedName>
    <definedName name="JELE">#REF!</definedName>
    <definedName name="jhb">#REF!</definedName>
    <definedName name="jjjj">#REF!</definedName>
    <definedName name="jk" localSheetId="4">#REF!</definedName>
    <definedName name="jk">#REF!</definedName>
    <definedName name="JMEC" localSheetId="4">#REF!</definedName>
    <definedName name="JMEC">#REF!</definedName>
    <definedName name="JP">#REF!</definedName>
    <definedName name="Justificativa">#REF!</definedName>
    <definedName name="justificativaProcessoCompra">#REF!</definedName>
    <definedName name="K" localSheetId="4">#REF!</definedName>
    <definedName name="K">#REF!</definedName>
    <definedName name="KA" localSheetId="4">#REF!</definedName>
    <definedName name="KA">#REF!</definedName>
    <definedName name="KJ" localSheetId="4">#REF!</definedName>
    <definedName name="KJ">#REF!</definedName>
    <definedName name="KKKK" localSheetId="25">#REF!,#REF!</definedName>
    <definedName name="KKKK" localSheetId="26">#REF!,#REF!</definedName>
    <definedName name="KKKK">#REF!,#REF!</definedName>
    <definedName name="kkkk2">#REF!,#REF!</definedName>
    <definedName name="KKKKK">#REF!</definedName>
    <definedName name="kkkkkkkk3">#REF!,#REF!</definedName>
    <definedName name="KTABEQ">#N/A</definedName>
    <definedName name="Kubus" localSheetId="4">#REF!</definedName>
    <definedName name="Kubus" localSheetId="6">#REF!</definedName>
    <definedName name="Kubus">#REF!</definedName>
    <definedName name="Kubus1" localSheetId="4">#REF!</definedName>
    <definedName name="Kubus1">#REF!</definedName>
    <definedName name="Kvenda">#REF!</definedName>
    <definedName name="LADO">#REF!</definedName>
    <definedName name="LARANJEIRAS">#REF!</definedName>
    <definedName name="LARG" localSheetId="4">#REF!</definedName>
    <definedName name="LARG">#REF!</definedName>
    <definedName name="LARGURA" localSheetId="4">#REF!</definedName>
    <definedName name="LARGURA">#REF!</definedName>
    <definedName name="LarguraAcessoCanteiro">#REF!</definedName>
    <definedName name="LarguraCanteiro">#REF!</definedName>
    <definedName name="LD" localSheetId="4">#REF!</definedName>
    <definedName name="LD">#REF!</definedName>
    <definedName name="LE" localSheetId="4">#REF!</definedName>
    <definedName name="LE">#REF!</definedName>
    <definedName name="legal"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egal"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egal"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egal"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egal"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egal"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egal"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egal"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ÇÃO" localSheetId="4">#REF!</definedName>
    <definedName name="LIGAÇÃO">#REF!</definedName>
    <definedName name="Ligas"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s"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s"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s"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s"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s"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s"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gas"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IMPA">#N/A</definedName>
    <definedName name="LIMPAR_DADOS" localSheetId="4">#REF!,#REF!,#REF!,#REF!,#REF!,#REF!,#REF!,#REF!,#REF!,#REF!,#REF!,#REF!</definedName>
    <definedName name="LIMPAR_DADOS" localSheetId="7">#REF!,#REF!,#REF!,#REF!,#REF!,#REF!,#REF!,#REF!,#REF!,#REF!,#REF!,#REF!</definedName>
    <definedName name="LIMPAR_DADOS" localSheetId="9">#REF!,#REF!,#REF!,#REF!,#REF!,#REF!,#REF!,#REF!,#REF!,#REF!,#REF!,#REF!</definedName>
    <definedName name="LIMPAR_DADOS" localSheetId="10">#REF!,#REF!,#REF!,#REF!,#REF!,#REF!,#REF!,#REF!,#REF!,#REF!,#REF!,#REF!</definedName>
    <definedName name="LIMPAR_DADOS" localSheetId="6">#REF!,#REF!,#REF!,#REF!,#REF!,#REF!,#REF!,#REF!,#REF!,#REF!,#REF!,#REF!</definedName>
    <definedName name="LIMPAR_DADOS">#REF!,#REF!,#REF!,#REF!,#REF!,#REF!,#REF!,#REF!,#REF!,#REF!,#REF!,#REF!</definedName>
    <definedName name="LIMPAR_TITULO" localSheetId="4">#REF!,#REF!,#REF!,#REF!,#REF!,#REF!,#REF!</definedName>
    <definedName name="LIMPAR_TITULO" localSheetId="7">#REF!,#REF!,#REF!,#REF!,#REF!,#REF!,#REF!</definedName>
    <definedName name="LIMPAR_TITULO" localSheetId="9">#REF!,#REF!,#REF!,#REF!,#REF!,#REF!,#REF!</definedName>
    <definedName name="LIMPAR_TITULO" localSheetId="10">#REF!,#REF!,#REF!,#REF!,#REF!,#REF!,#REF!</definedName>
    <definedName name="LIMPAR_TITULO" localSheetId="6">#REF!,#REF!,#REF!,#REF!,#REF!,#REF!,#REF!</definedName>
    <definedName name="LIMPAR_TITULO">#REF!,#REF!,#REF!,#REF!,#REF!,#REF!,#REF!</definedName>
    <definedName name="LIMPATELAS">#N/A</definedName>
    <definedName name="Line" localSheetId="4">#REF!</definedName>
    <definedName name="Line" localSheetId="6">#REF!</definedName>
    <definedName name="Line">#REF!</definedName>
    <definedName name="LINHAS_DE_RECALQUE" localSheetId="4">#REF!</definedName>
    <definedName name="LINHAS_DE_RECALQUE">#REF!</definedName>
    <definedName name="Lista">#REF!</definedName>
    <definedName name="lista_corteaterro">#REF!</definedName>
    <definedName name="lista_de_materiais">#REF!</definedName>
    <definedName name="ListaFim">#REF!</definedName>
    <definedName name="ListagemQuantidades">#REF!</definedName>
    <definedName name="ListagemServiços">#REF!</definedName>
    <definedName name="lixo">#REF!</definedName>
    <definedName name="ll">#REF!</definedName>
    <definedName name="LLL">#REF!</definedName>
    <definedName name="LLLL"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LLL"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LLL"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LLL"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LLL"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LLL"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LLL"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LLL"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LLLLL" localSheetId="25">#REF!,#REF!</definedName>
    <definedName name="LLLLL" localSheetId="26">#REF!,#REF!</definedName>
    <definedName name="LLLLL">#REF!,#REF!</definedName>
    <definedName name="LLLLLLLLLLLLLLLLLLLLLLL">#REF!,#REF!</definedName>
    <definedName name="LLLLLLLLLLLLLLLLLLLLLLLLLLLLL">#REF!,#REF!</definedName>
    <definedName name="lokar" localSheetId="4" hidden="1">{#N/A,#N/A,FALSE,"GERAL";#N/A,#N/A,FALSE,"012-96";#N/A,#N/A,FALSE,"018-96";#N/A,#N/A,FALSE,"027-96";#N/A,#N/A,FALSE,"059-96";#N/A,#N/A,FALSE,"076-96";#N/A,#N/A,FALSE,"019-97";#N/A,#N/A,FALSE,"021-97";#N/A,#N/A,FALSE,"022-97";#N/A,#N/A,FALSE,"028-97"}</definedName>
    <definedName name="lokar" localSheetId="7" hidden="1">{#N/A,#N/A,FALSE,"GERAL";#N/A,#N/A,FALSE,"012-96";#N/A,#N/A,FALSE,"018-96";#N/A,#N/A,FALSE,"027-96";#N/A,#N/A,FALSE,"059-96";#N/A,#N/A,FALSE,"076-96";#N/A,#N/A,FALSE,"019-97";#N/A,#N/A,FALSE,"021-97";#N/A,#N/A,FALSE,"022-97";#N/A,#N/A,FALSE,"028-97"}</definedName>
    <definedName name="lokar" localSheetId="9" hidden="1">{#N/A,#N/A,FALSE,"GERAL";#N/A,#N/A,FALSE,"012-96";#N/A,#N/A,FALSE,"018-96";#N/A,#N/A,FALSE,"027-96";#N/A,#N/A,FALSE,"059-96";#N/A,#N/A,FALSE,"076-96";#N/A,#N/A,FALSE,"019-97";#N/A,#N/A,FALSE,"021-97";#N/A,#N/A,FALSE,"022-97";#N/A,#N/A,FALSE,"028-97"}</definedName>
    <definedName name="lokar" localSheetId="10" hidden="1">{#N/A,#N/A,FALSE,"GERAL";#N/A,#N/A,FALSE,"012-96";#N/A,#N/A,FALSE,"018-96";#N/A,#N/A,FALSE,"027-96";#N/A,#N/A,FALSE,"059-96";#N/A,#N/A,FALSE,"076-96";#N/A,#N/A,FALSE,"019-97";#N/A,#N/A,FALSE,"021-97";#N/A,#N/A,FALSE,"022-97";#N/A,#N/A,FALSE,"028-97"}</definedName>
    <definedName name="lokar" localSheetId="6" hidden="1">{#N/A,#N/A,FALSE,"GERAL";#N/A,#N/A,FALSE,"012-96";#N/A,#N/A,FALSE,"018-96";#N/A,#N/A,FALSE,"027-96";#N/A,#N/A,FALSE,"059-96";#N/A,#N/A,FALSE,"076-96";#N/A,#N/A,FALSE,"019-97";#N/A,#N/A,FALSE,"021-97";#N/A,#N/A,FALSE,"022-97";#N/A,#N/A,FALSE,"028-97"}</definedName>
    <definedName name="lokar" localSheetId="25" hidden="1">{#N/A,#N/A,FALSE,"GERAL";#N/A,#N/A,FALSE,"012-96";#N/A,#N/A,FALSE,"018-96";#N/A,#N/A,FALSE,"027-96";#N/A,#N/A,FALSE,"059-96";#N/A,#N/A,FALSE,"076-96";#N/A,#N/A,FALSE,"019-97";#N/A,#N/A,FALSE,"021-97";#N/A,#N/A,FALSE,"022-97";#N/A,#N/A,FALSE,"028-97"}</definedName>
    <definedName name="lokar" localSheetId="26" hidden="1">{#N/A,#N/A,FALSE,"GERAL";#N/A,#N/A,FALSE,"012-96";#N/A,#N/A,FALSE,"018-96";#N/A,#N/A,FALSE,"027-96";#N/A,#N/A,FALSE,"059-96";#N/A,#N/A,FALSE,"076-96";#N/A,#N/A,FALSE,"019-97";#N/A,#N/A,FALSE,"021-97";#N/A,#N/A,FALSE,"022-97";#N/A,#N/A,FALSE,"028-97"}</definedName>
    <definedName name="lokar" hidden="1">{#N/A,#N/A,FALSE,"GERAL";#N/A,#N/A,FALSE,"012-96";#N/A,#N/A,FALSE,"018-96";#N/A,#N/A,FALSE,"027-96";#N/A,#N/A,FALSE,"059-96";#N/A,#N/A,FALSE,"076-96";#N/A,#N/A,FALSE,"019-97";#N/A,#N/A,FALSE,"021-97";#N/A,#N/A,FALSE,"022-97";#N/A,#N/A,FALSE,"028-97"}</definedName>
    <definedName name="lote" localSheetId="4">#REF!</definedName>
    <definedName name="lote">#REF!</definedName>
    <definedName name="lp" localSheetId="4">#REF!</definedName>
    <definedName name="lp">#REF!</definedName>
    <definedName name="LRANJA" localSheetId="4">#REF!</definedName>
    <definedName name="LRANJA">#REF!</definedName>
    <definedName name="LS" localSheetId="4">#REF!</definedName>
    <definedName name="LS">#REF!</definedName>
    <definedName name="lub">#REF!</definedName>
    <definedName name="luis" localSheetId="4" hidden="1">{"'Plan1 (2)'!$A$5:$F$63"}</definedName>
    <definedName name="luis" localSheetId="7" hidden="1">{"'Plan1 (2)'!$A$5:$F$63"}</definedName>
    <definedName name="luis" localSheetId="9" hidden="1">{"'Plan1 (2)'!$A$5:$F$63"}</definedName>
    <definedName name="luis" localSheetId="10" hidden="1">{"'Plan1 (2)'!$A$5:$F$63"}</definedName>
    <definedName name="luis" localSheetId="6" hidden="1">{"'Plan1 (2)'!$A$5:$F$63"}</definedName>
    <definedName name="luis" localSheetId="25" hidden="1">{"'Plan1 (2)'!$A$5:$F$63"}</definedName>
    <definedName name="luis" localSheetId="26" hidden="1">{"'Plan1 (2)'!$A$5:$F$63"}</definedName>
    <definedName name="luis" hidden="1">{"'Plan1 (2)'!$A$5:$F$63"}</definedName>
    <definedName name="LUP">#N/A</definedName>
    <definedName name="LUPENT">#N/A</definedName>
    <definedName name="M">#REF!</definedName>
    <definedName name="maodeobra">"$#REF!.$#REF!$#REF!:$#REF!$#REF!"</definedName>
    <definedName name="maodeobra20">"$#REF!.$#REF!$#REF!:$#REF!$#REF!"</definedName>
    <definedName name="margem" localSheetId="4">#REF!</definedName>
    <definedName name="margem">#REF!</definedName>
    <definedName name="Mat_Fator" localSheetId="7">#REF!</definedName>
    <definedName name="Mat_Fator" localSheetId="9">#REF!</definedName>
    <definedName name="Mat_Fator" localSheetId="10">#REF!</definedName>
    <definedName name="Mat_Fator" localSheetId="6">#REF!</definedName>
    <definedName name="Mat_Fator">#REF!</definedName>
    <definedName name="Mat_Requerido" localSheetId="7">#REF!</definedName>
    <definedName name="Mat_Requerido" localSheetId="9">#REF!</definedName>
    <definedName name="Mat_Requerido" localSheetId="10">#REF!</definedName>
    <definedName name="Mat_Requerido" localSheetId="6">#REF!</definedName>
    <definedName name="Mat_Requerido">#REF!</definedName>
    <definedName name="MATRIZ_DE_RESPONSABILIDADE" localSheetId="4">#REF!</definedName>
    <definedName name="MATRIZ_DE_RESPONSABILIDADE">#REF!</definedName>
    <definedName name="mattubcust" localSheetId="4" hidden="1">{#N/A,#N/A,FALSE,"GERAL";#N/A,#N/A,FALSE,"012-96";#N/A,#N/A,FALSE,"018-96";#N/A,#N/A,FALSE,"027-96";#N/A,#N/A,FALSE,"059-96";#N/A,#N/A,FALSE,"076-96";#N/A,#N/A,FALSE,"019-97";#N/A,#N/A,FALSE,"021-97";#N/A,#N/A,FALSE,"022-97";#N/A,#N/A,FALSE,"028-97"}</definedName>
    <definedName name="mattubcust" localSheetId="7" hidden="1">{#N/A,#N/A,FALSE,"GERAL";#N/A,#N/A,FALSE,"012-96";#N/A,#N/A,FALSE,"018-96";#N/A,#N/A,FALSE,"027-96";#N/A,#N/A,FALSE,"059-96";#N/A,#N/A,FALSE,"076-96";#N/A,#N/A,FALSE,"019-97";#N/A,#N/A,FALSE,"021-97";#N/A,#N/A,FALSE,"022-97";#N/A,#N/A,FALSE,"028-97"}</definedName>
    <definedName name="mattubcust" localSheetId="9" hidden="1">{#N/A,#N/A,FALSE,"GERAL";#N/A,#N/A,FALSE,"012-96";#N/A,#N/A,FALSE,"018-96";#N/A,#N/A,FALSE,"027-96";#N/A,#N/A,FALSE,"059-96";#N/A,#N/A,FALSE,"076-96";#N/A,#N/A,FALSE,"019-97";#N/A,#N/A,FALSE,"021-97";#N/A,#N/A,FALSE,"022-97";#N/A,#N/A,FALSE,"028-97"}</definedName>
    <definedName name="mattubcust" localSheetId="10" hidden="1">{#N/A,#N/A,FALSE,"GERAL";#N/A,#N/A,FALSE,"012-96";#N/A,#N/A,FALSE,"018-96";#N/A,#N/A,FALSE,"027-96";#N/A,#N/A,FALSE,"059-96";#N/A,#N/A,FALSE,"076-96";#N/A,#N/A,FALSE,"019-97";#N/A,#N/A,FALSE,"021-97";#N/A,#N/A,FALSE,"022-97";#N/A,#N/A,FALSE,"028-97"}</definedName>
    <definedName name="mattubcust" localSheetId="6" hidden="1">{#N/A,#N/A,FALSE,"GERAL";#N/A,#N/A,FALSE,"012-96";#N/A,#N/A,FALSE,"018-96";#N/A,#N/A,FALSE,"027-96";#N/A,#N/A,FALSE,"059-96";#N/A,#N/A,FALSE,"076-96";#N/A,#N/A,FALSE,"019-97";#N/A,#N/A,FALSE,"021-97";#N/A,#N/A,FALSE,"022-97";#N/A,#N/A,FALSE,"028-97"}</definedName>
    <definedName name="mattubcust" localSheetId="25" hidden="1">{#N/A,#N/A,FALSE,"GERAL";#N/A,#N/A,FALSE,"012-96";#N/A,#N/A,FALSE,"018-96";#N/A,#N/A,FALSE,"027-96";#N/A,#N/A,FALSE,"059-96";#N/A,#N/A,FALSE,"076-96";#N/A,#N/A,FALSE,"019-97";#N/A,#N/A,FALSE,"021-97";#N/A,#N/A,FALSE,"022-97";#N/A,#N/A,FALSE,"028-97"}</definedName>
    <definedName name="mattubcust" localSheetId="26" hidden="1">{#N/A,#N/A,FALSE,"GERAL";#N/A,#N/A,FALSE,"012-96";#N/A,#N/A,FALSE,"018-96";#N/A,#N/A,FALSE,"027-96";#N/A,#N/A,FALSE,"059-96";#N/A,#N/A,FALSE,"076-96";#N/A,#N/A,FALSE,"019-97";#N/A,#N/A,FALSE,"021-97";#N/A,#N/A,FALSE,"022-97";#N/A,#N/A,FALSE,"028-97"}</definedName>
    <definedName name="mattubcust" hidden="1">{#N/A,#N/A,FALSE,"GERAL";#N/A,#N/A,FALSE,"012-96";#N/A,#N/A,FALSE,"018-96";#N/A,#N/A,FALSE,"027-96";#N/A,#N/A,FALSE,"059-96";#N/A,#N/A,FALSE,"076-96";#N/A,#N/A,FALSE,"019-97";#N/A,#N/A,FALSE,"021-97";#N/A,#N/A,FALSE,"022-97";#N/A,#N/A,FALSE,"028-97"}</definedName>
    <definedName name="MBM" localSheetId="4">#REF!</definedName>
    <definedName name="MBM" localSheetId="6">#REF!</definedName>
    <definedName name="MBM">#REF!</definedName>
    <definedName name="MBV">"$#REF!.$A$1:$F$1"</definedName>
    <definedName name="MBV_1">#REF!</definedName>
    <definedName name="MBV_2" localSheetId="4">#REF!</definedName>
    <definedName name="MBV_2" localSheetId="7">#REF!</definedName>
    <definedName name="MBV_2" localSheetId="9">#REF!</definedName>
    <definedName name="MBV_2" localSheetId="10">#REF!</definedName>
    <definedName name="MBV_2" localSheetId="6">#REF!</definedName>
    <definedName name="MBV_2">#REF!</definedName>
    <definedName name="MBV_3" localSheetId="4">#REF!</definedName>
    <definedName name="MBV_3" localSheetId="7">#REF!</definedName>
    <definedName name="MBV_3" localSheetId="9">#REF!</definedName>
    <definedName name="MBV_3" localSheetId="10">#REF!</definedName>
    <definedName name="MBV_3" localSheetId="6">#REF!</definedName>
    <definedName name="MBV_3">#REF!</definedName>
    <definedName name="MCOD02_020_0010">#REF!</definedName>
    <definedName name="MCOD02_020_0010_1">#REF!</definedName>
    <definedName name="MCOD02_020_0070">#REF!</definedName>
    <definedName name="MCOD02_020_0070_1">#REF!</definedName>
    <definedName name="MCOD02_030_0090">#REF!</definedName>
    <definedName name="MCOD02_030_0090_1">#REF!</definedName>
    <definedName name="MCOD02_030_0100">#REF!</definedName>
    <definedName name="MCOD02_030_0100_1">#REF!</definedName>
    <definedName name="MCOD02_040_0200">#REF!</definedName>
    <definedName name="MCOD02_040_0200_1">#REF!</definedName>
    <definedName name="MCOD02_040_0280">#REF!</definedName>
    <definedName name="MCOD02_040_0280_1">#REF!</definedName>
    <definedName name="MCOD02_040_0921">#REF!</definedName>
    <definedName name="MCOD02_040_0921_1">#REF!</definedName>
    <definedName name="MCOD02_040_1055">#REF!</definedName>
    <definedName name="MCOD02_040_1055_1">#REF!</definedName>
    <definedName name="MCOD02_040_1060">#REF!</definedName>
    <definedName name="MCOD02_040_1060_1">#REF!</definedName>
    <definedName name="MCOD02_040_3790">#REF!</definedName>
    <definedName name="MCOD02_040_3790_1">#REF!</definedName>
    <definedName name="MCOD02_040_3800">#REF!</definedName>
    <definedName name="MCOD02_040_3800_1">#REF!</definedName>
    <definedName name="MCOD02_040_3810">#REF!</definedName>
    <definedName name="MCOD02_040_3810_1">#REF!</definedName>
    <definedName name="MCOD02_040_4510">#REF!</definedName>
    <definedName name="MCOD02_040_4510_1">#REF!</definedName>
    <definedName name="MCOD02_040_4520">#REF!</definedName>
    <definedName name="MCOD02_040_4520_1">#REF!</definedName>
    <definedName name="MCOD02_040_4550">#REF!</definedName>
    <definedName name="MCOD02_040_4550_1">#REF!</definedName>
    <definedName name="MCOD02_040_4620">#REF!</definedName>
    <definedName name="MCOD02_040_4620_1">#REF!</definedName>
    <definedName name="MCOD02_040_4630">#REF!</definedName>
    <definedName name="MCOD02_040_4630_1">#REF!</definedName>
    <definedName name="MCOD02_040_4636">#REF!</definedName>
    <definedName name="MCOD02_040_4636_1">#REF!</definedName>
    <definedName name="MCOD02_040_4690">#REF!</definedName>
    <definedName name="MCOD02_040_4690_1">#REF!</definedName>
    <definedName name="MCOD02_040_7402">#REF!</definedName>
    <definedName name="MCOD02_040_7402_1">#REF!</definedName>
    <definedName name="MCOD02_040_9800">#REF!</definedName>
    <definedName name="MCOD02_040_9800_1">#REF!</definedName>
    <definedName name="MCOD02_040_9802">#REF!</definedName>
    <definedName name="MCOD02_040_9802_1">#REF!</definedName>
    <definedName name="MCOD02_040_9804">#REF!</definedName>
    <definedName name="MCOD02_040_9804_1">#REF!</definedName>
    <definedName name="MCOD02_110_0014">#REF!</definedName>
    <definedName name="MCOD02_110_0014_1">#REF!</definedName>
    <definedName name="MCOD02_110_0054">#REF!</definedName>
    <definedName name="MCOD02_110_0054_1">#REF!</definedName>
    <definedName name="MCOD02_110_0066">#REF!</definedName>
    <definedName name="MCOD02_110_0066_1">#REF!</definedName>
    <definedName name="MCOD02_110_0094">#REF!</definedName>
    <definedName name="MCOD02_110_0094_1">#REF!</definedName>
    <definedName name="MCOD02_110_0106">#REF!</definedName>
    <definedName name="MCOD02_110_0106_1">#REF!</definedName>
    <definedName name="MCOD02_110_0110">#REF!</definedName>
    <definedName name="MCOD02_110_0110_1">#REF!</definedName>
    <definedName name="MCOD02_110_0134">#REF!</definedName>
    <definedName name="MCOD02_110_0134_1">#REF!</definedName>
    <definedName name="MCOD02_110_0146">#REF!</definedName>
    <definedName name="MCOD02_110_0146_1">#REF!</definedName>
    <definedName name="MCOD02_110_0150">#REF!</definedName>
    <definedName name="MCOD02_110_0150_1">#REF!</definedName>
    <definedName name="MCOD02_110_0610">#REF!</definedName>
    <definedName name="MCOD02_110_0610_1">#REF!</definedName>
    <definedName name="MCOD02_110_0620">#REF!</definedName>
    <definedName name="MCOD02_110_0620_1">#REF!</definedName>
    <definedName name="MCOD02_110_0734">#REF!</definedName>
    <definedName name="MCOD02_110_0734_1">#REF!</definedName>
    <definedName name="MCOD02_110_0738">#REF!</definedName>
    <definedName name="MCOD02_110_0738_1">#REF!</definedName>
    <definedName name="MCOD02_110_0750">#REF!</definedName>
    <definedName name="MCOD02_110_0750_1">#REF!</definedName>
    <definedName name="MCOD02_110_1014">#REF!</definedName>
    <definedName name="MCOD02_110_1014_1">#REF!</definedName>
    <definedName name="MCOD02_110_1020">#REF!</definedName>
    <definedName name="MCOD02_110_1020_1">#REF!</definedName>
    <definedName name="MCOD02_110_1164">#REF!</definedName>
    <definedName name="MCOD02_110_1164_1">#REF!</definedName>
    <definedName name="MCOD02_110_1166">#REF!</definedName>
    <definedName name="MCOD02_110_1166_1">#REF!</definedName>
    <definedName name="MCOD02_110_1420">#REF!</definedName>
    <definedName name="MCOD02_110_1420_1">#REF!</definedName>
    <definedName name="MCOD02_110_1426">#REF!</definedName>
    <definedName name="MCOD02_110_1426_1">#REF!</definedName>
    <definedName name="MCOD02_110_1654">#REF!</definedName>
    <definedName name="MCOD02_110_1654_1">#REF!</definedName>
    <definedName name="MCOD02_110_1880">#REF!</definedName>
    <definedName name="MCOD02_110_1880_1">#REF!</definedName>
    <definedName name="MCOD02_110_1974">#REF!</definedName>
    <definedName name="MCOD02_110_1974_1">#REF!</definedName>
    <definedName name="MCOD02_110_1996">#REF!</definedName>
    <definedName name="MCOD02_110_1996_1">#REF!</definedName>
    <definedName name="MCOD02_110_2012">#REF!</definedName>
    <definedName name="MCOD02_110_2012_1">#REF!</definedName>
    <definedName name="MCOD02_110_2016">#REF!</definedName>
    <definedName name="MCOD02_110_2016_1">#REF!</definedName>
    <definedName name="MCOD02_110_2024">#REF!</definedName>
    <definedName name="MCOD02_110_2024_1">#REF!</definedName>
    <definedName name="MCOD02_110_2026">#REF!</definedName>
    <definedName name="MCOD02_110_2026_1">#REF!</definedName>
    <definedName name="MCOD02_110_2310">#REF!</definedName>
    <definedName name="MCOD02_110_2310_1">#REF!</definedName>
    <definedName name="MCOD02_110_2480">#REF!</definedName>
    <definedName name="MCOD02_110_2480_1">#REF!</definedName>
    <definedName name="MCOD02_110_2798">#REF!</definedName>
    <definedName name="MCOD02_110_2798_1">#REF!</definedName>
    <definedName name="MCOD02_110_2806">#REF!</definedName>
    <definedName name="MCOD02_110_2806_1">#REF!</definedName>
    <definedName name="MCOD02_110_2868">#REF!</definedName>
    <definedName name="MCOD02_110_2868_1">#REF!</definedName>
    <definedName name="MCOD02_110_3856">#REF!</definedName>
    <definedName name="MCOD02_110_3856_1">#REF!</definedName>
    <definedName name="MCOD02_110_3908">#REF!</definedName>
    <definedName name="MCOD02_110_3908_1">#REF!</definedName>
    <definedName name="MCOD02_110_3926">#REF!</definedName>
    <definedName name="MCOD02_110_3926_1">#REF!</definedName>
    <definedName name="MCOD02_110_4288">#REF!</definedName>
    <definedName name="MCOD02_110_4288_1">#REF!</definedName>
    <definedName name="MCOD02_110_4296">#REF!</definedName>
    <definedName name="MCOD02_110_4296_1">#REF!</definedName>
    <definedName name="MCOD02_110_4308">#REF!</definedName>
    <definedName name="MCOD02_110_4308_1">#REF!</definedName>
    <definedName name="MCOD02_110_4312">#REF!</definedName>
    <definedName name="MCOD02_110_4312_1">#REF!</definedName>
    <definedName name="MCOD02_110_4320">#REF!</definedName>
    <definedName name="MCOD02_110_4320_1">#REF!</definedName>
    <definedName name="MCOD02_110_4780">#REF!</definedName>
    <definedName name="MCOD02_110_4780_1">#REF!</definedName>
    <definedName name="MCOD02_120_0050">#REF!</definedName>
    <definedName name="MCOD02_120_0050_1">#REF!</definedName>
    <definedName name="MCOD02_120_0060">#REF!</definedName>
    <definedName name="MCOD02_120_0060_1">#REF!</definedName>
    <definedName name="MCOD02_120_0140">#REF!</definedName>
    <definedName name="MCOD02_120_0140_1">#REF!</definedName>
    <definedName name="MCOD02_130_0070">#REF!</definedName>
    <definedName name="MCOD02_130_0070_1">#REF!</definedName>
    <definedName name="MCOD02_130_0080">#REF!</definedName>
    <definedName name="MCOD02_130_0080_1">#REF!</definedName>
    <definedName name="MCOD02_130_0100">#REF!</definedName>
    <definedName name="MCOD02_130_0100_1">#REF!</definedName>
    <definedName name="MCOD02_140_0030">#REF!</definedName>
    <definedName name="MCOD02_140_0030_1">#REF!</definedName>
    <definedName name="MCOD02_140_0080">#REF!</definedName>
    <definedName name="MCOD02_140_0080_1">#REF!</definedName>
    <definedName name="MCOD02_140_0090">#REF!</definedName>
    <definedName name="MCOD02_140_0090_1">#REF!</definedName>
    <definedName name="MCOD02_160_0010">#REF!</definedName>
    <definedName name="MCOD02_160_0010_1">#REF!</definedName>
    <definedName name="MCOD02_160_0110">#REF!</definedName>
    <definedName name="MCOD02_160_0110_1">#REF!</definedName>
    <definedName name="MCOD02_180_0010">#REF!</definedName>
    <definedName name="MCOD02_180_0010_1">#REF!</definedName>
    <definedName name="MCOD02_210_0020">#REF!</definedName>
    <definedName name="MCOD02_210_0020_1">#REF!</definedName>
    <definedName name="MCOD02_210_0030">#REF!</definedName>
    <definedName name="MCOD02_210_0030_1">#REF!</definedName>
    <definedName name="MCOD02_210_0090">#REF!</definedName>
    <definedName name="MCOD02_210_0090_1">#REF!</definedName>
    <definedName name="MCOD02_210_0110">#REF!</definedName>
    <definedName name="MCOD02_210_0110_1">#REF!</definedName>
    <definedName name="MCOD02_210_0310">#REF!</definedName>
    <definedName name="MCOD02_210_0310_1">#REF!</definedName>
    <definedName name="MCOD02_210_0340">#REF!</definedName>
    <definedName name="MCOD02_210_0340_1">#REF!</definedName>
    <definedName name="MCOD02_210_0350">#REF!</definedName>
    <definedName name="MCOD02_210_0350_1">#REF!</definedName>
    <definedName name="MCOD02_210_0360">#REF!</definedName>
    <definedName name="MCOD02_210_0360_1">#REF!</definedName>
    <definedName name="MCOD02_210_0370">#REF!</definedName>
    <definedName name="MCOD02_210_0370_1">#REF!</definedName>
    <definedName name="MCOD02_210_0380">#REF!</definedName>
    <definedName name="MCOD02_210_0380_1">#REF!</definedName>
    <definedName name="MCOD02_210_1620">#REF!</definedName>
    <definedName name="MCOD02_210_1620_1">#REF!</definedName>
    <definedName name="MCOD02_210_1625">#REF!</definedName>
    <definedName name="MCOD02_210_1625_1">#REF!</definedName>
    <definedName name="MCOD02_210_1635">#REF!</definedName>
    <definedName name="MCOD02_210_1635_1">#REF!</definedName>
    <definedName name="MCOD02_210_1637">#REF!</definedName>
    <definedName name="MCOD02_210_1637_1">#REF!</definedName>
    <definedName name="MCOD03_020_0020">#REF!</definedName>
    <definedName name="MCOD03_020_0020_1">#REF!</definedName>
    <definedName name="MCOD05_150_0830">#REF!</definedName>
    <definedName name="MCOD05_150_0830_1">#REF!</definedName>
    <definedName name="MCOD05_150_0840">#REF!</definedName>
    <definedName name="MCOD05_150_0840_1">#REF!</definedName>
    <definedName name="MCODCOTADO01">#REF!</definedName>
    <definedName name="MCODCOTADO01_1">#REF!</definedName>
    <definedName name="MCODCOTADO02">#REF!</definedName>
    <definedName name="MCODCOTADO02_1">#REF!</definedName>
    <definedName name="MCODCOTADO03">#REF!</definedName>
    <definedName name="MCODCOTADO03_1">#REF!</definedName>
    <definedName name="MCODCOTADO04">#REF!</definedName>
    <definedName name="MCODCOTADO04_1">#REF!</definedName>
    <definedName name="MED" localSheetId="4">#REF!</definedName>
    <definedName name="MED">#REF!</definedName>
    <definedName name="MEDICAO">#REF!</definedName>
    <definedName name="MEDIÇÃO">#REF!</definedName>
    <definedName name="medm">#REF!</definedName>
    <definedName name="meio">#REF!</definedName>
    <definedName name="meiofio">#REF!</definedName>
    <definedName name="mEMÓRIA">#REF!</definedName>
    <definedName name="MENSAGENS">#N/A</definedName>
    <definedName name="MENU">#N/A</definedName>
    <definedName name="MENU5">#N/A</definedName>
    <definedName name="MENU6">#N/A</definedName>
    <definedName name="MENU6A">#N/A</definedName>
    <definedName name="MENU6B">#N/A</definedName>
    <definedName name="MENU7">#N/A</definedName>
    <definedName name="MENU8">#N/A</definedName>
    <definedName name="MES" localSheetId="4">#REF!</definedName>
    <definedName name="MES" localSheetId="6">#REF!</definedName>
    <definedName name="MES">#REF!</definedName>
    <definedName name="Meses" localSheetId="4">#REF!</definedName>
    <definedName name="Meses">#REF!</definedName>
    <definedName name="MINPGPELE">#REF!</definedName>
    <definedName name="MINPGPMEC">#REF!</definedName>
    <definedName name="MIX">#REF!</definedName>
    <definedName name="mm">#REF!</definedName>
    <definedName name="MMMMM"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MMMMM"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MMMMM"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MMMMM"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MMMMM"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MMMMM"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MMMMM"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MMMMM"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MMMMMMMMM" localSheetId="4">#REF!</definedName>
    <definedName name="MMMMMMMMM">#REF!</definedName>
    <definedName name="MMMMMMMMMMMMMMM" localSheetId="25">#REF!,#REF!</definedName>
    <definedName name="MMMMMMMMMMMMMMM" localSheetId="26">#REF!,#REF!</definedName>
    <definedName name="MMMMMMMMMMMMMMM">#REF!,#REF!</definedName>
    <definedName name="Mob" localSheetId="4">#REF!</definedName>
    <definedName name="Mob" localSheetId="7">#REF!</definedName>
    <definedName name="Mob" localSheetId="9">#REF!</definedName>
    <definedName name="Mob" localSheetId="10">#REF!</definedName>
    <definedName name="Mob" localSheetId="6">#REF!</definedName>
    <definedName name="Mob">#REF!</definedName>
    <definedName name="MOBIL1">#N/A</definedName>
    <definedName name="MOBIL2">#N/A</definedName>
    <definedName name="MOBIL3">#N/A</definedName>
    <definedName name="MOBILIZACAO">#N/A</definedName>
    <definedName name="MOLAS_AÇO" localSheetId="4">#REF!</definedName>
    <definedName name="MOLAS_AÇO" localSheetId="6">#REF!</definedName>
    <definedName name="MOLAS_AÇO">#REF!</definedName>
    <definedName name="Montagem" localSheetId="4">#REF!</definedName>
    <definedName name="Montagem">#REF!</definedName>
    <definedName name="motor4">#REF!</definedName>
    <definedName name="motor6">#REF!</definedName>
    <definedName name="MTOT02_020_0010">#REF!</definedName>
    <definedName name="MTOT02_020_0010_1">#REF!</definedName>
    <definedName name="MTOT02_020_0070">#REF!</definedName>
    <definedName name="MTOT02_020_0070_1">#REF!</definedName>
    <definedName name="MTOT02_030_0090">#REF!</definedName>
    <definedName name="MTOT02_030_0090_1">#REF!</definedName>
    <definedName name="MTOT02_030_0100">#REF!</definedName>
    <definedName name="MTOT02_030_0100_1">#REF!</definedName>
    <definedName name="MTOT02_040_0200">#REF!</definedName>
    <definedName name="MTOT02_040_0200_1">#REF!</definedName>
    <definedName name="MTOT02_040_0280">#REF!</definedName>
    <definedName name="MTOT02_040_0280_1">#REF!</definedName>
    <definedName name="MTOT02_040_0921">#REF!</definedName>
    <definedName name="MTOT02_040_0921_1">#REF!</definedName>
    <definedName name="MTOT02_040_1055">#REF!</definedName>
    <definedName name="MTOT02_040_1055_1">#REF!</definedName>
    <definedName name="MTOT02_040_1060">#REF!</definedName>
    <definedName name="MTOT02_040_1060_1">#REF!</definedName>
    <definedName name="MTOT02_040_3790">#REF!</definedName>
    <definedName name="MTOT02_040_3790_1">#REF!</definedName>
    <definedName name="MTOT02_040_3800">#REF!</definedName>
    <definedName name="MTOT02_040_3800_1">#REF!</definedName>
    <definedName name="MTOT02_040_3810">#REF!</definedName>
    <definedName name="MTOT02_040_3810_1">#REF!</definedName>
    <definedName name="MTOT02_040_4510">#REF!</definedName>
    <definedName name="MTOT02_040_4510_1">#REF!</definedName>
    <definedName name="MTOT02_040_4520">#REF!</definedName>
    <definedName name="MTOT02_040_4520_1">#REF!</definedName>
    <definedName name="MTOT02_040_4550">#REF!</definedName>
    <definedName name="MTOT02_040_4550_1">#REF!</definedName>
    <definedName name="MTOT02_040_4620">#REF!</definedName>
    <definedName name="MTOT02_040_4620_1">#REF!</definedName>
    <definedName name="MTOT02_040_4630">#REF!</definedName>
    <definedName name="MTOT02_040_4630_1">#REF!</definedName>
    <definedName name="MTOT02_040_4636">#REF!</definedName>
    <definedName name="MTOT02_040_4636_1">#REF!</definedName>
    <definedName name="MTOT02_040_4690">#REF!</definedName>
    <definedName name="MTOT02_040_4690_1">#REF!</definedName>
    <definedName name="MTOT02_040_7402">#REF!</definedName>
    <definedName name="MTOT02_040_7402_1">#REF!</definedName>
    <definedName name="MTOT02_040_9800">#REF!</definedName>
    <definedName name="MTOT02_040_9800_1">#REF!</definedName>
    <definedName name="MTOT02_040_9802">#REF!</definedName>
    <definedName name="MTOT02_040_9802_1">#REF!</definedName>
    <definedName name="MTOT02_040_9804">#REF!</definedName>
    <definedName name="MTOT02_040_9804_1">#REF!</definedName>
    <definedName name="MTOT02_110_0014">#REF!</definedName>
    <definedName name="MTOT02_110_0014_1">#REF!</definedName>
    <definedName name="MTOT02_110_0054">#REF!</definedName>
    <definedName name="MTOT02_110_0054_1">#REF!</definedName>
    <definedName name="MTOT02_110_0066">#REF!</definedName>
    <definedName name="MTOT02_110_0066_1">#REF!</definedName>
    <definedName name="MTOT02_110_0094">#REF!</definedName>
    <definedName name="MTOT02_110_0094_1">#REF!</definedName>
    <definedName name="MTOT02_110_0106">#REF!</definedName>
    <definedName name="MTOT02_110_0106_1">#REF!</definedName>
    <definedName name="MTOT02_110_0110">#REF!</definedName>
    <definedName name="MTOT02_110_0110_1">#REF!</definedName>
    <definedName name="MTOT02_110_0134">#REF!</definedName>
    <definedName name="MTOT02_110_0134_1">#REF!</definedName>
    <definedName name="MTOT02_110_0146">#REF!</definedName>
    <definedName name="MTOT02_110_0146_1">#REF!</definedName>
    <definedName name="MTOT02_110_0150">#REF!</definedName>
    <definedName name="MTOT02_110_0150_1">#REF!</definedName>
    <definedName name="MTOT02_110_0610">#REF!</definedName>
    <definedName name="MTOT02_110_0610_1">#REF!</definedName>
    <definedName name="MTOT02_110_0620">#REF!</definedName>
    <definedName name="MTOT02_110_0620_1">#REF!</definedName>
    <definedName name="MTOT02_110_0734">#REF!</definedName>
    <definedName name="MTOT02_110_0734_1">#REF!</definedName>
    <definedName name="MTOT02_110_0738">#REF!</definedName>
    <definedName name="MTOT02_110_0738_1">#REF!</definedName>
    <definedName name="MTOT02_110_0750">#REF!</definedName>
    <definedName name="MTOT02_110_0750_1">#REF!</definedName>
    <definedName name="MTOT02_110_1014">#REF!</definedName>
    <definedName name="MTOT02_110_1014_1">#REF!</definedName>
    <definedName name="MTOT02_110_1020">#REF!</definedName>
    <definedName name="MTOT02_110_1020_1">#REF!</definedName>
    <definedName name="MTOT02_110_1164">#REF!</definedName>
    <definedName name="MTOT02_110_1164_1">#REF!</definedName>
    <definedName name="MTOT02_110_1166">#REF!</definedName>
    <definedName name="MTOT02_110_1166_1">#REF!</definedName>
    <definedName name="MTOT02_110_1420">#REF!</definedName>
    <definedName name="MTOT02_110_1420_1">#REF!</definedName>
    <definedName name="MTOT02_110_1426">#REF!</definedName>
    <definedName name="MTOT02_110_1426_1">#REF!</definedName>
    <definedName name="MTOT02_110_1654">#REF!</definedName>
    <definedName name="MTOT02_110_1654_1">#REF!</definedName>
    <definedName name="MTOT02_110_1880">#REF!</definedName>
    <definedName name="MTOT02_110_1880_1">#REF!</definedName>
    <definedName name="MTOT02_110_1974">#REF!</definedName>
    <definedName name="MTOT02_110_1974_1">#REF!</definedName>
    <definedName name="MTOT02_110_1996">#REF!</definedName>
    <definedName name="MTOT02_110_1996_1">#REF!</definedName>
    <definedName name="MTOT02_110_2012">#REF!</definedName>
    <definedName name="MTOT02_110_2012_1">#REF!</definedName>
    <definedName name="MTOT02_110_2016">#REF!</definedName>
    <definedName name="MTOT02_110_2016_1">#REF!</definedName>
    <definedName name="MTOT02_110_2024">#REF!</definedName>
    <definedName name="MTOT02_110_2024_1">#REF!</definedName>
    <definedName name="MTOT02_110_2026">#REF!</definedName>
    <definedName name="MTOT02_110_2026_1">#REF!</definedName>
    <definedName name="MTOT02_110_2310">#REF!</definedName>
    <definedName name="MTOT02_110_2310_1">#REF!</definedName>
    <definedName name="MTOT02_110_2480">#REF!</definedName>
    <definedName name="MTOT02_110_2480_1">#REF!</definedName>
    <definedName name="MTOT02_110_2798">#REF!</definedName>
    <definedName name="MTOT02_110_2798_1">#REF!</definedName>
    <definedName name="MTOT02_110_2806">#REF!</definedName>
    <definedName name="MTOT02_110_2806_1">#REF!</definedName>
    <definedName name="MTOT02_110_2868">#REF!</definedName>
    <definedName name="MTOT02_110_2868_1">#REF!</definedName>
    <definedName name="MTOT02_110_3856">#REF!</definedName>
    <definedName name="MTOT02_110_3856_1">#REF!</definedName>
    <definedName name="MTOT02_110_3908">#REF!</definedName>
    <definedName name="MTOT02_110_3908_1">#REF!</definedName>
    <definedName name="MTOT02_110_3926">#REF!</definedName>
    <definedName name="MTOT02_110_3926_1">#REF!</definedName>
    <definedName name="MTOT02_110_4288">#REF!</definedName>
    <definedName name="MTOT02_110_4288_1">#REF!</definedName>
    <definedName name="MTOT02_110_4296">#REF!</definedName>
    <definedName name="MTOT02_110_4296_1">#REF!</definedName>
    <definedName name="MTOT02_110_4308">#REF!</definedName>
    <definedName name="MTOT02_110_4308_1">#REF!</definedName>
    <definedName name="MTOT02_110_4312">#REF!</definedName>
    <definedName name="MTOT02_110_4312_1">#REF!</definedName>
    <definedName name="MTOT02_110_4320">#REF!</definedName>
    <definedName name="MTOT02_110_4320_1">#REF!</definedName>
    <definedName name="MTOT02_110_4780">#REF!</definedName>
    <definedName name="MTOT02_110_4780_1">#REF!</definedName>
    <definedName name="MTOT02_110_610">#REF!</definedName>
    <definedName name="MTOT02_110_610_1">#REF!</definedName>
    <definedName name="MTOT02_120_0050">#REF!</definedName>
    <definedName name="MTOT02_120_0050_1">#REF!</definedName>
    <definedName name="MTOT02_120_0060">#REF!</definedName>
    <definedName name="MTOT02_120_0060_1">#REF!</definedName>
    <definedName name="MTOT02_120_0140">#REF!</definedName>
    <definedName name="MTOT02_120_0140_1">#REF!</definedName>
    <definedName name="MTOT02_130_0070">#REF!</definedName>
    <definedName name="MTOT02_130_0070_1">#REF!</definedName>
    <definedName name="MTOT02_130_0080">#REF!</definedName>
    <definedName name="MTOT02_130_0080_1">#REF!</definedName>
    <definedName name="MTOT02_130_0100">#REF!</definedName>
    <definedName name="MTOT02_130_0100_1">#REF!</definedName>
    <definedName name="MTOT02_140_0030">#REF!</definedName>
    <definedName name="MTOT02_140_0030_1">#REF!</definedName>
    <definedName name="MTOT02_140_0080">#REF!</definedName>
    <definedName name="MTOT02_140_0080_1">#REF!</definedName>
    <definedName name="MTOT02_140_0090">#REF!</definedName>
    <definedName name="MTOT02_140_0090_1">#REF!</definedName>
    <definedName name="MTOT02_160_0010">#REF!</definedName>
    <definedName name="MTOT02_160_0010_1">#REF!</definedName>
    <definedName name="MTOT02_160_0110">#REF!</definedName>
    <definedName name="MTOT02_160_0110_1">#REF!</definedName>
    <definedName name="MTOT02_180_0010">#REF!</definedName>
    <definedName name="MTOT02_180_0010_1">#REF!</definedName>
    <definedName name="MTOT02_210_0020">#REF!</definedName>
    <definedName name="MTOT02_210_0020_1">#REF!</definedName>
    <definedName name="MTOT02_210_0030">#REF!</definedName>
    <definedName name="MTOT02_210_0030_1">#REF!</definedName>
    <definedName name="MTOT02_210_0090">#REF!</definedName>
    <definedName name="MTOT02_210_0090_1">#REF!</definedName>
    <definedName name="MTOT02_210_0110">#REF!</definedName>
    <definedName name="MTOT02_210_0110_1">#REF!</definedName>
    <definedName name="MTOT02_210_0310">#REF!</definedName>
    <definedName name="MTOT02_210_0310_1">#REF!</definedName>
    <definedName name="MTOT02_210_0340">#REF!</definedName>
    <definedName name="MTOT02_210_0340_1">#REF!</definedName>
    <definedName name="MTOT02_210_0350">#REF!</definedName>
    <definedName name="MTOT02_210_0350_1">#REF!</definedName>
    <definedName name="MTOT02_210_0360">#REF!</definedName>
    <definedName name="MTOT02_210_0360_1">#REF!</definedName>
    <definedName name="MTOT02_210_0370">#REF!</definedName>
    <definedName name="MTOT02_210_0370_1">#REF!</definedName>
    <definedName name="MTOT02_210_0380">#REF!</definedName>
    <definedName name="MTOT02_210_0380_1">#REF!</definedName>
    <definedName name="MTOT02_210_1620">#REF!</definedName>
    <definedName name="MTOT02_210_1620_1">#REF!</definedName>
    <definedName name="MTOT02_210_1625">#REF!</definedName>
    <definedName name="MTOT02_210_1625_1">#REF!</definedName>
    <definedName name="MTOT02_210_1635">#REF!</definedName>
    <definedName name="MTOT02_210_1635_1">#REF!</definedName>
    <definedName name="MTOT02_210_1637">#REF!</definedName>
    <definedName name="MTOT02_210_1637_1">#REF!</definedName>
    <definedName name="MTOT02_2140_">#REF!</definedName>
    <definedName name="MTOT02_2140__1">#REF!</definedName>
    <definedName name="MTOT03_020_0020">#REF!</definedName>
    <definedName name="MTOT03_020_0020_1">#REF!</definedName>
    <definedName name="MTOT05_150_0830">#REF!</definedName>
    <definedName name="MTOT05_150_0830_1">#REF!</definedName>
    <definedName name="MTOT05_150_0840">#REF!</definedName>
    <definedName name="MTOT05_150_0840_1">#REF!</definedName>
    <definedName name="MTOTCOTADO01">#REF!</definedName>
    <definedName name="MTOTCOTADO01_1">#REF!</definedName>
    <definedName name="MTOTCOTADO02">#REF!</definedName>
    <definedName name="MTOTCOTADO02_1">#REF!</definedName>
    <definedName name="MTOTCOTADO03">#REF!</definedName>
    <definedName name="MTOTCOTADO03_1">#REF!</definedName>
    <definedName name="MTOTCOTADO04">#REF!</definedName>
    <definedName name="MTOTCOTADO04_1">#REF!</definedName>
    <definedName name="MTOTCOTADO05">#REF!</definedName>
    <definedName name="MTOTCOTADO05_1">#REF!</definedName>
    <definedName name="MTOTCOTADO21">#REF!</definedName>
    <definedName name="MTOTCOTADO21_1">#REF!</definedName>
    <definedName name="MTOTVERBA">#REF!</definedName>
    <definedName name="MTOTVERBA_1">#REF!</definedName>
    <definedName name="MTV1_DIAM">#REF!</definedName>
    <definedName name="MTV1_VALV">#REF!</definedName>
    <definedName name="MTV2_DIAM">#REF!</definedName>
    <definedName name="MTV2_VALV">#REF!</definedName>
    <definedName name="MTV3_DIAM">#REF!</definedName>
    <definedName name="MTV3_VALV">#REF!</definedName>
    <definedName name="MTV4_DIAM">#REF!</definedName>
    <definedName name="MTV4_VALV">#REF!</definedName>
    <definedName name="MTV5_DIAM">#REF!</definedName>
    <definedName name="MTV5_VALV">#REF!</definedName>
    <definedName name="Mult">#REF!</definedName>
    <definedName name="N" localSheetId="4">#REF!</definedName>
    <definedName name="N">#REF!</definedName>
    <definedName name="N5200100" localSheetId="4">#REF!</definedName>
    <definedName name="N5200100">#REF!</definedName>
    <definedName name="N5203900">#REF!</definedName>
    <definedName name="N5213300">#REF!</definedName>
    <definedName name="N5216100">#REF!</definedName>
    <definedName name="N5216200">#REF!</definedName>
    <definedName name="N5219100">#REF!</definedName>
    <definedName name="N5226200">#REF!</definedName>
    <definedName name="N5245600">#REF!</definedName>
    <definedName name="N5246100">#REF!</definedName>
    <definedName name="N5246500">#REF!</definedName>
    <definedName name="N5246600">#REF!</definedName>
    <definedName name="N5246700">#REF!</definedName>
    <definedName name="N5246900">#REF!</definedName>
    <definedName name="N5246900_OUTROS">#REF!</definedName>
    <definedName name="N5264100">#REF!</definedName>
    <definedName name="N5270200">#REF!</definedName>
    <definedName name="N5270700">#REF!</definedName>
    <definedName name="N5280100">#REF!</definedName>
    <definedName name="N5281900">#REF!</definedName>
    <definedName name="NADA">#N/A</definedName>
    <definedName name="nhb" localSheetId="4">#REF!</definedName>
    <definedName name="nhb" localSheetId="7">#REF!</definedName>
    <definedName name="nhb" localSheetId="9">#REF!</definedName>
    <definedName name="nhb" localSheetId="10">#REF!</definedName>
    <definedName name="nhb" localSheetId="6">#REF!</definedName>
    <definedName name="nhb">#REF!</definedName>
    <definedName name="NN">"Dialog Frame 1"</definedName>
    <definedName name="NNNNN"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NNNN"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NNNN"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NNNN"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NNNN"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NNNN"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NNNN"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NNNN"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nnnnnnnnn" localSheetId="4">#REF!</definedName>
    <definedName name="nnnnnnnnnn" localSheetId="6">#REF!</definedName>
    <definedName name="nnnnnnnnnn">#REF!</definedName>
    <definedName name="NNNNNNNNNNN" localSheetId="25">#REF!,#REF!</definedName>
    <definedName name="NNNNNNNNNNN" localSheetId="26">#REF!,#REF!</definedName>
    <definedName name="NNNNNNNNNNN">#REF!,#REF!</definedName>
    <definedName name="NNNNNNNNNNNN">#REF!,#REF!</definedName>
    <definedName name="NNNNNNNNNNNNNNNN">#REF!,#REF!</definedName>
    <definedName name="Nº">#REF!</definedName>
    <definedName name="NºChicanas" localSheetId="4">#REF!</definedName>
    <definedName name="NºChicanas">#REF!</definedName>
    <definedName name="NOME"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_BI_1">#REF!</definedName>
    <definedName name="NOME_BI_2">#REF!</definedName>
    <definedName name="NOME_BI_3">#REF!</definedName>
    <definedName name="NOME_BI_4">#REF!</definedName>
    <definedName name="NOME_BS_1" localSheetId="4">#REF!</definedName>
    <definedName name="NOME_BS_1" localSheetId="5">#REF!</definedName>
    <definedName name="NOME_BS_1" localSheetId="7">#REF!</definedName>
    <definedName name="NOME_BS_1" localSheetId="10">#REF!</definedName>
    <definedName name="NOME_BS_1" localSheetId="6">#REF!</definedName>
    <definedName name="NOME_BS_1">#REF!</definedName>
    <definedName name="NOME_BS_10" localSheetId="4">#REF!</definedName>
    <definedName name="NOME_BS_10" localSheetId="5">#REF!</definedName>
    <definedName name="NOME_BS_10" localSheetId="7">#REF!</definedName>
    <definedName name="NOME_BS_10" localSheetId="10">#REF!</definedName>
    <definedName name="NOME_BS_10" localSheetId="6">#REF!</definedName>
    <definedName name="NOME_BS_10">#REF!</definedName>
    <definedName name="NOME_BS_2" localSheetId="4">#REF!</definedName>
    <definedName name="NOME_BS_2" localSheetId="5">#REF!</definedName>
    <definedName name="NOME_BS_2" localSheetId="7">#REF!</definedName>
    <definedName name="NOME_BS_2" localSheetId="10">#REF!</definedName>
    <definedName name="NOME_BS_2" localSheetId="6">#REF!</definedName>
    <definedName name="NOME_BS_2">#REF!</definedName>
    <definedName name="NOME_BS_3" localSheetId="5">#REF!</definedName>
    <definedName name="NOME_BS_3" localSheetId="7">#REF!</definedName>
    <definedName name="NOME_BS_3" localSheetId="10">#REF!</definedName>
    <definedName name="NOME_BS_3" localSheetId="6">#REF!</definedName>
    <definedName name="NOME_BS_3">#REF!</definedName>
    <definedName name="NOME_BS_4" localSheetId="5">#REF!</definedName>
    <definedName name="NOME_BS_4" localSheetId="7">#REF!</definedName>
    <definedName name="NOME_BS_4" localSheetId="10">#REF!</definedName>
    <definedName name="NOME_BS_4" localSheetId="6">#REF!</definedName>
    <definedName name="NOME_BS_4">#REF!</definedName>
    <definedName name="NOME_BS_5" localSheetId="5">#REF!</definedName>
    <definedName name="NOME_BS_5" localSheetId="7">#REF!</definedName>
    <definedName name="NOME_BS_5" localSheetId="10">#REF!</definedName>
    <definedName name="NOME_BS_5" localSheetId="6">#REF!</definedName>
    <definedName name="NOME_BS_5">#REF!</definedName>
    <definedName name="NOME_BS_6" localSheetId="5">#REF!</definedName>
    <definedName name="NOME_BS_6" localSheetId="7">#REF!</definedName>
    <definedName name="NOME_BS_6" localSheetId="10">#REF!</definedName>
    <definedName name="NOME_BS_6" localSheetId="6">#REF!</definedName>
    <definedName name="NOME_BS_6">#REF!</definedName>
    <definedName name="NOME_BS_7" localSheetId="5">#REF!</definedName>
    <definedName name="NOME_BS_7" localSheetId="7">#REF!</definedName>
    <definedName name="NOME_BS_7" localSheetId="10">#REF!</definedName>
    <definedName name="NOME_BS_7" localSheetId="6">#REF!</definedName>
    <definedName name="NOME_BS_7">#REF!</definedName>
    <definedName name="NOME_BS_8" localSheetId="5">#REF!</definedName>
    <definedName name="NOME_BS_8" localSheetId="7">#REF!</definedName>
    <definedName name="NOME_BS_8" localSheetId="10">#REF!</definedName>
    <definedName name="NOME_BS_8" localSheetId="6">#REF!</definedName>
    <definedName name="NOME_BS_8">#REF!</definedName>
    <definedName name="NOME_BS_9" localSheetId="5">#REF!</definedName>
    <definedName name="NOME_BS_9" localSheetId="7">#REF!</definedName>
    <definedName name="NOME_BS_9" localSheetId="10">#REF!</definedName>
    <definedName name="NOME_BS_9" localSheetId="6">#REF!</definedName>
    <definedName name="NOME_BS_9">#REF!</definedName>
    <definedName name="NOME2"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2"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2"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2"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2"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2"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2"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3"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3"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3"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3"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3"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3"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3"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3"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4"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4"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4"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4"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4"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4"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4"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5"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5"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5"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5"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5"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5"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5"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ARQ">#N/A</definedName>
    <definedName name="NOMES">#N/A</definedName>
    <definedName name="NOMES__">#N/A</definedName>
    <definedName name="NOMES1">#N/A</definedName>
    <definedName name="NOMESFIS">#N/A</definedName>
    <definedName name="NomeUsuario" localSheetId="4">#REF!</definedName>
    <definedName name="NomeUsuario">#REF!</definedName>
    <definedName name="Nova">#REF!</definedName>
    <definedName name="num_linhas" localSheetId="4">#REF!</definedName>
    <definedName name="num_linhas">#REF!</definedName>
    <definedName name="NUMDISQ">#N/A</definedName>
    <definedName name="NUMEQ">#N/A</definedName>
    <definedName name="nvd" localSheetId="7">#REF!</definedName>
    <definedName name="nvd" localSheetId="9">#REF!</definedName>
    <definedName name="nvd" localSheetId="10">#REF!</definedName>
    <definedName name="nvd" localSheetId="6">#REF!</definedName>
    <definedName name="nvd">#REF!</definedName>
    <definedName name="o" localSheetId="4">#REF!</definedName>
    <definedName name="o">#REF!</definedName>
    <definedName name="Objetivo">#REF!</definedName>
    <definedName name="Objeto">#REF!</definedName>
    <definedName name="OBRA">#REF!</definedName>
    <definedName name="od">#REF!</definedName>
    <definedName name="of">#REF!</definedName>
    <definedName name="OneA" localSheetId="4">#REF!</definedName>
    <definedName name="OneA">#REF!</definedName>
    <definedName name="OneB" localSheetId="4">#REF!</definedName>
    <definedName name="OneB">#REF!</definedName>
    <definedName name="OneC" localSheetId="4">#REF!</definedName>
    <definedName name="OneC">#REF!</definedName>
    <definedName name="OneD" localSheetId="4">#REF!</definedName>
    <definedName name="OneD">#REF!</definedName>
    <definedName name="OneE" localSheetId="4">#REF!</definedName>
    <definedName name="OneE">#REF!</definedName>
    <definedName name="OneF" localSheetId="4">#REF!</definedName>
    <definedName name="OneF">#REF!</definedName>
    <definedName name="OneG" localSheetId="4">#REF!</definedName>
    <definedName name="OneG">#REF!</definedName>
    <definedName name="OneH" localSheetId="4">#REF!</definedName>
    <definedName name="OneH">#REF!</definedName>
    <definedName name="OneI" localSheetId="4">#REF!</definedName>
    <definedName name="OneI">#REF!</definedName>
    <definedName name="OneJ" localSheetId="4">#REF!</definedName>
    <definedName name="OneJ">#REF!</definedName>
    <definedName name="OneK" localSheetId="4">#REF!</definedName>
    <definedName name="OneK">#REF!</definedName>
    <definedName name="OneL" localSheetId="4">#REF!</definedName>
    <definedName name="OneL">#REF!</definedName>
    <definedName name="OneM" localSheetId="4">#REF!</definedName>
    <definedName name="OneM">#REF!</definedName>
    <definedName name="ooo">#REF!</definedName>
    <definedName name="ooo_1">#REF!</definedName>
    <definedName name="ooo_3">#REF!</definedName>
    <definedName name="ooo_4">#REF!</definedName>
    <definedName name="ooo_5">#REF!</definedName>
    <definedName name="ooo_6">#REF!</definedName>
    <definedName name="ooo_7">#REF!</definedName>
    <definedName name="ooo_9">#REF!</definedName>
    <definedName name="OOOOO"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OOOOO"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OOOOO"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OOOOO"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OOOOO"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OOOOO"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OOOOO"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OOOOO"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OOOOOOOOOOOOOOOOO" localSheetId="25">#REF!,#REF!</definedName>
    <definedName name="OOOOOOOOOOOOOOOOO" localSheetId="26">#REF!,#REF!</definedName>
    <definedName name="OOOOOOOOOOOOOOOOO">#REF!,#REF!</definedName>
    <definedName name="ORÇ" localSheetId="4">#REF!</definedName>
    <definedName name="ORÇ">#REF!</definedName>
    <definedName name="Ordem" localSheetId="4">#REF!</definedName>
    <definedName name="Ordem" localSheetId="7">#REF!</definedName>
    <definedName name="Ordem" localSheetId="9">#REF!</definedName>
    <definedName name="Ordem" localSheetId="10">#REF!</definedName>
    <definedName name="Ordem" localSheetId="6">#REF!</definedName>
    <definedName name="Ordem">#REF!</definedName>
    <definedName name="OUTROS" localSheetId="4">#REF!</definedName>
    <definedName name="OUTROS" localSheetId="7">#REF!</definedName>
    <definedName name="OUTROS" localSheetId="9">#REF!</definedName>
    <definedName name="OUTROS" localSheetId="10">#REF!</definedName>
    <definedName name="OUTROS" localSheetId="6">#REF!</definedName>
    <definedName name="OUTROS">#REF!</definedName>
    <definedName name="p">#REF!</definedName>
    <definedName name="P.Aparente">#REF!</definedName>
    <definedName name="P.Reatia">#REF!</definedName>
    <definedName name="P_SUCATA">#REF!</definedName>
    <definedName name="P0">#REF!</definedName>
    <definedName name="Paisagismo_Consulta" localSheetId="4">#REF!</definedName>
    <definedName name="Paisagismo_Consulta">#REF!</definedName>
    <definedName name="PANDROL">#REF!</definedName>
    <definedName name="PARALELO">#REF!</definedName>
    <definedName name="PARALELO_1">#REF!</definedName>
    <definedName name="parametros">#REF!</definedName>
    <definedName name="PARTE">#REF!</definedName>
    <definedName name="pativar">#REF!</definedName>
    <definedName name="Pavimentação" localSheetId="4" hidden="1">{#N/A,#N/A,FALSE,"GERAL";#N/A,#N/A,FALSE,"012-96";#N/A,#N/A,FALSE,"018-96";#N/A,#N/A,FALSE,"027-96";#N/A,#N/A,FALSE,"059-96";#N/A,#N/A,FALSE,"076-96";#N/A,#N/A,FALSE,"019-97";#N/A,#N/A,FALSE,"021-97";#N/A,#N/A,FALSE,"022-97";#N/A,#N/A,FALSE,"028-97"}</definedName>
    <definedName name="Pavimentação" localSheetId="7" hidden="1">{#N/A,#N/A,FALSE,"GERAL";#N/A,#N/A,FALSE,"012-96";#N/A,#N/A,FALSE,"018-96";#N/A,#N/A,FALSE,"027-96";#N/A,#N/A,FALSE,"059-96";#N/A,#N/A,FALSE,"076-96";#N/A,#N/A,FALSE,"019-97";#N/A,#N/A,FALSE,"021-97";#N/A,#N/A,FALSE,"022-97";#N/A,#N/A,FALSE,"028-97"}</definedName>
    <definedName name="Pavimentação" localSheetId="9" hidden="1">{#N/A,#N/A,FALSE,"GERAL";#N/A,#N/A,FALSE,"012-96";#N/A,#N/A,FALSE,"018-96";#N/A,#N/A,FALSE,"027-96";#N/A,#N/A,FALSE,"059-96";#N/A,#N/A,FALSE,"076-96";#N/A,#N/A,FALSE,"019-97";#N/A,#N/A,FALSE,"021-97";#N/A,#N/A,FALSE,"022-97";#N/A,#N/A,FALSE,"028-97"}</definedName>
    <definedName name="Pavimentação" localSheetId="10" hidden="1">{#N/A,#N/A,FALSE,"GERAL";#N/A,#N/A,FALSE,"012-96";#N/A,#N/A,FALSE,"018-96";#N/A,#N/A,FALSE,"027-96";#N/A,#N/A,FALSE,"059-96";#N/A,#N/A,FALSE,"076-96";#N/A,#N/A,FALSE,"019-97";#N/A,#N/A,FALSE,"021-97";#N/A,#N/A,FALSE,"022-97";#N/A,#N/A,FALSE,"028-97"}</definedName>
    <definedName name="Pavimentação" localSheetId="6" hidden="1">{#N/A,#N/A,FALSE,"GERAL";#N/A,#N/A,FALSE,"012-96";#N/A,#N/A,FALSE,"018-96";#N/A,#N/A,FALSE,"027-96";#N/A,#N/A,FALSE,"059-96";#N/A,#N/A,FALSE,"076-96";#N/A,#N/A,FALSE,"019-97";#N/A,#N/A,FALSE,"021-97";#N/A,#N/A,FALSE,"022-97";#N/A,#N/A,FALSE,"028-97"}</definedName>
    <definedName name="Pavimentação" localSheetId="25" hidden="1">{#N/A,#N/A,FALSE,"GERAL";#N/A,#N/A,FALSE,"012-96";#N/A,#N/A,FALSE,"018-96";#N/A,#N/A,FALSE,"027-96";#N/A,#N/A,FALSE,"059-96";#N/A,#N/A,FALSE,"076-96";#N/A,#N/A,FALSE,"019-97";#N/A,#N/A,FALSE,"021-97";#N/A,#N/A,FALSE,"022-97";#N/A,#N/A,FALSE,"028-97"}</definedName>
    <definedName name="Pavimentação" localSheetId="26" hidden="1">{#N/A,#N/A,FALSE,"GERAL";#N/A,#N/A,FALSE,"012-96";#N/A,#N/A,FALSE,"018-96";#N/A,#N/A,FALSE,"027-96";#N/A,#N/A,FALSE,"059-96";#N/A,#N/A,FALSE,"076-96";#N/A,#N/A,FALSE,"019-97";#N/A,#N/A,FALSE,"021-97";#N/A,#N/A,FALSE,"022-97";#N/A,#N/A,FALSE,"028-97"}</definedName>
    <definedName name="Pavimentação" hidden="1">{#N/A,#N/A,FALSE,"GERAL";#N/A,#N/A,FALSE,"012-96";#N/A,#N/A,FALSE,"018-96";#N/A,#N/A,FALSE,"027-96";#N/A,#N/A,FALSE,"059-96";#N/A,#N/A,FALSE,"076-96";#N/A,#N/A,FALSE,"019-97";#N/A,#N/A,FALSE,"021-97";#N/A,#N/A,FALSE,"022-97";#N/A,#N/A,FALSE,"028-97"}</definedName>
    <definedName name="Payback" localSheetId="4">#REF!</definedName>
    <definedName name="Payback" localSheetId="6">#REF!</definedName>
    <definedName name="Payback">#REF!</definedName>
    <definedName name="Payment_Needed">"Pagamento necessário"</definedName>
    <definedName name="PBR" localSheetId="4">#REF!</definedName>
    <definedName name="PBR">#REF!</definedName>
    <definedName name="pdm">#REF!</definedName>
    <definedName name="PE" localSheetId="4">#REF!</definedName>
    <definedName name="PE">#REF!</definedName>
    <definedName name="PEDIDO" localSheetId="4">#REF!</definedName>
    <definedName name="PEDIDO">#REF!</definedName>
    <definedName name="pedra">#REF!</definedName>
    <definedName name="pedreira">#REF!</definedName>
    <definedName name="pelicano">#REF!,#REF!</definedName>
    <definedName name="Pendencias" localSheetId="4" hidden="1">{#N/A,#N/A,FALSE,"GERAL";#N/A,#N/A,FALSE,"012-96";#N/A,#N/A,FALSE,"018-96";#N/A,#N/A,FALSE,"027-96";#N/A,#N/A,FALSE,"059-96";#N/A,#N/A,FALSE,"076-96";#N/A,#N/A,FALSE,"019-97";#N/A,#N/A,FALSE,"021-97";#N/A,#N/A,FALSE,"022-97";#N/A,#N/A,FALSE,"028-97"}</definedName>
    <definedName name="Pendencias" localSheetId="7" hidden="1">{#N/A,#N/A,FALSE,"GERAL";#N/A,#N/A,FALSE,"012-96";#N/A,#N/A,FALSE,"018-96";#N/A,#N/A,FALSE,"027-96";#N/A,#N/A,FALSE,"059-96";#N/A,#N/A,FALSE,"076-96";#N/A,#N/A,FALSE,"019-97";#N/A,#N/A,FALSE,"021-97";#N/A,#N/A,FALSE,"022-97";#N/A,#N/A,FALSE,"028-97"}</definedName>
    <definedName name="Pendencias" localSheetId="9" hidden="1">{#N/A,#N/A,FALSE,"GERAL";#N/A,#N/A,FALSE,"012-96";#N/A,#N/A,FALSE,"018-96";#N/A,#N/A,FALSE,"027-96";#N/A,#N/A,FALSE,"059-96";#N/A,#N/A,FALSE,"076-96";#N/A,#N/A,FALSE,"019-97";#N/A,#N/A,FALSE,"021-97";#N/A,#N/A,FALSE,"022-97";#N/A,#N/A,FALSE,"028-97"}</definedName>
    <definedName name="Pendencias" localSheetId="10" hidden="1">{#N/A,#N/A,FALSE,"GERAL";#N/A,#N/A,FALSE,"012-96";#N/A,#N/A,FALSE,"018-96";#N/A,#N/A,FALSE,"027-96";#N/A,#N/A,FALSE,"059-96";#N/A,#N/A,FALSE,"076-96";#N/A,#N/A,FALSE,"019-97";#N/A,#N/A,FALSE,"021-97";#N/A,#N/A,FALSE,"022-97";#N/A,#N/A,FALSE,"028-97"}</definedName>
    <definedName name="Pendencias" localSheetId="6" hidden="1">{#N/A,#N/A,FALSE,"GERAL";#N/A,#N/A,FALSE,"012-96";#N/A,#N/A,FALSE,"018-96";#N/A,#N/A,FALSE,"027-96";#N/A,#N/A,FALSE,"059-96";#N/A,#N/A,FALSE,"076-96";#N/A,#N/A,FALSE,"019-97";#N/A,#N/A,FALSE,"021-97";#N/A,#N/A,FALSE,"022-97";#N/A,#N/A,FALSE,"028-97"}</definedName>
    <definedName name="Pendencias" localSheetId="25" hidden="1">{#N/A,#N/A,FALSE,"GERAL";#N/A,#N/A,FALSE,"012-96";#N/A,#N/A,FALSE,"018-96";#N/A,#N/A,FALSE,"027-96";#N/A,#N/A,FALSE,"059-96";#N/A,#N/A,FALSE,"076-96";#N/A,#N/A,FALSE,"019-97";#N/A,#N/A,FALSE,"021-97";#N/A,#N/A,FALSE,"022-97";#N/A,#N/A,FALSE,"028-97"}</definedName>
    <definedName name="Pendencias" localSheetId="26" hidden="1">{#N/A,#N/A,FALSE,"GERAL";#N/A,#N/A,FALSE,"012-96";#N/A,#N/A,FALSE,"018-96";#N/A,#N/A,FALSE,"027-96";#N/A,#N/A,FALSE,"059-96";#N/A,#N/A,FALSE,"076-96";#N/A,#N/A,FALSE,"019-97";#N/A,#N/A,FALSE,"021-97";#N/A,#N/A,FALSE,"022-97";#N/A,#N/A,FALSE,"028-97"}</definedName>
    <definedName name="Pendencias" hidden="1">{#N/A,#N/A,FALSE,"GERAL";#N/A,#N/A,FALSE,"012-96";#N/A,#N/A,FALSE,"018-96";#N/A,#N/A,FALSE,"027-96";#N/A,#N/A,FALSE,"059-96";#N/A,#N/A,FALSE,"076-96";#N/A,#N/A,FALSE,"019-97";#N/A,#N/A,FALSE,"021-97";#N/A,#N/A,FALSE,"022-97";#N/A,#N/A,FALSE,"028-97"}</definedName>
    <definedName name="PERCENTS">#N/A</definedName>
    <definedName name="PerimetroCanteiro" localSheetId="4">(#REF!+#REF!)*2</definedName>
    <definedName name="PerimetroCanteiro" localSheetId="7">(#REF!+#REF!)*2</definedName>
    <definedName name="PerimetroCanteiro" localSheetId="9">(#REF!+#REF!)*2</definedName>
    <definedName name="PerimetroCanteiro" localSheetId="10">(#REF!+#REF!)*2</definedName>
    <definedName name="PerimetroCanteiro" localSheetId="6">(#REF!+#REF!)*2</definedName>
    <definedName name="PerimetroCanteiro">(#REF!+#REF!)*2</definedName>
    <definedName name="pesobrita" localSheetId="7">#REF!</definedName>
    <definedName name="pesobrita" localSheetId="9">#REF!</definedName>
    <definedName name="pesobrita" localSheetId="10">#REF!</definedName>
    <definedName name="pesobrita" localSheetId="6">#REF!</definedName>
    <definedName name="pesobrita">#REF!</definedName>
    <definedName name="pesoespecifico">#REF!</definedName>
    <definedName name="PESOS">#N/A</definedName>
    <definedName name="PG_agosto_2002">"$#REF!.$#REF!$#REF!:$#REF!$#REF!"</definedName>
    <definedName name="pinheiros">#REF!,#REF!</definedName>
    <definedName name="pl" localSheetId="4">#REF!</definedName>
    <definedName name="pl" localSheetId="6">#REF!</definedName>
    <definedName name="pl">#REF!</definedName>
    <definedName name="PLA" localSheetId="4">#REF!</definedName>
    <definedName name="PLA">#REF!</definedName>
    <definedName name="Plan" localSheetId="4" hidden="1">{#N/A,#N/A,FALSE,"GERAL";#N/A,#N/A,FALSE,"012-96";#N/A,#N/A,FALSE,"018-96";#N/A,#N/A,FALSE,"027-96";#N/A,#N/A,FALSE,"059-96";#N/A,#N/A,FALSE,"076-96";#N/A,#N/A,FALSE,"019-97";#N/A,#N/A,FALSE,"021-97";#N/A,#N/A,FALSE,"022-97";#N/A,#N/A,FALSE,"028-97"}</definedName>
    <definedName name="Plan" localSheetId="7" hidden="1">{#N/A,#N/A,FALSE,"GERAL";#N/A,#N/A,FALSE,"012-96";#N/A,#N/A,FALSE,"018-96";#N/A,#N/A,FALSE,"027-96";#N/A,#N/A,FALSE,"059-96";#N/A,#N/A,FALSE,"076-96";#N/A,#N/A,FALSE,"019-97";#N/A,#N/A,FALSE,"021-97";#N/A,#N/A,FALSE,"022-97";#N/A,#N/A,FALSE,"028-97"}</definedName>
    <definedName name="Plan" localSheetId="9" hidden="1">{#N/A,#N/A,FALSE,"GERAL";#N/A,#N/A,FALSE,"012-96";#N/A,#N/A,FALSE,"018-96";#N/A,#N/A,FALSE,"027-96";#N/A,#N/A,FALSE,"059-96";#N/A,#N/A,FALSE,"076-96";#N/A,#N/A,FALSE,"019-97";#N/A,#N/A,FALSE,"021-97";#N/A,#N/A,FALSE,"022-97";#N/A,#N/A,FALSE,"028-97"}</definedName>
    <definedName name="Plan" localSheetId="10" hidden="1">{#N/A,#N/A,FALSE,"GERAL";#N/A,#N/A,FALSE,"012-96";#N/A,#N/A,FALSE,"018-96";#N/A,#N/A,FALSE,"027-96";#N/A,#N/A,FALSE,"059-96";#N/A,#N/A,FALSE,"076-96";#N/A,#N/A,FALSE,"019-97";#N/A,#N/A,FALSE,"021-97";#N/A,#N/A,FALSE,"022-97";#N/A,#N/A,FALSE,"028-97"}</definedName>
    <definedName name="Plan" localSheetId="6" hidden="1">{#N/A,#N/A,FALSE,"GERAL";#N/A,#N/A,FALSE,"012-96";#N/A,#N/A,FALSE,"018-96";#N/A,#N/A,FALSE,"027-96";#N/A,#N/A,FALSE,"059-96";#N/A,#N/A,FALSE,"076-96";#N/A,#N/A,FALSE,"019-97";#N/A,#N/A,FALSE,"021-97";#N/A,#N/A,FALSE,"022-97";#N/A,#N/A,FALSE,"028-97"}</definedName>
    <definedName name="Plan" localSheetId="25" hidden="1">{#N/A,#N/A,FALSE,"GERAL";#N/A,#N/A,FALSE,"012-96";#N/A,#N/A,FALSE,"018-96";#N/A,#N/A,FALSE,"027-96";#N/A,#N/A,FALSE,"059-96";#N/A,#N/A,FALSE,"076-96";#N/A,#N/A,FALSE,"019-97";#N/A,#N/A,FALSE,"021-97";#N/A,#N/A,FALSE,"022-97";#N/A,#N/A,FALSE,"028-97"}</definedName>
    <definedName name="Plan" localSheetId="26" hidden="1">{#N/A,#N/A,FALSE,"GERAL";#N/A,#N/A,FALSE,"012-96";#N/A,#N/A,FALSE,"018-96";#N/A,#N/A,FALSE,"027-96";#N/A,#N/A,FALSE,"059-96";#N/A,#N/A,FALSE,"076-96";#N/A,#N/A,FALSE,"019-97";#N/A,#N/A,FALSE,"021-97";#N/A,#N/A,FALSE,"022-97";#N/A,#N/A,FALSE,"028-97"}</definedName>
    <definedName name="Plan" hidden="1">{#N/A,#N/A,FALSE,"GERAL";#N/A,#N/A,FALSE,"012-96";#N/A,#N/A,FALSE,"018-96";#N/A,#N/A,FALSE,"027-96";#N/A,#N/A,FALSE,"059-96";#N/A,#N/A,FALSE,"076-96";#N/A,#N/A,FALSE,"019-97";#N/A,#N/A,FALSE,"021-97";#N/A,#N/A,FALSE,"022-97";#N/A,#N/A,FALSE,"028-97"}</definedName>
    <definedName name="Plan.g">#REF!</definedName>
    <definedName name="PLANEJADA" localSheetId="4">#REF!</definedName>
    <definedName name="PLANEJADA">#REF!</definedName>
    <definedName name="planejam" localSheetId="4">#REF!</definedName>
    <definedName name="planejam">#REF!</definedName>
    <definedName name="plani">#REF!</definedName>
    <definedName name="PLANILHA">#REF!</definedName>
    <definedName name="planilha_01">#REF!</definedName>
    <definedName name="PLAT1">#REF!</definedName>
    <definedName name="pm" localSheetId="4">#REF!</definedName>
    <definedName name="pm">#REF!</definedName>
    <definedName name="PMREC">#REF!</definedName>
    <definedName name="PNPBASELE">#REF!</definedName>
    <definedName name="PNPBASMEC">#REF!</definedName>
    <definedName name="PONTE">#REF!</definedName>
    <definedName name="POPO">#REF!</definedName>
    <definedName name="Popular" localSheetId="9" hidden="1">{#N/A,#N/A,FALSE,"Cronograma";#N/A,#N/A,FALSE,"Cronogr. 2"}</definedName>
    <definedName name="Popular" localSheetId="25" hidden="1">{#N/A,#N/A,FALSE,"Cronograma";#N/A,#N/A,FALSE,"Cronogr. 2"}</definedName>
    <definedName name="Popular" localSheetId="26" hidden="1">{#N/A,#N/A,FALSE,"Cronograma";#N/A,#N/A,FALSE,"Cronogr. 2"}</definedName>
    <definedName name="Popular" hidden="1">{#N/A,#N/A,FALSE,"Cronograma";#N/A,#N/A,FALSE,"Cronogr. 2"}</definedName>
    <definedName name="port">#REF!</definedName>
    <definedName name="Poste">#REF!</definedName>
    <definedName name="Potencia">#REF!</definedName>
    <definedName name="PP">#REF!</definedName>
    <definedName name="PPAG">#REF!</definedName>
    <definedName name="PPCOFINS">#REF!</definedName>
    <definedName name="PPFRE">#REF!</definedName>
    <definedName name="PPICMS">#REF!</definedName>
    <definedName name="PPIPI">#REF!</definedName>
    <definedName name="pplp">#REF!</definedName>
    <definedName name="ppp"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IS" localSheetId="4">#REF!</definedName>
    <definedName name="PPPIS" localSheetId="6">#REF!</definedName>
    <definedName name="PPPIS">#REF!</definedName>
    <definedName name="PPPPP"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PP"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PP"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PP"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PP"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PP"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PP"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PP"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PPPPPPPPPPPPPPPPPPPPPPPPPPP" localSheetId="25">#REF!,#REF!</definedName>
    <definedName name="PPPPPPPPPPPPPPPPPPPPPPPPPPPPPP" localSheetId="26">#REF!,#REF!</definedName>
    <definedName name="PPPPPPPPPPPPPPPPPPPPPPPPPPPPPP">#REF!,#REF!</definedName>
    <definedName name="PPREP" localSheetId="4">#REF!</definedName>
    <definedName name="PPREP" localSheetId="6">#REF!</definedName>
    <definedName name="PPREP">#REF!</definedName>
    <definedName name="PPSAL" localSheetId="4">#REF!</definedName>
    <definedName name="PPSAL">#REF!</definedName>
    <definedName name="pqpu">#REF!</definedName>
    <definedName name="PR">#REF!</definedName>
    <definedName name="Prazo">#REF!</definedName>
    <definedName name="PRAZODISC">#N/A</definedName>
    <definedName name="PRCIVIL">#N/A</definedName>
    <definedName name="Preco" localSheetId="4">#REF!</definedName>
    <definedName name="Preco" localSheetId="7">#REF!</definedName>
    <definedName name="Preco" localSheetId="9">#REF!</definedName>
    <definedName name="Preco" localSheetId="10">#REF!</definedName>
    <definedName name="Preco" localSheetId="6">#REF!</definedName>
    <definedName name="Preco">#REF!</definedName>
    <definedName name="PRECOS" localSheetId="7">#REF!</definedName>
    <definedName name="PRECOS" localSheetId="9">#REF!</definedName>
    <definedName name="PRECOS" localSheetId="10">#REF!</definedName>
    <definedName name="PRECOS" localSheetId="6">#REF!</definedName>
    <definedName name="PRECOS">#REF!</definedName>
    <definedName name="Predio_02_andares_Consulta" localSheetId="7">#REF!</definedName>
    <definedName name="Predio_02_andares_Consulta" localSheetId="9">#REF!</definedName>
    <definedName name="Predio_02_andares_Consulta" localSheetId="10">#REF!</definedName>
    <definedName name="Predio_02_andares_Consulta" localSheetId="6">#REF!</definedName>
    <definedName name="Predio_02_andares_Consulta">#REF!</definedName>
    <definedName name="PREF">#REF!</definedName>
    <definedName name="Preparo_Terreno" localSheetId="4">#REF!</definedName>
    <definedName name="Preparo_Terreno">#REF!</definedName>
    <definedName name="PREV">#REF!</definedName>
    <definedName name="PRIMEIRA">#REF!</definedName>
    <definedName name="Print_Area">#REF!</definedName>
    <definedName name="Print_Area_MI">#REF!</definedName>
    <definedName name="priordefinit2"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riordefinit2"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riordefinit2"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riordefinit2"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riordefinit2"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riordefinit2"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riordefinit2"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riordefinit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rioridade" localSheetId="4">#REF!</definedName>
    <definedName name="Prioridade" localSheetId="6">#REF!</definedName>
    <definedName name="Prioridade">#REF!</definedName>
    <definedName name="PROCURA" localSheetId="4">#REF!</definedName>
    <definedName name="PROCURA">#REF!</definedName>
    <definedName name="PROCURA_DESCRICAO_COMPOSIÇÃO" localSheetId="8">#N/A</definedName>
    <definedName name="PROCURA_DESCRICAO_COMPOSIÇÃO" localSheetId="9">IFERROR(  IF(#REF!="SERVIÇO",  IF(AND(#REF!="",#REF!=""),0, IF(#REF!="SINAPI",VLOOKUP(#REF!,#REF!,2,0), IF(#REF!="COMPOSIÇÃO",VLOOKUP(#REF!,#REF!,2,0), IF(#REF!="IOPES",VLOOKUP(#REF!,#REF!,2,0), IF(#REF!="SETOP",VLOOKUP(#REF!,#REF!,2,0), IF(#REF!="SUDECAP",VLOOKUP(#REF!,#REF!,2,0), IF(#REF!="TCPO",VLOOKUP(#REF!,#REF!,2,0), IF(#REF!="COTAÇÃO",VLOOKUP(#REF!,#REF!,2,0), IF(#REF!=#REF!,VLOOKUP(#REF!,#REF!,2,0), IF(#REF!=#REF!,VLOOKUP(#REF!,#REF!,2,0), IF(#REF!=#REF!,VLOOKUP(#REF!,#REF!,2,0), IF(#REF!=#REF!,VLOOKUP(#REF!,#REF!,2,0), IF(#REF!=#REF!,VLOOKUP(#REF!,#REF!,2,0), IF(#REF!=#REF!,VLOOKUP(#REF!,#REF!,2,0), IF(#REF!=#REF!,VLOOKUP(#REF!,#REF!,2,0), IF(#REF!=#REF!,VLOOKUP(#REF!,#REF!,2,0), IF(#REF!=#REF!,VLOOKUP(#REF!,#REF!,2,0), IF(#REF!=#REF!,VLOOKUP(#REF!,#REF!,2,0), 0) ))))))))))))))))),  IF(#REF!="INSUMO",  IF(AND(#REF!="",#REF!=""),0, IF(#REF!="SINAPI",VLOOKUP(#REF!,SINAPI_INSUMO,2,0), IF(#REF!="COMPOSIÇÃO",VLOOKUP(#REF!,#REF!,2,0), IF(#REF!="IOPES",VLOOKUP(#REF!,IOPES_INSUMO,2,0), IF(#REF!="SETOP",VLOOKUP(#REF!,SETOP_INSUMO,2,0), IF(#REF!="SUDECAP",VLOOKUP(#REF!,SUDECAP_INSUMO,2,0), IF(#REF!="TCPO",VLOOKUP(#REF!,TCPO_INSUMO,2,0), IF(#REF!="COTAÇÃO",VLOOKUP(#REF!,#REF!,2,0), IF(#REF!=NOME_BI_1,VLOOKUP(#REF!,BANCO_1_INSUMO,2,0), IF(#REF!=NOME_BI_2,VLOOKUP(#REF!,BANCO_2_INSUMO,2,0), IF(#REF!=NOME_BI_3,VLOOKUP(#REF!,BANCO_3_INSUMO,2,0), IF(#REF!=NOME_BI_4,VLOOKUP(#REF!,BANCO_4_INSUMO,2,0), IF(#REF!=NOME_BI_5,VLOOKUP(#REF!,BANCO_5_INSUMO,2,0), IF(#REF!=NOME_BI_6,VLOOKUP(#REF!,BANCO_6_INSUMO,2,0), IF(#REF!=NOME_BI_7,VLOOKUP(#REF!,BANCO_7_INSUMO,2,0), IF(#REF!=NOME_BI_8,VLOOKUP(#REF!,BANCO_8_INSUMO,2,0), IF(#REF!=NOME_BI_9,VLOOKUP(#REF!,BANCO_8_INSUMO,2,0), IF(#REF!=NOME_BI_10,VLOOKUP(#REF!,BANCO_10_INSUMO,2,0), 0) ))))))))))))))))), 0)),  0)</definedName>
    <definedName name="PROCURA_DESCRICAO_COMPOSIÇÃO" localSheetId="19">#N/A</definedName>
    <definedName name="PROCURA_DESCRICAO_COMPOSIÇÃO" localSheetId="24">#N/A</definedName>
    <definedName name="PROCURA_DESCRICAO_COMPOSIÇÃO" localSheetId="15">#N/A</definedName>
    <definedName name="PROCURA_DESCRICAO_COMPOSIÇÃO" localSheetId="21">#N/A</definedName>
    <definedName name="PROCURA_DESCRICAO_COMPOSIÇÃO" localSheetId="11">#N/A</definedName>
    <definedName name="PROCURA_DESCRICAO_COMPOSIÇÃO" localSheetId="12">#N/A</definedName>
    <definedName name="PROCURA_DESCRICAO_COMPOSIÇÃO" localSheetId="25">#N/A</definedName>
    <definedName name="PROCURA_DESCRICAO_COMPOSIÇÃO" localSheetId="13">#N/A</definedName>
    <definedName name="PROCURA_DESCRICAO_COMPOSIÇÃO" localSheetId="17">#N/A</definedName>
    <definedName name="PROCURA_DESCRICAO_COMPOSIÇÃO" localSheetId="26">#N/A</definedName>
    <definedName name="PROCURA_DESCRICAO_COMPOSIÇÃO" localSheetId="27">#N/A</definedName>
    <definedName name="PROCURA_DESCRICAO_COMPOSIÇÃO" localSheetId="16">#N/A</definedName>
    <definedName name="PROCURA_DESCRICAO_COMPOSIÇÃO" localSheetId="14">#N/A</definedName>
    <definedName name="PROCURA_DESCRICAO_COMPOSIÇÃO" localSheetId="20">#N/A</definedName>
    <definedName name="PROCURA_DESCRICAO_COMPOSIÇÃO" localSheetId="23">#N/A</definedName>
    <definedName name="PROCURA_DESCRICAO_COMPOSIÇÃO" localSheetId="18">#N/A</definedName>
    <definedName name="PROCURA_DESCRICAO_COMPOSIÇÃO">IFERROR(  IF(#REF!="SERVIÇO",  IF(AND(#REF!="",#REF!=""),0, IF(#REF!="SINAPI",VLOOKUP(#REF!,'BDI SERVIÇOS'!SINAPI_SERVICO,2,0), IF(#REF!="COMPOSIÇÃO",VLOOKUP(#REF!,'BDI SERVIÇOS'!COMPOSIÇÕES,2,0), IF(#REF!="IOPES",VLOOKUP(#REF!,'BDI SERVIÇOS'!IOPES_SERVICO,2,0), IF(#REF!="SETOP",VLOOKUP(#REF!,'BDI SERVIÇOS'!SETOP_SERVICO,2,0), IF(#REF!="SUDECAP",VLOOKUP(#REF!,'BDI SERVIÇOS'!SUDECAP_SERVICO,2,0), IF(#REF!="TCPO",VLOOKUP(#REF!,'BDI SERVIÇOS'!TCPO_SERVICO,2,0), IF(#REF!="COTAÇÃO",VLOOKUP(#REF!,'BDI SERVIÇOS'!COTACAO,2,0), IF(#REF!='BDI SERVIÇOS'!NOME_BS_1,VLOOKUP(#REF!,'BDI SERVIÇOS'!BANCO_1_SERVICO,2,0), IF(#REF!='BDI SERVIÇOS'!NOME_BS_2,VLOOKUP(#REF!,'BDI SERVIÇOS'!BANCO_2_SERVICO,2,0), IF(#REF!='BDI SERVIÇOS'!NOME_BS_3,VLOOKUP(#REF!,'BDI SERVIÇOS'!BANCO_3_SERVICO,2,0), IF(#REF!='BDI SERVIÇOS'!NOME_BS_4,VLOOKUP(#REF!,'BDI SERVIÇOS'!BANCO_4_SERVICO,2,0), IF(#REF!='BDI SERVIÇOS'!NOME_BS_5,VLOOKUP(#REF!,'BDI SERVIÇOS'!BANCO_5_SERVICO,2,0), IF(#REF!='BDI SERVIÇOS'!NOME_BS_6,VLOOKUP(#REF!,'BDI SERVIÇOS'!BANCO_6_SERVICO,2,0), IF(#REF!='BDI SERVIÇOS'!NOME_BS_7,VLOOKUP(#REF!,'BDI SERVIÇOS'!BANCO_7_SERVICO,2,0), IF(#REF!='BDI SERVIÇOS'!NOME_BS_8,VLOOKUP(#REF!,'BDI SERVIÇOS'!BANCO_8_SERVICO,2,0), IF(#REF!='BDI SERVIÇOS'!NOME_BS_9,VLOOKUP(#REF!,'BDI SERVIÇOS'!BANCO_9_SERVICO,2,0), IF(#REF!='BDI SERVIÇOS'!NOME_BS_10,VLOOKUP(#REF!,'BDI SERVIÇOS'!BANCO_10_SERVICO,2,0), 0) ))))))))))))))))),  IF(#REF!="INSUMO",  IF(AND(#REF!="",#REF!=""),0, IF(#REF!="SINAPI",VLOOKUP(#REF!,SINAPI_INSUMO,2,0), IF(#REF!="COMPOSIÇÃO",VLOOKUP(#REF!,'BDI SERVIÇOS'!COMPOSIÇÕES,2,0), IF(#REF!="IOPES",VLOOKUP(#REF!,IOPES_INSUMO,2,0), IF(#REF!="SETOP",VLOOKUP(#REF!,SETOP_INSUMO,2,0), IF(#REF!="SUDECAP",VLOOKUP(#REF!,SUDECAP_INSUMO,2,0), IF(#REF!="TCPO",VLOOKUP(#REF!,TCPO_INSUMO,2,0), IF(#REF!="COTAÇÃO",VLOOKUP(#REF!,'BDI SERVIÇOS'!COTACAO,2,0), IF(#REF!=NOME_BI_1,VLOOKUP(#REF!,BANCO_1_INSUMO,2,0), IF(#REF!=NOME_BI_2,VLOOKUP(#REF!,BANCO_2_INSUMO,2,0), IF(#REF!=NOME_BI_3,VLOOKUP(#REF!,BANCO_3_INSUMO,2,0), IF(#REF!=NOME_BI_4,VLOOKUP(#REF!,BANCO_4_INSUMO,2,0), IF(#REF!=NOME_BI_5,VLOOKUP(#REF!,BANCO_5_INSUMO,2,0), IF(#REF!=NOME_BI_6,VLOOKUP(#REF!,BANCO_6_INSUMO,2,0), IF(#REF!=NOME_BI_7,VLOOKUP(#REF!,BANCO_7_INSUMO,2,0), IF(#REF!=NOME_BI_8,VLOOKUP(#REF!,BANCO_8_INSUMO,2,0), IF(#REF!=NOME_BI_9,VLOOKUP(#REF!,BANCO_8_INSUMO,2,0), IF(#REF!=NOME_BI_10,VLOOKUP(#REF!,BANCO_10_INSUMO,2,0), 0) ))))))))))))))))), 0)),  0)</definedName>
    <definedName name="PROCURA_DESCRICAO_MATERIAL">#N/A</definedName>
    <definedName name="PROCURA_DESCRICAO_SERVICO" localSheetId="4">IFERROR( IF(AND(#REF!="",#REF!=""),0, IF(#REF!="SINAPI",VLOOKUP(#REF!,SINAPI_SERVICO,2,0), IF(#REF!="COMPOSIÇÃO",VLOOKUP(#REF!,COMPOSIÇÕES,2,0), IF(#REF!="IOPES",VLOOKUP(#REF!,IOPES_SERVICO,2,0), IF(#REF!="SETOP",VLOOKUP(#REF!,SETOP_SERVICO,2,0), IF(#REF!="SUDECAP",VLOOKUP(#REF!,SUDECAP_SERVICO,2,0), IF(#REF!="TCPO",VLOOKUP(#REF!,TCPO_SERVICO,2,0), IF(#REF!="COTAÇÃO",VLOOKUP(#REF!,COTACAO,2,0), IF(#REF!='BDI EQUIPAMENTOS'!NOME_BS_1,VLOOKUP(#REF!,BANCO_1_SERVICO,2,0), IF(#REF!='BDI EQUIPAMENTOS'!NOME_BS_2,VLOOKUP(#REF!,BANCO_2_SERVICO,2,0), IF(#REF!=NOME_BS_3,VLOOKUP(#REF!,BANCO_3_SERVICO,2,0), IF(#REF!=NOME_BS_4,VLOOKUP(#REF!,BANCO_4_SERVICO,2,0), IF(#REF!=NOME_BS_5,VLOOKUP(#REF!,BANCO_5_SERVICO,2,0), IF(#REF!=NOME_BS_6,VLOOKUP(#REF!,BANCO_6_SERVICO,2,0), IF(#REF!=NOME_BS_7,VLOOKUP(#REF!,BANCO_7_SERVICO,2,0), IF(#REF!=NOME_BS_8,VLOOKUP(#REF!,BANCO_8_SERVICO,2,0), IF(#REF!=NOME_BS_9,VLOOKUP(#REF!,BANCO_9_SERVICO,2,0), IF(#REF!='BDI EQUIPAMENTOS'!NOME_BS_10,VLOOKUP(#REF!,BANCO_10_SERVICO,2,0), 0) ))))))))))))))))), 0)</definedName>
    <definedName name="PROCURA_DESCRICAO_SERVICO" localSheetId="5">IFERROR( IF(AND(#REF!="",#REF!=""),0, IF(#REF!="SINAPI",VLOOKUP(#REF!,'BDI SERVIÇOS'!SINAPI_SERVICO,2,0), IF(#REF!="COMPOSIÇÃO",VLOOKUP(#REF!,'BDI SERVIÇOS'!COMPOSIÇÕES,2,0), IF(#REF!="IOPES",VLOOKUP(#REF!,'BDI SERVIÇOS'!IOPES_SERVICO,2,0), IF(#REF!="SETOP",VLOOKUP(#REF!,'BDI SERVIÇOS'!SETOP_SERVICO,2,0), IF(#REF!="SUDECAP",VLOOKUP(#REF!,'BDI SERVIÇOS'!SUDECAP_SERVICO,2,0), IF(#REF!="TCPO",VLOOKUP(#REF!,'BDI SERVIÇOS'!TCPO_SERVICO,2,0), IF(#REF!="COTAÇÃO",VLOOKUP(#REF!,'BDI SERVIÇOS'!COTACAO,2,0), IF(#REF!='BDI SERVIÇOS'!NOME_BS_1,VLOOKUP(#REF!,'BDI SERVIÇOS'!BANCO_1_SERVICO,2,0), IF(#REF!='BDI SERVIÇOS'!NOME_BS_2,VLOOKUP(#REF!,'BDI SERVIÇOS'!BANCO_2_SERVICO,2,0), IF(#REF!='BDI SERVIÇOS'!NOME_BS_3,VLOOKUP(#REF!,'BDI SERVIÇOS'!BANCO_3_SERVICO,2,0), IF(#REF!='BDI SERVIÇOS'!NOME_BS_4,VLOOKUP(#REF!,'BDI SERVIÇOS'!BANCO_4_SERVICO,2,0), IF(#REF!='BDI SERVIÇOS'!NOME_BS_5,VLOOKUP(#REF!,'BDI SERVIÇOS'!BANCO_5_SERVICO,2,0), IF(#REF!='BDI SERVIÇOS'!NOME_BS_6,VLOOKUP(#REF!,'BDI SERVIÇOS'!BANCO_6_SERVICO,2,0), IF(#REF!='BDI SERVIÇOS'!NOME_BS_7,VLOOKUP(#REF!,'BDI SERVIÇOS'!BANCO_7_SERVICO,2,0), IF(#REF!='BDI SERVIÇOS'!NOME_BS_8,VLOOKUP(#REF!,'BDI SERVIÇOS'!BANCO_8_SERVICO,2,0), IF(#REF!='BDI SERVIÇOS'!NOME_BS_9,VLOOKUP(#REF!,'BDI SERVIÇOS'!BANCO_9_SERVICO,2,0), IF(#REF!='BDI SERVIÇOS'!NOME_BS_10,VLOOKUP(#REF!,'BDI SERVIÇOS'!BANCO_10_SERVICO,2,0), 0) ))))))))))))))))), 0)</definedName>
    <definedName name="PROCURA_DESCRICAO_SERVICO" localSheetId="7">IFERROR( IF(AND(#REF!="",#REF!=""),0, IF(#REF!="SINAPI",VLOOKUP(#REF!,Cronograma!SINAPI_SERVICO,2,0), IF(#REF!="COMPOSIÇÃO",VLOOKUP(#REF!,Cronograma!COMPOSIÇÕES,2,0), IF(#REF!="IOPES",VLOOKUP(#REF!,Cronograma!IOPES_SERVICO,2,0), IF(#REF!="SETOP",VLOOKUP(#REF!,Cronograma!SETOP_SERVICO,2,0), IF(#REF!="SUDECAP",VLOOKUP(#REF!,Cronograma!SUDECAP_SERVICO,2,0), IF(#REF!="TCPO",VLOOKUP(#REF!,Cronograma!TCPO_SERVICO,2,0), IF(#REF!="COTAÇÃO",VLOOKUP(#REF!,Cronograma!COTACAO,2,0), IF(#REF!=Cronograma!NOME_BS_1,VLOOKUP(#REF!,Cronograma!BANCO_1_SERVICO,2,0), IF(#REF!=Cronograma!NOME_BS_2,VLOOKUP(#REF!,Cronograma!BANCO_2_SERVICO,2,0), IF(#REF!=Cronograma!NOME_BS_3,VLOOKUP(#REF!,Cronograma!BANCO_3_SERVICO,2,0), IF(#REF!=Cronograma!NOME_BS_4,VLOOKUP(#REF!,Cronograma!BANCO_4_SERVICO,2,0), IF(#REF!=Cronograma!NOME_BS_5,VLOOKUP(#REF!,Cronograma!BANCO_5_SERVICO,2,0), IF(#REF!=Cronograma!NOME_BS_6,VLOOKUP(#REF!,Cronograma!BANCO_6_SERVICO,2,0), IF(#REF!=Cronograma!NOME_BS_7,VLOOKUP(#REF!,Cronograma!BANCO_7_SERVICO,2,0), IF(#REF!=Cronograma!NOME_BS_8,VLOOKUP(#REF!,Cronograma!BANCO_8_SERVICO,2,0), IF(#REF!=Cronograma!NOME_BS_9,VLOOKUP(#REF!,Cronograma!BANCO_9_SERVICO,2,0), IF(#REF!=Cronograma!NOME_BS_10,VLOOKUP(#REF!,Cronograma!BANCO_10_SERVICO,2,0), 0) ))))))))))))))))), 0)</definedName>
    <definedName name="PROCURA_DESCRICAO_SERVICO" localSheetId="8">IFERROR( IF(AND('Curva ABC'!$B1="",'Curva ABC'!$C1=""),0, IF('Curva ABC'!$B1="SINAPI",VLOOKUP('Curva ABC'!$C1,[0]!SINAPI_SERVICO,2,0), IF('Curva ABC'!$B1="COMPOSIÇÃO",VLOOKUP('Curva ABC'!$C1,[0]!COMPOSIÇÕES,2,0), IF('Curva ABC'!$B1="IOPES",VLOOKUP('Curva ABC'!$C1,[0]!IOPES_SERVICO,2,0), IF('Curva ABC'!$B1="SETOP",VLOOKUP('Curva ABC'!$C1,[0]!SETOP_SERVICO,2,0), IF('Curva ABC'!$B1="SUDECAP",VLOOKUP('Curva ABC'!$C1,[0]!SUDECAP_SERVICO,2,0), IF('Curva ABC'!$B1="TCPO",VLOOKUP('Curva ABC'!$C1,[0]!TCPO_SERVICO,2,0), IF('Curva ABC'!$B1="COTAÇÃO",VLOOKUP('Curva ABC'!$C1,[0]!COTACAO,2,0), IF('Curva ABC'!$B1=[0]!NOME_BS_1,VLOOKUP('Curva ABC'!$C1,[0]!BANCO_1_SERVICO,2,0), IF('Curva ABC'!$B1=[0]!NOME_BS_2,VLOOKUP('Curva ABC'!$C1,[0]!BANCO_2_SERVICO,2,0), IF('Curva ABC'!$B1=[0]!NOME_BS_3,VLOOKUP('Curva ABC'!$C1,[0]!BANCO_3_SERVICO,2,0), IF('Curva ABC'!$B1=[0]!NOME_BS_4,VLOOKUP('Curva ABC'!$C1,[0]!BANCO_4_SERVICO,2,0), IF('Curva ABC'!$B1=[0]!NOME_BS_5,VLOOKUP('Curva ABC'!$C1,[0]!BANCO_5_SERVICO,2,0), IF('Curva ABC'!$B1=[0]!NOME_BS_6,VLOOKUP('Curva ABC'!$C1,[0]!BANCO_6_SERVICO,2,0), IF('Curva ABC'!$B1=[0]!NOME_BS_7,VLOOKUP('Curva ABC'!$C1,[0]!BANCO_7_SERVICO,2,0), IF('Curva ABC'!$B1=[0]!NOME_BS_8,VLOOKUP('Curva ABC'!$C1,[0]!BANCO_8_SERVICO,2,0), IF('Curva ABC'!$B1=[0]!NOME_BS_9,VLOOKUP('Curva ABC'!$C1,[0]!BANCO_9_SERVICO,2,0), IF('Curva ABC'!$B1=[0]!NOME_BS_10,VLOOKUP('Curva ABC'!$C1,[0]!BANCO_10_SERVICO,2,0), 0) ))))))))))))))))), 0)</definedName>
    <definedName name="PROCURA_DESCRICAO_SERVICO" localSheetId="9">IFERROR( IF(AND([1]Sintética!$C1="",[1]Sintética!$D1=""),0, IF([1]Sintética!$C1="SINAPI",VLOOKUP([1]Sintética!$D1,SINAPI_SERVICO,2,0), IF([1]Sintética!$C1="COMPOSIÇÃO",VLOOKUP([1]Sintética!$D1,COMPOSIÇÕES,2,0), IF([1]Sintética!$C1="IOPES",VLOOKUP([1]Sintética!$D1,IOPES_SERVICO,2,0), IF([1]Sintética!$C1="SETOP",VLOOKUP([1]Sintética!$D1,SETOP_SERVICO,2,0), IF([1]Sintética!$C1="SUDECAP",VLOOKUP([1]Sintética!$D1,SUDECAP_SERVICO,2,0), IF([1]Sintética!$C1="TCPO",VLOOKUP([1]Sintética!$D1,TCPO_SERVICO,2,0), IF([1]Sintética!$C1="COTAÇÃO",VLOOKUP([1]Sintética!$D1,COTACAO,2,0), IF([1]Sintética!$C1=NOME_BS_1,VLOOKUP([1]Sintética!$D1,BANCO_1_SERVICO,2,0), IF([1]Sintética!$C1=NOME_BS_2,VLOOKUP([1]Sintética!$D1,BANCO_2_SERVICO,2,0), IF([1]Sintética!$C1=NOME_BS_3,VLOOKUP([1]Sintética!$D1,BANCO_3_SERVICO,2,0), IF([1]Sintética!$C1=NOME_BS_4,VLOOKUP([1]Sintética!$D1,BANCO_4_SERVICO,2,0), IF([1]Sintética!$C1=NOME_BS_5,VLOOKUP([1]Sintética!$D1,BANCO_5_SERVICO,2,0), IF([1]Sintética!$C1=NOME_BS_6,VLOOKUP([1]Sintética!$D1,BANCO_6_SERVICO,2,0), IF([1]Sintética!$C1=NOME_BS_7,VLOOKUP([1]Sintética!$D1,BANCO_7_SERVICO,2,0), IF([1]Sintética!$C1=NOME_BS_8,VLOOKUP([1]Sintética!$D1,BANCO_8_SERVICO,2,0), IF([1]Sintética!$C1=NOME_BS_9,VLOOKUP([1]Sintética!$D1,BANCO_9_SERVICO,2,0), IF([1]Sintética!$C1=NOME_BS_10,VLOOKUP([1]Sintética!$D1,BANCO_10_SERVICO,2,0), 0) ))))))))))))))))), 0)</definedName>
    <definedName name="PROCURA_DESCRICAO_SERVICO" localSheetId="10">IFERROR( IF(AND(#REF!="",#REF!=""),0, IF(#REF!="SINAPI",VLOOKUP(#REF!,'Curva S Ref.'!SINAPI_SERVICO,2,0), IF(#REF!="COMPOSIÇÃO",VLOOKUP(#REF!,'Curva S Ref.'!COMPOSIÇÕES,2,0), IF(#REF!="IOPES",VLOOKUP(#REF!,'Curva S Ref.'!IOPES_SERVICO,2,0), IF(#REF!="SETOP",VLOOKUP(#REF!,'Curva S Ref.'!SETOP_SERVICO,2,0), IF(#REF!="SUDECAP",VLOOKUP(#REF!,'Curva S Ref.'!SUDECAP_SERVICO,2,0), IF(#REF!="TCPO",VLOOKUP(#REF!,'Curva S Ref.'!TCPO_SERVICO,2,0), IF(#REF!="COTAÇÃO",VLOOKUP(#REF!,'Curva S Ref.'!COTACAO,2,0), IF(#REF!='Curva S Ref.'!NOME_BS_1,VLOOKUP(#REF!,'Curva S Ref.'!BANCO_1_SERVICO,2,0), IF(#REF!='Curva S Ref.'!NOME_BS_2,VLOOKUP(#REF!,'Curva S Ref.'!BANCO_2_SERVICO,2,0), IF(#REF!='Curva S Ref.'!NOME_BS_3,VLOOKUP(#REF!,'Curva S Ref.'!BANCO_3_SERVICO,2,0), IF(#REF!='Curva S Ref.'!NOME_BS_4,VLOOKUP(#REF!,'Curva S Ref.'!BANCO_4_SERVICO,2,0), IF(#REF!='Curva S Ref.'!NOME_BS_5,VLOOKUP(#REF!,'Curva S Ref.'!BANCO_5_SERVICO,2,0), IF(#REF!='Curva S Ref.'!NOME_BS_6,VLOOKUP(#REF!,'Curva S Ref.'!BANCO_6_SERVICO,2,0), IF(#REF!='Curva S Ref.'!NOME_BS_7,VLOOKUP(#REF!,'Curva S Ref.'!BANCO_7_SERVICO,2,0), IF(#REF!='Curva S Ref.'!NOME_BS_8,VLOOKUP(#REF!,'Curva S Ref.'!BANCO_8_SERVICO,2,0), IF(#REF!='Curva S Ref.'!NOME_BS_9,VLOOKUP(#REF!,'Curva S Ref.'!BANCO_9_SERVICO,2,0), IF(#REF!='Curva S Ref.'!NOME_BS_10,VLOOKUP(#REF!,'Curva S Ref.'!BANCO_10_SERVICO,2,0), 0) ))))))))))))))))), 0)</definedName>
    <definedName name="PROCURA_DESCRICAO_SERVICO" localSheetId="6">IFERROR( IF(AND(#REF!="",#REF!=""),0, IF(#REF!="SINAPI",VLOOKUP(#REF!,'Encargos Sociais'!SINAPI_SERVICO,2,0), IF(#REF!="COMPOSIÇÃO",VLOOKUP(#REF!,'Encargos Sociais'!COMPOSIÇÕES,2,0), IF(#REF!="IOPES",VLOOKUP(#REF!,'Encargos Sociais'!IOPES_SERVICO,2,0), IF(#REF!="SETOP",VLOOKUP(#REF!,'Encargos Sociais'!SETOP_SERVICO,2,0), IF(#REF!="SUDECAP",VLOOKUP(#REF!,'Encargos Sociais'!SUDECAP_SERVICO,2,0), IF(#REF!="TCPO",VLOOKUP(#REF!,'Encargos Sociais'!TCPO_SERVICO,2,0), IF(#REF!="COTAÇÃO",VLOOKUP(#REF!,'Encargos Sociais'!COTACAO,2,0), IF(#REF!='Encargos Sociais'!NOME_BS_1,VLOOKUP(#REF!,'Encargos Sociais'!BANCO_1_SERVICO,2,0), IF(#REF!='Encargos Sociais'!NOME_BS_2,VLOOKUP(#REF!,'Encargos Sociais'!BANCO_2_SERVICO,2,0), IF(#REF!='Encargos Sociais'!NOME_BS_3,VLOOKUP(#REF!,'Encargos Sociais'!BANCO_3_SERVICO,2,0), IF(#REF!='Encargos Sociais'!NOME_BS_4,VLOOKUP(#REF!,'Encargos Sociais'!BANCO_4_SERVICO,2,0), IF(#REF!='Encargos Sociais'!NOME_BS_5,VLOOKUP(#REF!,'Encargos Sociais'!BANCO_5_SERVICO,2,0), IF(#REF!='Encargos Sociais'!NOME_BS_6,VLOOKUP(#REF!,'Encargos Sociais'!BANCO_6_SERVICO,2,0), IF(#REF!='Encargos Sociais'!NOME_BS_7,VLOOKUP(#REF!,'Encargos Sociais'!BANCO_7_SERVICO,2,0), IF(#REF!='Encargos Sociais'!NOME_BS_8,VLOOKUP(#REF!,'Encargos Sociais'!BANCO_8_SERVICO,2,0), IF(#REF!='Encargos Sociais'!NOME_BS_9,VLOOKUP(#REF!,'Encargos Sociais'!BANCO_9_SERVICO,2,0), IF(#REF!='Encargos Sociais'!NOME_BS_10,VLOOKUP(#REF!,'Encargos Sociais'!BANCO_10_SERVICO,2,0), 0) ))))))))))))))))), 0)</definedName>
    <definedName name="PROCURA_DESCRICAO_SERVICO" localSheetId="25">IFERROR( IF(AND([2]SINTÉTICA!$B1="",[2]SINTÉTICA!$C1=""),0, IF([2]SINTÉTICA!$B1="SINAPI",VLOOKUP([2]SINTÉTICA!$C1,[0]!SINAPI_SERVICO,2,0), IF([2]SINTÉTICA!$B1="COMPOSIÇÃO",VLOOKUP([2]SINTÉTICA!$C1,[0]!COMPOSIÇÕES,2,0), IF([2]SINTÉTICA!$B1="IOPES",VLOOKUP([2]SINTÉTICA!$C1,[0]!IOPES_SERVICO,2,0), IF([2]SINTÉTICA!$B1="SETOP",VLOOKUP([2]SINTÉTICA!$C1,[0]!SETOP_SERVICO,2,0), IF([2]SINTÉTICA!$B1="SUDECAP",VLOOKUP([2]SINTÉTICA!$C1,[0]!SUDECAP_SERVICO,2,0), IF([2]SINTÉTICA!$B1="TCPO",VLOOKUP([2]SINTÉTICA!$C1,[0]!TCPO_SERVICO,2,0), IF([2]SINTÉTICA!$B1="COTAÇÃO",VLOOKUP([2]SINTÉTICA!$C1,[0]!COTACAO,2,0), IF([2]SINTÉTICA!$B1=[0]!NOME_BS_1,VLOOKUP([2]SINTÉTICA!$C1,[0]!BANCO_1_SERVICO,2,0), IF([2]SINTÉTICA!$B1=[0]!NOME_BS_2,VLOOKUP([2]SINTÉTICA!$C1,[0]!BANCO_2_SERVICO,2,0), IF([2]SINTÉTICA!$B1=[0]!NOME_BS_3,VLOOKUP([2]SINTÉTICA!$C1,[0]!BANCO_3_SERVICO,2,0), IF([2]SINTÉTICA!$B1=[0]!NOME_BS_4,VLOOKUP([2]SINTÉTICA!$C1,[0]!BANCO_4_SERVICO,2,0), IF([2]SINTÉTICA!$B1=[0]!NOME_BS_5,VLOOKUP([2]SINTÉTICA!$C1,[0]!BANCO_5_SERVICO,2,0), IF([2]SINTÉTICA!$B1=[0]!NOME_BS_6,VLOOKUP([2]SINTÉTICA!$C1,[0]!BANCO_6_SERVICO,2,0), IF([2]SINTÉTICA!$B1=[0]!NOME_BS_7,VLOOKUP([2]SINTÉTICA!$C1,[0]!BANCO_7_SERVICO,2,0), IF([2]SINTÉTICA!$B1=[0]!NOME_BS_8,VLOOKUP([2]SINTÉTICA!$C1,[0]!BANCO_8_SERVICO,2,0), IF([2]SINTÉTICA!$B1=[0]!NOME_BS_9,VLOOKUP([2]SINTÉTICA!$C1,[0]!BANCO_9_SERVICO,2,0), IF([2]SINTÉTICA!$B1=[0]!NOME_BS_10,VLOOKUP([2]SINTÉTICA!$C1,[0]!BANCO_10_SERVICO,2,0), 0) ))))))))))))))))), 0)</definedName>
    <definedName name="PROCURA_DESCRICAO_SERVICO" localSheetId="26">IFERROR( IF(AND([2]SINTÉTICA!$B1="",[2]SINTÉTICA!$C1=""),0, IF([2]SINTÉTICA!$B1="SINAPI",VLOOKUP([2]SINTÉTICA!$C1,SINAPI_SERVICO,2,0), IF([2]SINTÉTICA!$B1="COMPOSIÇÃO",VLOOKUP([2]SINTÉTICA!$C1,COMPOSIÇÕES,2,0), IF([2]SINTÉTICA!$B1="IOPES",VLOOKUP([2]SINTÉTICA!$C1,IOPES_SERVICO,2,0), IF([2]SINTÉTICA!$B1="SETOP",VLOOKUP([2]SINTÉTICA!$C1,SETOP_SERVICO,2,0), IF([2]SINTÉTICA!$B1="SUDECAP",VLOOKUP([2]SINTÉTICA!$C1,SUDECAP_SERVICO,2,0), IF([2]SINTÉTICA!$B1="TCPO",VLOOKUP([2]SINTÉTICA!$C1,TCPO_SERVICO,2,0), IF([2]SINTÉTICA!$B1="COTAÇÃO",VLOOKUP([2]SINTÉTICA!$C1,COTACAO,2,0), IF([2]SINTÉTICA!$B1=NOME_BS_1,VLOOKUP([2]SINTÉTICA!$C1,BANCO_1_SERVICO,2,0), IF([2]SINTÉTICA!$B1=NOME_BS_2,VLOOKUP([2]SINTÉTICA!$C1,BANCO_2_SERVICO,2,0), IF([2]SINTÉTICA!$B1=NOME_BS_3,VLOOKUP([2]SINTÉTICA!$C1,BANCO_3_SERVICO,2,0), IF([2]SINTÉTICA!$B1=NOME_BS_4,VLOOKUP([2]SINTÉTICA!$C1,BANCO_4_SERVICO,2,0), IF([2]SINTÉTICA!$B1=NOME_BS_5,VLOOKUP([2]SINTÉTICA!$C1,BANCO_5_SERVICO,2,0), IF([2]SINTÉTICA!$B1=NOME_BS_6,VLOOKUP([2]SINTÉTICA!$C1,BANCO_6_SERVICO,2,0), IF([2]SINTÉTICA!$B1=NOME_BS_7,VLOOKUP([2]SINTÉTICA!$C1,BANCO_7_SERVICO,2,0), IF([2]SINTÉTICA!$B1=NOME_BS_8,VLOOKUP([2]SINTÉTICA!$C1,BANCO_8_SERVICO,2,0), IF([2]SINTÉTICA!$B1=NOME_BS_9,VLOOKUP([2]SINTÉTICA!$C1,BANCO_9_SERVICO,2,0), IF([2]SINTÉTICA!$B1=NOME_BS_10,VLOOKUP([2]SINTÉTICA!$C1,BANCO_10_SERVICO,2,0), 0) ))))))))))))))))), 0)</definedName>
    <definedName name="PROCURA_DESCRICAO_SERVICO">IFERROR( IF(AND(SINTÉTICA!$B1="",SINTÉTICA!$C1=""),0, IF(SINTÉTICA!$B1="SINAPI",VLOOKUP(SINTÉTICA!$C1,SINAPI_SERVICO,2,0), IF(SINTÉTICA!$B1="COMPOSIÇÃO",VLOOKUP(SINTÉTICA!$C1,COMPOSIÇÕES,2,0), IF(SINTÉTICA!$B1="IOPES",VLOOKUP(SINTÉTICA!$C1,IOPES_SERVICO,2,0), IF(SINTÉTICA!$B1="SETOP",VLOOKUP(SINTÉTICA!$C1,SETOP_SERVICO,2,0), IF(SINTÉTICA!$B1="SUDECAP",VLOOKUP(SINTÉTICA!$C1,SUDECAP_SERVICO,2,0), IF(SINTÉTICA!$B1="TCPO",VLOOKUP(SINTÉTICA!$C1,TCPO_SERVICO,2,0), IF(SINTÉTICA!$B1="COTAÇÃO",VLOOKUP(SINTÉTICA!$C1,COTACAO,2,0), IF(SINTÉTICA!$B1=NOME_BS_1,VLOOKUP(SINTÉTICA!$C1,BANCO_1_SERVICO,2,0), IF(SINTÉTICA!$B1=NOME_BS_2,VLOOKUP(SINTÉTICA!$C1,BANCO_2_SERVICO,2,0), IF(SINTÉTICA!$B1=NOME_BS_3,VLOOKUP(SINTÉTICA!$C1,BANCO_3_SERVICO,2,0), IF(SINTÉTICA!$B1=NOME_BS_4,VLOOKUP(SINTÉTICA!$C1,BANCO_4_SERVICO,2,0), IF(SINTÉTICA!$B1=NOME_BS_5,VLOOKUP(SINTÉTICA!$C1,BANCO_5_SERVICO,2,0), IF(SINTÉTICA!$B1=NOME_BS_6,VLOOKUP(SINTÉTICA!$C1,BANCO_6_SERVICO,2,0), IF(SINTÉTICA!$B1=NOME_BS_7,VLOOKUP(SINTÉTICA!$C1,BANCO_7_SERVICO,2,0), IF(SINTÉTICA!$B1=NOME_BS_8,VLOOKUP(SINTÉTICA!$C1,BANCO_8_SERVICO,2,0), IF(SINTÉTICA!$B1=NOME_BS_9,VLOOKUP(SINTÉTICA!$C1,BANCO_9_SERVICO,2,0), IF(SINTÉTICA!$B1=NOME_BS_10,VLOOKUP(SINTÉTICA!$C1,BANCO_10_SERVICO,2,0), 0) ))))))))))))))))), 0)</definedName>
    <definedName name="PROCURA_PREÇO_COMP_INS" localSheetId="8">#N/A</definedName>
    <definedName name="PROCURA_PREÇO_COMP_INS" localSheetId="9">IFERROR(IF(AND(#REF!="",#REF!=""),0, IF(#REF!="SINAPI",VLOOKUP(#REF!,SINAPI_INSUMO,5,0), IF(#REF!="COMPOSIÇÃO",VLOOKUP(#REF!,#REF!,4,0), IF(#REF!="IOPES",VLOOKUP(#REF!,IOPES_INSUMO,5,0), IF(#REF!="SETOP",VLOOKUP(#REF!,SETOP_INSUMO,5,0), IF(#REF!="SUDECAP",VLOOKUP(#REF!,SUDECAP_INSUMO,5,0), IF(#REF!="TCPO",VLOOKUP(#REF!,TCPO_INSUMO,5,0), IF(#REF!="COTAÇÃO",VLOOKUP(#REF!,#REF!,5,0), IF(#REF!=NOME_BI_1,VLOOKUP(#REF!,BANCO_1_INSUMO,5,0), IF(#REF!=NOME_BI_2,VLOOKUP(#REF!,BANCO_2_INSUMO,5,0), IF(#REF!=NOME_BI_3,VLOOKUP(#REF!,BANCO_3_INSUMO,5,0), IF(#REF!=NOME_BI_4,VLOOKUP(#REF!,BANCO_4_INSUMO,5,0), IF(#REF!=NOME_BI_5,VLOOKUP(#REF!,BANCO_5_INSUMO,5,0), IF(#REF!=NOME_BI_6,VLOOKUP(#REF!,BANCO_6_INSUMO,5,0), IF(#REF!=NOME_BI_7,VLOOKUP(#REF!,BANCO_7_INSUMO,5,0), IF(#REF!=NOME_BI_8,VLOOKUP(#REF!,BANCO_8_INSUMO,5,0), IF(#REF!=NOME_BI_9,VLOOKUP(#REF!,BANCO_8_INSUMO,5,0), IF(#REF!=NOME_BI_10,VLOOKUP(#REF!,BANCO_10_INSUMO,5,0), 0) ))))))))))))))))),0)</definedName>
    <definedName name="PROCURA_PREÇO_COMP_INS" localSheetId="19">#N/A</definedName>
    <definedName name="PROCURA_PREÇO_COMP_INS" localSheetId="24">#N/A</definedName>
    <definedName name="PROCURA_PREÇO_COMP_INS" localSheetId="15">#N/A</definedName>
    <definedName name="PROCURA_PREÇO_COMP_INS" localSheetId="21">#N/A</definedName>
    <definedName name="PROCURA_PREÇO_COMP_INS" localSheetId="11">#N/A</definedName>
    <definedName name="PROCURA_PREÇO_COMP_INS" localSheetId="12">#N/A</definedName>
    <definedName name="PROCURA_PREÇO_COMP_INS" localSheetId="25">#N/A</definedName>
    <definedName name="PROCURA_PREÇO_COMP_INS" localSheetId="13">#N/A</definedName>
    <definedName name="PROCURA_PREÇO_COMP_INS" localSheetId="17">#N/A</definedName>
    <definedName name="PROCURA_PREÇO_COMP_INS" localSheetId="26">#N/A</definedName>
    <definedName name="PROCURA_PREÇO_COMP_INS" localSheetId="27">#N/A</definedName>
    <definedName name="PROCURA_PREÇO_COMP_INS" localSheetId="16">#N/A</definedName>
    <definedName name="PROCURA_PREÇO_COMP_INS" localSheetId="14">#N/A</definedName>
    <definedName name="PROCURA_PREÇO_COMP_INS" localSheetId="20">#N/A</definedName>
    <definedName name="PROCURA_PREÇO_COMP_INS" localSheetId="23">#N/A</definedName>
    <definedName name="PROCURA_PREÇO_COMP_INS" localSheetId="18">#N/A</definedName>
    <definedName name="PROCURA_PREÇO_COMP_INS">IFERROR(IF(AND(#REF!="",#REF!=""),0, IF(#REF!="SINAPI",VLOOKUP(#REF!,SINAPI_INSUMO,5,0), IF(#REF!="COMPOSIÇÃO",VLOOKUP(#REF!,'BDI SERVIÇOS'!COMPOSIÇÕES,4,0), IF(#REF!="IOPES",VLOOKUP(#REF!,IOPES_INSUMO,5,0), IF(#REF!="SETOP",VLOOKUP(#REF!,SETOP_INSUMO,5,0), IF(#REF!="SUDECAP",VLOOKUP(#REF!,SUDECAP_INSUMO,5,0), IF(#REF!="TCPO",VLOOKUP(#REF!,TCPO_INSUMO,5,0), IF(#REF!="COTAÇÃO",VLOOKUP(#REF!,'BDI SERVIÇOS'!COTACAO,5,0), IF(#REF!=NOME_BI_1,VLOOKUP(#REF!,BANCO_1_INSUMO,5,0), IF(#REF!=NOME_BI_2,VLOOKUP(#REF!,BANCO_2_INSUMO,5,0), IF(#REF!=NOME_BI_3,VLOOKUP(#REF!,BANCO_3_INSUMO,5,0), IF(#REF!=NOME_BI_4,VLOOKUP(#REF!,BANCO_4_INSUMO,5,0), IF(#REF!=NOME_BI_5,VLOOKUP(#REF!,BANCO_5_INSUMO,5,0), IF(#REF!=NOME_BI_6,VLOOKUP(#REF!,BANCO_6_INSUMO,5,0), IF(#REF!=NOME_BI_7,VLOOKUP(#REF!,BANCO_7_INSUMO,5,0), IF(#REF!=NOME_BI_8,VLOOKUP(#REF!,BANCO_8_INSUMO,5,0), IF(#REF!=NOME_BI_9,VLOOKUP(#REF!,BANCO_8_INSUMO,5,0), IF(#REF!=NOME_BI_10,VLOOKUP(#REF!,BANCO_10_INSUMO,5,0), 0) ))))))))))))))))),0)</definedName>
    <definedName name="PROCURA_PREÇO_COMP_SER" localSheetId="9">IFERROR(  IF(#REF!="DESONERADA",  IF(AND(#REF!="",#REF!=""),0, IF(#REF!="SINAPI",VLOOKUP(#REF!,[0]!SINAPI_SERVICO,5,0), IF(#REF!="COMPOSIÇÃO",VLOOKUP(#REF!,[0]!COMPOSIÇÕES,4,0), IF(#REF!="IOPES",VLOOKUP(#REF!,[0]!IOPES_SERVICO,5,0), IF(#REF!="SETOP",VLOOKUP(#REF!,[0]!SETOP_SERVICO,5,0), IF(#REF!="SUDECAP",VLOOKUP(#REF!,[0]!SUDECAP_SERVICO,5,0), IF(#REF!="TCPO",VLOOKUP(#REF!,[0]!TCPO_SERVICO,5,0), IF(#REF!="COTAÇÃO",VLOOKUP(#REF!,[0]!COTACAO,5,0), IF(#REF!=[0]!NOME_BS_1,VLOOKUP(#REF!,[0]!BANCO_1_SERVICO,5,0), IF(#REF!=[0]!NOME_BS_2,VLOOKUP(#REF!,[0]!BANCO_2_SERVICO,5,0), IF(#REF!=[0]!NOME_BS_3,VLOOKUP(#REF!,[0]!BANCO_3_SERVICO,5,0), IF(#REF!=[0]!NOME_BS_4,VLOOKUP(#REF!,[0]!BANCO_4_SERVICO,5,0), IF(#REF!=[0]!NOME_BS_5,VLOOKUP(#REF!,[0]!BANCO_5_SERVICO,5,0), IF(#REF!=[0]!NOME_BS_6,VLOOKUP(#REF!,[0]!BANCO_6_SERVICO,5,0), IF(#REF!=[0]!NOME_BS_7,VLOOKUP(#REF!,[0]!BANCO_7_SERVICO,5,0), IF(#REF!=[0]!NOME_BS_8,VLOOKUP(#REF!,[0]!BANCO_8_SERVICO,5,0), IF(#REF!=[0]!NOME_BS_9,VLOOKUP(#REF!,[0]!BANCO_9_SERVICO,5,0), IF(#REF!=[0]!NOME_BS_10,VLOOKUP(#REF!,[0]!BANCO_10_SERVICO,5,0), 0) ))))))))))))))))),  IF(#REF!="NÃO DESONERADA",  IF(AND(#REF!="",#REF!=""),0, IF(#REF!="SINAPI",VLOOKUP(#REF!,[0]!SINAPI_SERVICO,6,0), IF(#REF!="COMPOSIÇÃO",VLOOKUP(#REF!,[0]!COMPOSIÇÕES,4,0), IF(#REF!="IOPES",VLOOKUP(#REF!,[0]!IOPES_SERVICO,6,0), IF(#REF!="SETOP",VLOOKUP(#REF!,[0]!SETOP_SERVICO,6,0), IF(#REF!="SUDECAP",VLOOKUP(#REF!,[0]!SUDECAP_SERVICO,6,0), IF(#REF!="TCPO",VLOOKUP(#REF!,[0]!TCPO_SERVICO,6,0), IF(#REF!="COTAÇÃO",VLOOKUP(#REF!,[0]!COTACAO,5,0), IF(#REF!=[0]!NOME_BS_1,VLOOKUP(#REF!,[0]!BANCO_1_SERVICO,6,0), IF(#REF!=[0]!NOME_BS_2,VLOOKUP(#REF!,[0]!BANCO_2_SERVICO,6,0), IF(#REF!=[0]!NOME_BS_3,VLOOKUP(#REF!,[0]!BANCO_3_SERVICO,6,0), IF(#REF!=[0]!NOME_BS_4,VLOOKUP(#REF!,[0]!BANCO_4_SERVICO,6,0), IF(#REF!=[0]!NOME_BS_5,VLOOKUP(#REF!,[0]!BANCO_5_SERVICO,6,0), IF(#REF!=[0]!NOME_BS_6,VLOOKUP(#REF!,[0]!BANCO_6_SERVICO,6,0), IF(#REF!=[0]!NOME_BS_7,VLOOKUP(#REF!,[0]!BANCO_7_SERVICO,6,0), IF(#REF!=[0]!NOME_BS_8,VLOOKUP(#REF!,[0]!BANCO_8_SERVICO,6,0), IF(#REF!=[0]!NOME_BS_9,VLOOKUP(#REF!,[0]!BANCO_9_SERVICO,6,0), IF(#REF!=[0]!NOME_BS_10,VLOOKUP(#REF!,[0]!BANCO_10_SERVICO,6,0), 0) ))))))))))))))))))),0)</definedName>
    <definedName name="PROCURA_PREÇO_COMP_SER" localSheetId="25">#N/A</definedName>
    <definedName name="PROCURA_PREÇO_COMP_SER" localSheetId="26">#N/A</definedName>
    <definedName name="PROCURA_PREÇO_COMP_SER">IFERROR(  IF(#REF!="DESONERADA",  IF(AND(#REF!="",#REF!=""),0, IF(#REF!="SINAPI",VLOOKUP(#REF!,'BDI SERVIÇOS'!SINAPI_SERVICO,5,0), IF(#REF!="COMPOSIÇÃO",VLOOKUP(#REF!,'BDI SERVIÇOS'!COMPOSIÇÕES,4,0), IF(#REF!="IOPES",VLOOKUP(#REF!,'BDI SERVIÇOS'!IOPES_SERVICO,5,0), IF(#REF!="SETOP",VLOOKUP(#REF!,'BDI SERVIÇOS'!SETOP_SERVICO,5,0), IF(#REF!="SUDECAP",VLOOKUP(#REF!,'BDI SERVIÇOS'!SUDECAP_SERVICO,5,0), IF(#REF!="TCPO",VLOOKUP(#REF!,'BDI SERVIÇOS'!TCPO_SERVICO,5,0), IF(#REF!="COTAÇÃO",VLOOKUP(#REF!,'BDI SERVIÇOS'!COTACAO,5,0), IF(#REF!='BDI SERVIÇOS'!NOME_BS_1,VLOOKUP(#REF!,'BDI SERVIÇOS'!BANCO_1_SERVICO,5,0), IF(#REF!='BDI SERVIÇOS'!NOME_BS_2,VLOOKUP(#REF!,'BDI SERVIÇOS'!BANCO_2_SERVICO,5,0), IF(#REF!='BDI SERVIÇOS'!NOME_BS_3,VLOOKUP(#REF!,'BDI SERVIÇOS'!BANCO_3_SERVICO,5,0), IF(#REF!='BDI SERVIÇOS'!NOME_BS_4,VLOOKUP(#REF!,'BDI SERVIÇOS'!BANCO_4_SERVICO,5,0), IF(#REF!='BDI SERVIÇOS'!NOME_BS_5,VLOOKUP(#REF!,'BDI SERVIÇOS'!BANCO_5_SERVICO,5,0), IF(#REF!='BDI SERVIÇOS'!NOME_BS_6,VLOOKUP(#REF!,'BDI SERVIÇOS'!BANCO_6_SERVICO,5,0), IF(#REF!='BDI SERVIÇOS'!NOME_BS_7,VLOOKUP(#REF!,'BDI SERVIÇOS'!BANCO_7_SERVICO,5,0), IF(#REF!='BDI SERVIÇOS'!NOME_BS_8,VLOOKUP(#REF!,'BDI SERVIÇOS'!BANCO_8_SERVICO,5,0), IF(#REF!='BDI SERVIÇOS'!NOME_BS_9,VLOOKUP(#REF!,'BDI SERVIÇOS'!BANCO_9_SERVICO,5,0), IF(#REF!='BDI SERVIÇOS'!NOME_BS_10,VLOOKUP(#REF!,'BDI SERVIÇOS'!BANCO_10_SERVICO,5,0), 0) ))))))))))))))))),  IF(#REF!="NÃO DESONERADA",  IF(AND(#REF!="",#REF!=""),0, IF(#REF!="SINAPI",VLOOKUP(#REF!,'BDI SERVIÇOS'!SINAPI_SERVICO,6,0), IF(#REF!="COMPOSIÇÃO",VLOOKUP(#REF!,'BDI SERVIÇOS'!COMPOSIÇÕES,4,0), IF(#REF!="IOPES",VLOOKUP(#REF!,'BDI SERVIÇOS'!IOPES_SERVICO,6,0), IF(#REF!="SETOP",VLOOKUP(#REF!,'BDI SERVIÇOS'!SETOP_SERVICO,6,0), IF(#REF!="SUDECAP",VLOOKUP(#REF!,'BDI SERVIÇOS'!SUDECAP_SERVICO,6,0), IF(#REF!="TCPO",VLOOKUP(#REF!,'BDI SERVIÇOS'!TCPO_SERVICO,6,0), IF(#REF!="COTAÇÃO",VLOOKUP(#REF!,'BDI SERVIÇOS'!COTACAO,5,0), IF(#REF!='BDI SERVIÇOS'!NOME_BS_1,VLOOKUP(#REF!,'BDI SERVIÇOS'!BANCO_1_SERVICO,6,0), IF(#REF!='BDI SERVIÇOS'!NOME_BS_2,VLOOKUP(#REF!,'BDI SERVIÇOS'!BANCO_2_SERVICO,6,0), IF(#REF!='BDI SERVIÇOS'!NOME_BS_3,VLOOKUP(#REF!,'BDI SERVIÇOS'!BANCO_3_SERVICO,6,0), IF(#REF!='BDI SERVIÇOS'!NOME_BS_4,VLOOKUP(#REF!,'BDI SERVIÇOS'!BANCO_4_SERVICO,6,0), IF(#REF!='BDI SERVIÇOS'!NOME_BS_5,VLOOKUP(#REF!,'BDI SERVIÇOS'!BANCO_5_SERVICO,6,0), IF(#REF!='BDI SERVIÇOS'!NOME_BS_6,VLOOKUP(#REF!,'BDI SERVIÇOS'!BANCO_6_SERVICO,6,0), IF(#REF!='BDI SERVIÇOS'!NOME_BS_7,VLOOKUP(#REF!,'BDI SERVIÇOS'!BANCO_7_SERVICO,6,0), IF(#REF!='BDI SERVIÇOS'!NOME_BS_8,VLOOKUP(#REF!,'BDI SERVIÇOS'!BANCO_8_SERVICO,6,0), IF(#REF!='BDI SERVIÇOS'!NOME_BS_9,VLOOKUP(#REF!,'BDI SERVIÇOS'!BANCO_9_SERVICO,6,0), IF(#REF!='BDI SERVIÇOS'!NOME_BS_10,VLOOKUP(#REF!,'BDI SERVIÇOS'!BANCO_10_SERVICO,6,0), 0) ))))))))))))))))))),0)</definedName>
    <definedName name="PROCURA_PRECO_COMPOSICAO" localSheetId="8">IFERROR(IF(#REF!="SERVIÇO",[0]!PROCURA_PREÇO_COMP_SER,IF(#REF!="INSUMO",'Curva ABC'!PROCURA_PREÇO_COMP_INS,0)),0)</definedName>
    <definedName name="PROCURA_PRECO_COMPOSICAO" localSheetId="9">IFERROR(IF(#REF!="SERVIÇO",'Curva S'!PROCURA_PREÇO_COMP_SER,IF(#REF!="INSUMO",'Curva S'!PROCURA_PREÇO_COMP_INS,0)),0)</definedName>
    <definedName name="PROCURA_PRECO_COMPOSICAO" localSheetId="19">IFERROR(IF(#REF!="SERVIÇO",[0]!PROCURA_PREÇO_COMP_SER,IF(#REF!="INSUMO",'MC ALVENARIA'!PROCURA_PREÇO_COMP_INS,0)),0)</definedName>
    <definedName name="PROCURA_PRECO_COMPOSICAO" localSheetId="24">IFERROR(IF(#REF!="SERVIÇO",[0]!PROCURA_PREÇO_COMP_SER,IF(#REF!="INSUMO",'MC ARRIMO'!PROCURA_PREÇO_COMP_INS,0)),0)</definedName>
    <definedName name="PROCURA_PRECO_COMPOSICAO" localSheetId="15">IFERROR(IF(#REF!="SERVIÇO",[0]!PROCURA_PREÇO_COMP_SER,IF(#REF!="INSUMO",'MC CORRIMÃO E GUARDA CORPO'!PROCURA_PREÇO_COMP_INS,0)),0)</definedName>
    <definedName name="PROCURA_PRECO_COMPOSICAO" localSheetId="21">IFERROR(IF(#REF!="SERVIÇO",[0]!PROCURA_PREÇO_COMP_SER,IF(#REF!="INSUMO",'MC DEMOLIÇÕES E REMOÇÕES'!PROCURA_PREÇO_COMP_INS,0)),0)</definedName>
    <definedName name="PROCURA_PRECO_COMPOSICAO" localSheetId="11">IFERROR(IF(#REF!="SERVIÇO",[0]!PROCURA_PREÇO_COMP_SER,IF(#REF!="INSUMO",'MC DIVERSOS'!PROCURA_PREÇO_COMP_INS,0)),0)</definedName>
    <definedName name="PROCURA_PRECO_COMPOSICAO" localSheetId="12">IFERROR(IF(#REF!="SERVIÇO",[0]!PROCURA_PREÇO_COMP_SER,IF(#REF!="INSUMO",'MC DRENAGEM'!PROCURA_PREÇO_COMP_INS,0)),0)</definedName>
    <definedName name="PROCURA_PRECO_COMPOSICAO" localSheetId="25">IFERROR(IF(#REF!="SERVIÇO",'MC ELÉTRICO'!PROCURA_PREÇO_COMP_SER,IF(#REF!="INSUMO",'MC ELÉTRICO'!PROCURA_PREÇO_COMP_INS,0)),0)</definedName>
    <definedName name="PROCURA_PRECO_COMPOSICAO" localSheetId="13">IFERROR(IF(#REF!="SERVIÇO",[0]!PROCURA_PREÇO_COMP_SER,IF(#REF!="INSUMO",'MC ESQUADRIAS'!PROCURA_PREÇO_COMP_INS,0)),0)</definedName>
    <definedName name="PROCURA_PRECO_COMPOSICAO" localSheetId="17">IFERROR(IF(#REF!="SERVIÇO",[0]!PROCURA_PREÇO_COMP_SER,IF(#REF!="INSUMO",'MC FORRO'!PROCURA_PREÇO_COMP_INS,0)),0)</definedName>
    <definedName name="PROCURA_PRECO_COMPOSICAO" localSheetId="26">IFERROR(IF(#REF!="SERVIÇO",'MC HIDRO'!PROCURA_PREÇO_COMP_SER,IF(#REF!="INSUMO",'MC HIDRO'!PROCURA_PREÇO_COMP_INS,0)),0)</definedName>
    <definedName name="PROCURA_PRECO_COMPOSICAO" localSheetId="27">IFERROR(IF(#REF!="SERVIÇO",[0]!PROCURA_PREÇO_COMP_SER,IF(#REF!="INSUMO",'MC LIMPO'!PROCURA_PREÇO_COMP_INS,0)),0)</definedName>
    <definedName name="PROCURA_PRECO_COMPOSICAO" localSheetId="16">IFERROR(IF(#REF!="SERVIÇO",[0]!PROCURA_PREÇO_COMP_SER,IF(#REF!="INSUMO",'MC PEDRAS'!PROCURA_PREÇO_COMP_INS,0)),0)</definedName>
    <definedName name="PROCURA_PRECO_COMPOSICAO" localSheetId="14">IFERROR(IF(#REF!="SERVIÇO",[0]!PROCURA_PREÇO_COMP_SER,IF(#REF!="INSUMO",'MC PINTURA'!PROCURA_PREÇO_COMP_INS,0)),0)</definedName>
    <definedName name="PROCURA_PRECO_COMPOSICAO" localSheetId="20">IFERROR(IF(#REF!="SERVIÇO",[0]!PROCURA_PREÇO_COMP_SER,IF(#REF!="INSUMO",'MC PISO'!PROCURA_PREÇO_COMP_INS,0)),0)</definedName>
    <definedName name="PROCURA_PRECO_COMPOSICAO" localSheetId="23">IFERROR(IF(#REF!="SERVIÇO",[0]!PROCURA_PREÇO_COMP_SER,IF(#REF!="INSUMO",'MC REFORÇO FUNDAÇÃO'!PROCURA_PREÇO_COMP_INS,0)),0)</definedName>
    <definedName name="PROCURA_PRECO_COMPOSICAO" localSheetId="18">IFERROR(IF(#REF!="SERVIÇO",[0]!PROCURA_PREÇO_COMP_SER,IF(#REF!="INSUMO",'MC REVESTIMENTOS'!PROCURA_PREÇO_COMP_INS,0)),0)</definedName>
    <definedName name="PROCURA_PRECO_COMPOSICAO">IFERROR(IF(#REF!="SERVIÇO",PROCURA_PREÇO_COMP_SER,IF(#REF!="INSUMO",PROCURA_PREÇO_COMP_INS,0)),0)</definedName>
    <definedName name="PROCURA_PRECO_MATERIAL">#N/A</definedName>
    <definedName name="PROCURA_PRECO_SERVICO" localSheetId="4" xml:space="preserve"> IFERROR(  IF(#REF!="DESONERADA",  IF(AND(#REF!="",#REF!=""),0, IF(#REF!="SINAPI",VLOOKUP(#REF!,SINAPI_SERVICO,5,0), IF(#REF!="COMPOSIÇÃO",VLOOKUP(#REF!,COMPOSIÇÕES,4,0), IF(#REF!="IOPES",VLOOKUP(#REF!,IOPES_SERVICO,5,0), IF(#REF!="SETOP",VLOOKUP(#REF!,SETOP_SERVICO,5,0), IF(#REF!="SUDECAP",VLOOKUP(#REF!,SUDECAP_SERVICO,5,0), IF(#REF!="TCPO",VLOOKUP(#REF!,TCPO_SERVICO,5,0), IF(#REF!="COTAÇÃO",VLOOKUP(#REF!,COTACAO,5,0), IF(#REF!='BDI EQUIPAMENTOS'!NOME_BS_1,VLOOKUP(#REF!,BANCO_1_SERVICO,5,0), IF(#REF!='BDI EQUIPAMENTOS'!NOME_BS_2,VLOOKUP(#REF!,BANCO_2_SERVICO,5,0), IF(#REF!=NOME_BS_3,VLOOKUP(#REF!,BANCO_3_SERVICO,5,0), IF(#REF!=NOME_BS_4,VLOOKUP(#REF!,BANCO_4_SERVICO,5,0), IF(#REF!=NOME_BS_5,VLOOKUP(#REF!,BANCO_5_SERVICO,5,0), IF(#REF!=NOME_BS_6,VLOOKUP(#REF!,BANCO_6_SERVICO,5,0), IF(#REF!=NOME_BS_7,VLOOKUP(#REF!,BANCO_7_SERVICO,5,0), IF(#REF!=NOME_BS_8,VLOOKUP(#REF!,BANCO_8_SERVICO,5,0), IF(#REF!=NOME_BS_9,VLOOKUP(#REF!,BANCO_9_SERVICO,5,0), IF(#REF!='BDI EQUIPAMENTOS'!NOME_BS_10,VLOOKUP(#REF!,BANCO_10_SERVICO,5,0),)))))))))))))))))),  IF(#REF!="NÃO DESONERADA",  IF(AND(#REF!="",#REF!=""),0, IF(#REF!="SINAPI",VLOOKUP(#REF!,SINAPI_SERVICO,6,0), IF(#REF!="COMPOSIÇÃO",VLOOKUP(#REF!,COMPOSIÇÕES,4,0), IF(#REF!="IOPES",VLOOKUP(#REF!,IOPES_SERVICO,6,0), IF(#REF!="SETOP",VLOOKUP(#REF!,SETOP_SERVICO,6,0), IF(#REF!="SUDECAP",VLOOKUP(#REF!,SUDECAP_SERVICO,6,0), IF(#REF!="TCPO",VLOOKUP(#REF!,TCPO_SERVICO,6,0), IF(#REF!="COTAÇÃO",VLOOKUP(#REF!,COTACAO,5,0), IF(#REF!='BDI EQUIPAMENTOS'!NOME_BS_1,VLOOKUP(#REF!,BANCO_1_SERVICO,6,0), IF(#REF!='BDI EQUIPAMENTOS'!NOME_BS_2,VLOOKUP(#REF!,BANCO_2_SERVICO,6,0), IF(#REF!=NOME_BS_3,VLOOKUP(#REF!,BANCO_3_SERVICO,6,0), IF(#REF!=NOME_BS_4,VLOOKUP(#REF!,BANCO_4_SERVICO,6,0), IF(#REF!=NOME_BS_5,VLOOKUP(#REF!,BANCO_5_SERVICO,6,0), IF(#REF!=NOME_BS_6,VLOOKUP(#REF!,BANCO_6_SERVICO,6,0), IF(#REF!=NOME_BS_7,VLOOKUP(#REF!,BANCO_7_SERVICO,6,0), IF(#REF!=NOME_BS_8,VLOOKUP(#REF!,BANCO_8_SERVICO,6,0), IF(#REF!=NOME_BS_9,VLOOKUP(#REF!,BANCO_9_SERVICO,6,0), IF(#REF!='BDI EQUIPAMENTOS'!NOME_BS_10,VLOOKUP(#REF!,BANCO_10_SERVICO,6,0),)))))))))))))))))), 0)),  0)</definedName>
    <definedName name="PROCURA_PRECO_SERVICO" localSheetId="5" xml:space="preserve"> IFERROR(  IF(#REF!="DESONERADA",  IF(AND(#REF!="",#REF!=""),0, IF(#REF!="SINAPI",VLOOKUP(#REF!,'BDI SERVIÇOS'!SINAPI_SERVICO,5,0), IF(#REF!="COMPOSIÇÃO",VLOOKUP(#REF!,'BDI SERVIÇOS'!COMPOSIÇÕES,4,0), IF(#REF!="IOPES",VLOOKUP(#REF!,'BDI SERVIÇOS'!IOPES_SERVICO,5,0), IF(#REF!="SETOP",VLOOKUP(#REF!,'BDI SERVIÇOS'!SETOP_SERVICO,5,0), IF(#REF!="SUDECAP",VLOOKUP(#REF!,'BDI SERVIÇOS'!SUDECAP_SERVICO,5,0), IF(#REF!="TCPO",VLOOKUP(#REF!,'BDI SERVIÇOS'!TCPO_SERVICO,5,0), IF(#REF!="COTAÇÃO",VLOOKUP(#REF!,'BDI SERVIÇOS'!COTACAO,5,0), IF(#REF!='BDI SERVIÇOS'!NOME_BS_1,VLOOKUP(#REF!,'BDI SERVIÇOS'!BANCO_1_SERVICO,5,0), IF(#REF!='BDI SERVIÇOS'!NOME_BS_2,VLOOKUP(#REF!,'BDI SERVIÇOS'!BANCO_2_SERVICO,5,0), IF(#REF!='BDI SERVIÇOS'!NOME_BS_3,VLOOKUP(#REF!,'BDI SERVIÇOS'!BANCO_3_SERVICO,5,0), IF(#REF!='BDI SERVIÇOS'!NOME_BS_4,VLOOKUP(#REF!,'BDI SERVIÇOS'!BANCO_4_SERVICO,5,0), IF(#REF!='BDI SERVIÇOS'!NOME_BS_5,VLOOKUP(#REF!,'BDI SERVIÇOS'!BANCO_5_SERVICO,5,0), IF(#REF!='BDI SERVIÇOS'!NOME_BS_6,VLOOKUP(#REF!,'BDI SERVIÇOS'!BANCO_6_SERVICO,5,0), IF(#REF!='BDI SERVIÇOS'!NOME_BS_7,VLOOKUP(#REF!,'BDI SERVIÇOS'!BANCO_7_SERVICO,5,0), IF(#REF!='BDI SERVIÇOS'!NOME_BS_8,VLOOKUP(#REF!,'BDI SERVIÇOS'!BANCO_8_SERVICO,5,0), IF(#REF!='BDI SERVIÇOS'!NOME_BS_9,VLOOKUP(#REF!,'BDI SERVIÇOS'!BANCO_9_SERVICO,5,0), IF(#REF!='BDI SERVIÇOS'!NOME_BS_10,VLOOKUP(#REF!,'BDI SERVIÇOS'!BANCO_10_SERVICO,5,0),)))))))))))))))))),  IF(#REF!="NÃO DESONERADA",  IF(AND(#REF!="",#REF!=""),0, IF(#REF!="SINAPI",VLOOKUP(#REF!,'BDI SERVIÇOS'!SINAPI_SERVICO,6,0), IF(#REF!="COMPOSIÇÃO",VLOOKUP(#REF!,'BDI SERVIÇOS'!COMPOSIÇÕES,4,0), IF(#REF!="IOPES",VLOOKUP(#REF!,'BDI SERVIÇOS'!IOPES_SERVICO,6,0), IF(#REF!="SETOP",VLOOKUP(#REF!,'BDI SERVIÇOS'!SETOP_SERVICO,6,0), IF(#REF!="SUDECAP",VLOOKUP(#REF!,'BDI SERVIÇOS'!SUDECAP_SERVICO,6,0), IF(#REF!="TCPO",VLOOKUP(#REF!,'BDI SERVIÇOS'!TCPO_SERVICO,6,0), IF(#REF!="COTAÇÃO",VLOOKUP(#REF!,'BDI SERVIÇOS'!COTACAO,5,0), IF(#REF!='BDI SERVIÇOS'!NOME_BS_1,VLOOKUP(#REF!,'BDI SERVIÇOS'!BANCO_1_SERVICO,6,0), IF(#REF!='BDI SERVIÇOS'!NOME_BS_2,VLOOKUP(#REF!,'BDI SERVIÇOS'!BANCO_2_SERVICO,6,0), IF(#REF!='BDI SERVIÇOS'!NOME_BS_3,VLOOKUP(#REF!,'BDI SERVIÇOS'!BANCO_3_SERVICO,6,0), IF(#REF!='BDI SERVIÇOS'!NOME_BS_4,VLOOKUP(#REF!,'BDI SERVIÇOS'!BANCO_4_SERVICO,6,0), IF(#REF!='BDI SERVIÇOS'!NOME_BS_5,VLOOKUP(#REF!,'BDI SERVIÇOS'!BANCO_5_SERVICO,6,0), IF(#REF!='BDI SERVIÇOS'!NOME_BS_6,VLOOKUP(#REF!,'BDI SERVIÇOS'!BANCO_6_SERVICO,6,0), IF(#REF!='BDI SERVIÇOS'!NOME_BS_7,VLOOKUP(#REF!,'BDI SERVIÇOS'!BANCO_7_SERVICO,6,0), IF(#REF!='BDI SERVIÇOS'!NOME_BS_8,VLOOKUP(#REF!,'BDI SERVIÇOS'!BANCO_8_SERVICO,6,0), IF(#REF!='BDI SERVIÇOS'!NOME_BS_9,VLOOKUP(#REF!,'BDI SERVIÇOS'!BANCO_9_SERVICO,6,0), IF(#REF!='BDI SERVIÇOS'!NOME_BS_10,VLOOKUP(#REF!,'BDI SERVIÇOS'!BANCO_10_SERVICO,6,0),)))))))))))))))))), 0)),  0)</definedName>
    <definedName name="PROCURA_PRECO_SERVICO" localSheetId="7" xml:space="preserve"> IFERROR(  IF(#REF!="DESONERADA",  IF(AND(#REF!="",#REF!=""),0, IF(#REF!="SINAPI",VLOOKUP(#REF!,Cronograma!SINAPI_SERVICO,5,0), IF(#REF!="COMPOSIÇÃO",VLOOKUP(#REF!,Cronograma!COMPOSIÇÕES,4,0), IF(#REF!="IOPES",VLOOKUP(#REF!,Cronograma!IOPES_SERVICO,5,0), IF(#REF!="SETOP",VLOOKUP(#REF!,Cronograma!SETOP_SERVICO,5,0), IF(#REF!="SUDECAP",VLOOKUP(#REF!,Cronograma!SUDECAP_SERVICO,5,0), IF(#REF!="TCPO",VLOOKUP(#REF!,Cronograma!TCPO_SERVICO,5,0), IF(#REF!="COTAÇÃO",VLOOKUP(#REF!,Cronograma!COTACAO,5,0), IF(#REF!=Cronograma!NOME_BS_1,VLOOKUP(#REF!,Cronograma!BANCO_1_SERVICO,5,0), IF(#REF!=Cronograma!NOME_BS_2,VLOOKUP(#REF!,Cronograma!BANCO_2_SERVICO,5,0), IF(#REF!=Cronograma!NOME_BS_3,VLOOKUP(#REF!,Cronograma!BANCO_3_SERVICO,5,0), IF(#REF!=Cronograma!NOME_BS_4,VLOOKUP(#REF!,Cronograma!BANCO_4_SERVICO,5,0), IF(#REF!=Cronograma!NOME_BS_5,VLOOKUP(#REF!,Cronograma!BANCO_5_SERVICO,5,0), IF(#REF!=Cronograma!NOME_BS_6,VLOOKUP(#REF!,Cronograma!BANCO_6_SERVICO,5,0), IF(#REF!=Cronograma!NOME_BS_7,VLOOKUP(#REF!,Cronograma!BANCO_7_SERVICO,5,0), IF(#REF!=Cronograma!NOME_BS_8,VLOOKUP(#REF!,Cronograma!BANCO_8_SERVICO,5,0), IF(#REF!=Cronograma!NOME_BS_9,VLOOKUP(#REF!,Cronograma!BANCO_9_SERVICO,5,0), IF(#REF!=Cronograma!NOME_BS_10,VLOOKUP(#REF!,Cronograma!BANCO_10_SERVICO,5,0),)))))))))))))))))),  IF(#REF!="NÃO DESONERADA",  IF(AND(#REF!="",#REF!=""),0, IF(#REF!="SINAPI",VLOOKUP(#REF!,Cronograma!SINAPI_SERVICO,6,0), IF(#REF!="COMPOSIÇÃO",VLOOKUP(#REF!,Cronograma!COMPOSIÇÕES,4,0), IF(#REF!="IOPES",VLOOKUP(#REF!,Cronograma!IOPES_SERVICO,6,0), IF(#REF!="SETOP",VLOOKUP(#REF!,Cronograma!SETOP_SERVICO,6,0), IF(#REF!="SUDECAP",VLOOKUP(#REF!,Cronograma!SUDECAP_SERVICO,6,0), IF(#REF!="TCPO",VLOOKUP(#REF!,Cronograma!TCPO_SERVICO,6,0), IF(#REF!="COTAÇÃO",VLOOKUP(#REF!,Cronograma!COTACAO,5,0), IF(#REF!=Cronograma!NOME_BS_1,VLOOKUP(#REF!,Cronograma!BANCO_1_SERVICO,6,0), IF(#REF!=Cronograma!NOME_BS_2,VLOOKUP(#REF!,Cronograma!BANCO_2_SERVICO,6,0), IF(#REF!=Cronograma!NOME_BS_3,VLOOKUP(#REF!,Cronograma!BANCO_3_SERVICO,6,0), IF(#REF!=Cronograma!NOME_BS_4,VLOOKUP(#REF!,Cronograma!BANCO_4_SERVICO,6,0), IF(#REF!=Cronograma!NOME_BS_5,VLOOKUP(#REF!,Cronograma!BANCO_5_SERVICO,6,0), IF(#REF!=Cronograma!NOME_BS_6,VLOOKUP(#REF!,Cronograma!BANCO_6_SERVICO,6,0), IF(#REF!=Cronograma!NOME_BS_7,VLOOKUP(#REF!,Cronograma!BANCO_7_SERVICO,6,0), IF(#REF!=Cronograma!NOME_BS_8,VLOOKUP(#REF!,Cronograma!BANCO_8_SERVICO,6,0), IF(#REF!=Cronograma!NOME_BS_9,VLOOKUP(#REF!,Cronograma!BANCO_9_SERVICO,6,0), IF(#REF!=Cronograma!NOME_BS_10,VLOOKUP(#REF!,Cronograma!BANCO_10_SERVICO,6,0),)))))))))))))))))), 0)),  0)</definedName>
    <definedName name="PROCURA_PRECO_SERVICO" localSheetId="8" xml:space="preserve"> IFERROR(  IF(#REF!="DESONERADA",  IF(AND('Curva ABC'!$B1="",'Curva ABC'!$C1=""),0, IF('Curva ABC'!$B1="SINAPI",VLOOKUP('Curva ABC'!$C1,[0]!SINAPI_SERVICO,5,0), IF('Curva ABC'!$B1="COMPOSIÇÃO",VLOOKUP('Curva ABC'!$C1,[0]!COMPOSIÇÕES,4,0), IF('Curva ABC'!$B1="IOPES",VLOOKUP('Curva ABC'!$C1,[0]!IOPES_SERVICO,5,0), IF('Curva ABC'!$B1="SETOP",VLOOKUP('Curva ABC'!$C1,[0]!SETOP_SERVICO,5,0), IF('Curva ABC'!$B1="SUDECAP",VLOOKUP('Curva ABC'!$C1,[0]!SUDECAP_SERVICO,5,0), IF('Curva ABC'!$B1="TCPO",VLOOKUP('Curva ABC'!$C1,[0]!TCPO_SERVICO,5,0), IF('Curva ABC'!$B1="COTAÇÃO",VLOOKUP('Curva ABC'!$C1,[0]!COTACAO,5,0), IF('Curva ABC'!$B1=[0]!NOME_BS_1,VLOOKUP('Curva ABC'!$C1,[0]!BANCO_1_SERVICO,5,0), IF('Curva ABC'!$B1=[0]!NOME_BS_2,VLOOKUP('Curva ABC'!$C1,[0]!BANCO_2_SERVICO,5,0), IF('Curva ABC'!$B1=[0]!NOME_BS_3,VLOOKUP('Curva ABC'!$C1,[0]!BANCO_3_SERVICO,5,0), IF('Curva ABC'!$B1=[0]!NOME_BS_4,VLOOKUP('Curva ABC'!$C1,[0]!BANCO_4_SERVICO,5,0), IF('Curva ABC'!$B1=[0]!NOME_BS_5,VLOOKUP('Curva ABC'!$C1,[0]!BANCO_5_SERVICO,5,0), IF('Curva ABC'!$B1=[0]!NOME_BS_6,VLOOKUP('Curva ABC'!$C1,[0]!BANCO_6_SERVICO,5,0), IF('Curva ABC'!$B1=[0]!NOME_BS_7,VLOOKUP('Curva ABC'!$C1,[0]!BANCO_7_SERVICO,5,0), IF('Curva ABC'!$B1=[0]!NOME_BS_8,VLOOKUP('Curva ABC'!$C1,[0]!BANCO_8_SERVICO,5,0), IF('Curva ABC'!$B1=[0]!NOME_BS_9,VLOOKUP('Curva ABC'!$C1,[0]!BANCO_9_SERVICO,5,0), IF('Curva ABC'!$B1=[0]!NOME_BS_10,VLOOKUP('Curva ABC'!$C1,[0]!BANCO_10_SERVICO,5,0),)))))))))))))))))),  IF(#REF!="NÃO DESONERADA",  IF(AND('Curva ABC'!$B1="",'Curva ABC'!$C1=""),0, IF('Curva ABC'!$B1="SINAPI",VLOOKUP('Curva ABC'!$C1,[0]!SINAPI_SERVICO,6,0), IF('Curva ABC'!$B1="COMPOSIÇÃO",VLOOKUP('Curva ABC'!$C1,[0]!COMPOSIÇÕES,4,0), IF('Curva ABC'!$B1="IOPES",VLOOKUP('Curva ABC'!$C1,[0]!IOPES_SERVICO,6,0), IF('Curva ABC'!$B1="SETOP",VLOOKUP('Curva ABC'!$C1,[0]!SETOP_SERVICO,6,0), IF('Curva ABC'!$B1="SUDECAP",VLOOKUP('Curva ABC'!$C1,[0]!SUDECAP_SERVICO,6,0), IF('Curva ABC'!$B1="TCPO",VLOOKUP('Curva ABC'!$C1,[0]!TCPO_SERVICO,6,0), IF('Curva ABC'!$B1="COTAÇÃO",VLOOKUP('Curva ABC'!$C1,[0]!COTACAO,5,0), IF('Curva ABC'!$B1=[0]!NOME_BS_1,VLOOKUP('Curva ABC'!$C1,[0]!BANCO_1_SERVICO,6,0), IF('Curva ABC'!$B1=[0]!NOME_BS_2,VLOOKUP('Curva ABC'!$C1,[0]!BANCO_2_SERVICO,6,0), IF('Curva ABC'!$B1=[0]!NOME_BS_3,VLOOKUP('Curva ABC'!$C1,[0]!BANCO_3_SERVICO,6,0), IF('Curva ABC'!$B1=[0]!NOME_BS_4,VLOOKUP('Curva ABC'!$C1,[0]!BANCO_4_SERVICO,6,0), IF('Curva ABC'!$B1=[0]!NOME_BS_5,VLOOKUP('Curva ABC'!$C1,[0]!BANCO_5_SERVICO,6,0), IF('Curva ABC'!$B1=[0]!NOME_BS_6,VLOOKUP('Curva ABC'!$C1,[0]!BANCO_6_SERVICO,6,0), IF('Curva ABC'!$B1=[0]!NOME_BS_7,VLOOKUP('Curva ABC'!$C1,[0]!BANCO_7_SERVICO,6,0), IF('Curva ABC'!$B1=[0]!NOME_BS_8,VLOOKUP('Curva ABC'!$C1,[0]!BANCO_8_SERVICO,6,0), IF('Curva ABC'!$B1=[0]!NOME_BS_9,VLOOKUP('Curva ABC'!$C1,[0]!BANCO_9_SERVICO,6,0), IF('Curva ABC'!$B1=[0]!NOME_BS_10,VLOOKUP('Curva ABC'!$C1,[0]!BANCO_10_SERVICO,6,0),)))))))))))))))))), 0)),  0)</definedName>
    <definedName name="PROCURA_PRECO_SERVICO" localSheetId="9" xml:space="preserve"> IFERROR(  IF(#REF!="DESONERADA",  IF(AND([1]Sintética!$C1="",[1]Sintética!$D1=""),0, IF([1]Sintética!$C1="SINAPI",VLOOKUP([1]Sintética!$D1,SINAPI_SERVICO,5,0), IF([1]Sintética!$C1="COMPOSIÇÃO",VLOOKUP([1]Sintética!$D1,COMPOSIÇÕES,4,0), IF([1]Sintética!$C1="IOPES",VLOOKUP([1]Sintética!$D1,IOPES_SERVICO,5,0), IF([1]Sintética!$C1="SETOP",VLOOKUP([1]Sintética!$D1,SETOP_SERVICO,5,0), IF([1]Sintética!$C1="SUDECAP",VLOOKUP([1]Sintética!$D1,SUDECAP_SERVICO,5,0), IF([1]Sintética!$C1="TCPO",VLOOKUP([1]Sintética!$D1,TCPO_SERVICO,5,0), IF([1]Sintética!$C1="COTAÇÃO",VLOOKUP([1]Sintética!$D1,COTACAO,5,0), IF([1]Sintética!$C1=NOME_BS_1,VLOOKUP([1]Sintética!$D1,BANCO_1_SERVICO,5,0), IF([1]Sintética!$C1=NOME_BS_2,VLOOKUP([1]Sintética!$D1,BANCO_2_SERVICO,5,0), IF([1]Sintética!$C1=NOME_BS_3,VLOOKUP([1]Sintética!$D1,BANCO_3_SERVICO,5,0), IF([1]Sintética!$C1=NOME_BS_4,VLOOKUP([1]Sintética!$D1,BANCO_4_SERVICO,5,0), IF([1]Sintética!$C1=NOME_BS_5,VLOOKUP([1]Sintética!$D1,BANCO_5_SERVICO,5,0), IF([1]Sintética!$C1=NOME_BS_6,VLOOKUP([1]Sintética!$D1,BANCO_6_SERVICO,5,0), IF([1]Sintética!$C1=NOME_BS_7,VLOOKUP([1]Sintética!$D1,BANCO_7_SERVICO,5,0), IF([1]Sintética!$C1=NOME_BS_8,VLOOKUP([1]Sintética!$D1,BANCO_8_SERVICO,5,0), IF([1]Sintética!$C1=NOME_BS_9,VLOOKUP([1]Sintética!$D1,BANCO_9_SERVICO,5,0), IF([1]Sintética!$C1=NOME_BS_10,VLOOKUP([1]Sintética!$D1,BANCO_10_SERVICO,5,0),)))))))))))))))))),  IF(#REF!="NÃO DESONERADA",  IF(AND([1]Sintética!$C1="",[1]Sintética!$D1=""),0, IF([1]Sintética!$C1="SINAPI",VLOOKUP([1]Sintética!$D1,SINAPI_SERVICO,6,0), IF([1]Sintética!$C1="COMPOSIÇÃO",VLOOKUP([1]Sintética!$D1,COMPOSIÇÕES,4,0), IF([1]Sintética!$C1="IOPES",VLOOKUP([1]Sintética!$D1,IOPES_SERVICO,6,0), IF([1]Sintética!$C1="SETOP",VLOOKUP([1]Sintética!$D1,SETOP_SERVICO,6,0), IF([1]Sintética!$C1="SUDECAP",VLOOKUP([1]Sintética!$D1,SUDECAP_SERVICO,6,0), IF([1]Sintética!$C1="TCPO",VLOOKUP([1]Sintética!$D1,TCPO_SERVICO,6,0), IF([1]Sintética!$C1="COTAÇÃO",VLOOKUP([1]Sintética!$D1,COTACAO,5,0), IF([1]Sintética!$C1=NOME_BS_1,VLOOKUP([1]Sintética!$D1,BANCO_1_SERVICO,6,0), IF([1]Sintética!$C1=NOME_BS_2,VLOOKUP([1]Sintética!$D1,BANCO_2_SERVICO,6,0), IF([1]Sintética!$C1=NOME_BS_3,VLOOKUP([1]Sintética!$D1,BANCO_3_SERVICO,6,0), IF([1]Sintética!$C1=NOME_BS_4,VLOOKUP([1]Sintética!$D1,BANCO_4_SERVICO,6,0), IF([1]Sintética!$C1=NOME_BS_5,VLOOKUP([1]Sintética!$D1,BANCO_5_SERVICO,6,0), IF([1]Sintética!$C1=NOME_BS_6,VLOOKUP([1]Sintética!$D1,BANCO_6_SERVICO,6,0), IF([1]Sintética!$C1=NOME_BS_7,VLOOKUP([1]Sintética!$D1,BANCO_7_SERVICO,6,0), IF([1]Sintética!$C1=NOME_BS_8,VLOOKUP([1]Sintética!$D1,BANCO_8_SERVICO,6,0), IF([1]Sintética!$C1=NOME_BS_9,VLOOKUP([1]Sintética!$D1,BANCO_9_SERVICO,6,0), IF([1]Sintética!$C1=NOME_BS_10,VLOOKUP([1]Sintética!$D1,BANCO_10_SERVICO,6,0),)))))))))))))))))), 0)),  0)</definedName>
    <definedName name="PROCURA_PRECO_SERVICO" localSheetId="10" xml:space="preserve"> IFERROR(  IF(#REF!="DESONERADA",  IF(AND(#REF!="",#REF!=""),0, IF(#REF!="SINAPI",VLOOKUP(#REF!,'Curva S Ref.'!SINAPI_SERVICO,5,0), IF(#REF!="COMPOSIÇÃO",VLOOKUP(#REF!,'Curva S Ref.'!COMPOSIÇÕES,4,0), IF(#REF!="IOPES",VLOOKUP(#REF!,'Curva S Ref.'!IOPES_SERVICO,5,0), IF(#REF!="SETOP",VLOOKUP(#REF!,'Curva S Ref.'!SETOP_SERVICO,5,0), IF(#REF!="SUDECAP",VLOOKUP(#REF!,'Curva S Ref.'!SUDECAP_SERVICO,5,0), IF(#REF!="TCPO",VLOOKUP(#REF!,'Curva S Ref.'!TCPO_SERVICO,5,0), IF(#REF!="COTAÇÃO",VLOOKUP(#REF!,'Curva S Ref.'!COTACAO,5,0), IF(#REF!='Curva S Ref.'!NOME_BS_1,VLOOKUP(#REF!,'Curva S Ref.'!BANCO_1_SERVICO,5,0), IF(#REF!='Curva S Ref.'!NOME_BS_2,VLOOKUP(#REF!,'Curva S Ref.'!BANCO_2_SERVICO,5,0), IF(#REF!='Curva S Ref.'!NOME_BS_3,VLOOKUP(#REF!,'Curva S Ref.'!BANCO_3_SERVICO,5,0), IF(#REF!='Curva S Ref.'!NOME_BS_4,VLOOKUP(#REF!,'Curva S Ref.'!BANCO_4_SERVICO,5,0), IF(#REF!='Curva S Ref.'!NOME_BS_5,VLOOKUP(#REF!,'Curva S Ref.'!BANCO_5_SERVICO,5,0), IF(#REF!='Curva S Ref.'!NOME_BS_6,VLOOKUP(#REF!,'Curva S Ref.'!BANCO_6_SERVICO,5,0), IF(#REF!='Curva S Ref.'!NOME_BS_7,VLOOKUP(#REF!,'Curva S Ref.'!BANCO_7_SERVICO,5,0), IF(#REF!='Curva S Ref.'!NOME_BS_8,VLOOKUP(#REF!,'Curva S Ref.'!BANCO_8_SERVICO,5,0), IF(#REF!='Curva S Ref.'!NOME_BS_9,VLOOKUP(#REF!,'Curva S Ref.'!BANCO_9_SERVICO,5,0), IF(#REF!='Curva S Ref.'!NOME_BS_10,VLOOKUP(#REF!,'Curva S Ref.'!BANCO_10_SERVICO,5,0),)))))))))))))))))),  IF(#REF!="NÃO DESONERADA",  IF(AND(#REF!="",#REF!=""),0, IF(#REF!="SINAPI",VLOOKUP(#REF!,'Curva S Ref.'!SINAPI_SERVICO,6,0), IF(#REF!="COMPOSIÇÃO",VLOOKUP(#REF!,'Curva S Ref.'!COMPOSIÇÕES,4,0), IF(#REF!="IOPES",VLOOKUP(#REF!,'Curva S Ref.'!IOPES_SERVICO,6,0), IF(#REF!="SETOP",VLOOKUP(#REF!,'Curva S Ref.'!SETOP_SERVICO,6,0), IF(#REF!="SUDECAP",VLOOKUP(#REF!,'Curva S Ref.'!SUDECAP_SERVICO,6,0), IF(#REF!="TCPO",VLOOKUP(#REF!,'Curva S Ref.'!TCPO_SERVICO,6,0), IF(#REF!="COTAÇÃO",VLOOKUP(#REF!,'Curva S Ref.'!COTACAO,5,0), IF(#REF!='Curva S Ref.'!NOME_BS_1,VLOOKUP(#REF!,'Curva S Ref.'!BANCO_1_SERVICO,6,0), IF(#REF!='Curva S Ref.'!NOME_BS_2,VLOOKUP(#REF!,'Curva S Ref.'!BANCO_2_SERVICO,6,0), IF(#REF!='Curva S Ref.'!NOME_BS_3,VLOOKUP(#REF!,'Curva S Ref.'!BANCO_3_SERVICO,6,0), IF(#REF!='Curva S Ref.'!NOME_BS_4,VLOOKUP(#REF!,'Curva S Ref.'!BANCO_4_SERVICO,6,0), IF(#REF!='Curva S Ref.'!NOME_BS_5,VLOOKUP(#REF!,'Curva S Ref.'!BANCO_5_SERVICO,6,0), IF(#REF!='Curva S Ref.'!NOME_BS_6,VLOOKUP(#REF!,'Curva S Ref.'!BANCO_6_SERVICO,6,0), IF(#REF!='Curva S Ref.'!NOME_BS_7,VLOOKUP(#REF!,'Curva S Ref.'!BANCO_7_SERVICO,6,0), IF(#REF!='Curva S Ref.'!NOME_BS_8,VLOOKUP(#REF!,'Curva S Ref.'!BANCO_8_SERVICO,6,0), IF(#REF!='Curva S Ref.'!NOME_BS_9,VLOOKUP(#REF!,'Curva S Ref.'!BANCO_9_SERVICO,6,0), IF(#REF!='Curva S Ref.'!NOME_BS_10,VLOOKUP(#REF!,'Curva S Ref.'!BANCO_10_SERVICO,6,0),)))))))))))))))))), 0)),  0)</definedName>
    <definedName name="PROCURA_PRECO_SERVICO" localSheetId="6" xml:space="preserve"> IFERROR(  IF(#REF!="DESONERADA",  IF(AND(#REF!="",#REF!=""),0, IF(#REF!="SINAPI",VLOOKUP(#REF!,'Encargos Sociais'!SINAPI_SERVICO,5,0), IF(#REF!="COMPOSIÇÃO",VLOOKUP(#REF!,'Encargos Sociais'!COMPOSIÇÕES,4,0), IF(#REF!="IOPES",VLOOKUP(#REF!,'Encargos Sociais'!IOPES_SERVICO,5,0), IF(#REF!="SETOP",VLOOKUP(#REF!,'Encargos Sociais'!SETOP_SERVICO,5,0), IF(#REF!="SUDECAP",VLOOKUP(#REF!,'Encargos Sociais'!SUDECAP_SERVICO,5,0), IF(#REF!="TCPO",VLOOKUP(#REF!,'Encargos Sociais'!TCPO_SERVICO,5,0), IF(#REF!="COTAÇÃO",VLOOKUP(#REF!,'Encargos Sociais'!COTACAO,5,0), IF(#REF!='Encargos Sociais'!NOME_BS_1,VLOOKUP(#REF!,'Encargos Sociais'!BANCO_1_SERVICO,5,0), IF(#REF!='Encargos Sociais'!NOME_BS_2,VLOOKUP(#REF!,'Encargos Sociais'!BANCO_2_SERVICO,5,0), IF(#REF!='Encargos Sociais'!NOME_BS_3,VLOOKUP(#REF!,'Encargos Sociais'!BANCO_3_SERVICO,5,0), IF(#REF!='Encargos Sociais'!NOME_BS_4,VLOOKUP(#REF!,'Encargos Sociais'!BANCO_4_SERVICO,5,0), IF(#REF!='Encargos Sociais'!NOME_BS_5,VLOOKUP(#REF!,'Encargos Sociais'!BANCO_5_SERVICO,5,0), IF(#REF!='Encargos Sociais'!NOME_BS_6,VLOOKUP(#REF!,'Encargos Sociais'!BANCO_6_SERVICO,5,0), IF(#REF!='Encargos Sociais'!NOME_BS_7,VLOOKUP(#REF!,'Encargos Sociais'!BANCO_7_SERVICO,5,0), IF(#REF!='Encargos Sociais'!NOME_BS_8,VLOOKUP(#REF!,'Encargos Sociais'!BANCO_8_SERVICO,5,0), IF(#REF!='Encargos Sociais'!NOME_BS_9,VLOOKUP(#REF!,'Encargos Sociais'!BANCO_9_SERVICO,5,0), IF(#REF!='Encargos Sociais'!NOME_BS_10,VLOOKUP(#REF!,'Encargos Sociais'!BANCO_10_SERVICO,5,0),)))))))))))))))))),  IF(#REF!="NÃO DESONERADA",  IF(AND(#REF!="",#REF!=""),0, IF(#REF!="SINAPI",VLOOKUP(#REF!,'Encargos Sociais'!SINAPI_SERVICO,6,0), IF(#REF!="COMPOSIÇÃO",VLOOKUP(#REF!,'Encargos Sociais'!COMPOSIÇÕES,4,0), IF(#REF!="IOPES",VLOOKUP(#REF!,'Encargos Sociais'!IOPES_SERVICO,6,0), IF(#REF!="SETOP",VLOOKUP(#REF!,'Encargos Sociais'!SETOP_SERVICO,6,0), IF(#REF!="SUDECAP",VLOOKUP(#REF!,'Encargos Sociais'!SUDECAP_SERVICO,6,0), IF(#REF!="TCPO",VLOOKUP(#REF!,'Encargos Sociais'!TCPO_SERVICO,6,0), IF(#REF!="COTAÇÃO",VLOOKUP(#REF!,'Encargos Sociais'!COTACAO,5,0), IF(#REF!='Encargos Sociais'!NOME_BS_1,VLOOKUP(#REF!,'Encargos Sociais'!BANCO_1_SERVICO,6,0), IF(#REF!='Encargos Sociais'!NOME_BS_2,VLOOKUP(#REF!,'Encargos Sociais'!BANCO_2_SERVICO,6,0), IF(#REF!='Encargos Sociais'!NOME_BS_3,VLOOKUP(#REF!,'Encargos Sociais'!BANCO_3_SERVICO,6,0), IF(#REF!='Encargos Sociais'!NOME_BS_4,VLOOKUP(#REF!,'Encargos Sociais'!BANCO_4_SERVICO,6,0), IF(#REF!='Encargos Sociais'!NOME_BS_5,VLOOKUP(#REF!,'Encargos Sociais'!BANCO_5_SERVICO,6,0), IF(#REF!='Encargos Sociais'!NOME_BS_6,VLOOKUP(#REF!,'Encargos Sociais'!BANCO_6_SERVICO,6,0), IF(#REF!='Encargos Sociais'!NOME_BS_7,VLOOKUP(#REF!,'Encargos Sociais'!BANCO_7_SERVICO,6,0), IF(#REF!='Encargos Sociais'!NOME_BS_8,VLOOKUP(#REF!,'Encargos Sociais'!BANCO_8_SERVICO,6,0), IF(#REF!='Encargos Sociais'!NOME_BS_9,VLOOKUP(#REF!,'Encargos Sociais'!BANCO_9_SERVICO,6,0), IF(#REF!='Encargos Sociais'!NOME_BS_10,VLOOKUP(#REF!,'Encargos Sociais'!BANCO_10_SERVICO,6,0),)))))))))))))))))), 0)),  0)</definedName>
    <definedName name="PROCURA_PRECO_SERVICO" localSheetId="25" xml:space="preserve"> IFERROR(  IF(#REF!="DESONERADA",  IF(AND([2]SINTÉTICA!$B1="",[2]SINTÉTICA!$C1=""),0, IF([2]SINTÉTICA!$B1="SINAPI",VLOOKUP([2]SINTÉTICA!$C1,[0]!SINAPI_SERVICO,5,0), IF([2]SINTÉTICA!$B1="COMPOSIÇÃO",VLOOKUP([2]SINTÉTICA!$C1,[0]!COMPOSIÇÕES,4,0), IF([2]SINTÉTICA!$B1="IOPES",VLOOKUP([2]SINTÉTICA!$C1,[0]!IOPES_SERVICO,5,0), IF([2]SINTÉTICA!$B1="SETOP",VLOOKUP([2]SINTÉTICA!$C1,[0]!SETOP_SERVICO,5,0), IF([2]SINTÉTICA!$B1="SUDECAP",VLOOKUP([2]SINTÉTICA!$C1,[0]!SUDECAP_SERVICO,5,0), IF([2]SINTÉTICA!$B1="TCPO",VLOOKUP([2]SINTÉTICA!$C1,[0]!TCPO_SERVICO,5,0), IF([2]SINTÉTICA!$B1="COTAÇÃO",VLOOKUP([2]SINTÉTICA!$C1,[0]!COTACAO,5,0), IF([2]SINTÉTICA!$B1=[0]!NOME_BS_1,VLOOKUP([2]SINTÉTICA!$C1,[0]!BANCO_1_SERVICO,5,0), IF([2]SINTÉTICA!$B1=[0]!NOME_BS_2,VLOOKUP([2]SINTÉTICA!$C1,[0]!BANCO_2_SERVICO,5,0), IF([2]SINTÉTICA!$B1=[0]!NOME_BS_3,VLOOKUP([2]SINTÉTICA!$C1,[0]!BANCO_3_SERVICO,5,0), IF([2]SINTÉTICA!$B1=[0]!NOME_BS_4,VLOOKUP([2]SINTÉTICA!$C1,[0]!BANCO_4_SERVICO,5,0), IF([2]SINTÉTICA!$B1=[0]!NOME_BS_5,VLOOKUP([2]SINTÉTICA!$C1,[0]!BANCO_5_SERVICO,5,0), IF([2]SINTÉTICA!$B1=[0]!NOME_BS_6,VLOOKUP([2]SINTÉTICA!$C1,[0]!BANCO_6_SERVICO,5,0), IF([2]SINTÉTICA!$B1=[0]!NOME_BS_7,VLOOKUP([2]SINTÉTICA!$C1,[0]!BANCO_7_SERVICO,5,0), IF([2]SINTÉTICA!$B1=[0]!NOME_BS_8,VLOOKUP([2]SINTÉTICA!$C1,[0]!BANCO_8_SERVICO,5,0), IF([2]SINTÉTICA!$B1=[0]!NOME_BS_9,VLOOKUP([2]SINTÉTICA!$C1,[0]!BANCO_9_SERVICO,5,0), IF([2]SINTÉTICA!$B1=[0]!NOME_BS_10,VLOOKUP([2]SINTÉTICA!$C1,[0]!BANCO_10_SERVICO,5,0),)))))))))))))))))),  IF(#REF!="NÃO DESONERADA",  IF(AND([2]SINTÉTICA!$B1="",[2]SINTÉTICA!$C1=""),0, IF([2]SINTÉTICA!$B1="SINAPI",VLOOKUP([2]SINTÉTICA!$C1,[0]!SINAPI_SERVICO,6,0), IF([2]SINTÉTICA!$B1="COMPOSIÇÃO",VLOOKUP([2]SINTÉTICA!$C1,[0]!COMPOSIÇÕES,4,0), IF([2]SINTÉTICA!$B1="IOPES",VLOOKUP([2]SINTÉTICA!$C1,[0]!IOPES_SERVICO,6,0), IF([2]SINTÉTICA!$B1="SETOP",VLOOKUP([2]SINTÉTICA!$C1,[0]!SETOP_SERVICO,6,0), IF([2]SINTÉTICA!$B1="SUDECAP",VLOOKUP([2]SINTÉTICA!$C1,[0]!SUDECAP_SERVICO,6,0), IF([2]SINTÉTICA!$B1="TCPO",VLOOKUP([2]SINTÉTICA!$C1,[0]!TCPO_SERVICO,6,0), IF([2]SINTÉTICA!$B1="COTAÇÃO",VLOOKUP([2]SINTÉTICA!$C1,[0]!COTACAO,5,0), IF([2]SINTÉTICA!$B1=[0]!NOME_BS_1,VLOOKUP([2]SINTÉTICA!$C1,[0]!BANCO_1_SERVICO,6,0), IF([2]SINTÉTICA!$B1=[0]!NOME_BS_2,VLOOKUP([2]SINTÉTICA!$C1,[0]!BANCO_2_SERVICO,6,0), IF([2]SINTÉTICA!$B1=[0]!NOME_BS_3,VLOOKUP([2]SINTÉTICA!$C1,[0]!BANCO_3_SERVICO,6,0), IF([2]SINTÉTICA!$B1=[0]!NOME_BS_4,VLOOKUP([2]SINTÉTICA!$C1,[0]!BANCO_4_SERVICO,6,0), IF([2]SINTÉTICA!$B1=[0]!NOME_BS_5,VLOOKUP([2]SINTÉTICA!$C1,[0]!BANCO_5_SERVICO,6,0), IF([2]SINTÉTICA!$B1=[0]!NOME_BS_6,VLOOKUP([2]SINTÉTICA!$C1,[0]!BANCO_6_SERVICO,6,0), IF([2]SINTÉTICA!$B1=[0]!NOME_BS_7,VLOOKUP([2]SINTÉTICA!$C1,[0]!BANCO_7_SERVICO,6,0), IF([2]SINTÉTICA!$B1=[0]!NOME_BS_8,VLOOKUP([2]SINTÉTICA!$C1,[0]!BANCO_8_SERVICO,6,0), IF([2]SINTÉTICA!$B1=[0]!NOME_BS_9,VLOOKUP([2]SINTÉTICA!$C1,[0]!BANCO_9_SERVICO,6,0), IF([2]SINTÉTICA!$B1=[0]!NOME_BS_10,VLOOKUP([2]SINTÉTICA!$C1,[0]!BANCO_10_SERVICO,6,0),)))))))))))))))))), 0)),  0)</definedName>
    <definedName name="PROCURA_PRECO_SERVICO" localSheetId="26" xml:space="preserve"> IFERROR(  IF(#REF!="DESONERADA",  IF(AND([2]SINTÉTICA!$B1="",[2]SINTÉTICA!$C1=""),0, IF([2]SINTÉTICA!$B1="SINAPI",VLOOKUP([2]SINTÉTICA!$C1,SINAPI_SERVICO,5,0), IF([2]SINTÉTICA!$B1="COMPOSIÇÃO",VLOOKUP([2]SINTÉTICA!$C1,COMPOSIÇÕES,4,0), IF([2]SINTÉTICA!$B1="IOPES",VLOOKUP([2]SINTÉTICA!$C1,IOPES_SERVICO,5,0), IF([2]SINTÉTICA!$B1="SETOP",VLOOKUP([2]SINTÉTICA!$C1,SETOP_SERVICO,5,0), IF([2]SINTÉTICA!$B1="SUDECAP",VLOOKUP([2]SINTÉTICA!$C1,SUDECAP_SERVICO,5,0), IF([2]SINTÉTICA!$B1="TCPO",VLOOKUP([2]SINTÉTICA!$C1,TCPO_SERVICO,5,0), IF([2]SINTÉTICA!$B1="COTAÇÃO",VLOOKUP([2]SINTÉTICA!$C1,COTACAO,5,0), IF([2]SINTÉTICA!$B1=NOME_BS_1,VLOOKUP([2]SINTÉTICA!$C1,BANCO_1_SERVICO,5,0), IF([2]SINTÉTICA!$B1=NOME_BS_2,VLOOKUP([2]SINTÉTICA!$C1,BANCO_2_SERVICO,5,0), IF([2]SINTÉTICA!$B1=NOME_BS_3,VLOOKUP([2]SINTÉTICA!$C1,BANCO_3_SERVICO,5,0), IF([2]SINTÉTICA!$B1=NOME_BS_4,VLOOKUP([2]SINTÉTICA!$C1,BANCO_4_SERVICO,5,0), IF([2]SINTÉTICA!$B1=NOME_BS_5,VLOOKUP([2]SINTÉTICA!$C1,BANCO_5_SERVICO,5,0), IF([2]SINTÉTICA!$B1=NOME_BS_6,VLOOKUP([2]SINTÉTICA!$C1,BANCO_6_SERVICO,5,0), IF([2]SINTÉTICA!$B1=NOME_BS_7,VLOOKUP([2]SINTÉTICA!$C1,BANCO_7_SERVICO,5,0), IF([2]SINTÉTICA!$B1=NOME_BS_8,VLOOKUP([2]SINTÉTICA!$C1,BANCO_8_SERVICO,5,0), IF([2]SINTÉTICA!$B1=NOME_BS_9,VLOOKUP([2]SINTÉTICA!$C1,BANCO_9_SERVICO,5,0), IF([2]SINTÉTICA!$B1=NOME_BS_10,VLOOKUP([2]SINTÉTICA!$C1,BANCO_10_SERVICO,5,0),)))))))))))))))))),  IF(#REF!="NÃO DESONERADA",  IF(AND([2]SINTÉTICA!$B1="",[2]SINTÉTICA!$C1=""),0, IF([2]SINTÉTICA!$B1="SINAPI",VLOOKUP([2]SINTÉTICA!$C1,SINAPI_SERVICO,6,0), IF([2]SINTÉTICA!$B1="COMPOSIÇÃO",VLOOKUP([2]SINTÉTICA!$C1,COMPOSIÇÕES,4,0), IF([2]SINTÉTICA!$B1="IOPES",VLOOKUP([2]SINTÉTICA!$C1,IOPES_SERVICO,6,0), IF([2]SINTÉTICA!$B1="SETOP",VLOOKUP([2]SINTÉTICA!$C1,SETOP_SERVICO,6,0), IF([2]SINTÉTICA!$B1="SUDECAP",VLOOKUP([2]SINTÉTICA!$C1,SUDECAP_SERVICO,6,0), IF([2]SINTÉTICA!$B1="TCPO",VLOOKUP([2]SINTÉTICA!$C1,TCPO_SERVICO,6,0), IF([2]SINTÉTICA!$B1="COTAÇÃO",VLOOKUP([2]SINTÉTICA!$C1,COTACAO,5,0), IF([2]SINTÉTICA!$B1=NOME_BS_1,VLOOKUP([2]SINTÉTICA!$C1,BANCO_1_SERVICO,6,0), IF([2]SINTÉTICA!$B1=NOME_BS_2,VLOOKUP([2]SINTÉTICA!$C1,BANCO_2_SERVICO,6,0), IF([2]SINTÉTICA!$B1=NOME_BS_3,VLOOKUP([2]SINTÉTICA!$C1,BANCO_3_SERVICO,6,0), IF([2]SINTÉTICA!$B1=NOME_BS_4,VLOOKUP([2]SINTÉTICA!$C1,BANCO_4_SERVICO,6,0), IF([2]SINTÉTICA!$B1=NOME_BS_5,VLOOKUP([2]SINTÉTICA!$C1,BANCO_5_SERVICO,6,0), IF([2]SINTÉTICA!$B1=NOME_BS_6,VLOOKUP([2]SINTÉTICA!$C1,BANCO_6_SERVICO,6,0), IF([2]SINTÉTICA!$B1=NOME_BS_7,VLOOKUP([2]SINTÉTICA!$C1,BANCO_7_SERVICO,6,0), IF([2]SINTÉTICA!$B1=NOME_BS_8,VLOOKUP([2]SINTÉTICA!$C1,BANCO_8_SERVICO,6,0), IF([2]SINTÉTICA!$B1=NOME_BS_9,VLOOKUP([2]SINTÉTICA!$C1,BANCO_9_SERVICO,6,0), IF([2]SINTÉTICA!$B1=NOME_BS_10,VLOOKUP([2]SINTÉTICA!$C1,BANCO_10_SERVICO,6,0),)))))))))))))))))), 0)),  0)</definedName>
    <definedName name="PROCURA_PRECO_SERVICO" xml:space="preserve"> IFERROR(  IF(#REF!="DESONERADA",  IF(AND(SINTÉTICA!$B1="",SINTÉTICA!$C1=""),0, IF(SINTÉTICA!$B1="SINAPI",VLOOKUP(SINTÉTICA!$C1,SINAPI_SERVICO,5,0), IF(SINTÉTICA!$B1="COMPOSIÇÃO",VLOOKUP(SINTÉTICA!$C1,COMPOSIÇÕES,4,0), IF(SINTÉTICA!$B1="IOPES",VLOOKUP(SINTÉTICA!$C1,IOPES_SERVICO,5,0), IF(SINTÉTICA!$B1="SETOP",VLOOKUP(SINTÉTICA!$C1,SETOP_SERVICO,5,0), IF(SINTÉTICA!$B1="SUDECAP",VLOOKUP(SINTÉTICA!$C1,SUDECAP_SERVICO,5,0), IF(SINTÉTICA!$B1="TCPO",VLOOKUP(SINTÉTICA!$C1,TCPO_SERVICO,5,0), IF(SINTÉTICA!$B1="COTAÇÃO",VLOOKUP(SINTÉTICA!$C1,COTACAO,5,0), IF(SINTÉTICA!$B1=NOME_BS_1,VLOOKUP(SINTÉTICA!$C1,BANCO_1_SERVICO,5,0), IF(SINTÉTICA!$B1=NOME_BS_2,VLOOKUP(SINTÉTICA!$C1,BANCO_2_SERVICO,5,0), IF(SINTÉTICA!$B1=NOME_BS_3,VLOOKUP(SINTÉTICA!$C1,BANCO_3_SERVICO,5,0), IF(SINTÉTICA!$B1=NOME_BS_4,VLOOKUP(SINTÉTICA!$C1,BANCO_4_SERVICO,5,0), IF(SINTÉTICA!$B1=NOME_BS_5,VLOOKUP(SINTÉTICA!$C1,BANCO_5_SERVICO,5,0), IF(SINTÉTICA!$B1=NOME_BS_6,VLOOKUP(SINTÉTICA!$C1,BANCO_6_SERVICO,5,0), IF(SINTÉTICA!$B1=NOME_BS_7,VLOOKUP(SINTÉTICA!$C1,BANCO_7_SERVICO,5,0), IF(SINTÉTICA!$B1=NOME_BS_8,VLOOKUP(SINTÉTICA!$C1,BANCO_8_SERVICO,5,0), IF(SINTÉTICA!$B1=NOME_BS_9,VLOOKUP(SINTÉTICA!$C1,BANCO_9_SERVICO,5,0), IF(SINTÉTICA!$B1=NOME_BS_10,VLOOKUP(SINTÉTICA!$C1,BANCO_10_SERVICO,5,0),)))))))))))))))))),  IF(#REF!="NÃO DESONERADA",  IF(AND(SINTÉTICA!$B1="",SINTÉTICA!$C1=""),0, IF(SINTÉTICA!$B1="SINAPI",VLOOKUP(SINTÉTICA!$C1,SINAPI_SERVICO,6,0), IF(SINTÉTICA!$B1="COMPOSIÇÃO",VLOOKUP(SINTÉTICA!$C1,COMPOSIÇÕES,4,0), IF(SINTÉTICA!$B1="IOPES",VLOOKUP(SINTÉTICA!$C1,IOPES_SERVICO,6,0), IF(SINTÉTICA!$B1="SETOP",VLOOKUP(SINTÉTICA!$C1,SETOP_SERVICO,6,0), IF(SINTÉTICA!$B1="SUDECAP",VLOOKUP(SINTÉTICA!$C1,SUDECAP_SERVICO,6,0), IF(SINTÉTICA!$B1="TCPO",VLOOKUP(SINTÉTICA!$C1,TCPO_SERVICO,6,0), IF(SINTÉTICA!$B1="COTAÇÃO",VLOOKUP(SINTÉTICA!$C1,COTACAO,5,0), IF(SINTÉTICA!$B1=NOME_BS_1,VLOOKUP(SINTÉTICA!$C1,BANCO_1_SERVICO,6,0), IF(SINTÉTICA!$B1=NOME_BS_2,VLOOKUP(SINTÉTICA!$C1,BANCO_2_SERVICO,6,0), IF(SINTÉTICA!$B1=NOME_BS_3,VLOOKUP(SINTÉTICA!$C1,BANCO_3_SERVICO,6,0), IF(SINTÉTICA!$B1=NOME_BS_4,VLOOKUP(SINTÉTICA!$C1,BANCO_4_SERVICO,6,0), IF(SINTÉTICA!$B1=NOME_BS_5,VLOOKUP(SINTÉTICA!$C1,BANCO_5_SERVICO,6,0), IF(SINTÉTICA!$B1=NOME_BS_6,VLOOKUP(SINTÉTICA!$C1,BANCO_6_SERVICO,6,0), IF(SINTÉTICA!$B1=NOME_BS_7,VLOOKUP(SINTÉTICA!$C1,BANCO_7_SERVICO,6,0), IF(SINTÉTICA!$B1=NOME_BS_8,VLOOKUP(SINTÉTICA!$C1,BANCO_8_SERVICO,6,0), IF(SINTÉTICA!$B1=NOME_BS_9,VLOOKUP(SINTÉTICA!$C1,BANCO_9_SERVICO,6,0), IF(SINTÉTICA!$B1=NOME_BS_10,VLOOKUP(SINTÉTICA!$C1,BANCO_10_SERVICO,6,0),)))))))))))))))))), 0)),  0)</definedName>
    <definedName name="PROCURA_UNIDADE_COMPOSICAO" localSheetId="8">#N/A</definedName>
    <definedName name="PROCURA_UNIDADE_COMPOSICAO" localSheetId="9">IFERROR(  IF(#REF!="SERVIÇO",  IF(AND(#REF!="",#REF!=""),0, IF(#REF!="SINAPI",VLOOKUP(#REF!,#REF!,3,0), IF(#REF!="COMPOSIÇÃO",VLOOKUP(#REF!,#REF!,3,0), IF(#REF!="IOPES",VLOOKUP(#REF!,#REF!,3,0), IF(#REF!="SETOP",VLOOKUP(#REF!,#REF!,3,0), IF(#REF!="SUDECAP",VLOOKUP(#REF!,#REF!,3,0), IF(#REF!="TCPO",VLOOKUP(#REF!,#REF!,3,0), IF(#REF!="COTAÇÃO",VLOOKUP(#REF!,#REF!,3,0), IF(#REF!=#REF!,VLOOKUP(#REF!,#REF!,3,0), IF(#REF!=#REF!,VLOOKUP(#REF!,#REF!,3,0), IF(#REF!=#REF!,VLOOKUP(#REF!,#REF!,3,0), IF(#REF!=#REF!,VLOOKUP(#REF!,#REF!,3,0), IF(#REF!=#REF!,VLOOKUP(#REF!,#REF!,3,0), IF(#REF!=#REF!,VLOOKUP(#REF!,#REF!,3,0), IF(#REF!=#REF!,VLOOKUP(#REF!,#REF!,3,0), IF(#REF!=#REF!,VLOOKUP(#REF!,#REF!,3,0), IF(#REF!=#REF!,VLOOKUP(#REF!,#REF!,3,0), IF(#REF!=#REF!,VLOOKUP(#REF!,#REF!,3,0), 0) ))))))))))))))))),  IF(#REF!="INSUMO",  IF(AND(#REF!="",#REF!=""),0, IF(#REF!="SINAPI",VLOOKUP(#REF!,SINAPI_INSUMO,3,0), IF(#REF!="COMPOSIÇÃO",VLOOKUP(#REF!,#REF!,3,0), IF(#REF!="IOPES",VLOOKUP(#REF!,IOPES_INSUMO,3,0), IF(#REF!="SETOP",VLOOKUP(#REF!,SETOP_INSUMO,3,0), IF(#REF!="SUDECAP",VLOOKUP(#REF!,SUDECAP_INSUMO,3,0), IF(#REF!="TCPO",VLOOKUP(#REF!,TCPO_INSUMO,3,0), IF(#REF!="COTAÇÃO",VLOOKUP(#REF!,#REF!,3,0), IF(#REF!=NOME_BI_1,VLOOKUP(#REF!,BANCO_1_INSUMO,3,0), IF(#REF!=NOME_BI_2,VLOOKUP(#REF!,BANCO_2_INSUMO,3,0), IF(#REF!=NOME_BI_3,VLOOKUP(#REF!,BANCO_3_INSUMO,3,0), IF(#REF!=NOME_BI_4,VLOOKUP(#REF!,BANCO_4_INSUMO,3,0), IF(#REF!=NOME_BI_5,VLOOKUP(#REF!,BANCO_5_INSUMO,3,0), IF(#REF!=NOME_BI_6,VLOOKUP(#REF!,BANCO_6_INSUMO,3,0), IF(#REF!=NOME_BI_7,VLOOKUP(#REF!,BANCO_7_INSUMO,3,0), IF(#REF!=NOME_BI_8,VLOOKUP(#REF!,BANCO_8_INSUMO,3,0), IF(#REF!=NOME_BI_9,VLOOKUP(#REF!,BANCO_8_INSUMO,3,0), IF(#REF!=NOME_BI_10,VLOOKUP(#REF!,BANCO_10_INSUMO,3,0), 0) ))))))))))))))))), 0)),  0)</definedName>
    <definedName name="PROCURA_UNIDADE_COMPOSICAO" localSheetId="19">#N/A</definedName>
    <definedName name="PROCURA_UNIDADE_COMPOSICAO" localSheetId="24">#N/A</definedName>
    <definedName name="PROCURA_UNIDADE_COMPOSICAO" localSheetId="15">#N/A</definedName>
    <definedName name="PROCURA_UNIDADE_COMPOSICAO" localSheetId="21">#N/A</definedName>
    <definedName name="PROCURA_UNIDADE_COMPOSICAO" localSheetId="11">#N/A</definedName>
    <definedName name="PROCURA_UNIDADE_COMPOSICAO" localSheetId="12">#N/A</definedName>
    <definedName name="PROCURA_UNIDADE_COMPOSICAO" localSheetId="25">#N/A</definedName>
    <definedName name="PROCURA_UNIDADE_COMPOSICAO" localSheetId="13">#N/A</definedName>
    <definedName name="PROCURA_UNIDADE_COMPOSICAO" localSheetId="17">#N/A</definedName>
    <definedName name="PROCURA_UNIDADE_COMPOSICAO" localSheetId="26">#N/A</definedName>
    <definedName name="PROCURA_UNIDADE_COMPOSICAO" localSheetId="27">#N/A</definedName>
    <definedName name="PROCURA_UNIDADE_COMPOSICAO" localSheetId="16">#N/A</definedName>
    <definedName name="PROCURA_UNIDADE_COMPOSICAO" localSheetId="14">#N/A</definedName>
    <definedName name="PROCURA_UNIDADE_COMPOSICAO" localSheetId="20">#N/A</definedName>
    <definedName name="PROCURA_UNIDADE_COMPOSICAO" localSheetId="23">#N/A</definedName>
    <definedName name="PROCURA_UNIDADE_COMPOSICAO" localSheetId="18">#N/A</definedName>
    <definedName name="PROCURA_UNIDADE_COMPOSICAO">IFERROR(  IF(#REF!="SERVIÇO",  IF(AND(#REF!="",#REF!=""),0, IF(#REF!="SINAPI",VLOOKUP(#REF!,'BDI SERVIÇOS'!SINAPI_SERVICO,3,0), IF(#REF!="COMPOSIÇÃO",VLOOKUP(#REF!,'BDI SERVIÇOS'!COMPOSIÇÕES,3,0), IF(#REF!="IOPES",VLOOKUP(#REF!,'BDI SERVIÇOS'!IOPES_SERVICO,3,0), IF(#REF!="SETOP",VLOOKUP(#REF!,'BDI SERVIÇOS'!SETOP_SERVICO,3,0), IF(#REF!="SUDECAP",VLOOKUP(#REF!,'BDI SERVIÇOS'!SUDECAP_SERVICO,3,0), IF(#REF!="TCPO",VLOOKUP(#REF!,'BDI SERVIÇOS'!TCPO_SERVICO,3,0), IF(#REF!="COTAÇÃO",VLOOKUP(#REF!,'BDI SERVIÇOS'!COTACAO,3,0), IF(#REF!='BDI SERVIÇOS'!NOME_BS_1,VLOOKUP(#REF!,'BDI SERVIÇOS'!BANCO_1_SERVICO,3,0), IF(#REF!='BDI SERVIÇOS'!NOME_BS_2,VLOOKUP(#REF!,'BDI SERVIÇOS'!BANCO_2_SERVICO,3,0), IF(#REF!='BDI SERVIÇOS'!NOME_BS_3,VLOOKUP(#REF!,'BDI SERVIÇOS'!BANCO_3_SERVICO,3,0), IF(#REF!='BDI SERVIÇOS'!NOME_BS_4,VLOOKUP(#REF!,'BDI SERVIÇOS'!BANCO_4_SERVICO,3,0), IF(#REF!='BDI SERVIÇOS'!NOME_BS_5,VLOOKUP(#REF!,'BDI SERVIÇOS'!BANCO_5_SERVICO,3,0), IF(#REF!='BDI SERVIÇOS'!NOME_BS_6,VLOOKUP(#REF!,'BDI SERVIÇOS'!BANCO_6_SERVICO,3,0), IF(#REF!='BDI SERVIÇOS'!NOME_BS_7,VLOOKUP(#REF!,'BDI SERVIÇOS'!BANCO_7_SERVICO,3,0), IF(#REF!='BDI SERVIÇOS'!NOME_BS_8,VLOOKUP(#REF!,'BDI SERVIÇOS'!BANCO_8_SERVICO,3,0), IF(#REF!='BDI SERVIÇOS'!NOME_BS_9,VLOOKUP(#REF!,'BDI SERVIÇOS'!BANCO_9_SERVICO,3,0), IF(#REF!='BDI SERVIÇOS'!NOME_BS_10,VLOOKUP(#REF!,'BDI SERVIÇOS'!BANCO_10_SERVICO,3,0), 0) ))))))))))))))))),  IF(#REF!="INSUMO",  IF(AND(#REF!="",#REF!=""),0, IF(#REF!="SINAPI",VLOOKUP(#REF!,SINAPI_INSUMO,3,0), IF(#REF!="COMPOSIÇÃO",VLOOKUP(#REF!,'BDI SERVIÇOS'!COMPOSIÇÕES,3,0), IF(#REF!="IOPES",VLOOKUP(#REF!,IOPES_INSUMO,3,0), IF(#REF!="SETOP",VLOOKUP(#REF!,SETOP_INSUMO,3,0), IF(#REF!="SUDECAP",VLOOKUP(#REF!,SUDECAP_INSUMO,3,0), IF(#REF!="TCPO",VLOOKUP(#REF!,TCPO_INSUMO,3,0), IF(#REF!="COTAÇÃO",VLOOKUP(#REF!,'BDI SERVIÇOS'!COTACAO,3,0), IF(#REF!=NOME_BI_1,VLOOKUP(#REF!,BANCO_1_INSUMO,3,0), IF(#REF!=NOME_BI_2,VLOOKUP(#REF!,BANCO_2_INSUMO,3,0), IF(#REF!=NOME_BI_3,VLOOKUP(#REF!,BANCO_3_INSUMO,3,0), IF(#REF!=NOME_BI_4,VLOOKUP(#REF!,BANCO_4_INSUMO,3,0), IF(#REF!=NOME_BI_5,VLOOKUP(#REF!,BANCO_5_INSUMO,3,0), IF(#REF!=NOME_BI_6,VLOOKUP(#REF!,BANCO_6_INSUMO,3,0), IF(#REF!=NOME_BI_7,VLOOKUP(#REF!,BANCO_7_INSUMO,3,0), IF(#REF!=NOME_BI_8,VLOOKUP(#REF!,BANCO_8_INSUMO,3,0), IF(#REF!=NOME_BI_9,VLOOKUP(#REF!,BANCO_8_INSUMO,3,0), IF(#REF!=NOME_BI_10,VLOOKUP(#REF!,BANCO_10_INSUMO,3,0), 0) ))))))))))))))))), 0)),  0)</definedName>
    <definedName name="PROCURA_UNIDADE_MATERIAL">#N/A</definedName>
    <definedName name="PROCURA_UNIDADE_SERVICO" localSheetId="4">IFERROR( IF(AND(#REF!="",#REF!=""),0, IF(#REF!="SINAPI",VLOOKUP(#REF!,SINAPI_SERVICO,3,0), IF(#REF!="COMPOSIÇÃO",VLOOKUP(#REF!,COMPOSIÇÕES,3,0), IF(#REF!="IOPES",VLOOKUP(#REF!,IOPES_SERVICO,3,0), IF(#REF!="SETOP",VLOOKUP(#REF!,SETOP_SERVICO,3,0), IF(#REF!="SUDECAP",VLOOKUP(#REF!,SUDECAP_SERVICO,3,0), IF(#REF!="TCPO",VLOOKUP(#REF!,TCPO_SERVICO,3,0), IF(#REF!="COTAÇÃO",VLOOKUP(#REF!,COTACAO,3,0), IF(#REF!='BDI EQUIPAMENTOS'!NOME_BS_1,VLOOKUP(#REF!,BANCO_1_SERVICO,3,0), IF(#REF!='BDI EQUIPAMENTOS'!NOME_BS_2,VLOOKUP(#REF!,BANCO_2_SERVICO,3,0), IF(#REF!=NOME_BS_3,VLOOKUP(#REF!,BANCO_3_SERVICO,3,0), IF(#REF!=NOME_BS_4,VLOOKUP(#REF!,BANCO_4_SERVICO,3,0), IF(#REF!=NOME_BS_5,VLOOKUP(#REF!,BANCO_5_SERVICO,3,0), IF(#REF!=NOME_BS_6,VLOOKUP(#REF!,BANCO_6_SERVICO,3,0), IF(#REF!=NOME_BS_7,VLOOKUP(#REF!,BANCO_7_SERVICO,3,0), IF(#REF!=NOME_BS_8,VLOOKUP(#REF!,BANCO_8_SERVICO,3,0), IF(#REF!=NOME_BS_9,VLOOKUP(#REF!,BANCO_9_SERVICO,3,0), IF(#REF!='BDI EQUIPAMENTOS'!NOME_BS_10,VLOOKUP(#REF!,BANCO_10_SERVICO,3,0), 0) ))))))))))))))))), 0)</definedName>
    <definedName name="PROCURA_UNIDADE_SERVICO" localSheetId="5">IFERROR( IF(AND(#REF!="",#REF!=""),0, IF(#REF!="SINAPI",VLOOKUP(#REF!,'BDI SERVIÇOS'!SINAPI_SERVICO,3,0), IF(#REF!="COMPOSIÇÃO",VLOOKUP(#REF!,'BDI SERVIÇOS'!COMPOSIÇÕES,3,0), IF(#REF!="IOPES",VLOOKUP(#REF!,'BDI SERVIÇOS'!IOPES_SERVICO,3,0), IF(#REF!="SETOP",VLOOKUP(#REF!,'BDI SERVIÇOS'!SETOP_SERVICO,3,0), IF(#REF!="SUDECAP",VLOOKUP(#REF!,'BDI SERVIÇOS'!SUDECAP_SERVICO,3,0), IF(#REF!="TCPO",VLOOKUP(#REF!,'BDI SERVIÇOS'!TCPO_SERVICO,3,0), IF(#REF!="COTAÇÃO",VLOOKUP(#REF!,'BDI SERVIÇOS'!COTACAO,3,0), IF(#REF!='BDI SERVIÇOS'!NOME_BS_1,VLOOKUP(#REF!,'BDI SERVIÇOS'!BANCO_1_SERVICO,3,0), IF(#REF!='BDI SERVIÇOS'!NOME_BS_2,VLOOKUP(#REF!,'BDI SERVIÇOS'!BANCO_2_SERVICO,3,0), IF(#REF!='BDI SERVIÇOS'!NOME_BS_3,VLOOKUP(#REF!,'BDI SERVIÇOS'!BANCO_3_SERVICO,3,0), IF(#REF!='BDI SERVIÇOS'!NOME_BS_4,VLOOKUP(#REF!,'BDI SERVIÇOS'!BANCO_4_SERVICO,3,0), IF(#REF!='BDI SERVIÇOS'!NOME_BS_5,VLOOKUP(#REF!,'BDI SERVIÇOS'!BANCO_5_SERVICO,3,0), IF(#REF!='BDI SERVIÇOS'!NOME_BS_6,VLOOKUP(#REF!,'BDI SERVIÇOS'!BANCO_6_SERVICO,3,0), IF(#REF!='BDI SERVIÇOS'!NOME_BS_7,VLOOKUP(#REF!,'BDI SERVIÇOS'!BANCO_7_SERVICO,3,0), IF(#REF!='BDI SERVIÇOS'!NOME_BS_8,VLOOKUP(#REF!,'BDI SERVIÇOS'!BANCO_8_SERVICO,3,0), IF(#REF!='BDI SERVIÇOS'!NOME_BS_9,VLOOKUP(#REF!,'BDI SERVIÇOS'!BANCO_9_SERVICO,3,0), IF(#REF!='BDI SERVIÇOS'!NOME_BS_10,VLOOKUP(#REF!,'BDI SERVIÇOS'!BANCO_10_SERVICO,3,0), 0) ))))))))))))))))), 0)</definedName>
    <definedName name="PROCURA_UNIDADE_SERVICO" localSheetId="7">IFERROR( IF(AND(#REF!="",#REF!=""),0, IF(#REF!="SINAPI",VLOOKUP(#REF!,Cronograma!SINAPI_SERVICO,3,0), IF(#REF!="COMPOSIÇÃO",VLOOKUP(#REF!,Cronograma!COMPOSIÇÕES,3,0), IF(#REF!="IOPES",VLOOKUP(#REF!,Cronograma!IOPES_SERVICO,3,0), IF(#REF!="SETOP",VLOOKUP(#REF!,Cronograma!SETOP_SERVICO,3,0), IF(#REF!="SUDECAP",VLOOKUP(#REF!,Cronograma!SUDECAP_SERVICO,3,0), IF(#REF!="TCPO",VLOOKUP(#REF!,Cronograma!TCPO_SERVICO,3,0), IF(#REF!="COTAÇÃO",VLOOKUP(#REF!,Cronograma!COTACAO,3,0), IF(#REF!=Cronograma!NOME_BS_1,VLOOKUP(#REF!,Cronograma!BANCO_1_SERVICO,3,0), IF(#REF!=Cronograma!NOME_BS_2,VLOOKUP(#REF!,Cronograma!BANCO_2_SERVICO,3,0), IF(#REF!=Cronograma!NOME_BS_3,VLOOKUP(#REF!,Cronograma!BANCO_3_SERVICO,3,0), IF(#REF!=Cronograma!NOME_BS_4,VLOOKUP(#REF!,Cronograma!BANCO_4_SERVICO,3,0), IF(#REF!=Cronograma!NOME_BS_5,VLOOKUP(#REF!,Cronograma!BANCO_5_SERVICO,3,0), IF(#REF!=Cronograma!NOME_BS_6,VLOOKUP(#REF!,Cronograma!BANCO_6_SERVICO,3,0), IF(#REF!=Cronograma!NOME_BS_7,VLOOKUP(#REF!,Cronograma!BANCO_7_SERVICO,3,0), IF(#REF!=Cronograma!NOME_BS_8,VLOOKUP(#REF!,Cronograma!BANCO_8_SERVICO,3,0), IF(#REF!=Cronograma!NOME_BS_9,VLOOKUP(#REF!,Cronograma!BANCO_9_SERVICO,3,0), IF(#REF!=Cronograma!NOME_BS_10,VLOOKUP(#REF!,Cronograma!BANCO_10_SERVICO,3,0), 0) ))))))))))))))))), 0)</definedName>
    <definedName name="PROCURA_UNIDADE_SERVICO" localSheetId="8">IFERROR( IF(AND('Curva ABC'!$B1="",'Curva ABC'!$C1=""),0, IF('Curva ABC'!$B1="SINAPI",VLOOKUP('Curva ABC'!$C1,[0]!SINAPI_SERVICO,3,0), IF('Curva ABC'!$B1="COMPOSIÇÃO",VLOOKUP('Curva ABC'!$C1,[0]!COMPOSIÇÕES,3,0), IF('Curva ABC'!$B1="IOPES",VLOOKUP('Curva ABC'!$C1,[0]!IOPES_SERVICO,3,0), IF('Curva ABC'!$B1="SETOP",VLOOKUP('Curva ABC'!$C1,[0]!SETOP_SERVICO,3,0), IF('Curva ABC'!$B1="SUDECAP",VLOOKUP('Curva ABC'!$C1,[0]!SUDECAP_SERVICO,3,0), IF('Curva ABC'!$B1="TCPO",VLOOKUP('Curva ABC'!$C1,[0]!TCPO_SERVICO,3,0), IF('Curva ABC'!$B1="COTAÇÃO",VLOOKUP('Curva ABC'!$C1,[0]!COTACAO,3,0), IF('Curva ABC'!$B1=[0]!NOME_BS_1,VLOOKUP('Curva ABC'!$C1,[0]!BANCO_1_SERVICO,3,0), IF('Curva ABC'!$B1=[0]!NOME_BS_2,VLOOKUP('Curva ABC'!$C1,[0]!BANCO_2_SERVICO,3,0), IF('Curva ABC'!$B1=[0]!NOME_BS_3,VLOOKUP('Curva ABC'!$C1,[0]!BANCO_3_SERVICO,3,0), IF('Curva ABC'!$B1=[0]!NOME_BS_4,VLOOKUP('Curva ABC'!$C1,[0]!BANCO_4_SERVICO,3,0), IF('Curva ABC'!$B1=[0]!NOME_BS_5,VLOOKUP('Curva ABC'!$C1,[0]!BANCO_5_SERVICO,3,0), IF('Curva ABC'!$B1=[0]!NOME_BS_6,VLOOKUP('Curva ABC'!$C1,[0]!BANCO_6_SERVICO,3,0), IF('Curva ABC'!$B1=[0]!NOME_BS_7,VLOOKUP('Curva ABC'!$C1,[0]!BANCO_7_SERVICO,3,0), IF('Curva ABC'!$B1=[0]!NOME_BS_8,VLOOKUP('Curva ABC'!$C1,[0]!BANCO_8_SERVICO,3,0), IF('Curva ABC'!$B1=[0]!NOME_BS_9,VLOOKUP('Curva ABC'!$C1,[0]!BANCO_9_SERVICO,3,0), IF('Curva ABC'!$B1=[0]!NOME_BS_10,VLOOKUP('Curva ABC'!$C1,[0]!BANCO_10_SERVICO,3,0), 0) ))))))))))))))))), 0)</definedName>
    <definedName name="PROCURA_UNIDADE_SERVICO" localSheetId="9">IFERROR( IF(AND([1]Sintética!$C1="",[1]Sintética!$D1=""),0, IF([1]Sintética!$C1="SINAPI",VLOOKUP([1]Sintética!$D1,SINAPI_SERVICO,3,0), IF([1]Sintética!$C1="COMPOSIÇÃO",VLOOKUP([1]Sintética!$D1,COMPOSIÇÕES,3,0), IF([1]Sintética!$C1="IOPES",VLOOKUP([1]Sintética!$D1,IOPES_SERVICO,3,0), IF([1]Sintética!$C1="SETOP",VLOOKUP([1]Sintética!$D1,SETOP_SERVICO,3,0), IF([1]Sintética!$C1="SUDECAP",VLOOKUP([1]Sintética!$D1,SUDECAP_SERVICO,3,0), IF([1]Sintética!$C1="TCPO",VLOOKUP([1]Sintética!$D1,TCPO_SERVICO,3,0), IF([1]Sintética!$C1="COTAÇÃO",VLOOKUP([1]Sintética!$D1,COTACAO,3,0), IF([1]Sintética!$C1=NOME_BS_1,VLOOKUP([1]Sintética!$D1,BANCO_1_SERVICO,3,0), IF([1]Sintética!$C1=NOME_BS_2,VLOOKUP([1]Sintética!$D1,BANCO_2_SERVICO,3,0), IF([1]Sintética!$C1=NOME_BS_3,VLOOKUP([1]Sintética!$D1,BANCO_3_SERVICO,3,0), IF([1]Sintética!$C1=NOME_BS_4,VLOOKUP([1]Sintética!$D1,BANCO_4_SERVICO,3,0), IF([1]Sintética!$C1=NOME_BS_5,VLOOKUP([1]Sintética!$D1,BANCO_5_SERVICO,3,0), IF([1]Sintética!$C1=NOME_BS_6,VLOOKUP([1]Sintética!$D1,BANCO_6_SERVICO,3,0), IF([1]Sintética!$C1=NOME_BS_7,VLOOKUP([1]Sintética!$D1,BANCO_7_SERVICO,3,0), IF([1]Sintética!$C1=NOME_BS_8,VLOOKUP([1]Sintética!$D1,BANCO_8_SERVICO,3,0), IF([1]Sintética!$C1=NOME_BS_9,VLOOKUP([1]Sintética!$D1,BANCO_9_SERVICO,3,0), IF([1]Sintética!$C1=NOME_BS_10,VLOOKUP([1]Sintética!$D1,BANCO_10_SERVICO,3,0), 0) ))))))))))))))))), 0)</definedName>
    <definedName name="PROCURA_UNIDADE_SERVICO" localSheetId="10">IFERROR( IF(AND(#REF!="",#REF!=""),0, IF(#REF!="SINAPI",VLOOKUP(#REF!,'Curva S Ref.'!SINAPI_SERVICO,3,0), IF(#REF!="COMPOSIÇÃO",VLOOKUP(#REF!,'Curva S Ref.'!COMPOSIÇÕES,3,0), IF(#REF!="IOPES",VLOOKUP(#REF!,'Curva S Ref.'!IOPES_SERVICO,3,0), IF(#REF!="SETOP",VLOOKUP(#REF!,'Curva S Ref.'!SETOP_SERVICO,3,0), IF(#REF!="SUDECAP",VLOOKUP(#REF!,'Curva S Ref.'!SUDECAP_SERVICO,3,0), IF(#REF!="TCPO",VLOOKUP(#REF!,'Curva S Ref.'!TCPO_SERVICO,3,0), IF(#REF!="COTAÇÃO",VLOOKUP(#REF!,'Curva S Ref.'!COTACAO,3,0), IF(#REF!='Curva S Ref.'!NOME_BS_1,VLOOKUP(#REF!,'Curva S Ref.'!BANCO_1_SERVICO,3,0), IF(#REF!='Curva S Ref.'!NOME_BS_2,VLOOKUP(#REF!,'Curva S Ref.'!BANCO_2_SERVICO,3,0), IF(#REF!='Curva S Ref.'!NOME_BS_3,VLOOKUP(#REF!,'Curva S Ref.'!BANCO_3_SERVICO,3,0), IF(#REF!='Curva S Ref.'!NOME_BS_4,VLOOKUP(#REF!,'Curva S Ref.'!BANCO_4_SERVICO,3,0), IF(#REF!='Curva S Ref.'!NOME_BS_5,VLOOKUP(#REF!,'Curva S Ref.'!BANCO_5_SERVICO,3,0), IF(#REF!='Curva S Ref.'!NOME_BS_6,VLOOKUP(#REF!,'Curva S Ref.'!BANCO_6_SERVICO,3,0), IF(#REF!='Curva S Ref.'!NOME_BS_7,VLOOKUP(#REF!,'Curva S Ref.'!BANCO_7_SERVICO,3,0), IF(#REF!='Curva S Ref.'!NOME_BS_8,VLOOKUP(#REF!,'Curva S Ref.'!BANCO_8_SERVICO,3,0), IF(#REF!='Curva S Ref.'!NOME_BS_9,VLOOKUP(#REF!,'Curva S Ref.'!BANCO_9_SERVICO,3,0), IF(#REF!='Curva S Ref.'!NOME_BS_10,VLOOKUP(#REF!,'Curva S Ref.'!BANCO_10_SERVICO,3,0), 0) ))))))))))))))))), 0)</definedName>
    <definedName name="PROCURA_UNIDADE_SERVICO" localSheetId="6">IFERROR( IF(AND(#REF!="",#REF!=""),0, IF(#REF!="SINAPI",VLOOKUP(#REF!,'Encargos Sociais'!SINAPI_SERVICO,3,0), IF(#REF!="COMPOSIÇÃO",VLOOKUP(#REF!,'Encargos Sociais'!COMPOSIÇÕES,3,0), IF(#REF!="IOPES",VLOOKUP(#REF!,'Encargos Sociais'!IOPES_SERVICO,3,0), IF(#REF!="SETOP",VLOOKUP(#REF!,'Encargos Sociais'!SETOP_SERVICO,3,0), IF(#REF!="SUDECAP",VLOOKUP(#REF!,'Encargos Sociais'!SUDECAP_SERVICO,3,0), IF(#REF!="TCPO",VLOOKUP(#REF!,'Encargos Sociais'!TCPO_SERVICO,3,0), IF(#REF!="COTAÇÃO",VLOOKUP(#REF!,'Encargos Sociais'!COTACAO,3,0), IF(#REF!='Encargos Sociais'!NOME_BS_1,VLOOKUP(#REF!,'Encargos Sociais'!BANCO_1_SERVICO,3,0), IF(#REF!='Encargos Sociais'!NOME_BS_2,VLOOKUP(#REF!,'Encargos Sociais'!BANCO_2_SERVICO,3,0), IF(#REF!='Encargos Sociais'!NOME_BS_3,VLOOKUP(#REF!,'Encargos Sociais'!BANCO_3_SERVICO,3,0), IF(#REF!='Encargos Sociais'!NOME_BS_4,VLOOKUP(#REF!,'Encargos Sociais'!BANCO_4_SERVICO,3,0), IF(#REF!='Encargos Sociais'!NOME_BS_5,VLOOKUP(#REF!,'Encargos Sociais'!BANCO_5_SERVICO,3,0), IF(#REF!='Encargos Sociais'!NOME_BS_6,VLOOKUP(#REF!,'Encargos Sociais'!BANCO_6_SERVICO,3,0), IF(#REF!='Encargos Sociais'!NOME_BS_7,VLOOKUP(#REF!,'Encargos Sociais'!BANCO_7_SERVICO,3,0), IF(#REF!='Encargos Sociais'!NOME_BS_8,VLOOKUP(#REF!,'Encargos Sociais'!BANCO_8_SERVICO,3,0), IF(#REF!='Encargos Sociais'!NOME_BS_9,VLOOKUP(#REF!,'Encargos Sociais'!BANCO_9_SERVICO,3,0), IF(#REF!='Encargos Sociais'!NOME_BS_10,VLOOKUP(#REF!,'Encargos Sociais'!BANCO_10_SERVICO,3,0), 0) ))))))))))))))))), 0)</definedName>
    <definedName name="PROCURA_UNIDADE_SERVICO" localSheetId="25">IFERROR( IF(AND([2]SINTÉTICA!$B1="",[2]SINTÉTICA!$C1=""),0, IF([2]SINTÉTICA!$B1="SINAPI",VLOOKUP([2]SINTÉTICA!$C1,[0]!SINAPI_SERVICO,3,0), IF([2]SINTÉTICA!$B1="COMPOSIÇÃO",VLOOKUP([2]SINTÉTICA!$C1,[0]!COMPOSIÇÕES,3,0), IF([2]SINTÉTICA!$B1="IOPES",VLOOKUP([2]SINTÉTICA!$C1,[0]!IOPES_SERVICO,3,0), IF([2]SINTÉTICA!$B1="SETOP",VLOOKUP([2]SINTÉTICA!$C1,[0]!SETOP_SERVICO,3,0), IF([2]SINTÉTICA!$B1="SUDECAP",VLOOKUP([2]SINTÉTICA!$C1,[0]!SUDECAP_SERVICO,3,0), IF([2]SINTÉTICA!$B1="TCPO",VLOOKUP([2]SINTÉTICA!$C1,[0]!TCPO_SERVICO,3,0), IF([2]SINTÉTICA!$B1="COTAÇÃO",VLOOKUP([2]SINTÉTICA!$C1,[0]!COTACAO,3,0), IF([2]SINTÉTICA!$B1=[0]!NOME_BS_1,VLOOKUP([2]SINTÉTICA!$C1,[0]!BANCO_1_SERVICO,3,0), IF([2]SINTÉTICA!$B1=[0]!NOME_BS_2,VLOOKUP([2]SINTÉTICA!$C1,[0]!BANCO_2_SERVICO,3,0), IF([2]SINTÉTICA!$B1=[0]!NOME_BS_3,VLOOKUP([2]SINTÉTICA!$C1,[0]!BANCO_3_SERVICO,3,0), IF([2]SINTÉTICA!$B1=[0]!NOME_BS_4,VLOOKUP([2]SINTÉTICA!$C1,[0]!BANCO_4_SERVICO,3,0), IF([2]SINTÉTICA!$B1=[0]!NOME_BS_5,VLOOKUP([2]SINTÉTICA!$C1,[0]!BANCO_5_SERVICO,3,0), IF([2]SINTÉTICA!$B1=[0]!NOME_BS_6,VLOOKUP([2]SINTÉTICA!$C1,[0]!BANCO_6_SERVICO,3,0), IF([2]SINTÉTICA!$B1=[0]!NOME_BS_7,VLOOKUP([2]SINTÉTICA!$C1,[0]!BANCO_7_SERVICO,3,0), IF([2]SINTÉTICA!$B1=[0]!NOME_BS_8,VLOOKUP([2]SINTÉTICA!$C1,[0]!BANCO_8_SERVICO,3,0), IF([2]SINTÉTICA!$B1=[0]!NOME_BS_9,VLOOKUP([2]SINTÉTICA!$C1,[0]!BANCO_9_SERVICO,3,0), IF([2]SINTÉTICA!$B1=[0]!NOME_BS_10,VLOOKUP([2]SINTÉTICA!$C1,[0]!BANCO_10_SERVICO,3,0), 0) ))))))))))))))))), 0)</definedName>
    <definedName name="PROCURA_UNIDADE_SERVICO" localSheetId="26">IFERROR( IF(AND([2]SINTÉTICA!$B1="",[2]SINTÉTICA!$C1=""),0, IF([2]SINTÉTICA!$B1="SINAPI",VLOOKUP([2]SINTÉTICA!$C1,SINAPI_SERVICO,3,0), IF([2]SINTÉTICA!$B1="COMPOSIÇÃO",VLOOKUP([2]SINTÉTICA!$C1,COMPOSIÇÕES,3,0), IF([2]SINTÉTICA!$B1="IOPES",VLOOKUP([2]SINTÉTICA!$C1,IOPES_SERVICO,3,0), IF([2]SINTÉTICA!$B1="SETOP",VLOOKUP([2]SINTÉTICA!$C1,SETOP_SERVICO,3,0), IF([2]SINTÉTICA!$B1="SUDECAP",VLOOKUP([2]SINTÉTICA!$C1,SUDECAP_SERVICO,3,0), IF([2]SINTÉTICA!$B1="TCPO",VLOOKUP([2]SINTÉTICA!$C1,TCPO_SERVICO,3,0), IF([2]SINTÉTICA!$B1="COTAÇÃO",VLOOKUP([2]SINTÉTICA!$C1,COTACAO,3,0), IF([2]SINTÉTICA!$B1=NOME_BS_1,VLOOKUP([2]SINTÉTICA!$C1,BANCO_1_SERVICO,3,0), IF([2]SINTÉTICA!$B1=NOME_BS_2,VLOOKUP([2]SINTÉTICA!$C1,BANCO_2_SERVICO,3,0), IF([2]SINTÉTICA!$B1=NOME_BS_3,VLOOKUP([2]SINTÉTICA!$C1,BANCO_3_SERVICO,3,0), IF([2]SINTÉTICA!$B1=NOME_BS_4,VLOOKUP([2]SINTÉTICA!$C1,BANCO_4_SERVICO,3,0), IF([2]SINTÉTICA!$B1=NOME_BS_5,VLOOKUP([2]SINTÉTICA!$C1,BANCO_5_SERVICO,3,0), IF([2]SINTÉTICA!$B1=NOME_BS_6,VLOOKUP([2]SINTÉTICA!$C1,BANCO_6_SERVICO,3,0), IF([2]SINTÉTICA!$B1=NOME_BS_7,VLOOKUP([2]SINTÉTICA!$C1,BANCO_7_SERVICO,3,0), IF([2]SINTÉTICA!$B1=NOME_BS_8,VLOOKUP([2]SINTÉTICA!$C1,BANCO_8_SERVICO,3,0), IF([2]SINTÉTICA!$B1=NOME_BS_9,VLOOKUP([2]SINTÉTICA!$C1,BANCO_9_SERVICO,3,0), IF([2]SINTÉTICA!$B1=NOME_BS_10,VLOOKUP([2]SINTÉTICA!$C1,BANCO_10_SERVICO,3,0), 0) ))))))))))))))))), 0)</definedName>
    <definedName name="PROCURA_UNIDADE_SERVICO">IFERROR( IF(AND(SINTÉTICA!$B1="",SINTÉTICA!$C1=""),0, IF(SINTÉTICA!$B1="SINAPI",VLOOKUP(SINTÉTICA!$C1,SINAPI_SERVICO,3,0), IF(SINTÉTICA!$B1="COMPOSIÇÃO",VLOOKUP(SINTÉTICA!$C1,COMPOSIÇÕES,3,0), IF(SINTÉTICA!$B1="IOPES",VLOOKUP(SINTÉTICA!$C1,IOPES_SERVICO,3,0), IF(SINTÉTICA!$B1="SETOP",VLOOKUP(SINTÉTICA!$C1,SETOP_SERVICO,3,0), IF(SINTÉTICA!$B1="SUDECAP",VLOOKUP(SINTÉTICA!$C1,SUDECAP_SERVICO,3,0), IF(SINTÉTICA!$B1="TCPO",VLOOKUP(SINTÉTICA!$C1,TCPO_SERVICO,3,0), IF(SINTÉTICA!$B1="COTAÇÃO",VLOOKUP(SINTÉTICA!$C1,COTACAO,3,0), IF(SINTÉTICA!$B1=NOME_BS_1,VLOOKUP(SINTÉTICA!$C1,BANCO_1_SERVICO,3,0), IF(SINTÉTICA!$B1=NOME_BS_2,VLOOKUP(SINTÉTICA!$C1,BANCO_2_SERVICO,3,0), IF(SINTÉTICA!$B1=NOME_BS_3,VLOOKUP(SINTÉTICA!$C1,BANCO_3_SERVICO,3,0), IF(SINTÉTICA!$B1=NOME_BS_4,VLOOKUP(SINTÉTICA!$C1,BANCO_4_SERVICO,3,0), IF(SINTÉTICA!$B1=NOME_BS_5,VLOOKUP(SINTÉTICA!$C1,BANCO_5_SERVICO,3,0), IF(SINTÉTICA!$B1=NOME_BS_6,VLOOKUP(SINTÉTICA!$C1,BANCO_6_SERVICO,3,0), IF(SINTÉTICA!$B1=NOME_BS_7,VLOOKUP(SINTÉTICA!$C1,BANCO_7_SERVICO,3,0), IF(SINTÉTICA!$B1=NOME_BS_8,VLOOKUP(SINTÉTICA!$C1,BANCO_8_SERVICO,3,0), IF(SINTÉTICA!$B1=NOME_BS_9,VLOOKUP(SINTÉTICA!$C1,BANCO_9_SERVICO,3,0), IF(SINTÉTICA!$B1=NOME_BS_10,VLOOKUP(SINTÉTICA!$C1,BANCO_10_SERVICO,3,0), 0) ))))))))))))))))), 0)</definedName>
    <definedName name="producao" localSheetId="4">#REF!</definedName>
    <definedName name="producao">#REF!</definedName>
    <definedName name="produtiv_nom" localSheetId="4">#REF!</definedName>
    <definedName name="produtiv_nom">#REF!</definedName>
    <definedName name="produtividade" localSheetId="4">#REF!</definedName>
    <definedName name="produtividade">#REF!</definedName>
    <definedName name="PROGDIM">#N/A</definedName>
    <definedName name="PROGRAMA_BDMG">OFFSET(#REF!,0,0,COUNTA(#REF!),1)</definedName>
    <definedName name="PROJ" localSheetId="4">#REF!</definedName>
    <definedName name="PROJ" localSheetId="7">#REF!</definedName>
    <definedName name="PROJ" localSheetId="9">#REF!</definedName>
    <definedName name="PROJ" localSheetId="10">#REF!</definedName>
    <definedName name="PROJ" localSheetId="6">#REF!</definedName>
    <definedName name="PROJ">#REF!</definedName>
    <definedName name="Projeto">#REF!</definedName>
    <definedName name="PROPOSTA">#REF!</definedName>
    <definedName name="PRT" localSheetId="4">#REF!</definedName>
    <definedName name="PRT">#REF!</definedName>
    <definedName name="PTONSUCATA">#REF!</definedName>
    <definedName name="PUNI">#REF!</definedName>
    <definedName name="pv">#REF!</definedName>
    <definedName name="Pvc">#REF!</definedName>
    <definedName name="Pvd">#REF!</definedName>
    <definedName name="q">#REF!</definedName>
    <definedName name="QAZ"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AZ"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AZ"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AZ"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AZ"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AZ"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AZ"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AZ"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ci" localSheetId="4">#REF!</definedName>
    <definedName name="qci">#REF!</definedName>
    <definedName name="QEC" localSheetId="4" hidden="1">{#N/A,#N/A,FALSE,"GERAL";#N/A,#N/A,FALSE,"012-96";#N/A,#N/A,FALSE,"018-96";#N/A,#N/A,FALSE,"027-96";#N/A,#N/A,FALSE,"059-96";#N/A,#N/A,FALSE,"076-96";#N/A,#N/A,FALSE,"019-97";#N/A,#N/A,FALSE,"021-97";#N/A,#N/A,FALSE,"022-97";#N/A,#N/A,FALSE,"028-97"}</definedName>
    <definedName name="QEC" localSheetId="7" hidden="1">{#N/A,#N/A,FALSE,"GERAL";#N/A,#N/A,FALSE,"012-96";#N/A,#N/A,FALSE,"018-96";#N/A,#N/A,FALSE,"027-96";#N/A,#N/A,FALSE,"059-96";#N/A,#N/A,FALSE,"076-96";#N/A,#N/A,FALSE,"019-97";#N/A,#N/A,FALSE,"021-97";#N/A,#N/A,FALSE,"022-97";#N/A,#N/A,FALSE,"028-97"}</definedName>
    <definedName name="QEC" localSheetId="9" hidden="1">{#N/A,#N/A,FALSE,"GERAL";#N/A,#N/A,FALSE,"012-96";#N/A,#N/A,FALSE,"018-96";#N/A,#N/A,FALSE,"027-96";#N/A,#N/A,FALSE,"059-96";#N/A,#N/A,FALSE,"076-96";#N/A,#N/A,FALSE,"019-97";#N/A,#N/A,FALSE,"021-97";#N/A,#N/A,FALSE,"022-97";#N/A,#N/A,FALSE,"028-97"}</definedName>
    <definedName name="QEC" localSheetId="10" hidden="1">{#N/A,#N/A,FALSE,"GERAL";#N/A,#N/A,FALSE,"012-96";#N/A,#N/A,FALSE,"018-96";#N/A,#N/A,FALSE,"027-96";#N/A,#N/A,FALSE,"059-96";#N/A,#N/A,FALSE,"076-96";#N/A,#N/A,FALSE,"019-97";#N/A,#N/A,FALSE,"021-97";#N/A,#N/A,FALSE,"022-97";#N/A,#N/A,FALSE,"028-97"}</definedName>
    <definedName name="QEC" localSheetId="6" hidden="1">{#N/A,#N/A,FALSE,"GERAL";#N/A,#N/A,FALSE,"012-96";#N/A,#N/A,FALSE,"018-96";#N/A,#N/A,FALSE,"027-96";#N/A,#N/A,FALSE,"059-96";#N/A,#N/A,FALSE,"076-96";#N/A,#N/A,FALSE,"019-97";#N/A,#N/A,FALSE,"021-97";#N/A,#N/A,FALSE,"022-97";#N/A,#N/A,FALSE,"028-97"}</definedName>
    <definedName name="QEC" localSheetId="25" hidden="1">{#N/A,#N/A,FALSE,"GERAL";#N/A,#N/A,FALSE,"012-96";#N/A,#N/A,FALSE,"018-96";#N/A,#N/A,FALSE,"027-96";#N/A,#N/A,FALSE,"059-96";#N/A,#N/A,FALSE,"076-96";#N/A,#N/A,FALSE,"019-97";#N/A,#N/A,FALSE,"021-97";#N/A,#N/A,FALSE,"022-97";#N/A,#N/A,FALSE,"028-97"}</definedName>
    <definedName name="QEC" localSheetId="26" hidden="1">{#N/A,#N/A,FALSE,"GERAL";#N/A,#N/A,FALSE,"012-96";#N/A,#N/A,FALSE,"018-96";#N/A,#N/A,FALSE,"027-96";#N/A,#N/A,FALSE,"059-96";#N/A,#N/A,FALSE,"076-96";#N/A,#N/A,FALSE,"019-97";#N/A,#N/A,FALSE,"021-97";#N/A,#N/A,FALSE,"022-97";#N/A,#N/A,FALSE,"028-97"}</definedName>
    <definedName name="QEC" hidden="1">{#N/A,#N/A,FALSE,"GERAL";#N/A,#N/A,FALSE,"012-96";#N/A,#N/A,FALSE,"018-96";#N/A,#N/A,FALSE,"027-96";#N/A,#N/A,FALSE,"059-96";#N/A,#N/A,FALSE,"076-96";#N/A,#N/A,FALSE,"019-97";#N/A,#N/A,FALSE,"021-97";#N/A,#N/A,FALSE,"022-97";#N/A,#N/A,FALSE,"028-97"}</definedName>
    <definedName name="qq" localSheetId="25">#REF!,#REF!</definedName>
    <definedName name="qq" localSheetId="26">#REF!,#REF!</definedName>
    <definedName name="qq">#REF!,#REF!</definedName>
    <definedName name="QQP" localSheetId="4" hidden="1">{#N/A,#N/A,FALSE,"GERAL";#N/A,#N/A,FALSE,"012-96";#N/A,#N/A,FALSE,"018-96";#N/A,#N/A,FALSE,"027-96";#N/A,#N/A,FALSE,"059-96";#N/A,#N/A,FALSE,"076-96";#N/A,#N/A,FALSE,"019-97";#N/A,#N/A,FALSE,"021-97";#N/A,#N/A,FALSE,"022-97";#N/A,#N/A,FALSE,"028-97"}</definedName>
    <definedName name="QQP" localSheetId="7" hidden="1">{#N/A,#N/A,FALSE,"GERAL";#N/A,#N/A,FALSE,"012-96";#N/A,#N/A,FALSE,"018-96";#N/A,#N/A,FALSE,"027-96";#N/A,#N/A,FALSE,"059-96";#N/A,#N/A,FALSE,"076-96";#N/A,#N/A,FALSE,"019-97";#N/A,#N/A,FALSE,"021-97";#N/A,#N/A,FALSE,"022-97";#N/A,#N/A,FALSE,"028-97"}</definedName>
    <definedName name="QQP" localSheetId="9" hidden="1">{#N/A,#N/A,FALSE,"GERAL";#N/A,#N/A,FALSE,"012-96";#N/A,#N/A,FALSE,"018-96";#N/A,#N/A,FALSE,"027-96";#N/A,#N/A,FALSE,"059-96";#N/A,#N/A,FALSE,"076-96";#N/A,#N/A,FALSE,"019-97";#N/A,#N/A,FALSE,"021-97";#N/A,#N/A,FALSE,"022-97";#N/A,#N/A,FALSE,"028-97"}</definedName>
    <definedName name="QQP" localSheetId="10" hidden="1">{#N/A,#N/A,FALSE,"GERAL";#N/A,#N/A,FALSE,"012-96";#N/A,#N/A,FALSE,"018-96";#N/A,#N/A,FALSE,"027-96";#N/A,#N/A,FALSE,"059-96";#N/A,#N/A,FALSE,"076-96";#N/A,#N/A,FALSE,"019-97";#N/A,#N/A,FALSE,"021-97";#N/A,#N/A,FALSE,"022-97";#N/A,#N/A,FALSE,"028-97"}</definedName>
    <definedName name="QQP" localSheetId="6" hidden="1">{#N/A,#N/A,FALSE,"GERAL";#N/A,#N/A,FALSE,"012-96";#N/A,#N/A,FALSE,"018-96";#N/A,#N/A,FALSE,"027-96";#N/A,#N/A,FALSE,"059-96";#N/A,#N/A,FALSE,"076-96";#N/A,#N/A,FALSE,"019-97";#N/A,#N/A,FALSE,"021-97";#N/A,#N/A,FALSE,"022-97";#N/A,#N/A,FALSE,"028-97"}</definedName>
    <definedName name="QQP" localSheetId="25" hidden="1">{#N/A,#N/A,FALSE,"GERAL";#N/A,#N/A,FALSE,"012-96";#N/A,#N/A,FALSE,"018-96";#N/A,#N/A,FALSE,"027-96";#N/A,#N/A,FALSE,"059-96";#N/A,#N/A,FALSE,"076-96";#N/A,#N/A,FALSE,"019-97";#N/A,#N/A,FALSE,"021-97";#N/A,#N/A,FALSE,"022-97";#N/A,#N/A,FALSE,"028-97"}</definedName>
    <definedName name="QQP" localSheetId="26" hidden="1">{#N/A,#N/A,FALSE,"GERAL";#N/A,#N/A,FALSE,"012-96";#N/A,#N/A,FALSE,"018-96";#N/A,#N/A,FALSE,"027-96";#N/A,#N/A,FALSE,"059-96";#N/A,#N/A,FALSE,"076-96";#N/A,#N/A,FALSE,"019-97";#N/A,#N/A,FALSE,"021-97";#N/A,#N/A,FALSE,"022-97";#N/A,#N/A,FALSE,"028-97"}</definedName>
    <definedName name="QQP" hidden="1">{#N/A,#N/A,FALSE,"GERAL";#N/A,#N/A,FALSE,"012-96";#N/A,#N/A,FALSE,"018-96";#N/A,#N/A,FALSE,"027-96";#N/A,#N/A,FALSE,"059-96";#N/A,#N/A,FALSE,"076-96";#N/A,#N/A,FALSE,"019-97";#N/A,#N/A,FALSE,"021-97";#N/A,#N/A,FALSE,"022-97";#N/A,#N/A,FALSE,"028-97"}</definedName>
    <definedName name="QQQQQ"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QQQQ"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QQQQ"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QQQQ"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QQQQ"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QQQQ"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QQQQ"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QQQQ"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qtdplan" localSheetId="4">#REF!</definedName>
    <definedName name="qtdplan">#REF!</definedName>
    <definedName name="QUADRO_3.1.___INVESTIMENTOS_PROGRAMADOS" localSheetId="4">#REF!</definedName>
    <definedName name="QUADRO_3.1.___INVESTIMENTOS_PROGRAMADOS">#REF!</definedName>
    <definedName name="QUADRO_3.2.___CAPITAL_DE_TRABALHO_ADICIONAL" localSheetId="4">#REF!</definedName>
    <definedName name="QUADRO_3.2.___CAPITAL_DE_TRABALHO_ADICIONAL">#REF!</definedName>
    <definedName name="QUADRO_5.1.___RECEITA_BRUTA">#REF!</definedName>
    <definedName name="QUADRO_5.2.___CUSTO_TOTAL_ANUAL">#REF!</definedName>
    <definedName name="QUADRO_5.3.___MÃO_DE_OBRA___QUANTITATIVOS_E_CUSTOS">#REF!</definedName>
    <definedName name="QUADRO_5.4.___MATERIAIS_DE_CONSUMO_E_UTILIDADES">#REF!</definedName>
    <definedName name="QUADRO_5.6.___CONTAS_DE_RESULTADO___PROJECAO">#REF!</definedName>
    <definedName name="QUADRO_5.7.___FLUXO_DE_CAIXA_DO_EMPREENDIMENTO">#REF!</definedName>
    <definedName name="QUADRO_5.8.___CALCULO_DA_TAXA_INTERNA_DE_RETORNO__TIR">#REF!</definedName>
    <definedName name="QUADRO_5.9.___OUTROS_INDICES_ECONOMICO_FINANCEIROS">#REF!</definedName>
    <definedName name="QUANTASDISC">#N/A</definedName>
    <definedName name="QUANTASDISCMOB">#N/A</definedName>
    <definedName name="QUANTID1">#N/A</definedName>
    <definedName name="QUERAPAGTAB">#N/A</definedName>
    <definedName name="QWE" localSheetId="4">#REF!</definedName>
    <definedName name="QWE" localSheetId="6">#REF!</definedName>
    <definedName name="QWE">#REF!</definedName>
    <definedName name="QWEQWEQWE" localSheetId="4">#REF!</definedName>
    <definedName name="QWEQWEQWE">#REF!</definedName>
    <definedName name="QWEWQ">#REF!</definedName>
    <definedName name="RA">#N/A</definedName>
    <definedName name="RAH">#REF!</definedName>
    <definedName name="RAH_1">#REF!</definedName>
    <definedName name="ralo" localSheetId="7">#REF!</definedName>
    <definedName name="ralo" localSheetId="9">#REF!</definedName>
    <definedName name="ralo" localSheetId="10">#REF!</definedName>
    <definedName name="ralo" localSheetId="6">#REF!</definedName>
    <definedName name="ralo">#REF!</definedName>
    <definedName name="Ramal" localSheetId="4">#REF!</definedName>
    <definedName name="Ramal">#REF!</definedName>
    <definedName name="ramp">#REF!</definedName>
    <definedName name="RANGE1">#N/A</definedName>
    <definedName name="RANGE2">#N/A</definedName>
    <definedName name="rasgo">#REF!</definedName>
    <definedName name="RawData" localSheetId="7">#REF!</definedName>
    <definedName name="RawData" localSheetId="9">#REF!</definedName>
    <definedName name="RawData" localSheetId="10">#REF!</definedName>
    <definedName name="RawData" localSheetId="6">#REF!</definedName>
    <definedName name="RawData">#REF!</definedName>
    <definedName name="RawHeader" localSheetId="4">#REF!</definedName>
    <definedName name="RawHeader" localSheetId="7">#REF!</definedName>
    <definedName name="RawHeader" localSheetId="9">#REF!</definedName>
    <definedName name="RawHeader" localSheetId="10">#REF!</definedName>
    <definedName name="RawHeader" localSheetId="6">#REF!</definedName>
    <definedName name="RawHeader">#REF!</definedName>
    <definedName name="RB">#N/A</definedName>
    <definedName name="Rcost" localSheetId="4">#REF!</definedName>
    <definedName name="Rcost" localSheetId="6">#REF!</definedName>
    <definedName name="Rcost">#REF!</definedName>
    <definedName name="RDGDCELE" localSheetId="4">#REF!</definedName>
    <definedName name="RDGDCELE">#REF!</definedName>
    <definedName name="RDGDCMEC">#REF!</definedName>
    <definedName name="RDME"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DME"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DME"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DME"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DME"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DME"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DME"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DME"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EAL" localSheetId="4">#REF!</definedName>
    <definedName name="REAL" localSheetId="6">#REF!</definedName>
    <definedName name="REAL">#REF!</definedName>
    <definedName name="reaterro">#REF!</definedName>
    <definedName name="rec" localSheetId="25">#REF!,#REF!</definedName>
    <definedName name="rec" localSheetId="26">#REF!,#REF!</definedName>
    <definedName name="rec">#REF!,#REF!</definedName>
    <definedName name="recuper">#REF!,#REF!</definedName>
    <definedName name="REDE_COLETORA" localSheetId="4">#REF!</definedName>
    <definedName name="REDE_COLETORA">#REF!</definedName>
    <definedName name="REF_SERVICOS">#REF!</definedName>
    <definedName name="reforsu">#REF!</definedName>
    <definedName name="reg_placa">#REF!</definedName>
    <definedName name="reg_rolo">#REF!</definedName>
    <definedName name="Reimbursement">"Reembolso"</definedName>
    <definedName name="ren" localSheetId="4">#REF!</definedName>
    <definedName name="ren" localSheetId="6">#REF!</definedName>
    <definedName name="ren">#REF!</definedName>
    <definedName name="Rendimento" localSheetId="4">#REF!</definedName>
    <definedName name="Rendimento">#REF!</definedName>
    <definedName name="REPR1">#REF!</definedName>
    <definedName name="REPR2">#REF!</definedName>
    <definedName name="RESETCOL">#N/A</definedName>
    <definedName name="RESP." localSheetId="7">#REF!</definedName>
    <definedName name="RESP." localSheetId="9">#REF!</definedName>
    <definedName name="RESP." localSheetId="10">#REF!</definedName>
    <definedName name="RESP." localSheetId="6">#REF!</definedName>
    <definedName name="RESP.">#REF!</definedName>
    <definedName name="Responsavel">#REF!</definedName>
    <definedName name="resultadorendimento">#REF!</definedName>
    <definedName name="RESUMAO7">#REF!</definedName>
    <definedName name="RESUMO">#REF!</definedName>
    <definedName name="REV." localSheetId="4">#REF!</definedName>
    <definedName name="REV.">#REF!</definedName>
    <definedName name="REVISÃO">#REF!</definedName>
    <definedName name="RF">#N/A</definedName>
    <definedName name="RFV"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FV"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FV"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FV"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FV"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FV"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FV"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FV"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rfv_1">#REF!</definedName>
    <definedName name="RICARDO" localSheetId="4">#REF!</definedName>
    <definedName name="RICARDO" localSheetId="6">#REF!</definedName>
    <definedName name="RICARDO">#REF!</definedName>
    <definedName name="RICARDO1" localSheetId="4">#REF!</definedName>
    <definedName name="RICARDO1">#REF!</definedName>
    <definedName name="rio" localSheetId="9" hidden="1">{#N/A,#N/A,FALSE,"Cronograma";#N/A,#N/A,FALSE,"Cronogr. 2"}</definedName>
    <definedName name="rio" localSheetId="25" hidden="1">{#N/A,#N/A,FALSE,"Cronograma";#N/A,#N/A,FALSE,"Cronogr. 2"}</definedName>
    <definedName name="rio" localSheetId="26" hidden="1">{#N/A,#N/A,FALSE,"Cronograma";#N/A,#N/A,FALSE,"Cronogr. 2"}</definedName>
    <definedName name="rio" hidden="1">{#N/A,#N/A,FALSE,"Cronograma";#N/A,#N/A,FALSE,"Cronogr. 2"}</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5000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4">#REF!</definedName>
    <definedName name="RJMODELE">#REF!</definedName>
    <definedName name="RJMODMEC" localSheetId="4">#REF!</definedName>
    <definedName name="RJMODMEC">#REF!</definedName>
    <definedName name="RMOIENGELE">#REF!</definedName>
    <definedName name="RMOIENGMEC">#REF!</definedName>
    <definedName name="RMOIMONELE">#REF!</definedName>
    <definedName name="RMOIMONMEC">#REF!</definedName>
    <definedName name="RMOIPROELE">#REF!</definedName>
    <definedName name="RMOIPROMEC">#REF!</definedName>
    <definedName name="Roce">#REF!</definedName>
    <definedName name="rodovia">#REF!</definedName>
    <definedName name="ROFFER">#REF!</definedName>
    <definedName name="ROLETETRIPLO">#REF!</definedName>
    <definedName name="ROTBEEP">#N/A</definedName>
    <definedName name="ROTEQ">#N/A</definedName>
    <definedName name="ROTEQ1">#N/A</definedName>
    <definedName name="ROTFIS1">#N/A</definedName>
    <definedName name="ROTFIS2">#N/A</definedName>
    <definedName name="ROTFIS3">#N/A</definedName>
    <definedName name="ROTFORM">#N/A</definedName>
    <definedName name="ROTNOM">#N/A</definedName>
    <definedName name="ROTPERC">#N/A</definedName>
    <definedName name="ROTRISC">#N/A</definedName>
    <definedName name="ROTSOMA1">#N/A</definedName>
    <definedName name="ROTTOTALGER">#N/A</definedName>
    <definedName name="RP" localSheetId="7">#REF!</definedName>
    <definedName name="RP" localSheetId="9">#REF!</definedName>
    <definedName name="RP" localSheetId="10">#REF!</definedName>
    <definedName name="RP" localSheetId="6">#REF!</definedName>
    <definedName name="RP">#REF!</definedName>
    <definedName name="rpa">#REF!</definedName>
    <definedName name="rpa_1">#REF!</definedName>
    <definedName name="rpb">#REF!</definedName>
    <definedName name="rpb_1">#REF!</definedName>
    <definedName name="rpp">#REF!</definedName>
    <definedName name="rpp_1">#REF!</definedName>
    <definedName name="RTL" localSheetId="4">#REF!</definedName>
    <definedName name="RTL" localSheetId="7">#REF!</definedName>
    <definedName name="RTL" localSheetId="9">#REF!</definedName>
    <definedName name="RTL" localSheetId="10">#REF!</definedName>
    <definedName name="RTL" localSheetId="6">#REF!</definedName>
    <definedName name="RTL">#REF!</definedName>
    <definedName name="ruas">#REF!</definedName>
    <definedName name="ruas3">#REF!</definedName>
    <definedName name="S" localSheetId="4" hidden="1">#REF!</definedName>
    <definedName name="S" hidden="1">#REF!</definedName>
    <definedName name="SALVAMENTO">#N/A</definedName>
    <definedName name="sasasa" localSheetId="4">#REF!</definedName>
    <definedName name="sasasa" localSheetId="7">#REF!</definedName>
    <definedName name="sasasa" localSheetId="9">#REF!</definedName>
    <definedName name="sasasa" localSheetId="10">#REF!</definedName>
    <definedName name="sasasa" localSheetId="6">#REF!</definedName>
    <definedName name="sasasa">#REF!</definedName>
    <definedName name="sasasasasasa" localSheetId="7">#REF!</definedName>
    <definedName name="sasasasasasa" localSheetId="9">#REF!</definedName>
    <definedName name="sasasasasasa" localSheetId="10">#REF!</definedName>
    <definedName name="sasasasasasa" localSheetId="6">#REF!</definedName>
    <definedName name="sasasasasasa">#REF!</definedName>
    <definedName name="SCOD02_010_0020">#REF!</definedName>
    <definedName name="SCOD02_010_0020_1">#REF!</definedName>
    <definedName name="SCOD02_010_0050">#REF!</definedName>
    <definedName name="SCOD02_010_0050_1">#REF!</definedName>
    <definedName name="SCOD02_010_0065">#REF!</definedName>
    <definedName name="SCOD02_010_0065_1">#REF!</definedName>
    <definedName name="SCOD02_010_0130">#REF!</definedName>
    <definedName name="SCOD02_010_0130_1">#REF!</definedName>
    <definedName name="SCOD03_010_0020">#REF!</definedName>
    <definedName name="SCOD03_010_0020_1">#REF!</definedName>
    <definedName name="SCOD03_010_0025">#REF!</definedName>
    <definedName name="SCOD03_010_0025_1">#REF!</definedName>
    <definedName name="SCOD03_010_0040">#REF!</definedName>
    <definedName name="SCOD03_010_0040_1">#REF!</definedName>
    <definedName name="SCOD03_010_0050">#REF!</definedName>
    <definedName name="SCOD03_010_0050_1">#REF!</definedName>
    <definedName name="SCOD03_010_0100">#REF!</definedName>
    <definedName name="SCOD03_010_0100_1">#REF!</definedName>
    <definedName name="SCOD03_010_0180">#REF!</definedName>
    <definedName name="SCOD03_010_0180_1">#REF!</definedName>
    <definedName name="SCOD03_010_0200">#REF!</definedName>
    <definedName name="SCOD03_010_0200_1">#REF!</definedName>
    <definedName name="SCOD04_010_0010">#REF!</definedName>
    <definedName name="SCOD04_010_0010_1">#REF!</definedName>
    <definedName name="SCOD04_010_0040">#REF!</definedName>
    <definedName name="SCOD04_010_0040_1">#REF!</definedName>
    <definedName name="SCOD04_010_0070">#REF!</definedName>
    <definedName name="SCOD04_010_0070_1">#REF!</definedName>
    <definedName name="SCOD04_010_0150">#REF!</definedName>
    <definedName name="SCOD04_010_0150_1">#REF!</definedName>
    <definedName name="SCOD04_010_0190">#REF!</definedName>
    <definedName name="SCOD04_010_0190_1">#REF!</definedName>
    <definedName name="SCOD04_010_0200">#REF!</definedName>
    <definedName name="SCOD04_010_0200_1">#REF!</definedName>
    <definedName name="SCOD04_010_0320">#REF!</definedName>
    <definedName name="SCOD04_010_0320_1">#REF!</definedName>
    <definedName name="SCOD04_010_0330">#REF!</definedName>
    <definedName name="SCOD04_010_0330_1">#REF!</definedName>
    <definedName name="SCOD04_010_0371">#REF!</definedName>
    <definedName name="SCOD04_010_0371_1">#REF!</definedName>
    <definedName name="SCOD04_010_0375">#REF!</definedName>
    <definedName name="SCOD04_010_0375_1">#REF!</definedName>
    <definedName name="SCOD04_010_0395">#REF!</definedName>
    <definedName name="SCOD04_010_0395_1">#REF!</definedName>
    <definedName name="SCOD04_010_0420">#REF!</definedName>
    <definedName name="SCOD04_010_0420_1">#REF!</definedName>
    <definedName name="SCOD04_010_0430">#REF!</definedName>
    <definedName name="SCOD04_010_0430_1">#REF!</definedName>
    <definedName name="SCOD05_010_0020">#REF!</definedName>
    <definedName name="SCOD05_010_0020_1">#REF!</definedName>
    <definedName name="SCOD08_010_0010">#REF!</definedName>
    <definedName name="SCOD08_010_0010_1">#REF!</definedName>
    <definedName name="SCOD08_010_0040">#REF!</definedName>
    <definedName name="SCOD08_010_0040_1">#REF!</definedName>
    <definedName name="SCOD08_010_0060">#REF!</definedName>
    <definedName name="SCOD08_010_0060_1">#REF!</definedName>
    <definedName name="SCOD08_010_0130">#REF!</definedName>
    <definedName name="SCOD08_010_0130_1">#REF!</definedName>
    <definedName name="SCOD08_010_0135">#REF!</definedName>
    <definedName name="SCOD08_010_0135_1">#REF!</definedName>
    <definedName name="SCOD08_010_0270">#REF!</definedName>
    <definedName name="SCOD08_010_0270_1">#REF!</definedName>
    <definedName name="SCOD09_010_0060">#REF!</definedName>
    <definedName name="SCOD09_010_0060_1">#REF!</definedName>
    <definedName name="SCOD09_010_0240">#REF!</definedName>
    <definedName name="SCOD09_010_0240_1">#REF!</definedName>
    <definedName name="SCOD09_010_0430">#REF!</definedName>
    <definedName name="SCOD09_010_0430_1">#REF!</definedName>
    <definedName name="SCOD09_010_0470">#REF!</definedName>
    <definedName name="SCOD09_010_0470_1">#REF!</definedName>
    <definedName name="SCOD09_010_0700">#REF!</definedName>
    <definedName name="SCOD09_010_0700_1">#REF!</definedName>
    <definedName name="SCOD10_010_0140">#REF!</definedName>
    <definedName name="SCOD10_010_0140_1">#REF!</definedName>
    <definedName name="SCOD10_010_0180">#REF!</definedName>
    <definedName name="SCOD10_010_0180_1">#REF!</definedName>
    <definedName name="SCOD10_010_0270">#REF!</definedName>
    <definedName name="SCOD10_010_0270_1">#REF!</definedName>
    <definedName name="SCOD10_010_0280">#REF!</definedName>
    <definedName name="SCOD10_010_0280_1">#REF!</definedName>
    <definedName name="SCOD10_010_0298">#REF!</definedName>
    <definedName name="SCOD10_010_0298_1">#REF!</definedName>
    <definedName name="SCOD10_010_0307">#REF!</definedName>
    <definedName name="SCOD10_010_0307_1">#REF!</definedName>
    <definedName name="SCOD10_010_0308">#REF!</definedName>
    <definedName name="SCOD10_010_0308_1">#REF!</definedName>
    <definedName name="SCOD10_010_0310">#REF!</definedName>
    <definedName name="SCOD10_010_0310_1">#REF!</definedName>
    <definedName name="SCOD10_010_0330">#REF!</definedName>
    <definedName name="SCOD10_010_0330_1">#REF!</definedName>
    <definedName name="SCOD10_010_0333">#REF!</definedName>
    <definedName name="SCOD10_010_0333_1">#REF!</definedName>
    <definedName name="SCOD10_010_0380">#REF!</definedName>
    <definedName name="SCOD10_010_0380_1">#REF!</definedName>
    <definedName name="SCOD10_010_0400">#REF!</definedName>
    <definedName name="SCOD10_010_0400_1">#REF!</definedName>
    <definedName name="SCOD10_010_0431">#REF!</definedName>
    <definedName name="SCOD10_010_0431_1">#REF!</definedName>
    <definedName name="SCOD10_010_1110">#REF!</definedName>
    <definedName name="SCOD10_010_1110_1">#REF!</definedName>
    <definedName name="SCOD12_010_0010">#REF!</definedName>
    <definedName name="SCOD12_010_0010_1">#REF!</definedName>
    <definedName name="SCOD12_010_0060">#REF!</definedName>
    <definedName name="SCOD12_010_0060_1">#REF!</definedName>
    <definedName name="SCOD12_010_0210">#REF!</definedName>
    <definedName name="SCOD12_010_0210_1">#REF!</definedName>
    <definedName name="SCOD12_010_0360">#REF!</definedName>
    <definedName name="SCOD12_010_0360_1">#REF!</definedName>
    <definedName name="SCOD12_010_0550">#REF!</definedName>
    <definedName name="SCOD12_010_0550_1">#REF!</definedName>
    <definedName name="SCOD13_010_0030">#REF!</definedName>
    <definedName name="SCOD13_010_0030_1">#REF!</definedName>
    <definedName name="SCOD13_010_0090">#REF!</definedName>
    <definedName name="SCOD13_010_0090_1">#REF!</definedName>
    <definedName name="SCOD13_010_0100">#REF!</definedName>
    <definedName name="SCOD13_010_0100_1">#REF!</definedName>
    <definedName name="SCOD13_010_0110">#REF!</definedName>
    <definedName name="SCOD13_010_0110_1">#REF!</definedName>
    <definedName name="SCOD13_010_1200">#REF!</definedName>
    <definedName name="SCOD13_010_1200_1">#REF!</definedName>
    <definedName name="SCOD15_010_0010">#REF!</definedName>
    <definedName name="SCOD15_010_0010_1">#REF!</definedName>
    <definedName name="SCOD15_010_0055">#REF!</definedName>
    <definedName name="SCOD15_010_0055_1">#REF!</definedName>
    <definedName name="SCOD15_010_0140">#REF!</definedName>
    <definedName name="SCOD15_010_0140_1">#REF!</definedName>
    <definedName name="SCOD15_010_0181">#REF!</definedName>
    <definedName name="SCOD15_010_0181_1">#REF!</definedName>
    <definedName name="SCOD15_010_0270">#REF!</definedName>
    <definedName name="SCOD15_010_0270_1">#REF!</definedName>
    <definedName name="SCOD15_010_0280">#REF!</definedName>
    <definedName name="SCOD15_010_0280_1">#REF!</definedName>
    <definedName name="SCOD15_010_0290">#REF!</definedName>
    <definedName name="SCOD15_010_0290_1">#REF!</definedName>
    <definedName name="SCOD16_010_0010">#REF!</definedName>
    <definedName name="SCOD16_010_0010_1">#REF!</definedName>
    <definedName name="SCOD16_010_0060">#REF!</definedName>
    <definedName name="SCOD16_010_0060_1">#REF!</definedName>
    <definedName name="SCOD16_010_0110">#REF!</definedName>
    <definedName name="SCOD16_010_0110_1">#REF!</definedName>
    <definedName name="SCOD16_010_0120">#REF!</definedName>
    <definedName name="SCOD16_010_0120_1">#REF!</definedName>
    <definedName name="SCOD16_010_0170">#REF!</definedName>
    <definedName name="SCOD16_010_0170_1">#REF!</definedName>
    <definedName name="SCOD17_010_0080">#REF!</definedName>
    <definedName name="SCOD17_010_0080_1">#REF!</definedName>
    <definedName name="SCOD17_010_0100">#REF!</definedName>
    <definedName name="SCOD17_010_0100_1">#REF!</definedName>
    <definedName name="SCOD17_010_0150">#REF!</definedName>
    <definedName name="SCOD17_010_0150_1">#REF!</definedName>
    <definedName name="SCOD17_010_0290">#REF!</definedName>
    <definedName name="SCOD17_010_0290_1">#REF!</definedName>
    <definedName name="SCOD17_010_0390">#REF!</definedName>
    <definedName name="SCOD17_010_0390_1">#REF!</definedName>
    <definedName name="SCOD17_010_0436">#REF!</definedName>
    <definedName name="SCOD17_010_0436_1">#REF!</definedName>
    <definedName name="SCOD17_010_0437">#REF!</definedName>
    <definedName name="SCOD17_010_0437_1">#REF!</definedName>
    <definedName name="SCOD17_010_0602">#REF!</definedName>
    <definedName name="SCOD17_010_0602_1">#REF!</definedName>
    <definedName name="SCODCOMPOSIÇÃO01">#REF!</definedName>
    <definedName name="SCODCOMPOSIÇÃO01A">#REF!</definedName>
    <definedName name="SCODCOMPOSIÇÃO02">#REF!</definedName>
    <definedName name="SCODCOTADO01">#REF!</definedName>
    <definedName name="SCODCOTADO01_1">#REF!</definedName>
    <definedName name="SCODCOTADO02">#REF!</definedName>
    <definedName name="SCODCOTADO02_1">#REF!</definedName>
    <definedName name="SCODCOTADO03">#REF!</definedName>
    <definedName name="SCODCOTADO03_1">#REF!</definedName>
    <definedName name="SCODCOTADO04">#REF!</definedName>
    <definedName name="SCODCOTADO04_1">#REF!</definedName>
    <definedName name="SCODCOTADO05">#REF!</definedName>
    <definedName name="SCODCOTADO05_1">#REF!</definedName>
    <definedName name="SCODCOTADO06">#REF!</definedName>
    <definedName name="SCODCOTADO06_1">#REF!</definedName>
    <definedName name="SCODVERBA01">#REF!</definedName>
    <definedName name="SCODVERBA01_1">#REF!</definedName>
    <definedName name="SCOMPOS01">#REF!</definedName>
    <definedName name="SCOMPOS01_1">#REF!</definedName>
    <definedName name="sd" localSheetId="9">IFERROR( IF(AND(#REF!="",#REF!=""),0, IF(#REF!="SINAPI",VLOOKUP(#REF!,#REF!,2,0), IF(#REF!="COMPOSIÇÃO",VLOOKUP(#REF!,#REF!,2,0), IF(#REF!="IOPES",VLOOKUP(#REF!,#REF!,2,0), IF(#REF!="SETOP",VLOOKUP(#REF!,#REF!,2,0), IF(#REF!="SUDECAP",VLOOKUP(#REF!,#REF!,2,0), IF(#REF!="TCPO",VLOOKUP(#REF!,#REF!,2,0), IF(#REF!="COTAÇÃO",VLOOKUP(#REF!,cota,2,0), IF(#REF!=#REF!,VLOOKUP(#REF!,asd,2,0), IF(#REF!=#REF!,VLOOKUP(#REF!,#REF!,2,0), IF(#REF!=#REF!,VLOOKUP(#REF!,#REF!,2,0), IF(#REF!=#REF!,VLOOKUP(#REF!,#REF!,2,0), IF(#REF!=#REF!,VLOOKUP(#REF!,#REF!,2,0), IF(#REF!=#REF!,VLOOKUP(#REF!,#REF!,2,0), IF(#REF!=#REF!,VLOOKUP(#REF!,#REF!,2,0), IF(#REF!=#REF!,VLOOKUP(#REF!,#REF!,2,0), IF(#REF!=#REF!,VLOOKUP(#REF!,#REF!,2,0), IF(#REF!=#REF!,VLOOKUP(#REF!,#REF!,2,0), 0) ))))))))))))))))), 0)</definedName>
    <definedName name="sd" localSheetId="25">IFERROR( IF(AND(#REF!="",#REF!=""),0, IF(#REF!="SINAPI",VLOOKUP(#REF!,[0]!SINAPI_SERVICO,2,0), IF(#REF!="COMPOSIÇÃO",VLOOKUP(#REF!,[0]!COMPOSIÇÕES,2,0), IF(#REF!="IOPES",VLOOKUP(#REF!,[0]!IOPES_SERVICO,2,0), IF(#REF!="SETOP",VLOOKUP(#REF!,[0]!SETOP_SERVICO,2,0), IF(#REF!="SUDECAP",VLOOKUP(#REF!,[0]!SUDECAP_SERVICO,2,0), IF(#REF!="TCPO",VLOOKUP(#REF!,[0]!TCPO_SERVICO,2,0), IF(#REF!="COTAÇÃO",VLOOKUP(#REF!,[0]!cota,2,0), IF(#REF!=[0]!NOME_BS_1,VLOOKUP(#REF!,[0]!asd,2,0), IF(#REF!=[0]!NOME_BS_2,VLOOKUP(#REF!,[0]!BANCO_2_SERVICO,2,0), IF(#REF!=[0]!NOME_BS_3,VLOOKUP(#REF!,[0]!BANCO_3_SERVICO,2,0), IF(#REF!=[0]!NOME_BS_4,VLOOKUP(#REF!,[0]!BANCO_4_SERVICO,2,0), IF(#REF!=[0]!NOME_BS_5,VLOOKUP(#REF!,[0]!BANCO_5_SERVICO,2,0), IF(#REF!=[0]!NOME_BS_6,VLOOKUP(#REF!,[0]!BANCO_6_SERVICO,2,0), IF(#REF!=[0]!NOME_BS_7,VLOOKUP(#REF!,[0]!BANCO_7_SERVICO,2,0), IF(#REF!=[0]!NOME_BS_8,VLOOKUP(#REF!,[0]!BANCO_8_SERVICO,2,0), IF(#REF!=[0]!NOME_BS_9,VLOOKUP(#REF!,[0]!BANCO_9_SERVICO,2,0), IF(#REF!=[0]!NOME_BS_10,VLOOKUP(#REF!,[0]!BANCO_10_SERVICO,2,0), 0) ))))))))))))))))), 0)</definedName>
    <definedName name="sd" localSheetId="26">IFERROR( IF(AND(#REF!="",#REF!=""),0, IF(#REF!="SINAPI",VLOOKUP(#REF!,[0]!SINAPI_SERVICO,2,0), IF(#REF!="COMPOSIÇÃO",VLOOKUP(#REF!,[0]!COMPOSIÇÕES,2,0), IF(#REF!="IOPES",VLOOKUP(#REF!,[0]!IOPES_SERVICO,2,0), IF(#REF!="SETOP",VLOOKUP(#REF!,[0]!SETOP_SERVICO,2,0), IF(#REF!="SUDECAP",VLOOKUP(#REF!,[0]!SUDECAP_SERVICO,2,0), IF(#REF!="TCPO",VLOOKUP(#REF!,[0]!TCPO_SERVICO,2,0), IF(#REF!="COTAÇÃO",VLOOKUP(#REF!,cota,2,0), IF(#REF!=[0]!NOME_BS_1,VLOOKUP(#REF!,asd,2,0), IF(#REF!=[0]!NOME_BS_2,VLOOKUP(#REF!,[0]!BANCO_2_SERVICO,2,0), IF(#REF!=[0]!NOME_BS_3,VLOOKUP(#REF!,[0]!BANCO_3_SERVICO,2,0), IF(#REF!=[0]!NOME_BS_4,VLOOKUP(#REF!,[0]!BANCO_4_SERVICO,2,0), IF(#REF!=[0]!NOME_BS_5,VLOOKUP(#REF!,[0]!BANCO_5_SERVICO,2,0), IF(#REF!=[0]!NOME_BS_6,VLOOKUP(#REF!,[0]!BANCO_6_SERVICO,2,0), IF(#REF!=[0]!NOME_BS_7,VLOOKUP(#REF!,[0]!BANCO_7_SERVICO,2,0), IF(#REF!=[0]!NOME_BS_8,VLOOKUP(#REF!,[0]!BANCO_8_SERVICO,2,0), IF(#REF!=[0]!NOME_BS_9,VLOOKUP(#REF!,[0]!BANCO_9_SERVICO,2,0), IF(#REF!=[0]!NOME_BS_10,VLOOKUP(#REF!,[0]!BANCO_10_SERVICO,2,0), 0) ))))))))))))))))), 0)</definedName>
    <definedName name="sd">IFERROR( IF(AND(#REF!="",#REF!=""),0, IF(#REF!="SINAPI",VLOOKUP(#REF!,[0]!SINAPI_SERVICO,2,0), IF(#REF!="COMPOSIÇÃO",VLOOKUP(#REF!,[0]!COMPOSIÇÕES,2,0), IF(#REF!="IOPES",VLOOKUP(#REF!,[0]!IOPES_SERVICO,2,0), IF(#REF!="SETOP",VLOOKUP(#REF!,[0]!SETOP_SERVICO,2,0), IF(#REF!="SUDECAP",VLOOKUP(#REF!,[0]!SUDECAP_SERVICO,2,0), IF(#REF!="TCPO",VLOOKUP(#REF!,[0]!TCPO_SERVICO,2,0), IF(#REF!="COTAÇÃO",VLOOKUP(#REF!,cota,2,0), IF(#REF!=[0]!NOME_BS_1,VLOOKUP(#REF!,asd,2,0), IF(#REF!=[0]!NOME_BS_2,VLOOKUP(#REF!,[0]!BANCO_2_SERVICO,2,0), IF(#REF!=[0]!NOME_BS_3,VLOOKUP(#REF!,[0]!BANCO_3_SERVICO,2,0), IF(#REF!=[0]!NOME_BS_4,VLOOKUP(#REF!,[0]!BANCO_4_SERVICO,2,0), IF(#REF!=[0]!NOME_BS_5,VLOOKUP(#REF!,[0]!BANCO_5_SERVICO,2,0), IF(#REF!=[0]!NOME_BS_6,VLOOKUP(#REF!,[0]!BANCO_6_SERVICO,2,0), IF(#REF!=[0]!NOME_BS_7,VLOOKUP(#REF!,[0]!BANCO_7_SERVICO,2,0), IF(#REF!=[0]!NOME_BS_8,VLOOKUP(#REF!,[0]!BANCO_8_SERVICO,2,0), IF(#REF!=[0]!NOME_BS_9,VLOOKUP(#REF!,[0]!BANCO_9_SERVICO,2,0), IF(#REF!=[0]!NOME_BS_10,VLOOKUP(#REF!,[0]!BANCO_10_SERVICO,2,0), 0) ))))))))))))))))), 0)</definedName>
    <definedName name="sdfg" localSheetId="7">#REF!</definedName>
    <definedName name="sdfg" localSheetId="9">#REF!</definedName>
    <definedName name="sdfg" localSheetId="10">#REF!</definedName>
    <definedName name="sdfg" localSheetId="6">#REF!</definedName>
    <definedName name="sdfg">#REF!</definedName>
    <definedName name="SDS">#REF!</definedName>
    <definedName name="se">#REF!</definedName>
    <definedName name="SED">#REF!</definedName>
    <definedName name="Sede_Detran_Consulta">#REF!</definedName>
    <definedName name="Semnome">#REF!</definedName>
    <definedName name="SERVIÇOS_COMPLEMENTARES">#REF!</definedName>
    <definedName name="SERVIÇOS_PRELIMINARES">#REF!</definedName>
    <definedName name="Servicos_Tecnicos">#REF!</definedName>
    <definedName name="Servicos_Tecnicos_">#REF!</definedName>
    <definedName name="SET">#REF!</definedName>
    <definedName name="SETOP" localSheetId="4">#REF!</definedName>
    <definedName name="SETOP">#REF!</definedName>
    <definedName name="SETOP.">#REF!</definedName>
    <definedName name="SETOP.12">#REF!</definedName>
    <definedName name="SETOP.13">#REF!</definedName>
    <definedName name="setop.14" localSheetId="4">#REF!</definedName>
    <definedName name="setop.14">#REF!</definedName>
    <definedName name="SETOP.DEZ.13" localSheetId="4">#REF!</definedName>
    <definedName name="SETOP.DEZ.13">#REF!</definedName>
    <definedName name="SETOP_INSUMO">#REF!</definedName>
    <definedName name="SETOP_SERVICO" localSheetId="5">#REF!</definedName>
    <definedName name="SETOP_SERVICO" localSheetId="7">#REF!</definedName>
    <definedName name="SETOP_SERVICO" localSheetId="10">#REF!</definedName>
    <definedName name="SETOP_SERVICO" localSheetId="6">#REF!</definedName>
    <definedName name="SETOP_SERVICO">#REF!</definedName>
    <definedName name="SETOP1" localSheetId="4">#REF!</definedName>
    <definedName name="SETOP1">#REF!</definedName>
    <definedName name="SETOPP" localSheetId="4">#REF!</definedName>
    <definedName name="SETOPP">#REF!</definedName>
    <definedName name="SETOR02">#REF!</definedName>
    <definedName name="setor2">#REF!</definedName>
    <definedName name="SHARED_FORMULA_1_98_1_98_1">NA()</definedName>
    <definedName name="SHARED_FORMULA_10_38_10_38_0">NA()</definedName>
    <definedName name="SHARED_FORMULA_10_524_10_524_0">NA()</definedName>
    <definedName name="SHARED_FORMULA_10_594_10_594_0">NA()</definedName>
    <definedName name="SHARED_FORMULA_10_608_10_608_0">NA()</definedName>
    <definedName name="SHARED_FORMULA_10_633_10_633_0">NA()</definedName>
    <definedName name="SHARED_FORMULA_10_672_10_672_0">NA()</definedName>
    <definedName name="SHARED_FORMULA_10_714_10_714_0">NA()</definedName>
    <definedName name="SHARED_FORMULA_10_8_10_8_0">NA()</definedName>
    <definedName name="SHARED_FORMULA_11_38_11_38_0">NA()</definedName>
    <definedName name="SHARED_FORMULA_11_46_11_46_0">NA()</definedName>
    <definedName name="SHARED_FORMULA_11_517_11_517_0">NA()</definedName>
    <definedName name="SHARED_FORMULA_11_532_11_532_0">NA()</definedName>
    <definedName name="SHARED_FORMULA_11_544_11_544_0">NA()</definedName>
    <definedName name="SHARED_FORMULA_11_553_11_553_0">NA()</definedName>
    <definedName name="SHARED_FORMULA_11_561_11_561_0">NA()</definedName>
    <definedName name="SHARED_FORMULA_11_594_11_594_0">NA()</definedName>
    <definedName name="SHARED_FORMULA_11_608_11_608_0">NA()</definedName>
    <definedName name="SHARED_FORMULA_11_61_11_61_0">NA()</definedName>
    <definedName name="SHARED_FORMULA_11_633_11_633_0">NA()</definedName>
    <definedName name="SHARED_FORMULA_11_658_11_658_0">NA()</definedName>
    <definedName name="SHARED_FORMULA_11_672_11_672_0">NA()</definedName>
    <definedName name="SHARED_FORMULA_11_695_11_695_0">NA()</definedName>
    <definedName name="SHARED_FORMULA_11_8_11_8_0">NA()</definedName>
    <definedName name="SHARED_FORMULA_11_8_11_8_4">#REF!*#REF!</definedName>
    <definedName name="SHARED_FORMULA_11_89_11_89_0">NA()</definedName>
    <definedName name="SHARED_FORMULA_11_9_11_9_3">NA()</definedName>
    <definedName name="SHARED_FORMULA_11_9_11_9_4">NA()</definedName>
    <definedName name="SHARED_FORMULA_12_9_12_9_4">NA()</definedName>
    <definedName name="SHARED_FORMULA_13_17_13_17_116">#REF!*#REF!</definedName>
    <definedName name="SHARED_FORMULA_13_17_13_17_121">#REF!*#REF!</definedName>
    <definedName name="SHARED_FORMULA_13_17_13_17_154">#REF!*#REF!</definedName>
    <definedName name="SHARED_FORMULA_13_17_13_17_159">#REF!*#REF!</definedName>
    <definedName name="SHARED_FORMULA_13_19_13_19_109">#REF!*#REF!</definedName>
    <definedName name="SHARED_FORMULA_13_19_13_19_122">#REF!*#REF!</definedName>
    <definedName name="SHARED_FORMULA_13_19_13_19_160">#REF!*#REF!</definedName>
    <definedName name="SHARED_FORMULA_13_19_13_19_46">#REF!*#REF!</definedName>
    <definedName name="SHARED_FORMULA_13_19_13_19_69">#REF!*#REF!</definedName>
    <definedName name="SHARED_FORMULA_13_19_13_19_79">#REF!*#REF!</definedName>
    <definedName name="SHARED_FORMULA_16_10_16_10_3">NA()</definedName>
    <definedName name="SHARED_FORMULA_16_10_16_10_4">NA()</definedName>
    <definedName name="SHARED_FORMULA_16_39_16_39_3">NA()</definedName>
    <definedName name="SHARED_FORMULA_16_65_16_65_3">NA()</definedName>
    <definedName name="SHARED_FORMULA_16_8_16_8_4" localSheetId="9">#REF!-SUM(#REF!)</definedName>
    <definedName name="SHARED_FORMULA_16_8_16_8_4">#REF!-SUM(#REF!)</definedName>
    <definedName name="SHARED_FORMULA_17_10_17_10_4">NA()</definedName>
    <definedName name="SHARED_FORMULA_17_11_17_11_4">#REF!</definedName>
    <definedName name="SHARED_FORMULA_17_39_17_39_3">NA()</definedName>
    <definedName name="SHARED_FORMULA_17_65_17_65_3">NA()</definedName>
    <definedName name="SHARED_FORMULA_17_79_17_79_3">NA()</definedName>
    <definedName name="SHARED_FORMULA_17_9_17_9_3">NA()</definedName>
    <definedName name="SHARED_FORMULA_18_27_18_27_6">ROUND(#REF!/#REF!,4)*100</definedName>
    <definedName name="SHARED_FORMULA_18_39_18_39_3">NA()</definedName>
    <definedName name="SHARED_FORMULA_18_42_18_42_2">NA()</definedName>
    <definedName name="SHARED_FORMULA_19_39_19_39_3">NA()</definedName>
    <definedName name="SHARED_FORMULA_2_2_2_2_7">(#REF!/100)+1</definedName>
    <definedName name="SHARED_FORMULA_2_850_2_850_1">"#ref!"</definedName>
    <definedName name="SHARED_FORMULA_2_854_2_854_1">NA()</definedName>
    <definedName name="SHARED_FORMULA_2_858_2_858_1">NA()</definedName>
    <definedName name="SHARED_FORMULA_2_861_2_861_1">NA()</definedName>
    <definedName name="SHARED_FORMULA_21_20_21_20_69">#REF!*#REF!</definedName>
    <definedName name="SHARED_FORMULA_21_9_21_9_3">NA()</definedName>
    <definedName name="SHARED_FORMULA_21_9_21_9_4">NA()</definedName>
    <definedName name="SHARED_FORMULA_22_10_22_10_3">NA()</definedName>
    <definedName name="SHARED_FORMULA_22_10_22_10_4">NA()</definedName>
    <definedName name="SHARED_FORMULA_22_39_22_39_3">NA()</definedName>
    <definedName name="SHARED_FORMULA_22_9_22_9_4">NA()</definedName>
    <definedName name="SHARED_FORMULA_23_10_23_10_3">NA()</definedName>
    <definedName name="SHARED_FORMULA_23_10_23_10_4">NA()</definedName>
    <definedName name="SHARED_FORMULA_23_39_23_39_3">NA()</definedName>
    <definedName name="SHARED_FORMULA_23_61_23_61_3">NA()</definedName>
    <definedName name="SHARED_FORMULA_24_10_24_10_3">NA()</definedName>
    <definedName name="SHARED_FORMULA_24_10_24_10_4">NA()</definedName>
    <definedName name="SHARED_FORMULA_24_13_24_13_3">NA()</definedName>
    <definedName name="SHARED_FORMULA_24_31_24_31_3">NA()</definedName>
    <definedName name="SHARED_FORMULA_25_10_25_10_3">NA()</definedName>
    <definedName name="SHARED_FORMULA_25_27_25_27_3">NA()</definedName>
    <definedName name="SHARED_FORMULA_25_31_25_31_3">NA()</definedName>
    <definedName name="SHARED_FORMULA_26_10_26_10_3">NA()</definedName>
    <definedName name="SHARED_FORMULA_26_10_26_10_4">NA()</definedName>
    <definedName name="SHARED_FORMULA_26_39_26_39_3">NA()</definedName>
    <definedName name="SHARED_FORMULA_26_8_26_8_4">#REF!</definedName>
    <definedName name="SHARED_FORMULA_27_10_27_10_3">NA()</definedName>
    <definedName name="SHARED_FORMULA_27_10_27_10_4">NA()</definedName>
    <definedName name="SHARED_FORMULA_27_39_27_39_3">NA()</definedName>
    <definedName name="SHARED_FORMULA_27_65_27_65_3">NA()</definedName>
    <definedName name="SHARED_FORMULA_27_79_27_79_3">NA()</definedName>
    <definedName name="SHARED_FORMULA_3_1_3_1_5">#REF!*#REF!</definedName>
    <definedName name="SHARED_FORMULA_3_19_3_19_110">#REF!*#REF!</definedName>
    <definedName name="SHARED_FORMULA_3_2_3_2_5">NA()</definedName>
    <definedName name="SHARED_FORMULA_3_20_3_20_159">#REF!*#REF!</definedName>
    <definedName name="SHARED_FORMULA_3_20_3_20_5">#REF!*#REF!</definedName>
    <definedName name="SHARED_FORMULA_3_20_3_20_70">#REF!*#REF!</definedName>
    <definedName name="SHARED_FORMULA_3_20_3_20_80">#REF!*#REF!</definedName>
    <definedName name="SHARED_FORMULA_3_7_3_7_6">#REF!/#REF!</definedName>
    <definedName name="SHARED_FORMULA_3_9_3_9_5">#REF!*#REF!</definedName>
    <definedName name="SHARED_FORMULA_31_39_31_39_3">NA()</definedName>
    <definedName name="SHARED_FORMULA_31_9_31_9_3">NA()</definedName>
    <definedName name="SHARED_FORMULA_31_9_31_9_4">NA()</definedName>
    <definedName name="SHARED_FORMULA_32_10_32_10_3">NA()</definedName>
    <definedName name="SHARED_FORMULA_32_10_32_10_4">NA()</definedName>
    <definedName name="SHARED_FORMULA_32_39_32_39_3">NA()</definedName>
    <definedName name="SHARED_FORMULA_32_70_32_70_3">NA()</definedName>
    <definedName name="SHARED_FORMULA_32_79_32_79_3">NA()</definedName>
    <definedName name="SHARED_FORMULA_32_9_32_9_4">NA()</definedName>
    <definedName name="SHARED_FORMULA_33_10_33_10_4">NA()</definedName>
    <definedName name="SHARED_FORMULA_33_8_33_8_4">#REF!</definedName>
    <definedName name="SHARED_FORMULA_33_9_33_9_3">NA()</definedName>
    <definedName name="SHARED_FORMULA_33_9_33_9_4">NA()</definedName>
    <definedName name="SHARED_FORMULA_34_9_34_9_3">NA()</definedName>
    <definedName name="SHARED_FORMULA_34_9_34_9_4">NA()</definedName>
    <definedName name="SHARED_FORMULA_35_10_35_10_3">NA()</definedName>
    <definedName name="SHARED_FORMULA_35_10_35_10_4">NA()</definedName>
    <definedName name="SHARED_FORMULA_35_39_35_39_3">NA()</definedName>
    <definedName name="SHARED_FORMULA_35_70_35_70_3">NA()</definedName>
    <definedName name="SHARED_FORMULA_35_79_35_79_3">NA()</definedName>
    <definedName name="SHARED_FORMULA_36_10_36_10_4">NA()</definedName>
    <definedName name="SHARED_FORMULA_5_13_5_13_4" localSheetId="4">CONCATENATE(#REF!,#REF!)</definedName>
    <definedName name="SHARED_FORMULA_5_13_5_13_4" localSheetId="7">CONCATENATE(#REF!,#REF!)</definedName>
    <definedName name="SHARED_FORMULA_5_13_5_13_4" localSheetId="9">CONCATENATE(#REF!,#REF!)</definedName>
    <definedName name="SHARED_FORMULA_5_13_5_13_4" localSheetId="10">CONCATENATE(#REF!,#REF!)</definedName>
    <definedName name="SHARED_FORMULA_5_13_5_13_4" localSheetId="6">CONCATENATE(#REF!,#REF!)</definedName>
    <definedName name="SHARED_FORMULA_5_13_5_13_4">CONCATENATE(#REF!,#REF!)</definedName>
    <definedName name="SHARED_FORMULA_5_14_5_14_192">NA()</definedName>
    <definedName name="SHARED_FORMULA_5_16_5_16_187">NA()</definedName>
    <definedName name="SHARED_FORMULA_5_17_5_17_116">#REF!*#REF!</definedName>
    <definedName name="SHARED_FORMULA_5_17_5_17_121">#REF!*#REF!</definedName>
    <definedName name="SHARED_FORMULA_5_17_5_17_154">#REF!*#REF!</definedName>
    <definedName name="SHARED_FORMULA_5_17_5_17_159">#REF!*#REF!</definedName>
    <definedName name="SHARED_FORMULA_5_17_5_17_183">NA()</definedName>
    <definedName name="SHARED_FORMULA_5_17_5_17_231">NA()</definedName>
    <definedName name="SHARED_FORMULA_5_17_5_17_45">#REF!*#REF!</definedName>
    <definedName name="SHARED_FORMULA_5_17_5_17_61">#REF!*#REF!</definedName>
    <definedName name="SHARED_FORMULA_5_18_5_18_120">NA()</definedName>
    <definedName name="SHARED_FORMULA_5_18_5_18_158">#REF!*#REF!</definedName>
    <definedName name="SHARED_FORMULA_5_18_5_18_85">#REF!*#REF!</definedName>
    <definedName name="SHARED_FORMULA_5_18_5_18_97">#REF!*#REF!</definedName>
    <definedName name="SHARED_FORMULA_5_19_5_19_109">#REF!*#REF!</definedName>
    <definedName name="SHARED_FORMULA_5_19_5_19_122">#REF!*#REF!</definedName>
    <definedName name="SHARED_FORMULA_5_19_5_19_160">#REF!*#REF!</definedName>
    <definedName name="SHARED_FORMULA_5_19_5_19_162">#REF!*#REF!</definedName>
    <definedName name="SHARED_FORMULA_5_19_5_19_46">#REF!*#REF!</definedName>
    <definedName name="SHARED_FORMULA_5_19_5_19_79">#REF!*#REF!</definedName>
    <definedName name="SHARED_FORMULA_5_19_5_19_80">#REF!*#REF!</definedName>
    <definedName name="SHARED_FORMULA_5_20_5_20_159">#REF!*#REF!</definedName>
    <definedName name="SHARED_FORMULA_5_20_5_20_25">NA()</definedName>
    <definedName name="SHARED_FORMULA_5_20_5_20_26">NA()</definedName>
    <definedName name="SHARED_FORMULA_5_20_5_20_37">#REF!*#REF!</definedName>
    <definedName name="SHARED_FORMULA_5_20_5_20_52">NA()</definedName>
    <definedName name="SHARED_FORMULA_5_20_5_20_69">#REF!*#REF!</definedName>
    <definedName name="SHARED_FORMULA_5_20_5_20_84">NA()</definedName>
    <definedName name="SHARED_FORMULA_5_73_5_73_0">ROUND(#REF!*3,2)</definedName>
    <definedName name="SHARED_FORMULA_6_11_6_11_0">#REF!</definedName>
    <definedName name="SHARED_FORMULA_6_120_6_120_1">"#ref!"*"#ref!"</definedName>
    <definedName name="SHARED_FORMULA_6_123_6_123_1">NA()</definedName>
    <definedName name="SHARED_FORMULA_6_143_6_143_0">NA()</definedName>
    <definedName name="SHARED_FORMULA_6_145_6_145_0">#REF!</definedName>
    <definedName name="SHARED_FORMULA_6_1472_6_1472_1">NA()</definedName>
    <definedName name="SHARED_FORMULA_6_1481_6_1481_1">NA()</definedName>
    <definedName name="SHARED_FORMULA_6_15_6_15_0">NA()</definedName>
    <definedName name="SHARED_FORMULA_6_1512_6_1512_1">ROUNDUP(#REF!*#REF!*#REF!,1)</definedName>
    <definedName name="SHARED_FORMULA_6_1516_6_1516_1">NA()</definedName>
    <definedName name="SHARED_FORMULA_6_157_6_157_0">#REF!</definedName>
    <definedName name="SHARED_FORMULA_6_166_6_166_0">#REF!</definedName>
    <definedName name="SHARED_FORMULA_6_177_6_177_0">#REF!</definedName>
    <definedName name="SHARED_FORMULA_6_190_6_190_0">#REF!</definedName>
    <definedName name="SHARED_FORMULA_6_207_6_207_0">NA()</definedName>
    <definedName name="SHARED_FORMULA_6_215_6_215_0">#REF!</definedName>
    <definedName name="SHARED_FORMULA_6_22_6_22_0">#REF!</definedName>
    <definedName name="SHARED_FORMULA_6_233_6_233_0">#REF!</definedName>
    <definedName name="SHARED_FORMULA_6_245_6_245_0">#REF!</definedName>
    <definedName name="SHARED_FORMULA_6_2507_6_2507_1">NA()</definedName>
    <definedName name="SHARED_FORMULA_6_2521_6_2521_1">NA()</definedName>
    <definedName name="SHARED_FORMULA_6_255_6_255_1">NA()</definedName>
    <definedName name="SHARED_FORMULA_6_2603_6_2603_1">NA()</definedName>
    <definedName name="SHARED_FORMULA_6_267_6_267_0">#REF!</definedName>
    <definedName name="SHARED_FORMULA_6_2686_6_2686_1">NA()</definedName>
    <definedName name="SHARED_FORMULA_6_2692_6_2692_1">NA()</definedName>
    <definedName name="SHARED_FORMULA_6_271_6_271_0">NA()</definedName>
    <definedName name="SHARED_FORMULA_6_276_6_276_0">#REF!</definedName>
    <definedName name="SHARED_FORMULA_6_2779_6_2779_1">NA()</definedName>
    <definedName name="SHARED_FORMULA_6_281_6_281_1">NA()</definedName>
    <definedName name="SHARED_FORMULA_6_2816_6_2816_1">NA()</definedName>
    <definedName name="SHARED_FORMULA_6_2819_6_2819_1">NA()</definedName>
    <definedName name="SHARED_FORMULA_6_2876_6_2876_1">#REF!*#REF!*#REF!</definedName>
    <definedName name="SHARED_FORMULA_6_2880_6_2880_1">NA()</definedName>
    <definedName name="SHARED_FORMULA_6_291_6_291_0">#REF!</definedName>
    <definedName name="SHARED_FORMULA_6_2962_6_2962_1">#REF!*#REF!</definedName>
    <definedName name="SHARED_FORMULA_6_2966_6_2966_1">NA()</definedName>
    <definedName name="SHARED_FORMULA_6_2970_6_2970_1">#REF!*#REF!</definedName>
    <definedName name="SHARED_FORMULA_6_2974_6_2974_1">NA()</definedName>
    <definedName name="SHARED_FORMULA_6_3020_6_3020_1">ROUNDUP(#REF!*#REF!,1)</definedName>
    <definedName name="SHARED_FORMULA_6_3024_6_3024_1">NA()</definedName>
    <definedName name="SHARED_FORMULA_6_3050_6_3050_1">NA()</definedName>
    <definedName name="SHARED_FORMULA_6_3054_6_3054_1">NA()</definedName>
    <definedName name="SHARED_FORMULA_6_3059_6_3059_1">NA()</definedName>
    <definedName name="SHARED_FORMULA_6_3063_6_3063_1">NA()</definedName>
    <definedName name="SHARED_FORMULA_6_3069_6_3069_1">NA()</definedName>
    <definedName name="SHARED_FORMULA_6_3073_6_3073_1">NA()</definedName>
    <definedName name="SHARED_FORMULA_6_312_6_312_0">#REF!</definedName>
    <definedName name="SHARED_FORMULA_6_3196_6_3196_1">NA()</definedName>
    <definedName name="SHARED_FORMULA_6_32_6_32_0">#REF!</definedName>
    <definedName name="SHARED_FORMULA_6_3231_6_3231_1">ROUNDUP(#REF!*#REF!*#REF!,1)</definedName>
    <definedName name="SHARED_FORMULA_6_3235_6_3235_1">NA()</definedName>
    <definedName name="SHARED_FORMULA_6_3240_6_3240_1">ROUNDUP(#REF!*#REF!*#REF!,1)</definedName>
    <definedName name="SHARED_FORMULA_6_3244_6_3244_1">NA()</definedName>
    <definedName name="SHARED_FORMULA_6_3250_6_3250_1">ROUNDUP(#REF!*#REF!*#REF!,1)</definedName>
    <definedName name="SHARED_FORMULA_6_3254_6_3254_1">NA()</definedName>
    <definedName name="SHARED_FORMULA_6_335_6_335_0">NA()</definedName>
    <definedName name="SHARED_FORMULA_6_345_6_345_0">#REF!</definedName>
    <definedName name="SHARED_FORMULA_6_35_6_35_2">NA()</definedName>
    <definedName name="SHARED_FORMULA_6_369_6_369_1">NA()</definedName>
    <definedName name="SHARED_FORMULA_6_37_6_37_2">NA()</definedName>
    <definedName name="SHARED_FORMULA_6_38_6_38_0">NA()</definedName>
    <definedName name="SHARED_FORMULA_6_384_6_384_0">#REF!</definedName>
    <definedName name="SHARED_FORMULA_6_388_6_388_1">NA()</definedName>
    <definedName name="SHARED_FORMULA_6_398_6_398_0">#REF!</definedName>
    <definedName name="SHARED_FORMULA_6_399_6_399_0">NA()</definedName>
    <definedName name="SHARED_FORMULA_6_399_6_399_1">NA()</definedName>
    <definedName name="SHARED_FORMULA_6_40_6_40_0">#REF!</definedName>
    <definedName name="SHARED_FORMULA_6_404_6_404_1">NA()</definedName>
    <definedName name="SHARED_FORMULA_6_406_6_406_0">"#ref!"</definedName>
    <definedName name="SHARED_FORMULA_6_415_6_415_0">#REF!</definedName>
    <definedName name="SHARED_FORMULA_6_422_6_422_1">ROUNDUP("#ref!"*"#ref!"*"#ref!",1)</definedName>
    <definedName name="SHARED_FORMULA_6_425_6_425_1">NA()</definedName>
    <definedName name="SHARED_FORMULA_6_426_6_426_0">#REF!</definedName>
    <definedName name="SHARED_FORMULA_6_426_6_426_1">NA()</definedName>
    <definedName name="SHARED_FORMULA_6_433_6_433_1">NA()</definedName>
    <definedName name="SHARED_FORMULA_6_442_6_442_0">#REF!</definedName>
    <definedName name="SHARED_FORMULA_6_452_6_452_0">#REF!</definedName>
    <definedName name="SHARED_FORMULA_6_46_6_46_0">NA()</definedName>
    <definedName name="SHARED_FORMULA_6_463_6_463_0">NA()</definedName>
    <definedName name="SHARED_FORMULA_6_470_6_470_0">#REF!</definedName>
    <definedName name="SHARED_FORMULA_6_478_6_478_0">#REF!</definedName>
    <definedName name="SHARED_FORMULA_6_48_6_48_0">#REF!</definedName>
    <definedName name="SHARED_FORMULA_6_489_6_489_0">"#ref!"</definedName>
    <definedName name="SHARED_FORMULA_6_505_6_505_0">"#ref!"</definedName>
    <definedName name="SHARED_FORMULA_6_511_6_511_0">#REF!</definedName>
    <definedName name="SHARED_FORMULA_6_517_6_517_0">NA()</definedName>
    <definedName name="SHARED_FORMULA_6_527_6_527_0">NA()</definedName>
    <definedName name="SHARED_FORMULA_6_530_6_530_0">#REF!</definedName>
    <definedName name="SHARED_FORMULA_6_532_6_532_0">NA()</definedName>
    <definedName name="SHARED_FORMULA_6_544_6_544_0">NA()</definedName>
    <definedName name="SHARED_FORMULA_6_553_6_553_0">NA()</definedName>
    <definedName name="SHARED_FORMULA_6_561_6_561_0">NA()</definedName>
    <definedName name="SHARED_FORMULA_6_569_6_569_1">NA()</definedName>
    <definedName name="SHARED_FORMULA_6_572_6_572_0">#REF!</definedName>
    <definedName name="SHARED_FORMULA_6_575_6_575_1">NA()</definedName>
    <definedName name="SHARED_FORMULA_6_580_6_580_1">NA()</definedName>
    <definedName name="SHARED_FORMULA_6_594_6_594_0">NA()</definedName>
    <definedName name="SHARED_FORMULA_6_600_6_600_0">#REF!</definedName>
    <definedName name="SHARED_FORMULA_6_608_6_608_0">NA()</definedName>
    <definedName name="SHARED_FORMULA_6_61_6_61_0">NA()</definedName>
    <definedName name="SHARED_FORMULA_6_613_6_613_0">#REF!</definedName>
    <definedName name="SHARED_FORMULA_6_63_6_63_0">#REF!</definedName>
    <definedName name="SHARED_FORMULA_6_633_6_633_0">NA()</definedName>
    <definedName name="SHARED_FORMULA_6_638_6_638_0">#REF!</definedName>
    <definedName name="SHARED_FORMULA_6_64_6_64_0">#REF!</definedName>
    <definedName name="SHARED_FORMULA_6_655_6_655_0">NA()</definedName>
    <definedName name="SHARED_FORMULA_6_658_6_658_0">NA()</definedName>
    <definedName name="SHARED_FORMULA_6_662_6_662_0">#REF!</definedName>
    <definedName name="SHARED_FORMULA_6_672_6_672_0">NA()</definedName>
    <definedName name="SHARED_FORMULA_6_677_6_677_0">#REF!</definedName>
    <definedName name="SHARED_FORMULA_6_693_6_693_0">#REF!</definedName>
    <definedName name="SHARED_FORMULA_6_695_6_695_0">NA()</definedName>
    <definedName name="SHARED_FORMULA_6_719_6_719_0">NA()</definedName>
    <definedName name="SHARED_FORMULA_6_79_6_79_0">NA()</definedName>
    <definedName name="SHARED_FORMULA_6_881_6_881_1">ROUNDUP(#REF!*#REF!*#REF!,1)</definedName>
    <definedName name="SHARED_FORMULA_6_885_6_885_1">NA()</definedName>
    <definedName name="SHARED_FORMULA_6_889_6_889_1">NA()</definedName>
    <definedName name="SHARED_FORMULA_6_89_6_89_0">NA()</definedName>
    <definedName name="SHARED_FORMULA_6_91_6_91_0">#REF!</definedName>
    <definedName name="SHARED_FORMULA_6_96_6_96_0">#REF!</definedName>
    <definedName name="SHARED_FORMULA_7_10_7_10_0">IF(#REF!=0,"",+TRUNC(#REF!*#REF!,2))</definedName>
    <definedName name="SHARED_FORMULA_7_108_7_108_0">ROUND(#REF!*#REF!,2)</definedName>
    <definedName name="SHARED_FORMULA_7_110_7_110_0">NA()</definedName>
    <definedName name="SHARED_FORMULA_7_115_7_115_0">IF(#REF!=0,"",+TRUNC(#REF!*#REF!,2))</definedName>
    <definedName name="SHARED_FORMULA_7_120_7_120_1">"#ref!"*"#ref!"</definedName>
    <definedName name="SHARED_FORMULA_7_123_7_123_1">NA()</definedName>
    <definedName name="SHARED_FORMULA_7_124_7_124_0">NA()</definedName>
    <definedName name="SHARED_FORMULA_7_136_7_136_0">NA()</definedName>
    <definedName name="SHARED_FORMULA_7_137_7_137_0">NA()</definedName>
    <definedName name="SHARED_FORMULA_7_165_7_165_0">IF(#REF!=0,"",+TRUNC(#REF!*#REF!,2))</definedName>
    <definedName name="SHARED_FORMULA_7_172_7_172_0">IF("#ref!"=0,"",+TRUNC("#ref!"*"#ref!",2))</definedName>
    <definedName name="SHARED_FORMULA_7_179_7_179_0">IF(#REF!=0,"",+TRUNC(#REF!*#REF!,2))</definedName>
    <definedName name="SHARED_FORMULA_7_183_7_183_0">NA()</definedName>
    <definedName name="SHARED_FORMULA_7_187_7_187_0">IF(#REF!=0,"",+TRUNC(#REF!*#REF!,2))</definedName>
    <definedName name="SHARED_FORMULA_7_201_7_201_0">NA()</definedName>
    <definedName name="SHARED_FORMULA_7_206_7_206_0">IF(#REF!=0,"",+TRUNC(#REF!*#REF!,2))</definedName>
    <definedName name="SHARED_FORMULA_7_21_7_21_0">ROUND(#REF!*#REF!,2)</definedName>
    <definedName name="SHARED_FORMULA_7_213_7_213_0">IF(#REF!=0,"",+TRUNC(#REF!*#REF!,2))</definedName>
    <definedName name="SHARED_FORMULA_7_220_7_220_0">NA()</definedName>
    <definedName name="SHARED_FORMULA_7_221_7_221_0">IF(#REF!=0,"",+TRUNC(#REF!*#REF!,2))</definedName>
    <definedName name="SHARED_FORMULA_7_233_7_233_0">IF(#REF!=0,"",+TRUNC(#REF!*#REF!,2))</definedName>
    <definedName name="SHARED_FORMULA_7_239_7_239_0">IF(#REF!=0,"",+TRUNC(#REF!*#REF!,2))</definedName>
    <definedName name="SHARED_FORMULA_7_243_7_243_0">NA()</definedName>
    <definedName name="SHARED_FORMULA_7_245_7_245_0">IF(#REF!=0,"",+TRUNC(#REF!*#REF!,2))</definedName>
    <definedName name="SHARED_FORMULA_7_250_7_250_0">NA()</definedName>
    <definedName name="SHARED_FORMULA_7_255_7_255_1">NA()</definedName>
    <definedName name="SHARED_FORMULA_7_265_7_265_0">NA()</definedName>
    <definedName name="SHARED_FORMULA_7_267_7_267_0">IF(#REF!=0,"",+TRUNC(#REF!*#REF!,2))</definedName>
    <definedName name="SHARED_FORMULA_7_276_7_276_0">IF(#REF!=0,"",+TRUNC(#REF!*#REF!,2))</definedName>
    <definedName name="SHARED_FORMULA_7_2779_7_2779_1">NA()</definedName>
    <definedName name="SidewallsScaled" localSheetId="7">#REF!</definedName>
    <definedName name="SidewallsScaled" localSheetId="9">#REF!</definedName>
    <definedName name="SidewallsScaled" localSheetId="10">#REF!</definedName>
    <definedName name="SidewallsScaled" localSheetId="6">#REF!</definedName>
    <definedName name="SidewallsScaled">#REF!</definedName>
    <definedName name="SimxNao">#REF!</definedName>
    <definedName name="SINAPI" localSheetId="4">#REF!</definedName>
    <definedName name="SINAPI">#REF!</definedName>
    <definedName name="SINAPI.C">#REF!</definedName>
    <definedName name="SINAPI_INSUMO">#REF!</definedName>
    <definedName name="SINAPI_SERVICO" localSheetId="5">#REF!</definedName>
    <definedName name="SINAPI_SERVICO" localSheetId="7">#REF!</definedName>
    <definedName name="SINAPI_SERVICO" localSheetId="10">#REF!</definedName>
    <definedName name="SINAPI_SERVICO" localSheetId="6">#REF!</definedName>
    <definedName name="SINAPI_SERVICO">#REF!</definedName>
    <definedName name="SINAPI7" localSheetId="4">#REF!</definedName>
    <definedName name="SINAPI7">#REF!</definedName>
    <definedName name="SINAPI77" localSheetId="4">#REF!</definedName>
    <definedName name="SINAPI77">#REF!</definedName>
    <definedName name="SINAPIP" localSheetId="4">#REF!</definedName>
    <definedName name="SINAPIP">#REF!</definedName>
    <definedName name="SINAPIPR">#REF!</definedName>
    <definedName name="SixA" localSheetId="4">#REF!</definedName>
    <definedName name="SixA">#REF!</definedName>
    <definedName name="SixB" localSheetId="4">#REF!</definedName>
    <definedName name="SixB">#REF!</definedName>
    <definedName name="SixC" localSheetId="4">#REF!</definedName>
    <definedName name="SixC">#REF!</definedName>
    <definedName name="SixD" localSheetId="4">#REF!</definedName>
    <definedName name="SixD">#REF!</definedName>
    <definedName name="SixE" localSheetId="4">#REF!</definedName>
    <definedName name="SixE">#REF!</definedName>
    <definedName name="SixF" localSheetId="4">#REF!</definedName>
    <definedName name="SixF">#REF!</definedName>
    <definedName name="SixG" localSheetId="4">#REF!</definedName>
    <definedName name="SixG">#REF!</definedName>
    <definedName name="SixH" localSheetId="4">#REF!</definedName>
    <definedName name="SixH">#REF!</definedName>
    <definedName name="SixI" localSheetId="4">#REF!</definedName>
    <definedName name="SixI">#REF!</definedName>
    <definedName name="SixJ" localSheetId="4">#REF!</definedName>
    <definedName name="SixJ">#REF!</definedName>
    <definedName name="SixK" localSheetId="4">#REF!</definedName>
    <definedName name="SixK">#REF!</definedName>
    <definedName name="SixL" localSheetId="4">#REF!</definedName>
    <definedName name="SixL">#REF!</definedName>
    <definedName name="SixM" localSheetId="4">#REF!</definedName>
    <definedName name="SixM">#REF!</definedName>
    <definedName name="sjp">#REF!</definedName>
    <definedName name="Solesa___0" localSheetId="4">#REF!</definedName>
    <definedName name="Solesa___0">#REF!</definedName>
    <definedName name="solver_lin" hidden="1">0</definedName>
    <definedName name="solver_num" hidden="1">0</definedName>
    <definedName name="solver_rel1" hidden="1">3</definedName>
    <definedName name="solver_rhs1" hidden="1">0</definedName>
    <definedName name="solver_tmp" hidden="1">0</definedName>
    <definedName name="solver_typ" hidden="1">1</definedName>
    <definedName name="solver_val" hidden="1">0</definedName>
    <definedName name="SOMA2GER">#N/A</definedName>
    <definedName name="SOMAGER">#N/A</definedName>
    <definedName name="ss" localSheetId="4" hidden="1">{#N/A,#N/A,FALSE,"GERAL";#N/A,#N/A,FALSE,"012-96";#N/A,#N/A,FALSE,"018-96";#N/A,#N/A,FALSE,"027-96";#N/A,#N/A,FALSE,"059-96";#N/A,#N/A,FALSE,"076-96";#N/A,#N/A,FALSE,"019-97";#N/A,#N/A,FALSE,"021-97";#N/A,#N/A,FALSE,"022-97";#N/A,#N/A,FALSE,"028-97"}</definedName>
    <definedName name="ss" localSheetId="7" hidden="1">{#N/A,#N/A,FALSE,"GERAL";#N/A,#N/A,FALSE,"012-96";#N/A,#N/A,FALSE,"018-96";#N/A,#N/A,FALSE,"027-96";#N/A,#N/A,FALSE,"059-96";#N/A,#N/A,FALSE,"076-96";#N/A,#N/A,FALSE,"019-97";#N/A,#N/A,FALSE,"021-97";#N/A,#N/A,FALSE,"022-97";#N/A,#N/A,FALSE,"028-97"}</definedName>
    <definedName name="ss" localSheetId="9" hidden="1">{#N/A,#N/A,FALSE,"GERAL";#N/A,#N/A,FALSE,"012-96";#N/A,#N/A,FALSE,"018-96";#N/A,#N/A,FALSE,"027-96";#N/A,#N/A,FALSE,"059-96";#N/A,#N/A,FALSE,"076-96";#N/A,#N/A,FALSE,"019-97";#N/A,#N/A,FALSE,"021-97";#N/A,#N/A,FALSE,"022-97";#N/A,#N/A,FALSE,"028-97"}</definedName>
    <definedName name="ss" localSheetId="10" hidden="1">{#N/A,#N/A,FALSE,"GERAL";#N/A,#N/A,FALSE,"012-96";#N/A,#N/A,FALSE,"018-96";#N/A,#N/A,FALSE,"027-96";#N/A,#N/A,FALSE,"059-96";#N/A,#N/A,FALSE,"076-96";#N/A,#N/A,FALSE,"019-97";#N/A,#N/A,FALSE,"021-97";#N/A,#N/A,FALSE,"022-97";#N/A,#N/A,FALSE,"028-97"}</definedName>
    <definedName name="ss" localSheetId="6" hidden="1">{#N/A,#N/A,FALSE,"GERAL";#N/A,#N/A,FALSE,"012-96";#N/A,#N/A,FALSE,"018-96";#N/A,#N/A,FALSE,"027-96";#N/A,#N/A,FALSE,"059-96";#N/A,#N/A,FALSE,"076-96";#N/A,#N/A,FALSE,"019-97";#N/A,#N/A,FALSE,"021-97";#N/A,#N/A,FALSE,"022-97";#N/A,#N/A,FALSE,"028-97"}</definedName>
    <definedName name="ss" localSheetId="25" hidden="1">{#N/A,#N/A,FALSE,"GERAL";#N/A,#N/A,FALSE,"012-96";#N/A,#N/A,FALSE,"018-96";#N/A,#N/A,FALSE,"027-96";#N/A,#N/A,FALSE,"059-96";#N/A,#N/A,FALSE,"076-96";#N/A,#N/A,FALSE,"019-97";#N/A,#N/A,FALSE,"021-97";#N/A,#N/A,FALSE,"022-97";#N/A,#N/A,FALSE,"028-97"}</definedName>
    <definedName name="ss" localSheetId="26" hidden="1">{#N/A,#N/A,FALSE,"GERAL";#N/A,#N/A,FALSE,"012-96";#N/A,#N/A,FALSE,"018-96";#N/A,#N/A,FALSE,"027-96";#N/A,#N/A,FALSE,"059-96";#N/A,#N/A,FALSE,"076-96";#N/A,#N/A,FALSE,"019-97";#N/A,#N/A,FALSE,"021-97";#N/A,#N/A,FALSE,"022-97";#N/A,#N/A,FALSE,"028-97"}</definedName>
    <definedName name="ss" hidden="1">{#N/A,#N/A,FALSE,"GERAL";#N/A,#N/A,FALSE,"012-96";#N/A,#N/A,FALSE,"018-96";#N/A,#N/A,FALSE,"027-96";#N/A,#N/A,FALSE,"059-96";#N/A,#N/A,FALSE,"076-96";#N/A,#N/A,FALSE,"019-97";#N/A,#N/A,FALSE,"021-97";#N/A,#N/A,FALSE,"022-97";#N/A,#N/A,FALSE,"028-97"}</definedName>
    <definedName name="SSSSSS"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SSSSSS"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SSSSSS"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SSSSSS"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SSSSSS"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SSSSSS"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SSSSSS"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SSSSSS"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sssssssss" localSheetId="4" hidden="1">{#N/A,#N/A,FALSE,"GERAL";#N/A,#N/A,FALSE,"012-96";#N/A,#N/A,FALSE,"018-96";#N/A,#N/A,FALSE,"027-96";#N/A,#N/A,FALSE,"059-96";#N/A,#N/A,FALSE,"076-96";#N/A,#N/A,FALSE,"019-97";#N/A,#N/A,FALSE,"021-97";#N/A,#N/A,FALSE,"022-97";#N/A,#N/A,FALSE,"028-97"}</definedName>
    <definedName name="sssssssss" localSheetId="7" hidden="1">{#N/A,#N/A,FALSE,"GERAL";#N/A,#N/A,FALSE,"012-96";#N/A,#N/A,FALSE,"018-96";#N/A,#N/A,FALSE,"027-96";#N/A,#N/A,FALSE,"059-96";#N/A,#N/A,FALSE,"076-96";#N/A,#N/A,FALSE,"019-97";#N/A,#N/A,FALSE,"021-97";#N/A,#N/A,FALSE,"022-97";#N/A,#N/A,FALSE,"028-97"}</definedName>
    <definedName name="sssssssss" localSheetId="9" hidden="1">{#N/A,#N/A,FALSE,"GERAL";#N/A,#N/A,FALSE,"012-96";#N/A,#N/A,FALSE,"018-96";#N/A,#N/A,FALSE,"027-96";#N/A,#N/A,FALSE,"059-96";#N/A,#N/A,FALSE,"076-96";#N/A,#N/A,FALSE,"019-97";#N/A,#N/A,FALSE,"021-97";#N/A,#N/A,FALSE,"022-97";#N/A,#N/A,FALSE,"028-97"}</definedName>
    <definedName name="sssssssss" localSheetId="10" hidden="1">{#N/A,#N/A,FALSE,"GERAL";#N/A,#N/A,FALSE,"012-96";#N/A,#N/A,FALSE,"018-96";#N/A,#N/A,FALSE,"027-96";#N/A,#N/A,FALSE,"059-96";#N/A,#N/A,FALSE,"076-96";#N/A,#N/A,FALSE,"019-97";#N/A,#N/A,FALSE,"021-97";#N/A,#N/A,FALSE,"022-97";#N/A,#N/A,FALSE,"028-97"}</definedName>
    <definedName name="sssssssss" localSheetId="6" hidden="1">{#N/A,#N/A,FALSE,"GERAL";#N/A,#N/A,FALSE,"012-96";#N/A,#N/A,FALSE,"018-96";#N/A,#N/A,FALSE,"027-96";#N/A,#N/A,FALSE,"059-96";#N/A,#N/A,FALSE,"076-96";#N/A,#N/A,FALSE,"019-97";#N/A,#N/A,FALSE,"021-97";#N/A,#N/A,FALSE,"022-97";#N/A,#N/A,FALSE,"028-97"}</definedName>
    <definedName name="sssssssss" localSheetId="25" hidden="1">{#N/A,#N/A,FALSE,"GERAL";#N/A,#N/A,FALSE,"012-96";#N/A,#N/A,FALSE,"018-96";#N/A,#N/A,FALSE,"027-96";#N/A,#N/A,FALSE,"059-96";#N/A,#N/A,FALSE,"076-96";#N/A,#N/A,FALSE,"019-97";#N/A,#N/A,FALSE,"021-97";#N/A,#N/A,FALSE,"022-97";#N/A,#N/A,FALSE,"028-97"}</definedName>
    <definedName name="sssssssss" localSheetId="26" hidden="1">{#N/A,#N/A,FALSE,"GERAL";#N/A,#N/A,FALSE,"012-96";#N/A,#N/A,FALSE,"018-96";#N/A,#N/A,FALSE,"027-96";#N/A,#N/A,FALSE,"059-96";#N/A,#N/A,FALSE,"076-96";#N/A,#N/A,FALSE,"019-97";#N/A,#N/A,FALSE,"021-97";#N/A,#N/A,FALSE,"022-97";#N/A,#N/A,FALSE,"028-97"}</definedName>
    <definedName name="sssssssss" hidden="1">{#N/A,#N/A,FALSE,"GERAL";#N/A,#N/A,FALSE,"012-96";#N/A,#N/A,FALSE,"018-96";#N/A,#N/A,FALSE,"027-96";#N/A,#N/A,FALSE,"059-96";#N/A,#N/A,FALSE,"076-96";#N/A,#N/A,FALSE,"019-97";#N/A,#N/A,FALSE,"021-97";#N/A,#N/A,FALSE,"022-97";#N/A,#N/A,FALSE,"028-97"}</definedName>
    <definedName name="ssssssssssss" localSheetId="4">#REF!</definedName>
    <definedName name="ssssssssssss" localSheetId="6">#REF!</definedName>
    <definedName name="ssssssssssss">#REF!</definedName>
    <definedName name="Subestação" localSheetId="4">#REF!</definedName>
    <definedName name="Subestação">#REF!</definedName>
    <definedName name="SubLeito">#REF!</definedName>
    <definedName name="SUBROTIMP">#N/A</definedName>
    <definedName name="SUBROTIMP1">#N/A</definedName>
    <definedName name="subtrecho" localSheetId="7">#REF!</definedName>
    <definedName name="subtrecho" localSheetId="9">#REF!</definedName>
    <definedName name="subtrecho" localSheetId="10">#REF!</definedName>
    <definedName name="subtrecho" localSheetId="6">#REF!</definedName>
    <definedName name="subtrecho">#REF!</definedName>
    <definedName name="SUDECAP">#REF!</definedName>
    <definedName name="SUDECAP_INSUMO">#REF!</definedName>
    <definedName name="SUDECAP_SERVICO" localSheetId="5">#REF!</definedName>
    <definedName name="SUDECAP_SERVICO" localSheetId="7">#REF!</definedName>
    <definedName name="SUDECAP_SERVICO" localSheetId="10">#REF!</definedName>
    <definedName name="SUDECAP_SERVICO" localSheetId="6">#REF!</definedName>
    <definedName name="SUDECAP_SERVICO">#REF!</definedName>
    <definedName name="SUDECAP7" localSheetId="4">#REF!</definedName>
    <definedName name="SUDECAP7">#REF!</definedName>
    <definedName name="sumário" localSheetId="4">#REF!</definedName>
    <definedName name="sumário">#REF!</definedName>
    <definedName name="Summary">#REF!</definedName>
    <definedName name="SUMMERY">#REF!</definedName>
    <definedName name="SUNHH">#N/A</definedName>
    <definedName name="SUNHH1">#N/A</definedName>
    <definedName name="susref" localSheetId="4">#REF!</definedName>
    <definedName name="susref" localSheetId="6">#REF!</definedName>
    <definedName name="susref">#REF!</definedName>
    <definedName name="sx">#REF!</definedName>
    <definedName name="T" localSheetId="4">#REF!</definedName>
    <definedName name="T">#REF!</definedName>
    <definedName name="TAB">#N/A</definedName>
    <definedName name="Tab_CPressao" localSheetId="7">#REF!</definedName>
    <definedName name="Tab_CPressao" localSheetId="9">#REF!</definedName>
    <definedName name="Tab_CPressao" localSheetId="10">#REF!</definedName>
    <definedName name="Tab_CPressao" localSheetId="6">#REF!</definedName>
    <definedName name="Tab_CPressao">#REF!</definedName>
    <definedName name="Tab_Diam" localSheetId="7">#REF!</definedName>
    <definedName name="Tab_Diam" localSheetId="9">#REF!</definedName>
    <definedName name="Tab_Diam" localSheetId="10">#REF!</definedName>
    <definedName name="Tab_Diam" localSheetId="6">#REF!</definedName>
    <definedName name="Tab_Diam">#REF!</definedName>
    <definedName name="tab_HH" localSheetId="7">#REF!</definedName>
    <definedName name="tab_HH" localSheetId="9">#REF!</definedName>
    <definedName name="tab_HH" localSheetId="10">#REF!</definedName>
    <definedName name="tab_HH" localSheetId="6">#REF!</definedName>
    <definedName name="tab_HH">#REF!</definedName>
    <definedName name="tab_mancal" localSheetId="4">#REF!</definedName>
    <definedName name="tab_mancal">#REF!</definedName>
    <definedName name="tab_Mat">#REF!</definedName>
    <definedName name="tab_valv">#REF!</definedName>
    <definedName name="TABEFET" localSheetId="4">#REF!</definedName>
    <definedName name="TABEFET">#REF!</definedName>
    <definedName name="TABELA">#REF!</definedName>
    <definedName name="Tabela_de_Chapas">#REF!</definedName>
    <definedName name="Tabela_de_Trilhos">#REF!</definedName>
    <definedName name="TABELA01">#REF!</definedName>
    <definedName name="TABELA02">#REF!</definedName>
    <definedName name="tabela03">#REF!</definedName>
    <definedName name="tabela2">#REF!</definedName>
    <definedName name="tabelaDenominação">#REF!</definedName>
    <definedName name="TABELAS">#N/A</definedName>
    <definedName name="TABLE">#N/A</definedName>
    <definedName name="TableName">"Dummy"</definedName>
    <definedName name="TABMAX" localSheetId="4">#REF!</definedName>
    <definedName name="TABMAX" localSheetId="6">#REF!</definedName>
    <definedName name="TABMAX">#REF!</definedName>
    <definedName name="TABMIN" localSheetId="4">#REF!</definedName>
    <definedName name="TABMIN">#REF!</definedName>
    <definedName name="TACF">#REF!</definedName>
    <definedName name="TACI">#REF!</definedName>
    <definedName name="TACR">#REF!</definedName>
    <definedName name="TACS">#REF!</definedName>
    <definedName name="Tag_Carga">#REF!</definedName>
    <definedName name="Tag_CCM">#REF!</definedName>
    <definedName name="TAMBOR">#REF!</definedName>
    <definedName name="TAMBOR_DADOS">#REF!</definedName>
    <definedName name="tb100cm">#REF!</definedName>
    <definedName name="tbalvenaria">#REF!</definedName>
    <definedName name="tbalvenaria2">#REF!</definedName>
    <definedName name="tbalvenaria3">#REF!</definedName>
    <definedName name="TBF">#REF!</definedName>
    <definedName name="TCPO_INSUMO">#REF!</definedName>
    <definedName name="TCPO_SERVICO" localSheetId="5">#REF!</definedName>
    <definedName name="TCPO_SERVICO" localSheetId="7">#REF!</definedName>
    <definedName name="TCPO_SERVICO" localSheetId="10">#REF!</definedName>
    <definedName name="TCPO_SERVICO" localSheetId="6">#REF!</definedName>
    <definedName name="TCPO_SERVICO">#REF!</definedName>
    <definedName name="TE">#REF!</definedName>
    <definedName name="TEC">#REF!</definedName>
    <definedName name="TEC.">#REF!</definedName>
    <definedName name="teca1" localSheetId="25">#REF!,#REF!</definedName>
    <definedName name="teca1" localSheetId="26">#REF!,#REF!</definedName>
    <definedName name="teca1">#REF!,#REF!</definedName>
    <definedName name="teeeeeeee">#REF!</definedName>
    <definedName name="tela_032303">#REF!</definedName>
    <definedName name="telaA">#REF!</definedName>
    <definedName name="TELABRANCO">#N/A</definedName>
    <definedName name="telaC" localSheetId="4">#REF!</definedName>
    <definedName name="telaC" localSheetId="7">#REF!</definedName>
    <definedName name="telaC" localSheetId="9">#REF!</definedName>
    <definedName name="telaC" localSheetId="10">#REF!</definedName>
    <definedName name="telaC">#REF!</definedName>
    <definedName name="TELAPRES">#N/A</definedName>
    <definedName name="TELAS">#N/A</definedName>
    <definedName name="TEMPO" localSheetId="4">#REF!</definedName>
    <definedName name="TEMPO" localSheetId="6">#REF!</definedName>
    <definedName name="TEMPO">#REF!</definedName>
    <definedName name="tera">#REF!,#REF!</definedName>
    <definedName name="TERRAPLENAGEM" localSheetId="4">#REF!</definedName>
    <definedName name="TERRAPLENAGEM">#REF!</definedName>
    <definedName name="tesdt">#REF!</definedName>
    <definedName name="tesdt_1">#REF!</definedName>
    <definedName name="tesdt_2">#REF!</definedName>
    <definedName name="tesdt_3">#REF!</definedName>
    <definedName name="TEST" localSheetId="4" hidden="1">{#N/A,#N/A,FALSE,"GERAL";#N/A,#N/A,FALSE,"012-96";#N/A,#N/A,FALSE,"018-96";#N/A,#N/A,FALSE,"027-96";#N/A,#N/A,FALSE,"059-96";#N/A,#N/A,FALSE,"076-96";#N/A,#N/A,FALSE,"019-97";#N/A,#N/A,FALSE,"021-97";#N/A,#N/A,FALSE,"022-97";#N/A,#N/A,FALSE,"028-97"}</definedName>
    <definedName name="TEST" localSheetId="7" hidden="1">{#N/A,#N/A,FALSE,"GERAL";#N/A,#N/A,FALSE,"012-96";#N/A,#N/A,FALSE,"018-96";#N/A,#N/A,FALSE,"027-96";#N/A,#N/A,FALSE,"059-96";#N/A,#N/A,FALSE,"076-96";#N/A,#N/A,FALSE,"019-97";#N/A,#N/A,FALSE,"021-97";#N/A,#N/A,FALSE,"022-97";#N/A,#N/A,FALSE,"028-97"}</definedName>
    <definedName name="TEST" localSheetId="9" hidden="1">{#N/A,#N/A,FALSE,"GERAL";#N/A,#N/A,FALSE,"012-96";#N/A,#N/A,FALSE,"018-96";#N/A,#N/A,FALSE,"027-96";#N/A,#N/A,FALSE,"059-96";#N/A,#N/A,FALSE,"076-96";#N/A,#N/A,FALSE,"019-97";#N/A,#N/A,FALSE,"021-97";#N/A,#N/A,FALSE,"022-97";#N/A,#N/A,FALSE,"028-97"}</definedName>
    <definedName name="TEST" localSheetId="10" hidden="1">{#N/A,#N/A,FALSE,"GERAL";#N/A,#N/A,FALSE,"012-96";#N/A,#N/A,FALSE,"018-96";#N/A,#N/A,FALSE,"027-96";#N/A,#N/A,FALSE,"059-96";#N/A,#N/A,FALSE,"076-96";#N/A,#N/A,FALSE,"019-97";#N/A,#N/A,FALSE,"021-97";#N/A,#N/A,FALSE,"022-97";#N/A,#N/A,FALSE,"028-97"}</definedName>
    <definedName name="TEST" localSheetId="6" hidden="1">{#N/A,#N/A,FALSE,"GERAL";#N/A,#N/A,FALSE,"012-96";#N/A,#N/A,FALSE,"018-96";#N/A,#N/A,FALSE,"027-96";#N/A,#N/A,FALSE,"059-96";#N/A,#N/A,FALSE,"076-96";#N/A,#N/A,FALSE,"019-97";#N/A,#N/A,FALSE,"021-97";#N/A,#N/A,FALSE,"022-97";#N/A,#N/A,FALSE,"028-97"}</definedName>
    <definedName name="TEST" localSheetId="25" hidden="1">{#N/A,#N/A,FALSE,"GERAL";#N/A,#N/A,FALSE,"012-96";#N/A,#N/A,FALSE,"018-96";#N/A,#N/A,FALSE,"027-96";#N/A,#N/A,FALSE,"059-96";#N/A,#N/A,FALSE,"076-96";#N/A,#N/A,FALSE,"019-97";#N/A,#N/A,FALSE,"021-97";#N/A,#N/A,FALSE,"022-97";#N/A,#N/A,FALSE,"028-97"}</definedName>
    <definedName name="TEST" localSheetId="26" hidden="1">{#N/A,#N/A,FALSE,"GERAL";#N/A,#N/A,FALSE,"012-96";#N/A,#N/A,FALSE,"018-96";#N/A,#N/A,FALSE,"027-96";#N/A,#N/A,FALSE,"059-96";#N/A,#N/A,FALSE,"076-96";#N/A,#N/A,FALSE,"019-97";#N/A,#N/A,FALSE,"021-97";#N/A,#N/A,FALSE,"022-97";#N/A,#N/A,FALSE,"028-97"}</definedName>
    <definedName name="TEST" hidden="1">{#N/A,#N/A,FALSE,"GERAL";#N/A,#N/A,FALSE,"012-96";#N/A,#N/A,FALSE,"018-96";#N/A,#N/A,FALSE,"027-96";#N/A,#N/A,FALSE,"059-96";#N/A,#N/A,FALSE,"076-96";#N/A,#N/A,FALSE,"019-97";#N/A,#N/A,FALSE,"021-97";#N/A,#N/A,FALSE,"022-97";#N/A,#N/A,FALSE,"028-97"}</definedName>
    <definedName name="TESTE" localSheetId="4">#REF!</definedName>
    <definedName name="TESTE" localSheetId="6">#REF!</definedName>
    <definedName name="TESTE">#REF!</definedName>
    <definedName name="teste_planilha">#REF!</definedName>
    <definedName name="TESTE2" localSheetId="4">#REF!</definedName>
    <definedName name="TESTE2">#REF!</definedName>
    <definedName name="teteetete">#REF!</definedName>
    <definedName name="TFV"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FV"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FV"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FV"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FV"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FV"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FV"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FV"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ggg" localSheetId="4">#REF!</definedName>
    <definedName name="tggg" localSheetId="6">#REF!</definedName>
    <definedName name="tggg">#REF!</definedName>
    <definedName name="ThreeA" localSheetId="4">#REF!</definedName>
    <definedName name="ThreeA">#REF!</definedName>
    <definedName name="ThreeB" localSheetId="4">#REF!</definedName>
    <definedName name="ThreeB">#REF!</definedName>
    <definedName name="ThreeC" localSheetId="4">#REF!</definedName>
    <definedName name="ThreeC">#REF!</definedName>
    <definedName name="ThreeD" localSheetId="4">#REF!</definedName>
    <definedName name="ThreeD">#REF!</definedName>
    <definedName name="ThreeE" localSheetId="4">#REF!</definedName>
    <definedName name="ThreeE">#REF!</definedName>
    <definedName name="ThreeF" localSheetId="4">#REF!</definedName>
    <definedName name="ThreeF">#REF!</definedName>
    <definedName name="ThreeG" localSheetId="4">#REF!</definedName>
    <definedName name="ThreeG">#REF!</definedName>
    <definedName name="ThreeH" localSheetId="4">#REF!</definedName>
    <definedName name="ThreeH">#REF!</definedName>
    <definedName name="ThreeI" localSheetId="4">#REF!</definedName>
    <definedName name="ThreeI">#REF!</definedName>
    <definedName name="ThreeJ" localSheetId="4">#REF!</definedName>
    <definedName name="ThreeJ">#REF!</definedName>
    <definedName name="ThreeK" localSheetId="4">#REF!</definedName>
    <definedName name="ThreeK">#REF!</definedName>
    <definedName name="ThreeL" localSheetId="4">#REF!</definedName>
    <definedName name="ThreeL">#REF!</definedName>
    <definedName name="ThreeM" localSheetId="4">#REF!</definedName>
    <definedName name="ThreeM">#REF!</definedName>
    <definedName name="TI">#REF!</definedName>
    <definedName name="Tipo" localSheetId="4">#REF!</definedName>
    <definedName name="Tipo">#REF!</definedName>
    <definedName name="TIPO_DE_OBRA">OFFSET(#REF!,0,0,COUNTA(#REF!),1)</definedName>
    <definedName name="tipo_tamb">#REF!</definedName>
    <definedName name="TipoEnergia">#REF!</definedName>
    <definedName name="tipoTijolo">#REF!</definedName>
    <definedName name="TIR" localSheetId="4">#REF!</definedName>
    <definedName name="TIR">#REF!</definedName>
    <definedName name="tit" localSheetId="4">#REF!,#REF!,#REF!,#REF!</definedName>
    <definedName name="tit" localSheetId="7">#REF!,#REF!,#REF!,#REF!</definedName>
    <definedName name="tit" localSheetId="9">#REF!,#REF!,#REF!,#REF!</definedName>
    <definedName name="tit" localSheetId="10">#REF!,#REF!,#REF!,#REF!</definedName>
    <definedName name="tit" localSheetId="6">#REF!,#REF!,#REF!,#REF!</definedName>
    <definedName name="tit">#REF!,#REF!,#REF!,#REF!</definedName>
    <definedName name="TITEL" localSheetId="4">#REF!</definedName>
    <definedName name="TITEL" localSheetId="6">#REF!</definedName>
    <definedName name="TITEL">#REF!</definedName>
    <definedName name="TITULO" localSheetId="4">#REF!</definedName>
    <definedName name="TITULO">#REF!</definedName>
    <definedName name="_xlnm.Print_Titles" localSheetId="4">#REF!</definedName>
    <definedName name="_xlnm.Print_Titles" localSheetId="5">'BDI SERVIÇOS'!$1:$4</definedName>
    <definedName name="_xlnm.Print_Titles" localSheetId="6">#REF!</definedName>
    <definedName name="_xlnm.Print_Titles">#REF!</definedName>
    <definedName name="Títulos_impressão_IM" localSheetId="4">#REF!</definedName>
    <definedName name="Títulos_impressão_IM">#REF!</definedName>
    <definedName name="TOT" localSheetId="4">#REF!</definedName>
    <definedName name="TOT">#REF!</definedName>
    <definedName name="Total">#REF!</definedName>
    <definedName name="TOTALEQ">#N/A</definedName>
    <definedName name="TOTALGER" localSheetId="7">#REF!</definedName>
    <definedName name="TOTALGER" localSheetId="9">#REF!</definedName>
    <definedName name="TOTALGER" localSheetId="10">#REF!</definedName>
    <definedName name="TOTALGER" localSheetId="6">#REF!</definedName>
    <definedName name="TOTALGER">#REF!</definedName>
    <definedName name="TOTHHFUN">#N/A</definedName>
    <definedName name="TOTHORASGER">#N/A</definedName>
    <definedName name="TPEADS" localSheetId="7">#REF!</definedName>
    <definedName name="TPEADS" localSheetId="9">#REF!</definedName>
    <definedName name="TPEADS" localSheetId="10">#REF!</definedName>
    <definedName name="TPEADS" localSheetId="6">#REF!</definedName>
    <definedName name="TPEADS">#REF!</definedName>
    <definedName name="TPVCR" localSheetId="7">#REF!</definedName>
    <definedName name="TPVCR" localSheetId="9">#REF!</definedName>
    <definedName name="TPVCR" localSheetId="10">#REF!</definedName>
    <definedName name="TPVCR" localSheetId="6">#REF!</definedName>
    <definedName name="TPVCR">#REF!</definedName>
    <definedName name="TPVCS" localSheetId="7">#REF!</definedName>
    <definedName name="TPVCS" localSheetId="9">#REF!</definedName>
    <definedName name="TPVCS" localSheetId="10">#REF!</definedName>
    <definedName name="TPVCS" localSheetId="6">#REF!</definedName>
    <definedName name="TPVCS">#REF!</definedName>
    <definedName name="TR">#REF!</definedName>
    <definedName name="TRA">#REF!</definedName>
    <definedName name="transp36"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a"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a"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a"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a"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a"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a"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a"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a"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echo" localSheetId="4">#REF!</definedName>
    <definedName name="trecho">#REF!</definedName>
    <definedName name="Trilho_Tratados_7K1FAA" localSheetId="4">#REF!</definedName>
    <definedName name="Trilho_Tratados_7K1FAA">#REF!</definedName>
    <definedName name="TT" localSheetId="4">#REF!</definedName>
    <definedName name="TT">#REF!</definedName>
    <definedName name="ttttt">#REF!</definedName>
    <definedName name="TwoA" localSheetId="4">#REF!</definedName>
    <definedName name="TwoA">#REF!</definedName>
    <definedName name="TwoB" localSheetId="4">#REF!</definedName>
    <definedName name="TwoB">#REF!</definedName>
    <definedName name="TwoC" localSheetId="4">#REF!</definedName>
    <definedName name="TwoC">#REF!</definedName>
    <definedName name="TwoD" localSheetId="4">#REF!</definedName>
    <definedName name="TwoD">#REF!</definedName>
    <definedName name="TwoE" localSheetId="4">#REF!</definedName>
    <definedName name="TwoE">#REF!</definedName>
    <definedName name="TwoF" localSheetId="4">#REF!</definedName>
    <definedName name="TwoF">#REF!</definedName>
    <definedName name="TwoG" localSheetId="4">#REF!</definedName>
    <definedName name="TwoG">#REF!</definedName>
    <definedName name="TwoH" localSheetId="4">#REF!</definedName>
    <definedName name="TwoH">#REF!</definedName>
    <definedName name="TwoI" localSheetId="4">#REF!</definedName>
    <definedName name="TwoI">#REF!</definedName>
    <definedName name="TwoJ" localSheetId="4">#REF!</definedName>
    <definedName name="TwoJ">#REF!</definedName>
    <definedName name="TwoK" localSheetId="4">#REF!</definedName>
    <definedName name="TwoK">#REF!</definedName>
    <definedName name="TwoL" localSheetId="4">#REF!</definedName>
    <definedName name="TwoL">#REF!</definedName>
    <definedName name="TwoM" localSheetId="4">#REF!</definedName>
    <definedName name="TwoM">#REF!</definedName>
    <definedName name="TXREMATI" localSheetId="4">#REF!</definedName>
    <definedName name="TXREMATI">#REF!</definedName>
    <definedName name="TYPES">#REF!</definedName>
    <definedName name="U" localSheetId="4">#N/A</definedName>
    <definedName name="u"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n" localSheetId="4">#REF!</definedName>
    <definedName name="un" localSheetId="6">#REF!</definedName>
    <definedName name="un">#REF!</definedName>
    <definedName name="Upvc_2001">"$#REF!.$#REF!$#REF!:$#REF!$#REF!"</definedName>
    <definedName name="UPVC_99">"$#REF!.$#REF!$#REF!:$#REF!$#REF!"</definedName>
    <definedName name="urb" localSheetId="4">#REF!</definedName>
    <definedName name="urb">#REF!</definedName>
    <definedName name="USA" localSheetId="7">#REF!</definedName>
    <definedName name="USA" localSheetId="9">#REF!</definedName>
    <definedName name="USA" localSheetId="10">#REF!</definedName>
    <definedName name="USA" localSheetId="6">#REF!</definedName>
    <definedName name="USA">#REF!</definedName>
    <definedName name="USD">#N/A</definedName>
    <definedName name="usina" localSheetId="4">#REF!</definedName>
    <definedName name="usina" localSheetId="7">#REF!</definedName>
    <definedName name="usina" localSheetId="9">#REF!</definedName>
    <definedName name="usina" localSheetId="10">#REF!</definedName>
    <definedName name="usina" localSheetId="6">#REF!</definedName>
    <definedName name="usina">#REF!</definedName>
    <definedName name="Utlidades2" localSheetId="4">#REF!</definedName>
    <definedName name="Utlidades2">#REF!</definedName>
    <definedName name="UUUUU"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UUUU"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UUUU"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UUUU"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UUUU"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UUUU"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UUUU"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UUUU"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UUUUUUUUUUUUUUUUUUUU" localSheetId="25">#REF!,#REF!</definedName>
    <definedName name="UUUUUUUUUUUUUUUUUUUU" localSheetId="26">#REF!,#REF!</definedName>
    <definedName name="UUUUUUUUUUUUUUUUUUUU">#REF!,#REF!</definedName>
    <definedName name="v"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alAcurl" localSheetId="4">#REF!</definedName>
    <definedName name="ValAcurl" localSheetId="6">#REF!</definedName>
    <definedName name="ValAcurl">#REF!</definedName>
    <definedName name="Valchvrl" localSheetId="4">#REF!</definedName>
    <definedName name="Valchvrl">#REF!</definedName>
    <definedName name="VALHH">#N/A</definedName>
    <definedName name="VALHH1">#N/A</definedName>
    <definedName name="VALHH2">#N/A</definedName>
    <definedName name="VALHH3">#N/A</definedName>
    <definedName name="VALHH4">#N/A</definedName>
    <definedName name="VALHHGER">#N/A</definedName>
    <definedName name="VALORES_VALORES_Listar">"$#REF!.$#REF!$#REF!:$#REF!$#REF!"</definedName>
    <definedName name="VALORPC" localSheetId="4">#REF!</definedName>
    <definedName name="VALORPC" localSheetId="6">#REF!</definedName>
    <definedName name="VALORPC">#REF!</definedName>
    <definedName name="VC" localSheetId="4">#REF!</definedName>
    <definedName name="VC">#REF!</definedName>
    <definedName name="VD">#REF!</definedName>
    <definedName name="Verba">#REF!</definedName>
    <definedName name="voith4">#REF!</definedName>
    <definedName name="voith6">#REF!</definedName>
    <definedName name="VOL_ACUM" localSheetId="4">#REF!</definedName>
    <definedName name="VOL_ACUM">#REF!</definedName>
    <definedName name="VOLUME" localSheetId="4">#REF!</definedName>
    <definedName name="VOLUME">#REF!</definedName>
    <definedName name="volumedebrita">#REF!</definedName>
    <definedName name="volumedecorte">#REF!</definedName>
    <definedName name="volumedepv">#REF!</definedName>
    <definedName name="VPI" localSheetId="4">#REF!</definedName>
    <definedName name="VPI">#REF!</definedName>
    <definedName name="VPL">#REF!</definedName>
    <definedName name="VPLperp">#REF!</definedName>
    <definedName name="Vutil" localSheetId="4">#REF!</definedName>
    <definedName name="Vutil">#REF!</definedName>
    <definedName name="VV9_1">#REF!</definedName>
    <definedName name="VV9_2">#REF!</definedName>
    <definedName name="VV9_3">#REF!</definedName>
    <definedName name="vvv">#REF!</definedName>
    <definedName name="VVVV"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v"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v"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v"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v"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v"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v"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v"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vvvv"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 localSheetId="4">#REF!</definedName>
    <definedName name="W" localSheetId="6">#REF!</definedName>
    <definedName name="W">#REF!</definedName>
    <definedName name="wacc" localSheetId="4">#REF!</definedName>
    <definedName name="wacc">#REF!</definedName>
    <definedName name="wacc1" localSheetId="4">#REF!</definedName>
    <definedName name="wacc1">#REF!</definedName>
    <definedName name="WEQEWEWE">#REF!</definedName>
    <definedName name="wersdfsdscs">#REF!</definedName>
    <definedName name="werwrwerwerwe">#REF!</definedName>
    <definedName name="WEWEW">#REF!</definedName>
    <definedName name="WEWEWE">#REF!</definedName>
    <definedName name="Whatever">#REF!</definedName>
    <definedName name="WQEWQ">#REF!</definedName>
    <definedName name="wrn.Cronograma." localSheetId="9" hidden="1">{#N/A,#N/A,FALSE,"Cronograma";#N/A,#N/A,FALSE,"Cronogr. 2"}</definedName>
    <definedName name="wrn.Cronograma." localSheetId="25" hidden="1">{#N/A,#N/A,FALSE,"Cronograma";#N/A,#N/A,FALSE,"Cronogr. 2"}</definedName>
    <definedName name="wrn.Cronograma." localSheetId="26" hidden="1">{#N/A,#N/A,FALSE,"Cronograma";#N/A,#N/A,FALSE,"Cronogr. 2"}</definedName>
    <definedName name="wrn.Cronograma." hidden="1">{#N/A,#N/A,FALSE,"Cronograma";#N/A,#N/A,FALSE,"Cronogr. 2"}</definedName>
    <definedName name="wrn.CUSTO._.DE._.PRODUÇÃO._.MINA._.DE._.MANGANES._.DO._.AZUL." localSheetId="4" hidden="1">{#N/A,#N/A,FALSE,"CAPA";#N/A,#N/A,FALSE,"CUSTOTOT";#N/A,#N/A,FALSE,"CUSTO";#N/A,#N/A,FALSE,"ORCEXEC";#N/A,#N/A,FALSE,"MINCC";#N/A,#N/A,FALSE,"MINCCUNI";#N/A,#N/A,FALSE,"MINNAT";#N/A,#N/A,FALSE,"MINNATUN";#N/A,#N/A,FALSE,"TRACC";#N/A,#N/A,FALSE,"TRACCUNI";#N/A,#N/A,FALSE,"TRANAT";#N/A,#N/A,FALSE,"TRANATUN";#N/A,#N/A,FALSE,"TRANATUN";#N/A,#N/A,FALSE,"TRANATUN";#N/A,#N/A,FALSE,"MOICC";#N/A,#N/A,FALSE,"MOICCUNI";#N/A,#N/A,FALSE,"MOINAT";#N/A,#N/A,FALSE,"MOINATUN";#N/A,#N/A,FALSE,"STANDARD";#N/A,#N/A,FALSE,"MPCC";#N/A,#N/A,FALSE,"MPCCUNIT";#N/A,#N/A,FALSE,"MPNATTOT";#N/A,#N/A,FALSE,"MPNATUNI"}</definedName>
    <definedName name="wrn.CUSTO._.DE._.PRODUÇÃO._.MINA._.DE._.MANGANES._.DO._.AZUL." localSheetId="7" hidden="1">{#N/A,#N/A,FALSE,"CAPA";#N/A,#N/A,FALSE,"CUSTOTOT";#N/A,#N/A,FALSE,"CUSTO";#N/A,#N/A,FALSE,"ORCEXEC";#N/A,#N/A,FALSE,"MINCC";#N/A,#N/A,FALSE,"MINCCUNI";#N/A,#N/A,FALSE,"MINNAT";#N/A,#N/A,FALSE,"MINNATUN";#N/A,#N/A,FALSE,"TRACC";#N/A,#N/A,FALSE,"TRACCUNI";#N/A,#N/A,FALSE,"TRANAT";#N/A,#N/A,FALSE,"TRANATUN";#N/A,#N/A,FALSE,"TRANATUN";#N/A,#N/A,FALSE,"TRANATUN";#N/A,#N/A,FALSE,"MOICC";#N/A,#N/A,FALSE,"MOICCUNI";#N/A,#N/A,FALSE,"MOINAT";#N/A,#N/A,FALSE,"MOINATUN";#N/A,#N/A,FALSE,"STANDARD";#N/A,#N/A,FALSE,"MPCC";#N/A,#N/A,FALSE,"MPCCUNIT";#N/A,#N/A,FALSE,"MPNATTOT";#N/A,#N/A,FALSE,"MPNATUNI"}</definedName>
    <definedName name="wrn.CUSTO._.DE._.PRODUÇÃO._.MINA._.DE._.MANGANES._.DO._.AZUL." localSheetId="9" hidden="1">{#N/A,#N/A,FALSE,"CAPA";#N/A,#N/A,FALSE,"CUSTOTOT";#N/A,#N/A,FALSE,"CUSTO";#N/A,#N/A,FALSE,"ORCEXEC";#N/A,#N/A,FALSE,"MINCC";#N/A,#N/A,FALSE,"MINCCUNI";#N/A,#N/A,FALSE,"MINNAT";#N/A,#N/A,FALSE,"MINNATUN";#N/A,#N/A,FALSE,"TRACC";#N/A,#N/A,FALSE,"TRACCUNI";#N/A,#N/A,FALSE,"TRANAT";#N/A,#N/A,FALSE,"TRANATUN";#N/A,#N/A,FALSE,"TRANATUN";#N/A,#N/A,FALSE,"TRANATUN";#N/A,#N/A,FALSE,"MOICC";#N/A,#N/A,FALSE,"MOICCUNI";#N/A,#N/A,FALSE,"MOINAT";#N/A,#N/A,FALSE,"MOINATUN";#N/A,#N/A,FALSE,"STANDARD";#N/A,#N/A,FALSE,"MPCC";#N/A,#N/A,FALSE,"MPCCUNIT";#N/A,#N/A,FALSE,"MPNATTOT";#N/A,#N/A,FALSE,"MPNATUNI"}</definedName>
    <definedName name="wrn.CUSTO._.DE._.PRODUÇÃO._.MINA._.DE._.MANGANES._.DO._.AZUL." localSheetId="10" hidden="1">{#N/A,#N/A,FALSE,"CAPA";#N/A,#N/A,FALSE,"CUSTOTOT";#N/A,#N/A,FALSE,"CUSTO";#N/A,#N/A,FALSE,"ORCEXEC";#N/A,#N/A,FALSE,"MINCC";#N/A,#N/A,FALSE,"MINCCUNI";#N/A,#N/A,FALSE,"MINNAT";#N/A,#N/A,FALSE,"MINNATUN";#N/A,#N/A,FALSE,"TRACC";#N/A,#N/A,FALSE,"TRACCUNI";#N/A,#N/A,FALSE,"TRANAT";#N/A,#N/A,FALSE,"TRANATUN";#N/A,#N/A,FALSE,"TRANATUN";#N/A,#N/A,FALSE,"TRANATUN";#N/A,#N/A,FALSE,"MOICC";#N/A,#N/A,FALSE,"MOICCUNI";#N/A,#N/A,FALSE,"MOINAT";#N/A,#N/A,FALSE,"MOINATUN";#N/A,#N/A,FALSE,"STANDARD";#N/A,#N/A,FALSE,"MPCC";#N/A,#N/A,FALSE,"MPCCUNIT";#N/A,#N/A,FALSE,"MPNATTOT";#N/A,#N/A,FALSE,"MPNATUNI"}</definedName>
    <definedName name="wrn.CUSTO._.DE._.PRODUÇÃO._.MINA._.DE._.MANGANES._.DO._.AZUL." localSheetId="6" hidden="1">{#N/A,#N/A,FALSE,"CAPA";#N/A,#N/A,FALSE,"CUSTOTOT";#N/A,#N/A,FALSE,"CUSTO";#N/A,#N/A,FALSE,"ORCEXEC";#N/A,#N/A,FALSE,"MINCC";#N/A,#N/A,FALSE,"MINCCUNI";#N/A,#N/A,FALSE,"MINNAT";#N/A,#N/A,FALSE,"MINNATUN";#N/A,#N/A,FALSE,"TRACC";#N/A,#N/A,FALSE,"TRACCUNI";#N/A,#N/A,FALSE,"TRANAT";#N/A,#N/A,FALSE,"TRANATUN";#N/A,#N/A,FALSE,"TRANATUN";#N/A,#N/A,FALSE,"TRANATUN";#N/A,#N/A,FALSE,"MOICC";#N/A,#N/A,FALSE,"MOICCUNI";#N/A,#N/A,FALSE,"MOINAT";#N/A,#N/A,FALSE,"MOINATUN";#N/A,#N/A,FALSE,"STANDARD";#N/A,#N/A,FALSE,"MPCC";#N/A,#N/A,FALSE,"MPCCUNIT";#N/A,#N/A,FALSE,"MPNATTOT";#N/A,#N/A,FALSE,"MPNATUNI"}</definedName>
    <definedName name="wrn.CUSTO._.DE._.PRODUÇÃO._.MINA._.DE._.MANGANES._.DO._.AZUL." localSheetId="25" hidden="1">{#N/A,#N/A,FALSE,"CAPA";#N/A,#N/A,FALSE,"CUSTOTOT";#N/A,#N/A,FALSE,"CUSTO";#N/A,#N/A,FALSE,"ORCEXEC";#N/A,#N/A,FALSE,"MINCC";#N/A,#N/A,FALSE,"MINCCUNI";#N/A,#N/A,FALSE,"MINNAT";#N/A,#N/A,FALSE,"MINNATUN";#N/A,#N/A,FALSE,"TRACC";#N/A,#N/A,FALSE,"TRACCUNI";#N/A,#N/A,FALSE,"TRANAT";#N/A,#N/A,FALSE,"TRANATUN";#N/A,#N/A,FALSE,"TRANATUN";#N/A,#N/A,FALSE,"TRANATUN";#N/A,#N/A,FALSE,"MOICC";#N/A,#N/A,FALSE,"MOICCUNI";#N/A,#N/A,FALSE,"MOINAT";#N/A,#N/A,FALSE,"MOINATUN";#N/A,#N/A,FALSE,"STANDARD";#N/A,#N/A,FALSE,"MPCC";#N/A,#N/A,FALSE,"MPCCUNIT";#N/A,#N/A,FALSE,"MPNATTOT";#N/A,#N/A,FALSE,"MPNATUNI"}</definedName>
    <definedName name="wrn.CUSTO._.DE._.PRODUÇÃO._.MINA._.DE._.MANGANES._.DO._.AZUL." localSheetId="26" hidden="1">{#N/A,#N/A,FALSE,"CAPA";#N/A,#N/A,FALSE,"CUSTOTOT";#N/A,#N/A,FALSE,"CUSTO";#N/A,#N/A,FALSE,"ORCEXEC";#N/A,#N/A,FALSE,"MINCC";#N/A,#N/A,FALSE,"MINCCUNI";#N/A,#N/A,FALSE,"MINNAT";#N/A,#N/A,FALSE,"MINNATUN";#N/A,#N/A,FALSE,"TRACC";#N/A,#N/A,FALSE,"TRACCUNI";#N/A,#N/A,FALSE,"TRANAT";#N/A,#N/A,FALSE,"TRANATUN";#N/A,#N/A,FALSE,"TRANATUN";#N/A,#N/A,FALSE,"TRANATUN";#N/A,#N/A,FALSE,"MOICC";#N/A,#N/A,FALSE,"MOICCUNI";#N/A,#N/A,FALSE,"MOINAT";#N/A,#N/A,FALSE,"MOINATUN";#N/A,#N/A,FALSE,"STANDARD";#N/A,#N/A,FALSE,"MPCC";#N/A,#N/A,FALSE,"MPCCUNIT";#N/A,#N/A,FALSE,"MPNATTOT";#N/A,#N/A,FALSE,"MPNATUNI"}</definedName>
    <definedName name="wrn.CUSTO._.DE._.PRODUÇÃO._.MINA._.DE._.MANGANES._.DO._.AZUL." hidden="1">{#N/A,#N/A,FALSE,"CAPA";#N/A,#N/A,FALSE,"CUSTOTOT";#N/A,#N/A,FALSE,"CUSTO";#N/A,#N/A,FALSE,"ORCEXEC";#N/A,#N/A,FALSE,"MINCC";#N/A,#N/A,FALSE,"MINCCUNI";#N/A,#N/A,FALSE,"MINNAT";#N/A,#N/A,FALSE,"MINNATUN";#N/A,#N/A,FALSE,"TRACC";#N/A,#N/A,FALSE,"TRACCUNI";#N/A,#N/A,FALSE,"TRANAT";#N/A,#N/A,FALSE,"TRANATUN";#N/A,#N/A,FALSE,"TRANATUN";#N/A,#N/A,FALSE,"TRANATUN";#N/A,#N/A,FALSE,"MOICC";#N/A,#N/A,FALSE,"MOICCUNI";#N/A,#N/A,FALSE,"MOINAT";#N/A,#N/A,FALSE,"MOINATUN";#N/A,#N/A,FALSE,"STANDARD";#N/A,#N/A,FALSE,"MPCC";#N/A,#N/A,FALSE,"MPCCUNIT";#N/A,#N/A,FALSE,"MPNATTOT";#N/A,#N/A,FALSE,"MPNATUNI"}</definedName>
    <definedName name="wrn.CUSTOS." localSheetId="4"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definedName>
    <definedName name="wrn.CUSTOS." localSheetId="7"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definedName>
    <definedName name="wrn.CUSTOS." localSheetId="9"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definedName>
    <definedName name="wrn.CUSTOS." localSheetId="10"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definedName>
    <definedName name="wrn.CUSTOS." localSheetId="6"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definedName>
    <definedName name="wrn.CUSTOS." localSheetId="25"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definedName>
    <definedName name="wrn.CUSTOS." localSheetId="26"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definedName>
    <definedName name="wrn.CUSTOS."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definedName>
    <definedName name="wrn.GERAL." localSheetId="4" hidden="1">{#N/A,#N/A,FALSE,"ET-CAPA";#N/A,#N/A,FALSE,"ET-PAG1";#N/A,#N/A,FALSE,"ET-PAG2";#N/A,#N/A,FALSE,"ET-PAG3";#N/A,#N/A,FALSE,"ET-PAG4";#N/A,#N/A,FALSE,"ET-PAG5"}</definedName>
    <definedName name="wrn.GERAL." localSheetId="7" hidden="1">{#N/A,#N/A,FALSE,"ET-CAPA";#N/A,#N/A,FALSE,"ET-PAG1";#N/A,#N/A,FALSE,"ET-PAG2";#N/A,#N/A,FALSE,"ET-PAG3";#N/A,#N/A,FALSE,"ET-PAG4";#N/A,#N/A,FALSE,"ET-PAG5"}</definedName>
    <definedName name="wrn.GERAL." localSheetId="9" hidden="1">{#N/A,#N/A,FALSE,"ET-CAPA";#N/A,#N/A,FALSE,"ET-PAG1";#N/A,#N/A,FALSE,"ET-PAG2";#N/A,#N/A,FALSE,"ET-PAG3";#N/A,#N/A,FALSE,"ET-PAG4";#N/A,#N/A,FALSE,"ET-PAG5"}</definedName>
    <definedName name="wrn.GERAL." localSheetId="10" hidden="1">{#N/A,#N/A,FALSE,"ET-CAPA";#N/A,#N/A,FALSE,"ET-PAG1";#N/A,#N/A,FALSE,"ET-PAG2";#N/A,#N/A,FALSE,"ET-PAG3";#N/A,#N/A,FALSE,"ET-PAG4";#N/A,#N/A,FALSE,"ET-PAG5"}</definedName>
    <definedName name="wrn.GERAL." localSheetId="6" hidden="1">{#N/A,#N/A,FALSE,"ET-CAPA";#N/A,#N/A,FALSE,"ET-PAG1";#N/A,#N/A,FALSE,"ET-PAG2";#N/A,#N/A,FALSE,"ET-PAG3";#N/A,#N/A,FALSE,"ET-PAG4";#N/A,#N/A,FALSE,"ET-PAG5"}</definedName>
    <definedName name="wrn.GERAL." localSheetId="25" hidden="1">{#N/A,#N/A,FALSE,"ET-CAPA";#N/A,#N/A,FALSE,"ET-PAG1";#N/A,#N/A,FALSE,"ET-PAG2";#N/A,#N/A,FALSE,"ET-PAG3";#N/A,#N/A,FALSE,"ET-PAG4";#N/A,#N/A,FALSE,"ET-PAG5"}</definedName>
    <definedName name="wrn.GERAL." localSheetId="26"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4" hidden="1">{#N/A,#N/A,FALSE,"GERAL";#N/A,#N/A,FALSE,"012-96";#N/A,#N/A,FALSE,"018-96";#N/A,#N/A,FALSE,"027-96";#N/A,#N/A,FALSE,"059-96";#N/A,#N/A,FALSE,"076-96";#N/A,#N/A,FALSE,"019-97";#N/A,#N/A,FALSE,"021-97";#N/A,#N/A,FALSE,"022-97";#N/A,#N/A,FALSE,"028-97"}</definedName>
    <definedName name="wrn.PENDENCIAS." localSheetId="7" hidden="1">{#N/A,#N/A,FALSE,"GERAL";#N/A,#N/A,FALSE,"012-96";#N/A,#N/A,FALSE,"018-96";#N/A,#N/A,FALSE,"027-96";#N/A,#N/A,FALSE,"059-96";#N/A,#N/A,FALSE,"076-96";#N/A,#N/A,FALSE,"019-97";#N/A,#N/A,FALSE,"021-97";#N/A,#N/A,FALSE,"022-97";#N/A,#N/A,FALSE,"028-97"}</definedName>
    <definedName name="wrn.PENDENCIAS." localSheetId="9" hidden="1">{#N/A,#N/A,FALSE,"GERAL";#N/A,#N/A,FALSE,"012-96";#N/A,#N/A,FALSE,"018-96";#N/A,#N/A,FALSE,"027-96";#N/A,#N/A,FALSE,"059-96";#N/A,#N/A,FALSE,"076-96";#N/A,#N/A,FALSE,"019-97";#N/A,#N/A,FALSE,"021-97";#N/A,#N/A,FALSE,"022-97";#N/A,#N/A,FALSE,"028-97"}</definedName>
    <definedName name="wrn.PENDENCIAS." localSheetId="10" hidden="1">{#N/A,#N/A,FALSE,"GERAL";#N/A,#N/A,FALSE,"012-96";#N/A,#N/A,FALSE,"018-96";#N/A,#N/A,FALSE,"027-96";#N/A,#N/A,FALSE,"059-96";#N/A,#N/A,FALSE,"076-96";#N/A,#N/A,FALSE,"019-97";#N/A,#N/A,FALSE,"021-97";#N/A,#N/A,FALSE,"022-97";#N/A,#N/A,FALSE,"028-97"}</definedName>
    <definedName name="wrn.PENDENCIAS." localSheetId="6" hidden="1">{#N/A,#N/A,FALSE,"GERAL";#N/A,#N/A,FALSE,"012-96";#N/A,#N/A,FALSE,"018-96";#N/A,#N/A,FALSE,"027-96";#N/A,#N/A,FALSE,"059-96";#N/A,#N/A,FALSE,"076-96";#N/A,#N/A,FALSE,"019-97";#N/A,#N/A,FALSE,"021-97";#N/A,#N/A,FALSE,"022-97";#N/A,#N/A,FALSE,"028-97"}</definedName>
    <definedName name="wrn.PENDENCIAS." localSheetId="25" hidden="1">{#N/A,#N/A,FALSE,"GERAL";#N/A,#N/A,FALSE,"012-96";#N/A,#N/A,FALSE,"018-96";#N/A,#N/A,FALSE,"027-96";#N/A,#N/A,FALSE,"059-96";#N/A,#N/A,FALSE,"076-96";#N/A,#N/A,FALSE,"019-97";#N/A,#N/A,FALSE,"021-97";#N/A,#N/A,FALSE,"022-97";#N/A,#N/A,FALSE,"028-97"}</definedName>
    <definedName name="wrn.PENDENCIAS." localSheetId="26"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rel.custo._.xls." localSheetId="4"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_.xls." localSheetId="7"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_.xls." localSheetId="9"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_.xls." localSheetId="10"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_.xls." localSheetId="6"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_.xls." localSheetId="25"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_.xls." localSheetId="26"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_.xls."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 localSheetId="4" hidden="1">{#N/A,#N/A,FALSE,"CAPA";#N/A,#N/A,FALSE,"CUSTOTOT";#N/A,#N/A,FALSE,"ORCEXEC";#N/A,#N/A,FALSE,"CUSTO";#N/A,#N/A,FALSE,"MINCC";#N/A,#N/A,FALSE,"MINCCUNI";#N/A,#N/A,FALSE,"MINNAT";#N/A,#N/A,FALSE,"MINNATUN";#N/A,#N/A,FALSE,"TRACC";#N/A,#N/A,FALSE,"TRACCUNI";#N/A,#N/A,FALSE,"TRANAT";#N/A,#N/A,FALSE,"TRANATUN";#N/A,#N/A,FALSE,"MOICC";#N/A,#N/A,FALSE,"MOICCUNI";#N/A,#N/A,FALSE,"MOINAT";#N/A,#N/A,FALSE,"MOINATUN";#N/A,#N/A,FALSE,"STANDARD";#N/A,#N/A,FALSE,"MPCC";#N/A,#N/A,FALSE,"MPCCUNIT";#N/A,#N/A,FALSE,"MPNATTOT";#N/A,#N/A,FALSE,"MPNATTOT";#N/A,#N/A,FALSE,"MPNATUNI"}</definedName>
    <definedName name="wrn.RELCUSTO." localSheetId="7" hidden="1">{#N/A,#N/A,FALSE,"CAPA";#N/A,#N/A,FALSE,"CUSTOTOT";#N/A,#N/A,FALSE,"ORCEXEC";#N/A,#N/A,FALSE,"CUSTO";#N/A,#N/A,FALSE,"MINCC";#N/A,#N/A,FALSE,"MINCCUNI";#N/A,#N/A,FALSE,"MINNAT";#N/A,#N/A,FALSE,"MINNATUN";#N/A,#N/A,FALSE,"TRACC";#N/A,#N/A,FALSE,"TRACCUNI";#N/A,#N/A,FALSE,"TRANAT";#N/A,#N/A,FALSE,"TRANATUN";#N/A,#N/A,FALSE,"MOICC";#N/A,#N/A,FALSE,"MOICCUNI";#N/A,#N/A,FALSE,"MOINAT";#N/A,#N/A,FALSE,"MOINATUN";#N/A,#N/A,FALSE,"STANDARD";#N/A,#N/A,FALSE,"MPCC";#N/A,#N/A,FALSE,"MPCCUNIT";#N/A,#N/A,FALSE,"MPNATTOT";#N/A,#N/A,FALSE,"MPNATTOT";#N/A,#N/A,FALSE,"MPNATUNI"}</definedName>
    <definedName name="wrn.RELCUSTO." localSheetId="9" hidden="1">{#N/A,#N/A,FALSE,"CAPA";#N/A,#N/A,FALSE,"CUSTOTOT";#N/A,#N/A,FALSE,"ORCEXEC";#N/A,#N/A,FALSE,"CUSTO";#N/A,#N/A,FALSE,"MINCC";#N/A,#N/A,FALSE,"MINCCUNI";#N/A,#N/A,FALSE,"MINNAT";#N/A,#N/A,FALSE,"MINNATUN";#N/A,#N/A,FALSE,"TRACC";#N/A,#N/A,FALSE,"TRACCUNI";#N/A,#N/A,FALSE,"TRANAT";#N/A,#N/A,FALSE,"TRANATUN";#N/A,#N/A,FALSE,"MOICC";#N/A,#N/A,FALSE,"MOICCUNI";#N/A,#N/A,FALSE,"MOINAT";#N/A,#N/A,FALSE,"MOINATUN";#N/A,#N/A,FALSE,"STANDARD";#N/A,#N/A,FALSE,"MPCC";#N/A,#N/A,FALSE,"MPCCUNIT";#N/A,#N/A,FALSE,"MPNATTOT";#N/A,#N/A,FALSE,"MPNATTOT";#N/A,#N/A,FALSE,"MPNATUNI"}</definedName>
    <definedName name="wrn.RELCUSTO." localSheetId="10" hidden="1">{#N/A,#N/A,FALSE,"CAPA";#N/A,#N/A,FALSE,"CUSTOTOT";#N/A,#N/A,FALSE,"ORCEXEC";#N/A,#N/A,FALSE,"CUSTO";#N/A,#N/A,FALSE,"MINCC";#N/A,#N/A,FALSE,"MINCCUNI";#N/A,#N/A,FALSE,"MINNAT";#N/A,#N/A,FALSE,"MINNATUN";#N/A,#N/A,FALSE,"TRACC";#N/A,#N/A,FALSE,"TRACCUNI";#N/A,#N/A,FALSE,"TRANAT";#N/A,#N/A,FALSE,"TRANATUN";#N/A,#N/A,FALSE,"MOICC";#N/A,#N/A,FALSE,"MOICCUNI";#N/A,#N/A,FALSE,"MOINAT";#N/A,#N/A,FALSE,"MOINATUN";#N/A,#N/A,FALSE,"STANDARD";#N/A,#N/A,FALSE,"MPCC";#N/A,#N/A,FALSE,"MPCCUNIT";#N/A,#N/A,FALSE,"MPNATTOT";#N/A,#N/A,FALSE,"MPNATTOT";#N/A,#N/A,FALSE,"MPNATUNI"}</definedName>
    <definedName name="wrn.RELCUSTO." localSheetId="6" hidden="1">{#N/A,#N/A,FALSE,"CAPA";#N/A,#N/A,FALSE,"CUSTOTOT";#N/A,#N/A,FALSE,"ORCEXEC";#N/A,#N/A,FALSE,"CUSTO";#N/A,#N/A,FALSE,"MINCC";#N/A,#N/A,FALSE,"MINCCUNI";#N/A,#N/A,FALSE,"MINNAT";#N/A,#N/A,FALSE,"MINNATUN";#N/A,#N/A,FALSE,"TRACC";#N/A,#N/A,FALSE,"TRACCUNI";#N/A,#N/A,FALSE,"TRANAT";#N/A,#N/A,FALSE,"TRANATUN";#N/A,#N/A,FALSE,"MOICC";#N/A,#N/A,FALSE,"MOICCUNI";#N/A,#N/A,FALSE,"MOINAT";#N/A,#N/A,FALSE,"MOINATUN";#N/A,#N/A,FALSE,"STANDARD";#N/A,#N/A,FALSE,"MPCC";#N/A,#N/A,FALSE,"MPCCUNIT";#N/A,#N/A,FALSE,"MPNATTOT";#N/A,#N/A,FALSE,"MPNATTOT";#N/A,#N/A,FALSE,"MPNATUNI"}</definedName>
    <definedName name="wrn.RELCUSTO." localSheetId="25" hidden="1">{#N/A,#N/A,FALSE,"CAPA";#N/A,#N/A,FALSE,"CUSTOTOT";#N/A,#N/A,FALSE,"ORCEXEC";#N/A,#N/A,FALSE,"CUSTO";#N/A,#N/A,FALSE,"MINCC";#N/A,#N/A,FALSE,"MINCCUNI";#N/A,#N/A,FALSE,"MINNAT";#N/A,#N/A,FALSE,"MINNATUN";#N/A,#N/A,FALSE,"TRACC";#N/A,#N/A,FALSE,"TRACCUNI";#N/A,#N/A,FALSE,"TRANAT";#N/A,#N/A,FALSE,"TRANATUN";#N/A,#N/A,FALSE,"MOICC";#N/A,#N/A,FALSE,"MOICCUNI";#N/A,#N/A,FALSE,"MOINAT";#N/A,#N/A,FALSE,"MOINATUN";#N/A,#N/A,FALSE,"STANDARD";#N/A,#N/A,FALSE,"MPCC";#N/A,#N/A,FALSE,"MPCCUNIT";#N/A,#N/A,FALSE,"MPNATTOT";#N/A,#N/A,FALSE,"MPNATTOT";#N/A,#N/A,FALSE,"MPNATUNI"}</definedName>
    <definedName name="wrn.RELCUSTO." localSheetId="26" hidden="1">{#N/A,#N/A,FALSE,"CAPA";#N/A,#N/A,FALSE,"CUSTOTOT";#N/A,#N/A,FALSE,"ORCEXEC";#N/A,#N/A,FALSE,"CUSTO";#N/A,#N/A,FALSE,"MINCC";#N/A,#N/A,FALSE,"MINCCUNI";#N/A,#N/A,FALSE,"MINNAT";#N/A,#N/A,FALSE,"MINNATUN";#N/A,#N/A,FALSE,"TRACC";#N/A,#N/A,FALSE,"TRACCUNI";#N/A,#N/A,FALSE,"TRANAT";#N/A,#N/A,FALSE,"TRANATUN";#N/A,#N/A,FALSE,"MOICC";#N/A,#N/A,FALSE,"MOICCUNI";#N/A,#N/A,FALSE,"MOINAT";#N/A,#N/A,FALSE,"MOINATUN";#N/A,#N/A,FALSE,"STANDARD";#N/A,#N/A,FALSE,"MPCC";#N/A,#N/A,FALSE,"MPCCUNIT";#N/A,#N/A,FALSE,"MPNATTOT";#N/A,#N/A,FALSE,"MPNATTOT";#N/A,#N/A,FALSE,"MPNATUNI"}</definedName>
    <definedName name="wrn.RELCUSTO." hidden="1">{#N/A,#N/A,FALSE,"CAPA";#N/A,#N/A,FALSE,"CUSTOTOT";#N/A,#N/A,FALSE,"ORCEXEC";#N/A,#N/A,FALSE,"CUSTO";#N/A,#N/A,FALSE,"MINCC";#N/A,#N/A,FALSE,"MINCCUNI";#N/A,#N/A,FALSE,"MINNAT";#N/A,#N/A,FALSE,"MINNATUN";#N/A,#N/A,FALSE,"TRACC";#N/A,#N/A,FALSE,"TRACCUNI";#N/A,#N/A,FALSE,"TRANAT";#N/A,#N/A,FALSE,"TRANATUN";#N/A,#N/A,FALSE,"MOICC";#N/A,#N/A,FALSE,"MOICCUNI";#N/A,#N/A,FALSE,"MOINAT";#N/A,#N/A,FALSE,"MOINATUN";#N/A,#N/A,FALSE,"STANDARD";#N/A,#N/A,FALSE,"MPCC";#N/A,#N/A,FALSE,"MPCCUNIT";#N/A,#N/A,FALSE,"MPNATTOT";#N/A,#N/A,FALSE,"MPNATTOT";#N/A,#N/A,FALSE,"MPNATUNI"}</definedName>
    <definedName name="wrn.relcustoxls." localSheetId="4"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xls." localSheetId="7"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xls." localSheetId="9"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xls." localSheetId="10"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xls." localSheetId="6"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xls." localSheetId="25"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xls." localSheetId="26"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custoxls." hidden="1">{#N/A,#N/A,FALSE,"CAPA";#N/A,#N/A,FALSE,"CUSTOTOT";#N/A,#N/A,FALSE,"ORCEXEC";#N/A,#N/A,FALSE,"CUSTO";#N/A,#N/A,FALSE,"MINCC";#N/A,#N/A,FALSE,"MINCCUNI";#N/A,#N/A,FALSE,"MINNAT";#N/A,#N/A,FALSE,"MINNATUN";#N/A,#N/A,FALSE,"TRACC";#N/A,#N/A,FALSE,"TRACCUNI";#N/A,#N/A,FALSE,"TRANAT";#N/A,#N/A,FALSE,"TRANATUN";#N/A,#N/A,FALSE,"MOICC";#N/A,#N/A,FALSE,"MOICCUNI";#N/A,#N/A,FALSE,"MOINAT";#N/A,#N/A,FALSE,"MOINATUN";#N/A,#N/A,FALSE,"MPCC";#N/A,#N/A,FALSE,"MPCCUNIT";#N/A,#N/A,FALSE,"MPNATTOT";#N/A,#N/A,FALSE,"MPNATUNI";#N/A,#N/A,FALSE,"STANDARD"}</definedName>
    <definedName name="wrn.RELPAC."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rn.RELPAC."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rn.RELPAC."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rn.RELPAC."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rn.RELPAC."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rn.RELPAC."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rn.RELPAC."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rn.RELPAC."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SX"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SX"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SX"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SX"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SX"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SX"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SX"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SX"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w" localSheetId="4">#REF!</definedName>
    <definedName name="ww" localSheetId="6">#REF!</definedName>
    <definedName name="ww">#REF!</definedName>
    <definedName name="X" localSheetId="4">#REF!</definedName>
    <definedName name="X">#REF!</definedName>
    <definedName name="XX" localSheetId="4">#REF!*#REF!*#REF!</definedName>
    <definedName name="XX" localSheetId="6">#REF!*#REF!*#REF!</definedName>
    <definedName name="XX">#REF!*#REF!*#REF!</definedName>
    <definedName name="xxx" localSheetId="4" hidden="1">{#N/A,#N/A,FALSE,"GERAL";#N/A,#N/A,FALSE,"012-96";#N/A,#N/A,FALSE,"018-96";#N/A,#N/A,FALSE,"027-96";#N/A,#N/A,FALSE,"059-96";#N/A,#N/A,FALSE,"076-96";#N/A,#N/A,FALSE,"019-97";#N/A,#N/A,FALSE,"021-97";#N/A,#N/A,FALSE,"022-97";#N/A,#N/A,FALSE,"028-97"}</definedName>
    <definedName name="xxx" localSheetId="7" hidden="1">{#N/A,#N/A,FALSE,"GERAL";#N/A,#N/A,FALSE,"012-96";#N/A,#N/A,FALSE,"018-96";#N/A,#N/A,FALSE,"027-96";#N/A,#N/A,FALSE,"059-96";#N/A,#N/A,FALSE,"076-96";#N/A,#N/A,FALSE,"019-97";#N/A,#N/A,FALSE,"021-97";#N/A,#N/A,FALSE,"022-97";#N/A,#N/A,FALSE,"028-97"}</definedName>
    <definedName name="xxx" localSheetId="9" hidden="1">{#N/A,#N/A,FALSE,"GERAL";#N/A,#N/A,FALSE,"012-96";#N/A,#N/A,FALSE,"018-96";#N/A,#N/A,FALSE,"027-96";#N/A,#N/A,FALSE,"059-96";#N/A,#N/A,FALSE,"076-96";#N/A,#N/A,FALSE,"019-97";#N/A,#N/A,FALSE,"021-97";#N/A,#N/A,FALSE,"022-97";#N/A,#N/A,FALSE,"028-97"}</definedName>
    <definedName name="xxx" localSheetId="10" hidden="1">{#N/A,#N/A,FALSE,"GERAL";#N/A,#N/A,FALSE,"012-96";#N/A,#N/A,FALSE,"018-96";#N/A,#N/A,FALSE,"027-96";#N/A,#N/A,FALSE,"059-96";#N/A,#N/A,FALSE,"076-96";#N/A,#N/A,FALSE,"019-97";#N/A,#N/A,FALSE,"021-97";#N/A,#N/A,FALSE,"022-97";#N/A,#N/A,FALSE,"028-97"}</definedName>
    <definedName name="xxx" localSheetId="6" hidden="1">{#N/A,#N/A,FALSE,"GERAL";#N/A,#N/A,FALSE,"012-96";#N/A,#N/A,FALSE,"018-96";#N/A,#N/A,FALSE,"027-96";#N/A,#N/A,FALSE,"059-96";#N/A,#N/A,FALSE,"076-96";#N/A,#N/A,FALSE,"019-97";#N/A,#N/A,FALSE,"021-97";#N/A,#N/A,FALSE,"022-97";#N/A,#N/A,FALSE,"028-97"}</definedName>
    <definedName name="xxx" localSheetId="25" hidden="1">{#N/A,#N/A,FALSE,"GERAL";#N/A,#N/A,FALSE,"012-96";#N/A,#N/A,FALSE,"018-96";#N/A,#N/A,FALSE,"027-96";#N/A,#N/A,FALSE,"059-96";#N/A,#N/A,FALSE,"076-96";#N/A,#N/A,FALSE,"019-97";#N/A,#N/A,FALSE,"021-97";#N/A,#N/A,FALSE,"022-97";#N/A,#N/A,FALSE,"028-97"}</definedName>
    <definedName name="xxx" localSheetId="26" hidden="1">{#N/A,#N/A,FALSE,"GERAL";#N/A,#N/A,FALSE,"012-96";#N/A,#N/A,FALSE,"018-96";#N/A,#N/A,FALSE,"027-96";#N/A,#N/A,FALSE,"059-96";#N/A,#N/A,FALSE,"076-96";#N/A,#N/A,FALSE,"019-97";#N/A,#N/A,FALSE,"021-97";#N/A,#N/A,FALSE,"022-97";#N/A,#N/A,FALSE,"028-97"}</definedName>
    <definedName name="xxx" hidden="1">{#N/A,#N/A,FALSE,"GERAL";#N/A,#N/A,FALSE,"012-96";#N/A,#N/A,FALSE,"018-96";#N/A,#N/A,FALSE,"027-96";#N/A,#N/A,FALSE,"059-96";#N/A,#N/A,FALSE,"076-96";#N/A,#N/A,FALSE,"019-97";#N/A,#N/A,FALSE,"021-97";#N/A,#N/A,FALSE,"022-97";#N/A,#N/A,FALSE,"028-97"}</definedName>
    <definedName name="XXX010160100" localSheetId="4">#REF!</definedName>
    <definedName name="XXX010160100">#REF!</definedName>
    <definedName name="XXX2" localSheetId="25">#REF!,#REF!</definedName>
    <definedName name="XXX2" localSheetId="26">#REF!,#REF!</definedName>
    <definedName name="XXX2">#REF!,#REF!</definedName>
    <definedName name="XXX7"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7"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7"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7"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7"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7"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7"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8"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8"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8"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8"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8"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8"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8"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8"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XXXXX" localSheetId="4">#REF!</definedName>
    <definedName name="XXXXX" localSheetId="6">#REF!</definedName>
    <definedName name="XXXXX">#REF!</definedName>
    <definedName name="xxxxxx" localSheetId="4">#REF!</definedName>
    <definedName name="xxxxxx">#REF!</definedName>
    <definedName name="xxxxxxx" localSheetId="25">#REF!,#REF!</definedName>
    <definedName name="xxxxxxx" localSheetId="26">#REF!,#REF!</definedName>
    <definedName name="xxxxxxx">#REF!,#REF!</definedName>
    <definedName name="xxxxxxxxx">#REF!,#REF!</definedName>
    <definedName name="Y">#REF!</definedName>
    <definedName name="YA">#REF!</definedName>
    <definedName name="yy" localSheetId="4">#REF!</definedName>
    <definedName name="yy">#REF!</definedName>
    <definedName name="yyy">#REF!</definedName>
    <definedName name="YYYYYYYYYYYYYYYYY">#REF!,#REF!</definedName>
    <definedName name="Z">#REF!</definedName>
    <definedName name="za" localSheetId="4">#REF!</definedName>
    <definedName name="za">#REF!</definedName>
    <definedName name="zero" localSheetId="4">#REF!</definedName>
    <definedName name="zero">#REF!</definedName>
    <definedName name="ZONASUL">#REF!</definedName>
    <definedName name="ZZZ1"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1"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1"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1"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1"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1"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1"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1"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Z" localSheetId="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Z" localSheetId="7"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Z" localSheetId="9"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Z" localSheetId="10"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Z" localSheetId="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Z" localSheetId="2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Z" localSheetId="2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Z"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ZZZZZB2" localSheetId="25">#REF!,#REF!</definedName>
    <definedName name="ZZZZZB2" localSheetId="26">#REF!,#REF!</definedName>
    <definedName name="ZZZZZB2">#REF!,#REF!</definedName>
    <definedName name="zzzzzzz">#REF!,#REF!</definedName>
    <definedName name="zzzzzzzzzz" localSheetId="4">#REF!</definedName>
    <definedName name="zzzzzzzzzz" localSheetId="6">#REF!</definedName>
    <definedName name="zzzzzzzzzz">#REF!</definedName>
    <definedName name="ZZZZZZZZZZ2">#REF!,#REF!</definedName>
    <definedName name="zzzzzzzzzzz" localSheetId="4">#REF!</definedName>
    <definedName name="zzzzzzzzzzz">#REF!</definedName>
    <definedName name="ZZZZZZZZZZZZZZZZZZZZZZZZ">#REF!,#REF!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8" i="10" l="1"/>
  <c r="Q48" i="10"/>
  <c r="Q47" i="10" s="1"/>
  <c r="P48" i="10"/>
  <c r="O48" i="10"/>
  <c r="N48" i="10"/>
  <c r="N47" i="10" s="1"/>
  <c r="M48" i="10"/>
  <c r="M47" i="10" s="1"/>
  <c r="L48" i="10"/>
  <c r="L47" i="10" s="1"/>
  <c r="K48" i="10"/>
  <c r="K47" i="10" s="1"/>
  <c r="J48" i="10"/>
  <c r="I48" i="10"/>
  <c r="I47" i="10" s="1"/>
  <c r="H48" i="10"/>
  <c r="H47" i="10" s="1"/>
  <c r="G48" i="10"/>
  <c r="G47" i="10" s="1"/>
  <c r="F48" i="10"/>
  <c r="E48" i="10"/>
  <c r="E47" i="10" s="1"/>
  <c r="D48" i="10"/>
  <c r="R47" i="10"/>
  <c r="P47" i="10"/>
  <c r="O47" i="10"/>
  <c r="J47" i="10"/>
  <c r="F47" i="10"/>
  <c r="D47" i="10"/>
  <c r="J278" i="37" l="1"/>
  <c r="J276" i="37"/>
  <c r="J274" i="37"/>
  <c r="J88" i="37"/>
  <c r="J130" i="37"/>
  <c r="J145" i="37"/>
  <c r="J210" i="37"/>
  <c r="J22" i="37"/>
  <c r="J266" i="37"/>
  <c r="J256" i="37"/>
  <c r="J87" i="37"/>
  <c r="J144" i="37"/>
  <c r="J35" i="37"/>
  <c r="J263" i="37"/>
  <c r="J269" i="37"/>
  <c r="J86" i="37"/>
  <c r="J53" i="37"/>
  <c r="J234" i="37"/>
  <c r="J29" i="37"/>
  <c r="J166" i="37"/>
  <c r="J27" i="37"/>
  <c r="J272" i="37"/>
  <c r="J214" i="37"/>
  <c r="J235" i="37"/>
  <c r="J265" i="37"/>
  <c r="J223" i="37"/>
  <c r="J96" i="37"/>
  <c r="J248" i="37"/>
  <c r="J209" i="37"/>
  <c r="J62" i="37"/>
  <c r="J36" i="37"/>
  <c r="J19" i="37"/>
  <c r="J208" i="37"/>
  <c r="J218" i="37"/>
  <c r="J246" i="37"/>
  <c r="J251" i="37"/>
  <c r="J184" i="37"/>
  <c r="J143" i="37"/>
  <c r="J56" i="37"/>
  <c r="J50" i="37"/>
  <c r="J72" i="37"/>
  <c r="J146" i="37"/>
  <c r="J100" i="37"/>
  <c r="J93" i="37"/>
  <c r="J52" i="37"/>
  <c r="J55" i="37"/>
  <c r="J44" i="37"/>
  <c r="J159" i="37"/>
  <c r="J110" i="37"/>
  <c r="J168" i="37"/>
  <c r="J169" i="37"/>
  <c r="J137" i="37"/>
  <c r="J48" i="37"/>
  <c r="J240" i="37"/>
  <c r="J204" i="37"/>
  <c r="J106" i="37"/>
  <c r="J207" i="37"/>
  <c r="J119" i="37"/>
  <c r="J226" i="37"/>
  <c r="J273" i="37"/>
  <c r="J255" i="37"/>
  <c r="J233" i="37"/>
  <c r="J267" i="37"/>
  <c r="J262" i="37"/>
  <c r="J236" i="37"/>
  <c r="J271" i="37"/>
  <c r="J264" i="37"/>
  <c r="J258" i="37"/>
  <c r="J252" i="37"/>
  <c r="J247" i="37"/>
  <c r="J109" i="37"/>
  <c r="J116" i="37"/>
  <c r="J160" i="37"/>
  <c r="J243" i="37"/>
  <c r="J149" i="37"/>
  <c r="J133" i="37"/>
  <c r="J189" i="37"/>
  <c r="J42" i="37"/>
  <c r="J126" i="37"/>
  <c r="J91" i="37"/>
  <c r="J132" i="37"/>
  <c r="J176" i="37"/>
  <c r="J84" i="37"/>
  <c r="J120" i="37"/>
  <c r="J141" i="37"/>
  <c r="J185" i="37"/>
  <c r="J171" i="37"/>
  <c r="J71" i="37"/>
  <c r="J257" i="37"/>
  <c r="J162" i="37"/>
  <c r="J142" i="37"/>
  <c r="J183" i="37"/>
  <c r="J180" i="37"/>
  <c r="J163" i="37"/>
  <c r="J212" i="37"/>
  <c r="J97" i="37"/>
  <c r="J202" i="37"/>
  <c r="J245" i="37"/>
  <c r="J128" i="37"/>
  <c r="J165" i="37"/>
  <c r="J172" i="37"/>
  <c r="J108" i="37"/>
  <c r="J238" i="37"/>
  <c r="J221" i="37"/>
  <c r="J178" i="37"/>
  <c r="J228" i="37"/>
  <c r="J260" i="37"/>
  <c r="J155" i="37"/>
  <c r="J211" i="37"/>
  <c r="J148" i="37"/>
  <c r="J179" i="37"/>
  <c r="J187" i="37"/>
  <c r="J138" i="37"/>
  <c r="J201" i="37"/>
  <c r="J219" i="37"/>
  <c r="J123" i="37"/>
  <c r="J131" i="37"/>
  <c r="J188" i="37"/>
  <c r="J89" i="37"/>
  <c r="J215" i="37"/>
  <c r="J139" i="37"/>
  <c r="J83" i="37"/>
  <c r="J152" i="37"/>
  <c r="J151" i="37"/>
  <c r="J150" i="37"/>
  <c r="J147" i="37"/>
  <c r="J237" i="37"/>
  <c r="J261" i="37"/>
  <c r="J231" i="37"/>
  <c r="J200" i="37"/>
  <c r="J205" i="37"/>
  <c r="J229" i="37"/>
  <c r="J199" i="37"/>
  <c r="J254" i="37"/>
  <c r="J259" i="37"/>
  <c r="J69" i="37"/>
  <c r="J140" i="37"/>
  <c r="J102" i="37"/>
  <c r="J111" i="37"/>
  <c r="J153" i="37"/>
  <c r="J197" i="37"/>
  <c r="J154" i="37"/>
  <c r="J157" i="37"/>
  <c r="J92" i="37"/>
  <c r="J129" i="37"/>
  <c r="J60" i="37"/>
  <c r="J164" i="37"/>
  <c r="J68" i="37"/>
  <c r="J103" i="37"/>
  <c r="J156" i="37"/>
  <c r="J170" i="37"/>
  <c r="J222" i="37"/>
  <c r="J167" i="37"/>
  <c r="J117" i="37"/>
  <c r="J20" i="37"/>
  <c r="J275" i="37"/>
  <c r="J277" i="37"/>
  <c r="J161" i="37"/>
  <c r="J67" i="37"/>
  <c r="J181" i="37"/>
  <c r="J114" i="37"/>
  <c r="J41" i="37"/>
  <c r="J47" i="37"/>
  <c r="J64" i="37"/>
  <c r="J58" i="37"/>
  <c r="J135" i="37"/>
  <c r="J94" i="37"/>
  <c r="J175" i="37"/>
  <c r="J232" i="37"/>
  <c r="J242" i="37"/>
  <c r="J186" i="37"/>
  <c r="J98" i="37"/>
  <c r="J249" i="37"/>
  <c r="J74" i="37"/>
  <c r="J270" i="37"/>
  <c r="J224" i="37"/>
  <c r="J73" i="37"/>
  <c r="J192" i="37"/>
  <c r="J244" i="37"/>
  <c r="J101" i="37"/>
  <c r="J39" i="37"/>
  <c r="J177" i="37"/>
  <c r="J230" i="37"/>
  <c r="J51" i="37"/>
  <c r="J194" i="37"/>
  <c r="J173" i="37"/>
  <c r="J80" i="37"/>
  <c r="J182" i="37"/>
  <c r="J30" i="37"/>
  <c r="J31" i="37"/>
  <c r="J136" i="37"/>
  <c r="J57" i="37"/>
  <c r="J49" i="37"/>
  <c r="J76" i="37"/>
  <c r="J82" i="37"/>
  <c r="J45" i="37"/>
  <c r="J18" i="37"/>
  <c r="J75" i="37"/>
  <c r="J65" i="37"/>
  <c r="J127" i="37"/>
  <c r="J134" i="37"/>
  <c r="J198" i="37"/>
  <c r="J118" i="37"/>
  <c r="J112" i="37"/>
  <c r="J253" i="37"/>
  <c r="J203" i="37"/>
  <c r="J63" i="37"/>
  <c r="J158" i="37"/>
  <c r="J193" i="37"/>
  <c r="J105" i="37"/>
  <c r="J195" i="37"/>
  <c r="J250" i="37"/>
  <c r="J104" i="37"/>
  <c r="J216" i="37"/>
  <c r="J196" i="37"/>
  <c r="J191" i="37"/>
  <c r="J124" i="37"/>
  <c r="J26" i="37"/>
  <c r="J66" i="37"/>
  <c r="J206" i="37"/>
  <c r="J32" i="37"/>
  <c r="J90" i="37"/>
  <c r="J241" i="37"/>
  <c r="J21" i="37"/>
  <c r="J40" i="37"/>
  <c r="J43" i="37"/>
  <c r="J54" i="37"/>
  <c r="J78" i="37"/>
  <c r="J70" i="37"/>
  <c r="J213" i="37"/>
  <c r="J190" i="37"/>
  <c r="J33" i="37"/>
  <c r="J95" i="37"/>
  <c r="J34" i="37"/>
  <c r="J268" i="37"/>
  <c r="J220" i="37"/>
  <c r="J239" i="37"/>
  <c r="J115" i="37"/>
  <c r="J81" i="37"/>
  <c r="J107" i="37"/>
  <c r="J46" i="37"/>
  <c r="J122" i="37"/>
  <c r="J227" i="37"/>
  <c r="J113" i="37"/>
  <c r="J217" i="37"/>
  <c r="J174" i="37"/>
  <c r="J79" i="37"/>
  <c r="J77" i="37"/>
  <c r="J24" i="37"/>
  <c r="J61" i="37"/>
  <c r="J23" i="37"/>
  <c r="J225" i="37"/>
  <c r="J37" i="37"/>
  <c r="J85" i="37"/>
  <c r="J28" i="37"/>
  <c r="J121" i="37"/>
  <c r="J38" i="37"/>
  <c r="J25" i="37"/>
  <c r="J99" i="37"/>
  <c r="H276" i="37"/>
  <c r="H274" i="37"/>
  <c r="H88" i="37"/>
  <c r="H130" i="37"/>
  <c r="H145" i="37"/>
  <c r="H210" i="37"/>
  <c r="H22" i="37"/>
  <c r="H266" i="37"/>
  <c r="H256" i="37"/>
  <c r="H87" i="37"/>
  <c r="H144" i="37"/>
  <c r="H35" i="37"/>
  <c r="H263" i="37"/>
  <c r="H269" i="37"/>
  <c r="H86" i="37"/>
  <c r="H53" i="37"/>
  <c r="H234" i="37"/>
  <c r="H29" i="37"/>
  <c r="H166" i="37"/>
  <c r="H27" i="37"/>
  <c r="H272" i="37"/>
  <c r="H214" i="37"/>
  <c r="H235" i="37"/>
  <c r="H265" i="37"/>
  <c r="H223" i="37"/>
  <c r="H96" i="37"/>
  <c r="H248" i="37"/>
  <c r="H209" i="37"/>
  <c r="H62" i="37"/>
  <c r="H36" i="37"/>
  <c r="H19" i="37"/>
  <c r="H208" i="37"/>
  <c r="H218" i="37"/>
  <c r="H246" i="37"/>
  <c r="H251" i="37"/>
  <c r="H184" i="37"/>
  <c r="H143" i="37"/>
  <c r="H56" i="37"/>
  <c r="H50" i="37"/>
  <c r="H72" i="37"/>
  <c r="H146" i="37"/>
  <c r="H100" i="37"/>
  <c r="H93" i="37"/>
  <c r="H52" i="37"/>
  <c r="H55" i="37"/>
  <c r="H44" i="37"/>
  <c r="H159" i="37"/>
  <c r="H110" i="37"/>
  <c r="H168" i="37"/>
  <c r="H169" i="37"/>
  <c r="H137" i="37"/>
  <c r="H48" i="37"/>
  <c r="H240" i="37"/>
  <c r="H204" i="37"/>
  <c r="H106" i="37"/>
  <c r="H207" i="37"/>
  <c r="H119" i="37"/>
  <c r="H226" i="37"/>
  <c r="H273" i="37"/>
  <c r="H255" i="37"/>
  <c r="H233" i="37"/>
  <c r="H267" i="37"/>
  <c r="H262" i="37"/>
  <c r="H236" i="37"/>
  <c r="H271" i="37"/>
  <c r="H264" i="37"/>
  <c r="H258" i="37"/>
  <c r="H252" i="37"/>
  <c r="H247" i="37"/>
  <c r="H109" i="37"/>
  <c r="H116" i="37"/>
  <c r="H160" i="37"/>
  <c r="H243" i="37"/>
  <c r="H149" i="37"/>
  <c r="H133" i="37"/>
  <c r="H189" i="37"/>
  <c r="H42" i="37"/>
  <c r="H126" i="37"/>
  <c r="H91" i="37"/>
  <c r="H132" i="37"/>
  <c r="H176" i="37"/>
  <c r="H84" i="37"/>
  <c r="H120" i="37"/>
  <c r="H141" i="37"/>
  <c r="H185" i="37"/>
  <c r="H171" i="37"/>
  <c r="H71" i="37"/>
  <c r="H257" i="37"/>
  <c r="H162" i="37"/>
  <c r="H142" i="37"/>
  <c r="H183" i="37"/>
  <c r="H180" i="37"/>
  <c r="H163" i="37"/>
  <c r="H212" i="37"/>
  <c r="H97" i="37"/>
  <c r="H202" i="37"/>
  <c r="H245" i="37"/>
  <c r="H128" i="37"/>
  <c r="H165" i="37"/>
  <c r="H172" i="37"/>
  <c r="H108" i="37"/>
  <c r="H238" i="37"/>
  <c r="H221" i="37"/>
  <c r="H178" i="37"/>
  <c r="H228" i="37"/>
  <c r="H260" i="37"/>
  <c r="H155" i="37"/>
  <c r="H211" i="37"/>
  <c r="H148" i="37"/>
  <c r="H179" i="37"/>
  <c r="H187" i="37"/>
  <c r="H138" i="37"/>
  <c r="H201" i="37"/>
  <c r="H219" i="37"/>
  <c r="H123" i="37"/>
  <c r="H131" i="37"/>
  <c r="H188" i="37"/>
  <c r="H89" i="37"/>
  <c r="H215" i="37"/>
  <c r="H139" i="37"/>
  <c r="H83" i="37"/>
  <c r="H152" i="37"/>
  <c r="H151" i="37"/>
  <c r="H150" i="37"/>
  <c r="H147" i="37"/>
  <c r="H237" i="37"/>
  <c r="H261" i="37"/>
  <c r="H231" i="37"/>
  <c r="H200" i="37"/>
  <c r="H205" i="37"/>
  <c r="H229" i="37"/>
  <c r="H199" i="37"/>
  <c r="H254" i="37"/>
  <c r="H259" i="37"/>
  <c r="H69" i="37"/>
  <c r="H140" i="37"/>
  <c r="H102" i="37"/>
  <c r="H111" i="37"/>
  <c r="H153" i="37"/>
  <c r="H197" i="37"/>
  <c r="H154" i="37"/>
  <c r="H157" i="37"/>
  <c r="H92" i="37"/>
  <c r="H129" i="37"/>
  <c r="H60" i="37"/>
  <c r="H164" i="37"/>
  <c r="H68" i="37"/>
  <c r="H103" i="37"/>
  <c r="H156" i="37"/>
  <c r="H170" i="37"/>
  <c r="H222" i="37"/>
  <c r="H167" i="37"/>
  <c r="H117" i="37"/>
  <c r="H20" i="37"/>
  <c r="H275" i="37"/>
  <c r="H277" i="37"/>
  <c r="H161" i="37"/>
  <c r="H67" i="37"/>
  <c r="H181" i="37"/>
  <c r="H114" i="37"/>
  <c r="H41" i="37"/>
  <c r="H47" i="37"/>
  <c r="H64" i="37"/>
  <c r="H58" i="37"/>
  <c r="H135" i="37"/>
  <c r="H94" i="37"/>
  <c r="H175" i="37"/>
  <c r="H232" i="37"/>
  <c r="H242" i="37"/>
  <c r="H186" i="37"/>
  <c r="H98" i="37"/>
  <c r="H249" i="37"/>
  <c r="H74" i="37"/>
  <c r="H270" i="37"/>
  <c r="H224" i="37"/>
  <c r="H73" i="37"/>
  <c r="H192" i="37"/>
  <c r="H244" i="37"/>
  <c r="H101" i="37"/>
  <c r="H39" i="37"/>
  <c r="H177" i="37"/>
  <c r="H230" i="37"/>
  <c r="H51" i="37"/>
  <c r="H194" i="37"/>
  <c r="H173" i="37"/>
  <c r="H80" i="37"/>
  <c r="H182" i="37"/>
  <c r="H30" i="37"/>
  <c r="H31" i="37"/>
  <c r="H136" i="37"/>
  <c r="H57" i="37"/>
  <c r="H49" i="37"/>
  <c r="H76" i="37"/>
  <c r="H82" i="37"/>
  <c r="H45" i="37"/>
  <c r="H18" i="37"/>
  <c r="H75" i="37"/>
  <c r="H65" i="37"/>
  <c r="H127" i="37"/>
  <c r="H134" i="37"/>
  <c r="H198" i="37"/>
  <c r="H118" i="37"/>
  <c r="H112" i="37"/>
  <c r="H253" i="37"/>
  <c r="H203" i="37"/>
  <c r="H63" i="37"/>
  <c r="H158" i="37"/>
  <c r="H193" i="37"/>
  <c r="H105" i="37"/>
  <c r="H195" i="37"/>
  <c r="H250" i="37"/>
  <c r="H104" i="37"/>
  <c r="H216" i="37"/>
  <c r="H196" i="37"/>
  <c r="H191" i="37"/>
  <c r="H124" i="37"/>
  <c r="H26" i="37"/>
  <c r="H66" i="37"/>
  <c r="H206" i="37"/>
  <c r="H32" i="37"/>
  <c r="H90" i="37"/>
  <c r="H241" i="37"/>
  <c r="H21" i="37"/>
  <c r="H40" i="37"/>
  <c r="H43" i="37"/>
  <c r="H54" i="37"/>
  <c r="H78" i="37"/>
  <c r="H70" i="37"/>
  <c r="H213" i="37"/>
  <c r="H190" i="37"/>
  <c r="H33" i="37"/>
  <c r="H95" i="37"/>
  <c r="H34" i="37"/>
  <c r="H268" i="37"/>
  <c r="H220" i="37"/>
  <c r="H239" i="37"/>
  <c r="H115" i="37"/>
  <c r="H81" i="37"/>
  <c r="H107" i="37"/>
  <c r="H46" i="37"/>
  <c r="H122" i="37"/>
  <c r="H227" i="37"/>
  <c r="H113" i="37"/>
  <c r="H217" i="37"/>
  <c r="H174" i="37"/>
  <c r="H79" i="37"/>
  <c r="H77" i="37"/>
  <c r="H24" i="37"/>
  <c r="H61" i="37"/>
  <c r="H23" i="37"/>
  <c r="H225" i="37"/>
  <c r="H37" i="37"/>
  <c r="H85" i="37"/>
  <c r="H28" i="37"/>
  <c r="H121" i="37"/>
  <c r="H38" i="37"/>
  <c r="H25" i="37"/>
  <c r="H278" i="37"/>
  <c r="H99" i="37"/>
  <c r="E41" i="38"/>
  <c r="J48" i="5"/>
  <c r="J49" i="5"/>
  <c r="J50" i="5"/>
  <c r="J51" i="5"/>
  <c r="J52" i="5"/>
  <c r="J53" i="5"/>
  <c r="E37" i="38"/>
  <c r="E16" i="38"/>
  <c r="F370" i="3"/>
  <c r="I370" i="3"/>
  <c r="H33" i="3"/>
  <c r="H23" i="3"/>
  <c r="I23" i="3"/>
  <c r="J23" i="3" s="1"/>
  <c r="J19" i="5"/>
  <c r="I26" i="3"/>
  <c r="J26" i="3" s="1"/>
  <c r="I22" i="3"/>
  <c r="H22" i="3"/>
  <c r="I18" i="3"/>
  <c r="J18" i="3" s="1"/>
  <c r="H20" i="3"/>
  <c r="F53" i="3"/>
  <c r="F54" i="3" s="1"/>
  <c r="F55" i="3" s="1"/>
  <c r="J47" i="5" l="1"/>
  <c r="J370" i="3"/>
  <c r="H370" i="3"/>
  <c r="I33" i="3"/>
  <c r="J33" i="3" s="1"/>
  <c r="H54" i="3"/>
  <c r="H53" i="3"/>
  <c r="H55" i="3"/>
  <c r="I55" i="3"/>
  <c r="J55" i="3" s="1"/>
  <c r="I54" i="3"/>
  <c r="J54" i="3" s="1"/>
  <c r="I53" i="3"/>
  <c r="J53" i="3" s="1"/>
  <c r="J22" i="3"/>
  <c r="H26" i="3"/>
  <c r="H18" i="3"/>
  <c r="I20" i="3"/>
  <c r="J20" i="3" s="1"/>
  <c r="F74" i="3" l="1"/>
  <c r="F78" i="3"/>
  <c r="E33" i="38"/>
  <c r="K281" i="37" l="1"/>
  <c r="K282" i="37" s="1"/>
  <c r="H78" i="3"/>
  <c r="E34" i="38"/>
  <c r="E32" i="38"/>
  <c r="H75" i="3"/>
  <c r="H76" i="3"/>
  <c r="E121" i="38" l="1"/>
  <c r="E117" i="38"/>
  <c r="E113" i="38"/>
  <c r="E53" i="38"/>
  <c r="E12" i="38"/>
  <c r="E11" i="38"/>
  <c r="E122" i="38" l="1"/>
  <c r="F77" i="3"/>
  <c r="H77" i="3" l="1"/>
  <c r="K36" i="13"/>
  <c r="F247" i="3"/>
  <c r="H247" i="3" l="1"/>
  <c r="H56" i="3"/>
  <c r="H21" i="3"/>
  <c r="H19" i="3"/>
  <c r="J20" i="5"/>
  <c r="J18" i="5"/>
  <c r="J17" i="5"/>
  <c r="J16" i="5"/>
  <c r="J15" i="5" l="1"/>
  <c r="H15" i="3" s="1"/>
  <c r="H17" i="3"/>
  <c r="H369" i="3" l="1"/>
  <c r="E109" i="38" l="1"/>
  <c r="E105" i="38"/>
  <c r="E81" i="38"/>
  <c r="E20" i="38"/>
  <c r="E13" i="38"/>
  <c r="F44" i="3" s="1"/>
  <c r="T20" i="4"/>
  <c r="F212" i="3"/>
  <c r="E24" i="38" l="1"/>
  <c r="J31" i="5"/>
  <c r="J26" i="5"/>
  <c r="J25" i="5"/>
  <c r="J28" i="5"/>
  <c r="J27" i="5"/>
  <c r="J32" i="5"/>
  <c r="J30" i="5"/>
  <c r="J29" i="5"/>
  <c r="E46" i="38"/>
  <c r="F50" i="3" s="1"/>
  <c r="E141" i="34"/>
  <c r="E31" i="31"/>
  <c r="E32" i="31"/>
  <c r="E33" i="31"/>
  <c r="E34" i="31"/>
  <c r="D78" i="29"/>
  <c r="D73" i="29"/>
  <c r="E98" i="28"/>
  <c r="E182" i="26"/>
  <c r="F302" i="3" s="1"/>
  <c r="E183" i="26"/>
  <c r="K283" i="37" l="1"/>
  <c r="J24" i="5"/>
  <c r="K195" i="37" l="1"/>
  <c r="K144" i="37"/>
  <c r="K236" i="37"/>
  <c r="K258" i="37"/>
  <c r="K235" i="37"/>
  <c r="K135" i="37"/>
  <c r="K188" i="37"/>
  <c r="K193" i="37"/>
  <c r="K36" i="37"/>
  <c r="K23" i="37"/>
  <c r="K18" i="37"/>
  <c r="L18" i="37" s="1"/>
  <c r="K256" i="37"/>
  <c r="K90" i="37"/>
  <c r="K138" i="37"/>
  <c r="K48" i="37"/>
  <c r="K103" i="37"/>
  <c r="K167" i="37"/>
  <c r="K209" i="37"/>
  <c r="K114" i="37"/>
  <c r="K53" i="37"/>
  <c r="K170" i="37"/>
  <c r="K184" i="37"/>
  <c r="K207" i="37"/>
  <c r="K117" i="37"/>
  <c r="K268" i="37"/>
  <c r="K173" i="37"/>
  <c r="K112" i="37"/>
  <c r="K75" i="37"/>
  <c r="K120" i="37"/>
  <c r="K62" i="37"/>
  <c r="K73" i="37"/>
  <c r="K197" i="37"/>
  <c r="K104" i="37"/>
  <c r="K95" i="37"/>
  <c r="K42" i="37"/>
  <c r="K252" i="37"/>
  <c r="K178" i="37"/>
  <c r="K266" i="37"/>
  <c r="K65" i="37"/>
  <c r="K111" i="37"/>
  <c r="K126" i="37"/>
  <c r="K213" i="37"/>
  <c r="K241" i="37"/>
  <c r="K240" i="37"/>
  <c r="K116" i="37"/>
  <c r="K257" i="37"/>
  <c r="K239" i="37"/>
  <c r="K180" i="37"/>
  <c r="K58" i="37"/>
  <c r="K72" i="37"/>
  <c r="K47" i="37"/>
  <c r="K127" i="37"/>
  <c r="K218" i="37"/>
  <c r="K34" i="37"/>
  <c r="K41" i="37"/>
  <c r="K84" i="37"/>
  <c r="K123" i="37"/>
  <c r="K44" i="37"/>
  <c r="K136" i="37"/>
  <c r="K176" i="37"/>
  <c r="K199" i="37"/>
  <c r="K60" i="37"/>
  <c r="K208" i="37"/>
  <c r="K145" i="37"/>
  <c r="K63" i="37"/>
  <c r="K189" i="37"/>
  <c r="K122" i="37"/>
  <c r="K99" i="37"/>
  <c r="K150" i="37"/>
  <c r="K182" i="37"/>
  <c r="K155" i="37"/>
  <c r="K246" i="37"/>
  <c r="K37" i="37"/>
  <c r="K91" i="37"/>
  <c r="K162" i="37"/>
  <c r="K157" i="37"/>
  <c r="K273" i="37"/>
  <c r="K32" i="37"/>
  <c r="K22" i="37"/>
  <c r="K106" i="37"/>
  <c r="K46" i="37"/>
  <c r="K267" i="37"/>
  <c r="K109" i="37"/>
  <c r="K229" i="37"/>
  <c r="K159" i="37"/>
  <c r="K146" i="37"/>
  <c r="K214" i="37"/>
  <c r="K270" i="37"/>
  <c r="K220" i="37"/>
  <c r="K219" i="37"/>
  <c r="K201" i="37"/>
  <c r="K196" i="37"/>
  <c r="K147" i="37"/>
  <c r="K131" i="37"/>
  <c r="K174" i="37"/>
  <c r="K38" i="37"/>
  <c r="K52" i="37"/>
  <c r="K175" i="37"/>
  <c r="K161" i="37"/>
  <c r="K110" i="37"/>
  <c r="K198" i="37"/>
  <c r="K224" i="37"/>
  <c r="K237" i="37"/>
  <c r="K76" i="37"/>
  <c r="K39" i="37"/>
  <c r="K251" i="37"/>
  <c r="K192" i="37"/>
  <c r="K156" i="37"/>
  <c r="K45" i="37"/>
  <c r="K248" i="37"/>
  <c r="K259" i="37"/>
  <c r="K225" i="37"/>
  <c r="K222" i="37"/>
  <c r="K254" i="37"/>
  <c r="K244" i="37"/>
  <c r="K108" i="37"/>
  <c r="K88" i="37"/>
  <c r="K78" i="37"/>
  <c r="K163" i="37"/>
  <c r="K264" i="37"/>
  <c r="K202" i="37"/>
  <c r="K247" i="37"/>
  <c r="K69" i="37"/>
  <c r="K128" i="37"/>
  <c r="K275" i="37"/>
  <c r="K261" i="37"/>
  <c r="K245" i="37"/>
  <c r="K205" i="37"/>
  <c r="K234" i="37"/>
  <c r="K227" i="37"/>
  <c r="K263" i="37"/>
  <c r="K55" i="37"/>
  <c r="K243" i="37"/>
  <c r="K265" i="37"/>
  <c r="K89" i="37"/>
  <c r="K40" i="37"/>
  <c r="K217" i="37"/>
  <c r="K187" i="37"/>
  <c r="K190" i="37"/>
  <c r="K149" i="37"/>
  <c r="K33" i="37"/>
  <c r="K124" i="37"/>
  <c r="K97" i="37"/>
  <c r="K24" i="37"/>
  <c r="K183" i="37"/>
  <c r="K29" i="37"/>
  <c r="K233" i="37"/>
  <c r="K35" i="37"/>
  <c r="K260" i="37"/>
  <c r="K134" i="37"/>
  <c r="K194" i="37"/>
  <c r="K165" i="37"/>
  <c r="K66" i="37"/>
  <c r="K169" i="37"/>
  <c r="K158" i="37"/>
  <c r="K232" i="37"/>
  <c r="K223" i="37"/>
  <c r="K212" i="37"/>
  <c r="K249" i="37"/>
  <c r="K82" i="37"/>
  <c r="K51" i="37"/>
  <c r="K118" i="37"/>
  <c r="K19" i="37"/>
  <c r="K276" i="37"/>
  <c r="K226" i="37"/>
  <c r="K140" i="37"/>
  <c r="K230" i="37"/>
  <c r="K96" i="37"/>
  <c r="K211" i="37"/>
  <c r="K77" i="37"/>
  <c r="K70" i="37"/>
  <c r="K61" i="37"/>
  <c r="K172" i="37"/>
  <c r="K186" i="37"/>
  <c r="K203" i="37"/>
  <c r="K21" i="37"/>
  <c r="K98" i="37"/>
  <c r="K101" i="37"/>
  <c r="K105" i="37"/>
  <c r="K137" i="37"/>
  <c r="K274" i="37"/>
  <c r="K255" i="37"/>
  <c r="K250" i="37"/>
  <c r="K148" i="37"/>
  <c r="K278" i="37"/>
  <c r="K31" i="37"/>
  <c r="K64" i="37"/>
  <c r="K238" i="37"/>
  <c r="K242" i="37"/>
  <c r="K277" i="37"/>
  <c r="K81" i="37"/>
  <c r="K154" i="37"/>
  <c r="K102" i="37"/>
  <c r="K181" i="37"/>
  <c r="K86" i="37"/>
  <c r="K152" i="37"/>
  <c r="K185" i="37"/>
  <c r="K200" i="37"/>
  <c r="K142" i="37"/>
  <c r="K139" i="37"/>
  <c r="K228" i="37"/>
  <c r="K68" i="37"/>
  <c r="K179" i="37"/>
  <c r="K168" i="37"/>
  <c r="K153" i="37"/>
  <c r="K83" i="37"/>
  <c r="K20" i="37"/>
  <c r="K271" i="37"/>
  <c r="K28" i="37"/>
  <c r="K143" i="37"/>
  <c r="K119" i="37"/>
  <c r="K204" i="37"/>
  <c r="K160" i="37"/>
  <c r="K272" i="37"/>
  <c r="K151" i="37"/>
  <c r="K171" i="37"/>
  <c r="K215" i="37"/>
  <c r="K221" i="37"/>
  <c r="K100" i="37"/>
  <c r="K54" i="37"/>
  <c r="K30" i="37"/>
  <c r="K93" i="37"/>
  <c r="K210" i="37"/>
  <c r="K107" i="37"/>
  <c r="K231" i="37"/>
  <c r="K71" i="37"/>
  <c r="K56" i="37"/>
  <c r="K129" i="37"/>
  <c r="K132" i="37"/>
  <c r="K113" i="37"/>
  <c r="K191" i="37"/>
  <c r="K27" i="37"/>
  <c r="K133" i="37"/>
  <c r="K26" i="37"/>
  <c r="K94" i="37"/>
  <c r="K166" i="37"/>
  <c r="K206" i="37"/>
  <c r="K57" i="37"/>
  <c r="K25" i="37"/>
  <c r="K262" i="37"/>
  <c r="K269" i="37"/>
  <c r="K141" i="37"/>
  <c r="K87" i="37"/>
  <c r="K79" i="37"/>
  <c r="K253" i="37"/>
  <c r="K43" i="37"/>
  <c r="K130" i="37"/>
  <c r="K67" i="37"/>
  <c r="K177" i="37"/>
  <c r="K115" i="37"/>
  <c r="K80" i="37"/>
  <c r="K49" i="37"/>
  <c r="K92" i="37"/>
  <c r="K216" i="37"/>
  <c r="K74" i="37"/>
  <c r="K85" i="37"/>
  <c r="K121" i="37"/>
  <c r="K50" i="37"/>
  <c r="K164" i="37"/>
  <c r="L281" i="37"/>
  <c r="L282" i="37"/>
  <c r="H34" i="3"/>
  <c r="L19" i="37" l="1"/>
  <c r="L20" i="37" s="1"/>
  <c r="L21" i="37" s="1"/>
  <c r="L22" i="37" s="1"/>
  <c r="L23" i="37" s="1"/>
  <c r="L24" i="37" s="1"/>
  <c r="L25" i="37" s="1"/>
  <c r="L26" i="37" s="1"/>
  <c r="L27" i="37" s="1"/>
  <c r="L28" i="37" s="1"/>
  <c r="L29" i="37" s="1"/>
  <c r="L30" i="37" s="1"/>
  <c r="L31" i="37" s="1"/>
  <c r="L32" i="37" s="1"/>
  <c r="L33" i="37" s="1"/>
  <c r="L34" i="37" s="1"/>
  <c r="L35" i="37" s="1"/>
  <c r="L36" i="37" s="1"/>
  <c r="L37" i="37" s="1"/>
  <c r="L38" i="37" s="1"/>
  <c r="L39" i="37" s="1"/>
  <c r="L40" i="37" s="1"/>
  <c r="L41" i="37" s="1"/>
  <c r="L42" i="37" s="1"/>
  <c r="L43" i="37" s="1"/>
  <c r="L44" i="37" s="1"/>
  <c r="L45" i="37" s="1"/>
  <c r="L46" i="37" s="1"/>
  <c r="L47" i="37" s="1"/>
  <c r="L48" i="37" s="1"/>
  <c r="L49" i="37" s="1"/>
  <c r="L50" i="37" s="1"/>
  <c r="L51" i="37" s="1"/>
  <c r="L52" i="37" s="1"/>
  <c r="L53" i="37" s="1"/>
  <c r="L54" i="37" s="1"/>
  <c r="L55" i="37" s="1"/>
  <c r="L56" i="37" s="1"/>
  <c r="L57" i="37" s="1"/>
  <c r="L58" i="37" s="1"/>
  <c r="L60" i="37" s="1"/>
  <c r="L61" i="37" s="1"/>
  <c r="L62" i="37" s="1"/>
  <c r="L63" i="37" s="1"/>
  <c r="L64" i="37" s="1"/>
  <c r="L65" i="37" s="1"/>
  <c r="L66" i="37" s="1"/>
  <c r="L67" i="37" s="1"/>
  <c r="L68" i="37" s="1"/>
  <c r="L69" i="37" s="1"/>
  <c r="L70" i="37" s="1"/>
  <c r="L71" i="37" s="1"/>
  <c r="L72" i="37" s="1"/>
  <c r="L73" i="37" s="1"/>
  <c r="L74" i="37" s="1"/>
  <c r="L75" i="37" s="1"/>
  <c r="L76" i="37" s="1"/>
  <c r="L77" i="37" s="1"/>
  <c r="L78" i="37" s="1"/>
  <c r="L79" i="37" s="1"/>
  <c r="L80" i="37" s="1"/>
  <c r="L81" i="37" s="1"/>
  <c r="L82" i="37" s="1"/>
  <c r="L83" i="37" s="1"/>
  <c r="L84" i="37" s="1"/>
  <c r="L85" i="37" s="1"/>
  <c r="L86" i="37" s="1"/>
  <c r="L87" i="37" s="1"/>
  <c r="L88" i="37" s="1"/>
  <c r="L89" i="37" s="1"/>
  <c r="L90" i="37" s="1"/>
  <c r="L91" i="37" s="1"/>
  <c r="L92" i="37" s="1"/>
  <c r="L93" i="37" s="1"/>
  <c r="L94" i="37" s="1"/>
  <c r="L95" i="37" s="1"/>
  <c r="L96" i="37" s="1"/>
  <c r="L97" i="37" s="1"/>
  <c r="L98" i="37" s="1"/>
  <c r="L99" i="37" s="1"/>
  <c r="L100" i="37" s="1"/>
  <c r="L101" i="37" s="1"/>
  <c r="L102" i="37" s="1"/>
  <c r="L103" i="37" s="1"/>
  <c r="L104" i="37" s="1"/>
  <c r="L105" i="37" s="1"/>
  <c r="L106" i="37" s="1"/>
  <c r="L107" i="37" s="1"/>
  <c r="L108" i="37" s="1"/>
  <c r="L109" i="37" s="1"/>
  <c r="L110" i="37" s="1"/>
  <c r="L111" i="37" s="1"/>
  <c r="L112" i="37" s="1"/>
  <c r="L113" i="37" s="1"/>
  <c r="L114" i="37" s="1"/>
  <c r="L115" i="37" s="1"/>
  <c r="L116" i="37" s="1"/>
  <c r="L117" i="37" s="1"/>
  <c r="L118" i="37" s="1"/>
  <c r="L119" i="37" s="1"/>
  <c r="L120" i="37" s="1"/>
  <c r="L121" i="37" s="1"/>
  <c r="L122" i="37" s="1"/>
  <c r="L123" i="37" s="1"/>
  <c r="L124" i="37" s="1"/>
  <c r="L126" i="37" s="1"/>
  <c r="L127" i="37" s="1"/>
  <c r="L128" i="37" s="1"/>
  <c r="L129" i="37" s="1"/>
  <c r="L130" i="37" s="1"/>
  <c r="L131" i="37" s="1"/>
  <c r="L132" i="37" s="1"/>
  <c r="L133" i="37" s="1"/>
  <c r="L134" i="37" s="1"/>
  <c r="L135" i="37" s="1"/>
  <c r="L136" i="37" s="1"/>
  <c r="L137" i="37" s="1"/>
  <c r="L138" i="37" s="1"/>
  <c r="L139" i="37" s="1"/>
  <c r="L140" i="37" s="1"/>
  <c r="L141" i="37" s="1"/>
  <c r="L142" i="37" s="1"/>
  <c r="L143" i="37" s="1"/>
  <c r="L144" i="37" s="1"/>
  <c r="L145" i="37" s="1"/>
  <c r="L146" i="37" s="1"/>
  <c r="L147" i="37" s="1"/>
  <c r="L148" i="37" s="1"/>
  <c r="L149" i="37" s="1"/>
  <c r="L150" i="37" s="1"/>
  <c r="L151" i="37" s="1"/>
  <c r="L152" i="37" s="1"/>
  <c r="L153" i="37" s="1"/>
  <c r="L154" i="37" s="1"/>
  <c r="L155" i="37" s="1"/>
  <c r="L156" i="37" s="1"/>
  <c r="L157" i="37" s="1"/>
  <c r="L158" i="37" s="1"/>
  <c r="L159" i="37" s="1"/>
  <c r="L160" i="37" s="1"/>
  <c r="L161" i="37" s="1"/>
  <c r="L162" i="37" s="1"/>
  <c r="L163" i="37" s="1"/>
  <c r="L164" i="37" s="1"/>
  <c r="L165" i="37" s="1"/>
  <c r="L166" i="37" s="1"/>
  <c r="L167" i="37" s="1"/>
  <c r="L168" i="37" s="1"/>
  <c r="L169" i="37" s="1"/>
  <c r="L170" i="37" s="1"/>
  <c r="L171" i="37" s="1"/>
  <c r="L172" i="37" s="1"/>
  <c r="L173" i="37" s="1"/>
  <c r="L174" i="37" s="1"/>
  <c r="L175" i="37" s="1"/>
  <c r="L176" i="37" s="1"/>
  <c r="L177" i="37" s="1"/>
  <c r="L178" i="37" s="1"/>
  <c r="L179" i="37" s="1"/>
  <c r="L180" i="37" s="1"/>
  <c r="L181" i="37" s="1"/>
  <c r="L182" i="37" s="1"/>
  <c r="L183" i="37" s="1"/>
  <c r="L184" i="37" s="1"/>
  <c r="L185" i="37" s="1"/>
  <c r="L186" i="37" s="1"/>
  <c r="L187" i="37" s="1"/>
  <c r="L188" i="37" s="1"/>
  <c r="L189" i="37" s="1"/>
  <c r="L190" i="37" s="1"/>
  <c r="L191" i="37" s="1"/>
  <c r="L192" i="37" s="1"/>
  <c r="L193" i="37" s="1"/>
  <c r="L194" i="37" s="1"/>
  <c r="L195" i="37" s="1"/>
  <c r="L196" i="37" s="1"/>
  <c r="L197" i="37" s="1"/>
  <c r="L198" i="37" s="1"/>
  <c r="L199" i="37" s="1"/>
  <c r="L200" i="37" s="1"/>
  <c r="L201" i="37" s="1"/>
  <c r="L202" i="37" s="1"/>
  <c r="L203" i="37" s="1"/>
  <c r="L204" i="37" s="1"/>
  <c r="L205" i="37" s="1"/>
  <c r="L206" i="37" s="1"/>
  <c r="L207" i="37" s="1"/>
  <c r="L208" i="37" s="1"/>
  <c r="L209" i="37" s="1"/>
  <c r="L210" i="37" s="1"/>
  <c r="L211" i="37" s="1"/>
  <c r="L212" i="37" s="1"/>
  <c r="L213" i="37" s="1"/>
  <c r="L214" i="37" s="1"/>
  <c r="L215" i="37" s="1"/>
  <c r="L216" i="37" s="1"/>
  <c r="L217" i="37" s="1"/>
  <c r="L218" i="37" s="1"/>
  <c r="L219" i="37" s="1"/>
  <c r="L220" i="37" s="1"/>
  <c r="L221" i="37" s="1"/>
  <c r="L222" i="37" s="1"/>
  <c r="L223" i="37" s="1"/>
  <c r="L224" i="37" s="1"/>
  <c r="L225" i="37" s="1"/>
  <c r="L226" i="37" s="1"/>
  <c r="L227" i="37" s="1"/>
  <c r="L228" i="37" s="1"/>
  <c r="L229" i="37" s="1"/>
  <c r="L230" i="37" s="1"/>
  <c r="L231" i="37" s="1"/>
  <c r="L232" i="37" s="1"/>
  <c r="L233" i="37" s="1"/>
  <c r="L234" i="37" s="1"/>
  <c r="L235" i="37" s="1"/>
  <c r="L236" i="37" s="1"/>
  <c r="L237" i="37" s="1"/>
  <c r="L238" i="37" s="1"/>
  <c r="L239" i="37" s="1"/>
  <c r="L240" i="37" s="1"/>
  <c r="L241" i="37" s="1"/>
  <c r="L242" i="37" s="1"/>
  <c r="L243" i="37" s="1"/>
  <c r="L244" i="37" s="1"/>
  <c r="L245" i="37" s="1"/>
  <c r="L246" i="37" s="1"/>
  <c r="L247" i="37" s="1"/>
  <c r="L248" i="37" s="1"/>
  <c r="L249" i="37" s="1"/>
  <c r="L250" i="37" s="1"/>
  <c r="L251" i="37" s="1"/>
  <c r="L252" i="37" s="1"/>
  <c r="L253" i="37" s="1"/>
  <c r="L254" i="37" s="1"/>
  <c r="L255" i="37" s="1"/>
  <c r="L256" i="37" s="1"/>
  <c r="L257" i="37" s="1"/>
  <c r="L258" i="37" s="1"/>
  <c r="L259" i="37" s="1"/>
  <c r="L260" i="37" s="1"/>
  <c r="L261" i="37" s="1"/>
  <c r="L262" i="37" s="1"/>
  <c r="L263" i="37" s="1"/>
  <c r="L264" i="37" s="1"/>
  <c r="L265" i="37" s="1"/>
  <c r="L266" i="37" s="1"/>
  <c r="L267" i="37" s="1"/>
  <c r="L268" i="37" s="1"/>
  <c r="L269" i="37" s="1"/>
  <c r="L270" i="37" s="1"/>
  <c r="L271" i="37" s="1"/>
  <c r="L272" i="37" s="1"/>
  <c r="L273" i="37" s="1"/>
  <c r="L274" i="37" s="1"/>
  <c r="L275" i="37" s="1"/>
  <c r="L276" i="37" s="1"/>
  <c r="L277" i="37" s="1"/>
  <c r="L278" i="37" s="1"/>
  <c r="L283" i="37"/>
  <c r="U11" i="10"/>
  <c r="V11" i="10" s="1"/>
  <c r="T11" i="10"/>
  <c r="T76" i="4"/>
  <c r="T67" i="4"/>
  <c r="U66" i="4"/>
  <c r="U65" i="4"/>
  <c r="U64" i="4"/>
  <c r="T58" i="4"/>
  <c r="T49" i="4"/>
  <c r="U75" i="4"/>
  <c r="U74" i="4"/>
  <c r="U73" i="4"/>
  <c r="U57" i="4"/>
  <c r="U56" i="4"/>
  <c r="U55" i="4"/>
  <c r="U48" i="4"/>
  <c r="U47" i="4"/>
  <c r="U46" i="4"/>
  <c r="F101" i="32"/>
  <c r="E219" i="26"/>
  <c r="E278" i="21"/>
  <c r="E118" i="38"/>
  <c r="E114" i="38"/>
  <c r="E110" i="38"/>
  <c r="F73" i="3" s="1"/>
  <c r="E106" i="38"/>
  <c r="F72" i="3" s="1"/>
  <c r="E102" i="38"/>
  <c r="F70" i="3" s="1"/>
  <c r="E98" i="38"/>
  <c r="F68" i="3" s="1"/>
  <c r="E94" i="38"/>
  <c r="F66" i="3" s="1"/>
  <c r="E90" i="38"/>
  <c r="E86" i="38"/>
  <c r="F64" i="3" s="1"/>
  <c r="F65" i="3" s="1"/>
  <c r="E82" i="38"/>
  <c r="E78" i="38"/>
  <c r="F62" i="3" s="1"/>
  <c r="E73" i="38"/>
  <c r="E74" i="38" s="1"/>
  <c r="F61" i="3" s="1"/>
  <c r="E69" i="38"/>
  <c r="E70" i="38" s="1"/>
  <c r="F60" i="3" s="1"/>
  <c r="E66" i="38"/>
  <c r="F59" i="3" s="1"/>
  <c r="E62" i="38"/>
  <c r="F58" i="3" s="1"/>
  <c r="E58" i="38"/>
  <c r="E54" i="38"/>
  <c r="F52" i="3" s="1"/>
  <c r="E50" i="38"/>
  <c r="F51" i="3" s="1"/>
  <c r="E42" i="38"/>
  <c r="F49" i="3" s="1"/>
  <c r="E38" i="38"/>
  <c r="F48" i="3" s="1"/>
  <c r="E29" i="38"/>
  <c r="F67" i="3" s="1"/>
  <c r="E21" i="38"/>
  <c r="F69" i="3" s="1"/>
  <c r="E25" i="38"/>
  <c r="E17" i="38"/>
  <c r="F45" i="3" s="1"/>
  <c r="J37" i="5"/>
  <c r="J36" i="5" s="1"/>
  <c r="F57" i="3" l="1"/>
  <c r="H74" i="3"/>
  <c r="F46" i="3"/>
  <c r="F47" i="3"/>
  <c r="H59" i="3"/>
  <c r="J42" i="5"/>
  <c r="J43" i="5"/>
  <c r="J44" i="5"/>
  <c r="J41" i="5"/>
  <c r="B15" i="7"/>
  <c r="B11" i="10" s="1"/>
  <c r="F63" i="3"/>
  <c r="C63" i="3"/>
  <c r="C64" i="3" s="1"/>
  <c r="H41" i="3"/>
  <c r="H38" i="3"/>
  <c r="H39" i="3"/>
  <c r="H40" i="3"/>
  <c r="H42" i="3"/>
  <c r="H57" i="3" l="1"/>
  <c r="H67" i="3"/>
  <c r="H49" i="3"/>
  <c r="H66" i="3"/>
  <c r="H65" i="3"/>
  <c r="H62" i="3"/>
  <c r="H52" i="3"/>
  <c r="H50" i="3"/>
  <c r="H70" i="3"/>
  <c r="H73" i="3"/>
  <c r="J40" i="5"/>
  <c r="H48" i="3"/>
  <c r="H72" i="3"/>
  <c r="H45" i="3"/>
  <c r="H69" i="3"/>
  <c r="H61" i="3"/>
  <c r="H51" i="3"/>
  <c r="H60" i="3"/>
  <c r="H68" i="3"/>
  <c r="H44" i="3"/>
  <c r="H47" i="3"/>
  <c r="H37" i="3"/>
  <c r="H64" i="3" l="1"/>
  <c r="H63" i="3"/>
  <c r="H46" i="3"/>
  <c r="H58" i="3" l="1"/>
  <c r="E2" i="37"/>
  <c r="E46" i="26"/>
  <c r="E47" i="26"/>
  <c r="E272" i="20"/>
  <c r="E196" i="21"/>
  <c r="J76" i="5"/>
  <c r="E109" i="34"/>
  <c r="F298" i="3" l="1"/>
  <c r="H298" i="3" s="1"/>
  <c r="U9" i="10" l="1"/>
  <c r="U13" i="10"/>
  <c r="U15" i="10"/>
  <c r="U17" i="10"/>
  <c r="U19" i="10"/>
  <c r="U21" i="10"/>
  <c r="V21" i="10" s="1"/>
  <c r="U23" i="10"/>
  <c r="V23" i="10" s="1"/>
  <c r="U25" i="10"/>
  <c r="V25" i="10" s="1"/>
  <c r="U27" i="10"/>
  <c r="V27" i="10" s="1"/>
  <c r="U29" i="10"/>
  <c r="V29" i="10" s="1"/>
  <c r="U31" i="10"/>
  <c r="V31" i="10" s="1"/>
  <c r="U33" i="10"/>
  <c r="V33" i="10" s="1"/>
  <c r="U35" i="10"/>
  <c r="V35" i="10" s="1"/>
  <c r="U37" i="10"/>
  <c r="V37" i="10" s="1"/>
  <c r="U39" i="10"/>
  <c r="V39" i="10" s="1"/>
  <c r="U41" i="10"/>
  <c r="V41" i="10" s="1"/>
  <c r="U43" i="10"/>
  <c r="V43" i="10" s="1"/>
  <c r="U45" i="10"/>
  <c r="V45" i="10" s="1"/>
  <c r="U47" i="10"/>
  <c r="U7" i="10"/>
  <c r="T35" i="10"/>
  <c r="T33" i="10"/>
  <c r="T31" i="10"/>
  <c r="T29" i="10"/>
  <c r="T27" i="10"/>
  <c r="T25" i="10"/>
  <c r="T39" i="10"/>
  <c r="T37" i="10"/>
  <c r="T23" i="10"/>
  <c r="T21" i="10"/>
  <c r="T43" i="10"/>
  <c r="T41" i="10"/>
  <c r="T45" i="10"/>
  <c r="H294" i="3"/>
  <c r="H293" i="3"/>
  <c r="H292" i="3"/>
  <c r="H291" i="3"/>
  <c r="H290" i="3"/>
  <c r="H289" i="3"/>
  <c r="F288" i="3"/>
  <c r="H287" i="3"/>
  <c r="F285" i="3"/>
  <c r="F284" i="3"/>
  <c r="H283" i="3"/>
  <c r="H282" i="3"/>
  <c r="F281" i="3"/>
  <c r="H279" i="3"/>
  <c r="H280" i="3"/>
  <c r="T38" i="4"/>
  <c r="T29" i="4"/>
  <c r="T28" i="4"/>
  <c r="H30" i="3"/>
  <c r="H31" i="3"/>
  <c r="H32" i="3"/>
  <c r="F265" i="3"/>
  <c r="H268" i="3"/>
  <c r="H269" i="3"/>
  <c r="H273" i="3"/>
  <c r="H274" i="3"/>
  <c r="H275" i="3"/>
  <c r="H276" i="3"/>
  <c r="H278" i="3"/>
  <c r="F248" i="3"/>
  <c r="F263" i="3"/>
  <c r="F262" i="3"/>
  <c r="F261" i="3"/>
  <c r="F260" i="3"/>
  <c r="F259" i="3"/>
  <c r="F258" i="3"/>
  <c r="F256" i="3"/>
  <c r="F246" i="3"/>
  <c r="F245" i="3"/>
  <c r="F244" i="3"/>
  <c r="F243" i="3"/>
  <c r="F224" i="3"/>
  <c r="F242" i="3"/>
  <c r="F223" i="3"/>
  <c r="F241" i="3"/>
  <c r="F239" i="3"/>
  <c r="F238" i="3"/>
  <c r="F237" i="3"/>
  <c r="F236" i="3"/>
  <c r="F222" i="3"/>
  <c r="F221" i="3"/>
  <c r="F220" i="3"/>
  <c r="F219" i="3"/>
  <c r="F218" i="3"/>
  <c r="F217" i="3"/>
  <c r="E398" i="36"/>
  <c r="F252" i="3" s="1"/>
  <c r="E397" i="36"/>
  <c r="F251" i="3" s="1"/>
  <c r="E396" i="36"/>
  <c r="F250" i="3" s="1"/>
  <c r="E395" i="36"/>
  <c r="F249" i="3" s="1"/>
  <c r="E257" i="36"/>
  <c r="E258" i="36" s="1"/>
  <c r="E222" i="36"/>
  <c r="E223" i="36" s="1"/>
  <c r="E186" i="36"/>
  <c r="E187" i="36" s="1"/>
  <c r="E150" i="36"/>
  <c r="E151" i="36" s="1"/>
  <c r="E113" i="36"/>
  <c r="F235" i="3" s="1"/>
  <c r="E112" i="36"/>
  <c r="F240" i="3" s="1"/>
  <c r="E111" i="36"/>
  <c r="F257" i="3" s="1"/>
  <c r="E110" i="36"/>
  <c r="F264" i="3" s="1"/>
  <c r="E109" i="36"/>
  <c r="F225" i="3" s="1"/>
  <c r="E78" i="36"/>
  <c r="F227" i="3" s="1"/>
  <c r="E77" i="36"/>
  <c r="F228" i="3" s="1"/>
  <c r="E76" i="36"/>
  <c r="F229" i="3" s="1"/>
  <c r="E75" i="36"/>
  <c r="F230" i="3" s="1"/>
  <c r="E74" i="36"/>
  <c r="E47" i="36"/>
  <c r="E48" i="36" s="1"/>
  <c r="B20" i="7"/>
  <c r="B21" i="10" s="1"/>
  <c r="C89" i="35"/>
  <c r="E89" i="35" s="1"/>
  <c r="E111" i="35"/>
  <c r="E96" i="35"/>
  <c r="E97" i="35"/>
  <c r="E98" i="35"/>
  <c r="E99" i="35"/>
  <c r="E100" i="35"/>
  <c r="E101" i="35"/>
  <c r="E102" i="35"/>
  <c r="E103" i="35"/>
  <c r="E104" i="35"/>
  <c r="E105" i="35"/>
  <c r="E106" i="35"/>
  <c r="E107" i="35"/>
  <c r="E108" i="35"/>
  <c r="E109" i="35"/>
  <c r="E110" i="35"/>
  <c r="E95" i="35"/>
  <c r="E60" i="35"/>
  <c r="E61" i="35"/>
  <c r="E62" i="35"/>
  <c r="E63" i="35"/>
  <c r="E64" i="35"/>
  <c r="E65" i="35"/>
  <c r="E66" i="35"/>
  <c r="C39" i="35"/>
  <c r="E39" i="35" s="1"/>
  <c r="E56" i="35"/>
  <c r="E57" i="35"/>
  <c r="E58" i="35"/>
  <c r="E59" i="35"/>
  <c r="E49" i="35"/>
  <c r="E50" i="35"/>
  <c r="E51" i="35"/>
  <c r="E52" i="35"/>
  <c r="E53" i="35"/>
  <c r="E54" i="35"/>
  <c r="E55" i="35"/>
  <c r="E46" i="35"/>
  <c r="E47" i="35"/>
  <c r="E48" i="35"/>
  <c r="E45" i="35"/>
  <c r="C91" i="35"/>
  <c r="E91" i="35" s="1"/>
  <c r="C90" i="35"/>
  <c r="E90" i="35" s="1"/>
  <c r="C40" i="35"/>
  <c r="E40" i="35" s="1"/>
  <c r="C41" i="35"/>
  <c r="E41" i="35" s="1"/>
  <c r="C37" i="35"/>
  <c r="E37" i="35" s="1"/>
  <c r="C38" i="35"/>
  <c r="E38" i="35" s="1"/>
  <c r="C36" i="35"/>
  <c r="E36" i="35" s="1"/>
  <c r="C35" i="35"/>
  <c r="E35" i="35" s="1"/>
  <c r="C34" i="35"/>
  <c r="E34" i="35" s="1"/>
  <c r="C33" i="35"/>
  <c r="E33" i="35" s="1"/>
  <c r="C32" i="35"/>
  <c r="E32" i="35" s="1"/>
  <c r="C31" i="35"/>
  <c r="E31" i="35" s="1"/>
  <c r="C30" i="35"/>
  <c r="E30" i="35" s="1"/>
  <c r="C29" i="35"/>
  <c r="E29" i="35" s="1"/>
  <c r="B27" i="7"/>
  <c r="B35" i="10" s="1"/>
  <c r="B26" i="7"/>
  <c r="B33" i="10" s="1"/>
  <c r="H255" i="3"/>
  <c r="J88" i="5"/>
  <c r="J87" i="5"/>
  <c r="J86" i="5"/>
  <c r="J85" i="5"/>
  <c r="J84" i="5"/>
  <c r="E326" i="30"/>
  <c r="E327" i="30" s="1"/>
  <c r="F344" i="3" s="1"/>
  <c r="D325" i="30"/>
  <c r="D324" i="30"/>
  <c r="D323" i="30"/>
  <c r="D322" i="30"/>
  <c r="D321" i="30"/>
  <c r="D320" i="30"/>
  <c r="D319" i="30"/>
  <c r="D318" i="30"/>
  <c r="D317" i="30"/>
  <c r="D316" i="30"/>
  <c r="D315" i="30"/>
  <c r="D314" i="30"/>
  <c r="D313" i="30"/>
  <c r="E69" i="28"/>
  <c r="J66" i="5"/>
  <c r="H332" i="3"/>
  <c r="H331" i="3"/>
  <c r="H330" i="3"/>
  <c r="H327" i="3"/>
  <c r="E172" i="34"/>
  <c r="E173" i="34" s="1"/>
  <c r="E174" i="34" s="1"/>
  <c r="E171" i="34"/>
  <c r="E170" i="34"/>
  <c r="E140" i="34"/>
  <c r="E142" i="34" s="1"/>
  <c r="F367" i="3" s="1"/>
  <c r="E139" i="34"/>
  <c r="E138" i="34"/>
  <c r="B32" i="7"/>
  <c r="B45" i="10" s="1"/>
  <c r="B31" i="7"/>
  <c r="B43" i="10" s="1"/>
  <c r="E96" i="34"/>
  <c r="E110" i="34" s="1"/>
  <c r="B206" i="27"/>
  <c r="E206" i="27" s="1"/>
  <c r="B205" i="27"/>
  <c r="E205" i="27" s="1"/>
  <c r="E207" i="27" s="1"/>
  <c r="E208" i="27" s="1"/>
  <c r="E284" i="30"/>
  <c r="E283" i="30"/>
  <c r="E64" i="34"/>
  <c r="E65" i="34" s="1"/>
  <c r="E35" i="34"/>
  <c r="E36" i="34" s="1"/>
  <c r="F360" i="3" s="1"/>
  <c r="G109" i="32"/>
  <c r="L109" i="32" s="1"/>
  <c r="G110" i="32"/>
  <c r="G111" i="32"/>
  <c r="L111" i="32" s="1"/>
  <c r="G114" i="32"/>
  <c r="G115" i="32"/>
  <c r="G116" i="32"/>
  <c r="G117" i="32"/>
  <c r="G118" i="32"/>
  <c r="L118" i="32" s="1"/>
  <c r="G119" i="32"/>
  <c r="G120" i="32"/>
  <c r="L120" i="32" s="1"/>
  <c r="F109" i="32"/>
  <c r="F110" i="32"/>
  <c r="F111" i="32"/>
  <c r="K111" i="32" s="1"/>
  <c r="F114" i="32"/>
  <c r="F115" i="32"/>
  <c r="F116" i="32"/>
  <c r="F117" i="32"/>
  <c r="F118" i="32"/>
  <c r="F119" i="32"/>
  <c r="F120" i="32"/>
  <c r="I109" i="32"/>
  <c r="I111" i="32"/>
  <c r="I120" i="32"/>
  <c r="H111" i="32"/>
  <c r="F52" i="32"/>
  <c r="E113" i="32"/>
  <c r="E112" i="32"/>
  <c r="E108" i="32"/>
  <c r="F98" i="32"/>
  <c r="F99" i="32"/>
  <c r="F100" i="32"/>
  <c r="F104" i="32"/>
  <c r="F325" i="3" s="1"/>
  <c r="F103" i="32"/>
  <c r="F102" i="32"/>
  <c r="H329" i="3"/>
  <c r="G92" i="32"/>
  <c r="G93" i="32"/>
  <c r="G94" i="32"/>
  <c r="G95" i="32"/>
  <c r="G96" i="32"/>
  <c r="G80" i="32"/>
  <c r="G81" i="32"/>
  <c r="G97" i="32" s="1"/>
  <c r="G82" i="32"/>
  <c r="G83" i="32"/>
  <c r="G84" i="32"/>
  <c r="G85" i="32"/>
  <c r="G99" i="32" s="1"/>
  <c r="G86" i="32"/>
  <c r="G87" i="32"/>
  <c r="G102" i="32" s="1"/>
  <c r="F328" i="3" s="1"/>
  <c r="H328" i="3" s="1"/>
  <c r="G88" i="32"/>
  <c r="G89" i="32"/>
  <c r="G90" i="32"/>
  <c r="G98" i="32" s="1"/>
  <c r="G91" i="32"/>
  <c r="G79" i="32"/>
  <c r="G49" i="32"/>
  <c r="G36" i="32"/>
  <c r="G37" i="32"/>
  <c r="G38" i="32"/>
  <c r="G39" i="32"/>
  <c r="G40" i="32"/>
  <c r="G41" i="32"/>
  <c r="G42" i="32"/>
  <c r="G43" i="32"/>
  <c r="G44" i="32"/>
  <c r="G45" i="32"/>
  <c r="G46" i="32"/>
  <c r="G47" i="32"/>
  <c r="G48" i="32"/>
  <c r="G35" i="32"/>
  <c r="U10" i="4"/>
  <c r="U11" i="4"/>
  <c r="U12" i="4"/>
  <c r="J59" i="5"/>
  <c r="J60" i="5"/>
  <c r="J58" i="5"/>
  <c r="J94" i="5"/>
  <c r="J93" i="5"/>
  <c r="E60" i="31"/>
  <c r="E61" i="31" s="1"/>
  <c r="E62" i="31" s="1"/>
  <c r="F356" i="3" s="1"/>
  <c r="E35" i="31"/>
  <c r="B30" i="7"/>
  <c r="B41" i="10" s="1"/>
  <c r="B29" i="7"/>
  <c r="B39" i="10" s="1"/>
  <c r="H358" i="3"/>
  <c r="B28" i="7"/>
  <c r="B37" i="10" s="1"/>
  <c r="E126" i="30"/>
  <c r="E254" i="30"/>
  <c r="E253" i="30"/>
  <c r="E252" i="30"/>
  <c r="E251" i="30"/>
  <c r="E250" i="30"/>
  <c r="J78" i="5"/>
  <c r="J79" i="5"/>
  <c r="J80" i="5"/>
  <c r="J73" i="5"/>
  <c r="J74" i="5"/>
  <c r="J72" i="5"/>
  <c r="J77" i="5"/>
  <c r="E191" i="30"/>
  <c r="E221" i="30"/>
  <c r="E220" i="30"/>
  <c r="E190" i="30"/>
  <c r="E161" i="30"/>
  <c r="E160" i="30"/>
  <c r="E159" i="30"/>
  <c r="E158" i="30"/>
  <c r="E157" i="30"/>
  <c r="E156" i="30"/>
  <c r="E127" i="30"/>
  <c r="E125" i="30"/>
  <c r="E96" i="30"/>
  <c r="E97" i="30"/>
  <c r="E98" i="30" s="1"/>
  <c r="E67" i="30"/>
  <c r="E68" i="30" s="1"/>
  <c r="E69" i="30" s="1"/>
  <c r="F340" i="3" s="1"/>
  <c r="H340" i="3" s="1"/>
  <c r="E38" i="30"/>
  <c r="E37" i="30"/>
  <c r="E36" i="30"/>
  <c r="E35" i="30"/>
  <c r="B25" i="7"/>
  <c r="B31" i="10" s="1"/>
  <c r="B24" i="7"/>
  <c r="B29" i="10" s="1"/>
  <c r="B23" i="7"/>
  <c r="B27" i="10" s="1"/>
  <c r="B22" i="7"/>
  <c r="B25" i="10" s="1"/>
  <c r="C214" i="26"/>
  <c r="E214" i="26" s="1"/>
  <c r="C213" i="26"/>
  <c r="E213" i="26" s="1"/>
  <c r="C212" i="26"/>
  <c r="E212" i="26" s="1"/>
  <c r="C211" i="26"/>
  <c r="C180" i="26"/>
  <c r="E180" i="26" s="1"/>
  <c r="C181" i="26"/>
  <c r="E181" i="26" s="1"/>
  <c r="C179" i="26"/>
  <c r="E179" i="26" s="1"/>
  <c r="C178" i="26"/>
  <c r="E178" i="26" s="1"/>
  <c r="C177" i="26"/>
  <c r="E177" i="26" s="1"/>
  <c r="C176" i="26"/>
  <c r="E176" i="26" s="1"/>
  <c r="C175" i="26"/>
  <c r="E175" i="26" s="1"/>
  <c r="C174" i="26"/>
  <c r="E81" i="29"/>
  <c r="D77" i="29"/>
  <c r="D76" i="29"/>
  <c r="D75" i="29"/>
  <c r="D74" i="29"/>
  <c r="D72" i="29"/>
  <c r="D71" i="29"/>
  <c r="D69" i="29"/>
  <c r="D70" i="29"/>
  <c r="D40" i="29"/>
  <c r="D39" i="29"/>
  <c r="D37" i="29"/>
  <c r="D38" i="29"/>
  <c r="D36" i="29"/>
  <c r="D35" i="29"/>
  <c r="E42" i="29"/>
  <c r="E142" i="28"/>
  <c r="E138" i="28"/>
  <c r="E139" i="28"/>
  <c r="E140" i="28"/>
  <c r="E141" i="28"/>
  <c r="E143" i="28"/>
  <c r="E144" i="28"/>
  <c r="E145" i="28"/>
  <c r="E146" i="28"/>
  <c r="E147" i="28"/>
  <c r="E148" i="28"/>
  <c r="E149" i="28"/>
  <c r="E137" i="28"/>
  <c r="C133" i="28"/>
  <c r="E133" i="28" s="1"/>
  <c r="C132" i="28"/>
  <c r="E132" i="28" s="1"/>
  <c r="C131" i="28"/>
  <c r="E131" i="28" s="1"/>
  <c r="C130" i="28"/>
  <c r="E130" i="28" s="1"/>
  <c r="C129" i="28"/>
  <c r="E129" i="28" s="1"/>
  <c r="C128" i="28"/>
  <c r="E128" i="28" s="1"/>
  <c r="C127" i="28"/>
  <c r="E127" i="28" s="1"/>
  <c r="E68" i="28"/>
  <c r="E39" i="28"/>
  <c r="E40" i="28" s="1"/>
  <c r="E35" i="28"/>
  <c r="E36" i="28" s="1"/>
  <c r="E177" i="27"/>
  <c r="E166" i="27"/>
  <c r="E119" i="27"/>
  <c r="E120" i="27"/>
  <c r="E121" i="27"/>
  <c r="E163" i="27"/>
  <c r="E164" i="27"/>
  <c r="E161" i="27"/>
  <c r="E162" i="27"/>
  <c r="E165" i="27"/>
  <c r="E158" i="27"/>
  <c r="E159" i="27"/>
  <c r="E160" i="27"/>
  <c r="E157" i="27"/>
  <c r="E156" i="27"/>
  <c r="E155" i="27"/>
  <c r="E117" i="27"/>
  <c r="E118" i="27"/>
  <c r="E116" i="27"/>
  <c r="E115" i="27"/>
  <c r="E127" i="27"/>
  <c r="E83" i="27"/>
  <c r="E85" i="27"/>
  <c r="E75" i="27"/>
  <c r="E76" i="27"/>
  <c r="E77" i="27"/>
  <c r="E74" i="27"/>
  <c r="E43" i="27"/>
  <c r="E46" i="27" s="1"/>
  <c r="E36" i="27"/>
  <c r="E35" i="27"/>
  <c r="E34" i="27"/>
  <c r="E29" i="27"/>
  <c r="E26" i="27"/>
  <c r="E27" i="27"/>
  <c r="E25" i="27"/>
  <c r="E33" i="27"/>
  <c r="E32" i="27"/>
  <c r="E31" i="27"/>
  <c r="E30" i="27"/>
  <c r="E28" i="27"/>
  <c r="B18" i="7"/>
  <c r="B17" i="10" s="1"/>
  <c r="H301" i="3"/>
  <c r="E145" i="26"/>
  <c r="E146" i="26" s="1"/>
  <c r="F315" i="3" s="1"/>
  <c r="E109" i="26"/>
  <c r="E110" i="26" s="1"/>
  <c r="F310" i="3" s="1"/>
  <c r="E77" i="26"/>
  <c r="F305" i="3" s="1"/>
  <c r="E41" i="26"/>
  <c r="E42" i="26" s="1"/>
  <c r="T13" i="4" l="1"/>
  <c r="H246" i="3"/>
  <c r="H248" i="3"/>
  <c r="E285" i="30"/>
  <c r="E286" i="30" s="1"/>
  <c r="E41" i="29"/>
  <c r="E84" i="29"/>
  <c r="F346" i="3" s="1"/>
  <c r="F347" i="3" s="1"/>
  <c r="H347" i="3" s="1"/>
  <c r="F297" i="3"/>
  <c r="E48" i="26"/>
  <c r="F299" i="3"/>
  <c r="H299" i="3" s="1"/>
  <c r="H259" i="3"/>
  <c r="H284" i="3"/>
  <c r="H285" i="3"/>
  <c r="H286" i="3"/>
  <c r="H288" i="3"/>
  <c r="E82" i="36"/>
  <c r="E83" i="36" s="1"/>
  <c r="E400" i="36"/>
  <c r="E401" i="36" s="1"/>
  <c r="F231" i="3"/>
  <c r="E114" i="36"/>
  <c r="E115" i="36" s="1"/>
  <c r="E167" i="27"/>
  <c r="E178" i="27" s="1"/>
  <c r="E78" i="27"/>
  <c r="E150" i="28"/>
  <c r="E255" i="30"/>
  <c r="E128" i="30"/>
  <c r="E129" i="30" s="1"/>
  <c r="I118" i="32"/>
  <c r="E112" i="35"/>
  <c r="E92" i="35"/>
  <c r="E67" i="35"/>
  <c r="H281" i="3"/>
  <c r="H265" i="3"/>
  <c r="H27" i="3"/>
  <c r="H28" i="3"/>
  <c r="H29" i="3"/>
  <c r="H270" i="3"/>
  <c r="H271" i="3"/>
  <c r="H258" i="3"/>
  <c r="H252" i="3"/>
  <c r="H260" i="3"/>
  <c r="H261" i="3"/>
  <c r="H262" i="3"/>
  <c r="H263" i="3"/>
  <c r="H264" i="3"/>
  <c r="H257" i="3"/>
  <c r="H250" i="3"/>
  <c r="H237" i="3"/>
  <c r="E37" i="27"/>
  <c r="E47" i="27" s="1"/>
  <c r="E122" i="27"/>
  <c r="E128" i="27" s="1"/>
  <c r="F335" i="3"/>
  <c r="H335" i="3" s="1"/>
  <c r="E80" i="29"/>
  <c r="E83" i="29" s="1"/>
  <c r="F336" i="3" s="1"/>
  <c r="H336" i="3" s="1"/>
  <c r="E174" i="26"/>
  <c r="H302" i="3"/>
  <c r="E215" i="26"/>
  <c r="E211" i="26"/>
  <c r="E216" i="26" s="1"/>
  <c r="F311" i="3" s="1"/>
  <c r="F105" i="32"/>
  <c r="J101" i="32"/>
  <c r="G108" i="32"/>
  <c r="F108" i="32"/>
  <c r="K108" i="32" s="1"/>
  <c r="F112" i="32"/>
  <c r="G112" i="32"/>
  <c r="F113" i="32"/>
  <c r="G113" i="32"/>
  <c r="H120" i="32"/>
  <c r="K120" i="32"/>
  <c r="H119" i="32"/>
  <c r="K119" i="32"/>
  <c r="H118" i="32"/>
  <c r="K118" i="32"/>
  <c r="H212" i="3" s="1"/>
  <c r="H117" i="32"/>
  <c r="K117" i="32"/>
  <c r="H116" i="32"/>
  <c r="K116" i="32"/>
  <c r="H115" i="32"/>
  <c r="K115" i="32"/>
  <c r="H114" i="32"/>
  <c r="K114" i="32"/>
  <c r="H110" i="32"/>
  <c r="K110" i="32"/>
  <c r="H109" i="32"/>
  <c r="K109" i="32"/>
  <c r="I119" i="32"/>
  <c r="L119" i="32"/>
  <c r="I117" i="32"/>
  <c r="L117" i="32"/>
  <c r="I116" i="32"/>
  <c r="L116" i="32"/>
  <c r="I115" i="32"/>
  <c r="L115" i="32"/>
  <c r="I114" i="32"/>
  <c r="L114" i="32"/>
  <c r="I110" i="32"/>
  <c r="L110" i="32"/>
  <c r="H366" i="3"/>
  <c r="H365" i="3"/>
  <c r="E42" i="35"/>
  <c r="E68" i="35" s="1"/>
  <c r="J83" i="5"/>
  <c r="H325" i="3"/>
  <c r="H367" i="3"/>
  <c r="E108" i="34"/>
  <c r="F364" i="3" s="1"/>
  <c r="F361" i="3"/>
  <c r="H361" i="3" s="1"/>
  <c r="J95" i="5"/>
  <c r="J92" i="5" s="1"/>
  <c r="G103" i="32"/>
  <c r="F326" i="3" s="1"/>
  <c r="H326" i="3" s="1"/>
  <c r="G100" i="32"/>
  <c r="G101" i="32"/>
  <c r="G50" i="32"/>
  <c r="H52" i="32"/>
  <c r="G104" i="32"/>
  <c r="F324" i="3" s="1"/>
  <c r="G51" i="32"/>
  <c r="F323" i="3" s="1"/>
  <c r="H323" i="3" s="1"/>
  <c r="H356" i="3"/>
  <c r="E36" i="31"/>
  <c r="F354" i="3" s="1"/>
  <c r="H354" i="3" s="1"/>
  <c r="E192" i="30"/>
  <c r="E193" i="30" s="1"/>
  <c r="E256" i="30"/>
  <c r="F343" i="3" s="1"/>
  <c r="E162" i="30"/>
  <c r="E163" i="30" s="1"/>
  <c r="E222" i="30"/>
  <c r="E223" i="30" s="1"/>
  <c r="F342" i="3" s="1"/>
  <c r="H342" i="3" s="1"/>
  <c r="E39" i="30"/>
  <c r="E40" i="30" s="1"/>
  <c r="F314" i="3"/>
  <c r="H314" i="3" s="1"/>
  <c r="F313" i="3"/>
  <c r="F309" i="3"/>
  <c r="H309" i="3" s="1"/>
  <c r="F308" i="3"/>
  <c r="F306" i="3"/>
  <c r="F304" i="3"/>
  <c r="H304" i="3" s="1"/>
  <c r="E134" i="28"/>
  <c r="E151" i="28" s="1"/>
  <c r="F320" i="3" s="1"/>
  <c r="E70" i="28"/>
  <c r="E71" i="28" s="1"/>
  <c r="E99" i="28"/>
  <c r="E100" i="28" s="1"/>
  <c r="F319" i="3" s="1"/>
  <c r="E41" i="28"/>
  <c r="E87" i="27"/>
  <c r="E88" i="27" s="1"/>
  <c r="H315" i="3"/>
  <c r="H305" i="3"/>
  <c r="H310" i="3"/>
  <c r="E76" i="26"/>
  <c r="F300" i="3" l="1"/>
  <c r="H300" i="3" s="1"/>
  <c r="F210" i="3"/>
  <c r="H210" i="3" s="1"/>
  <c r="E113" i="35"/>
  <c r="H249" i="3"/>
  <c r="H251" i="3"/>
  <c r="H346" i="3"/>
  <c r="F348" i="3"/>
  <c r="H348" i="3" s="1"/>
  <c r="H319" i="3"/>
  <c r="H320" i="3"/>
  <c r="F338" i="3"/>
  <c r="H324" i="3"/>
  <c r="G105" i="32"/>
  <c r="I113" i="32"/>
  <c r="L113" i="32"/>
  <c r="H113" i="32"/>
  <c r="K113" i="32"/>
  <c r="I112" i="32"/>
  <c r="L112" i="32"/>
  <c r="H112" i="32"/>
  <c r="K112" i="32"/>
  <c r="C123" i="32" s="1"/>
  <c r="H108" i="32"/>
  <c r="L108" i="32"/>
  <c r="C124" i="32" s="1"/>
  <c r="I108" i="32"/>
  <c r="F318" i="3"/>
  <c r="H318" i="3" s="1"/>
  <c r="F317" i="3"/>
  <c r="H317" i="3" s="1"/>
  <c r="F209" i="3"/>
  <c r="H344" i="3"/>
  <c r="H360" i="3"/>
  <c r="H364" i="3"/>
  <c r="G52" i="32"/>
  <c r="F322" i="3"/>
  <c r="H322" i="3" s="1"/>
  <c r="F341" i="3"/>
  <c r="H341" i="3" s="1"/>
  <c r="H311" i="3"/>
  <c r="H313" i="3"/>
  <c r="H308" i="3"/>
  <c r="H297" i="3"/>
  <c r="H234" i="3"/>
  <c r="H235" i="3"/>
  <c r="H238" i="3"/>
  <c r="H239" i="3"/>
  <c r="H242" i="3"/>
  <c r="H243" i="3"/>
  <c r="H256" i="3"/>
  <c r="H220" i="3"/>
  <c r="H221" i="3"/>
  <c r="E498" i="24"/>
  <c r="E501" i="24" s="1"/>
  <c r="F206" i="3" s="1"/>
  <c r="E497" i="24"/>
  <c r="E500" i="24" s="1"/>
  <c r="F205" i="3" s="1"/>
  <c r="E496" i="24"/>
  <c r="E499" i="24" s="1"/>
  <c r="H207" i="3"/>
  <c r="E456" i="24"/>
  <c r="E458" i="24" s="1"/>
  <c r="E459" i="24" s="1"/>
  <c r="F196" i="3" s="1"/>
  <c r="E426" i="24"/>
  <c r="E428" i="24" s="1"/>
  <c r="E429" i="24" s="1"/>
  <c r="F194" i="3" s="1"/>
  <c r="H194" i="3" s="1"/>
  <c r="E396" i="24"/>
  <c r="E398" i="24" s="1"/>
  <c r="E399" i="24" s="1"/>
  <c r="F192" i="3" s="1"/>
  <c r="E365" i="24"/>
  <c r="E368" i="24" s="1"/>
  <c r="E369" i="24" s="1"/>
  <c r="F191" i="3" s="1"/>
  <c r="E337" i="24"/>
  <c r="E338" i="24" s="1"/>
  <c r="F203" i="3" s="1"/>
  <c r="E297" i="24"/>
  <c r="E296" i="24"/>
  <c r="E295" i="24"/>
  <c r="E294" i="24"/>
  <c r="E293" i="24"/>
  <c r="E292" i="24"/>
  <c r="E263" i="24"/>
  <c r="E262" i="24"/>
  <c r="E261" i="24"/>
  <c r="E260" i="24"/>
  <c r="E259" i="24"/>
  <c r="E258" i="24"/>
  <c r="E257" i="24"/>
  <c r="E256" i="24"/>
  <c r="E255" i="24"/>
  <c r="E215" i="24"/>
  <c r="E254" i="24"/>
  <c r="E253" i="24"/>
  <c r="E252" i="24"/>
  <c r="E251" i="24"/>
  <c r="E222" i="24"/>
  <c r="E221" i="24"/>
  <c r="E220" i="24"/>
  <c r="E219" i="24"/>
  <c r="E218" i="24"/>
  <c r="E217" i="24"/>
  <c r="E216" i="24"/>
  <c r="E214" i="24"/>
  <c r="E213" i="24"/>
  <c r="E212" i="24"/>
  <c r="E211" i="24"/>
  <c r="E210" i="24"/>
  <c r="E209" i="24"/>
  <c r="E208" i="24"/>
  <c r="E174" i="24"/>
  <c r="E177" i="24"/>
  <c r="E142" i="24"/>
  <c r="E140" i="24"/>
  <c r="F352" i="3" l="1"/>
  <c r="F351" i="3"/>
  <c r="H351" i="3" s="1"/>
  <c r="F350" i="3"/>
  <c r="H350" i="3" s="1"/>
  <c r="H217" i="3"/>
  <c r="H228" i="3"/>
  <c r="H226" i="3"/>
  <c r="H216" i="3"/>
  <c r="H225" i="3"/>
  <c r="H224" i="3"/>
  <c r="H229" i="3"/>
  <c r="H227" i="3"/>
  <c r="H231" i="3"/>
  <c r="H218" i="3"/>
  <c r="H209" i="3"/>
  <c r="F213" i="3"/>
  <c r="H213" i="3" s="1"/>
  <c r="F211" i="3"/>
  <c r="H211" i="3" s="1"/>
  <c r="H338" i="3"/>
  <c r="H339" i="3"/>
  <c r="H240" i="3"/>
  <c r="H219" i="3"/>
  <c r="H222" i="3"/>
  <c r="H230" i="3"/>
  <c r="H244" i="3"/>
  <c r="H223" i="3"/>
  <c r="H254" i="3"/>
  <c r="H236" i="3"/>
  <c r="H245" i="3"/>
  <c r="H241" i="3"/>
  <c r="H233" i="3"/>
  <c r="H205" i="3"/>
  <c r="H206" i="3"/>
  <c r="H196" i="3"/>
  <c r="H203" i="3"/>
  <c r="H192" i="3"/>
  <c r="H191" i="3"/>
  <c r="E180" i="24"/>
  <c r="E298" i="24"/>
  <c r="E299" i="24" s="1"/>
  <c r="F201" i="3" s="1"/>
  <c r="H201" i="3" s="1"/>
  <c r="E264" i="24"/>
  <c r="E265" i="24" s="1"/>
  <c r="F200" i="3" s="1"/>
  <c r="H200" i="3" s="1"/>
  <c r="E223" i="24"/>
  <c r="E224" i="24" s="1"/>
  <c r="F199" i="3" s="1"/>
  <c r="H199" i="3" s="1"/>
  <c r="E181" i="24"/>
  <c r="E245" i="21"/>
  <c r="E246" i="21" s="1"/>
  <c r="E244" i="21"/>
  <c r="F160" i="3"/>
  <c r="E145" i="24"/>
  <c r="E139" i="24"/>
  <c r="E138" i="24"/>
  <c r="E135" i="24"/>
  <c r="E134" i="24"/>
  <c r="E136" i="24"/>
  <c r="E132" i="24"/>
  <c r="E131" i="24"/>
  <c r="C125" i="32" l="1"/>
  <c r="E247" i="21"/>
  <c r="F159" i="3" s="1"/>
  <c r="F161" i="3" s="1"/>
  <c r="H161" i="3" s="1"/>
  <c r="H352" i="3"/>
  <c r="F185" i="3"/>
  <c r="F186" i="3" s="1"/>
  <c r="H186" i="3" s="1"/>
  <c r="H160" i="3"/>
  <c r="E137" i="24"/>
  <c r="E147" i="24" s="1"/>
  <c r="E101" i="24"/>
  <c r="E100" i="24"/>
  <c r="E99" i="24"/>
  <c r="E98" i="24"/>
  <c r="E97" i="24"/>
  <c r="E96" i="24"/>
  <c r="E95" i="24"/>
  <c r="H159" i="3" l="1"/>
  <c r="H185" i="3"/>
  <c r="E146" i="24"/>
  <c r="E103" i="24"/>
  <c r="E104" i="24"/>
  <c r="F189" i="3" s="1"/>
  <c r="H189" i="3" s="1"/>
  <c r="H184" i="3"/>
  <c r="E68" i="24"/>
  <c r="E67" i="24"/>
  <c r="E37" i="24"/>
  <c r="E38" i="24"/>
  <c r="F187" i="3" s="1"/>
  <c r="H187" i="3" s="1"/>
  <c r="H183" i="3" l="1"/>
  <c r="H371" i="3"/>
  <c r="H134" i="3"/>
  <c r="F126" i="3"/>
  <c r="F112" i="3"/>
  <c r="F111" i="3"/>
  <c r="H93" i="3"/>
  <c r="H25" i="3"/>
  <c r="H178" i="3"/>
  <c r="H179" i="3"/>
  <c r="H177" i="3"/>
  <c r="H176" i="3"/>
  <c r="H175" i="3"/>
  <c r="H174" i="3"/>
  <c r="H170" i="3"/>
  <c r="H171" i="3"/>
  <c r="H165" i="3"/>
  <c r="H166" i="3"/>
  <c r="H168" i="3"/>
  <c r="H169" i="3"/>
  <c r="H164" i="3"/>
  <c r="H163" i="3"/>
  <c r="H151" i="3"/>
  <c r="H153" i="3"/>
  <c r="H154" i="3"/>
  <c r="H155" i="3"/>
  <c r="H156" i="3"/>
  <c r="H150" i="3"/>
  <c r="E486" i="21"/>
  <c r="E485" i="21"/>
  <c r="F457" i="21"/>
  <c r="E453" i="21"/>
  <c r="E456" i="21"/>
  <c r="E455" i="21"/>
  <c r="E454" i="21"/>
  <c r="E421" i="21"/>
  <c r="E420" i="21"/>
  <c r="E394" i="21"/>
  <c r="E393" i="21"/>
  <c r="E364" i="21"/>
  <c r="E366" i="21"/>
  <c r="E365" i="21"/>
  <c r="E333" i="21"/>
  <c r="E332" i="21"/>
  <c r="E306" i="21"/>
  <c r="E305" i="21"/>
  <c r="E274" i="21"/>
  <c r="E273" i="21"/>
  <c r="E277" i="21" s="1"/>
  <c r="E276" i="21"/>
  <c r="E233" i="21"/>
  <c r="E232" i="21"/>
  <c r="E197" i="21"/>
  <c r="E198" i="21" s="1"/>
  <c r="F157" i="3" s="1"/>
  <c r="E173" i="21"/>
  <c r="E172" i="21"/>
  <c r="E148" i="21"/>
  <c r="E147" i="21"/>
  <c r="E118" i="21"/>
  <c r="E117" i="21"/>
  <c r="E90" i="21"/>
  <c r="E91" i="21"/>
  <c r="E65" i="21"/>
  <c r="E64" i="21"/>
  <c r="E34" i="21"/>
  <c r="E39" i="23"/>
  <c r="E345" i="20"/>
  <c r="E346" i="20" s="1"/>
  <c r="H138" i="3"/>
  <c r="H139" i="3"/>
  <c r="H137" i="3"/>
  <c r="H136" i="3"/>
  <c r="H132" i="3"/>
  <c r="H127" i="3"/>
  <c r="H128" i="3"/>
  <c r="H130" i="3"/>
  <c r="H131" i="3"/>
  <c r="H125" i="3"/>
  <c r="E316" i="20"/>
  <c r="E317" i="20" s="1"/>
  <c r="F144" i="3" s="1"/>
  <c r="E295" i="20"/>
  <c r="E296" i="20" s="1"/>
  <c r="F143" i="3" s="1"/>
  <c r="E273" i="20"/>
  <c r="E276" i="20" s="1"/>
  <c r="F142" i="3" s="1"/>
  <c r="E275" i="20"/>
  <c r="F141" i="3" s="1"/>
  <c r="G277" i="20"/>
  <c r="E244" i="20"/>
  <c r="E245" i="20" s="1"/>
  <c r="E215" i="20"/>
  <c r="E216" i="20" s="1"/>
  <c r="E183" i="20"/>
  <c r="E185" i="20" s="1"/>
  <c r="E182" i="20"/>
  <c r="E154" i="20"/>
  <c r="E155" i="20" s="1"/>
  <c r="E128" i="20"/>
  <c r="E130" i="20"/>
  <c r="E97" i="20"/>
  <c r="E98" i="20" s="1"/>
  <c r="E68" i="20"/>
  <c r="E69" i="20" s="1"/>
  <c r="E36" i="20"/>
  <c r="E38" i="20" s="1"/>
  <c r="E35" i="20"/>
  <c r="E39" i="20" s="1"/>
  <c r="E35" i="21"/>
  <c r="H121" i="3"/>
  <c r="E610" i="18"/>
  <c r="E611" i="18" s="1"/>
  <c r="F119" i="3"/>
  <c r="H118" i="3"/>
  <c r="H115" i="3"/>
  <c r="F110" i="3"/>
  <c r="F113" i="3" s="1"/>
  <c r="E640" i="18"/>
  <c r="E642" i="18"/>
  <c r="E643" i="18" s="1"/>
  <c r="H108" i="3"/>
  <c r="H104" i="3"/>
  <c r="H105" i="3"/>
  <c r="H85" i="3"/>
  <c r="E41" i="18"/>
  <c r="F82" i="3" s="1"/>
  <c r="E39" i="18"/>
  <c r="E40" i="18"/>
  <c r="E578" i="18"/>
  <c r="E579" i="18" s="1"/>
  <c r="E547" i="18"/>
  <c r="E546" i="18"/>
  <c r="E545" i="18"/>
  <c r="F547" i="18" s="1"/>
  <c r="E511" i="18"/>
  <c r="E512" i="18" s="1"/>
  <c r="F480" i="18"/>
  <c r="E479" i="18"/>
  <c r="E478" i="18"/>
  <c r="E480" i="18" s="1"/>
  <c r="E303" i="18"/>
  <c r="E304" i="18"/>
  <c r="E305" i="18"/>
  <c r="E306" i="18"/>
  <c r="E445" i="18"/>
  <c r="E446" i="18" s="1"/>
  <c r="E205" i="18"/>
  <c r="E204" i="18"/>
  <c r="F206" i="18" s="1"/>
  <c r="E206" i="18"/>
  <c r="E413" i="18"/>
  <c r="E414" i="18" s="1"/>
  <c r="E382" i="18"/>
  <c r="E381" i="18"/>
  <c r="E380" i="18"/>
  <c r="F382" i="18" s="1"/>
  <c r="E346" i="18"/>
  <c r="E347" i="18" s="1"/>
  <c r="E310" i="18"/>
  <c r="E313" i="18" s="1"/>
  <c r="E309" i="18"/>
  <c r="E272" i="18"/>
  <c r="E273" i="18" s="1"/>
  <c r="E239" i="18"/>
  <c r="E240" i="18" s="1"/>
  <c r="E145" i="18"/>
  <c r="E146" i="18" s="1"/>
  <c r="E81" i="18"/>
  <c r="E80" i="18"/>
  <c r="E79" i="18"/>
  <c r="E78" i="18"/>
  <c r="E77" i="18"/>
  <c r="E112" i="18"/>
  <c r="E113" i="18" s="1"/>
  <c r="C2" i="10"/>
  <c r="V19" i="10"/>
  <c r="T19" i="10"/>
  <c r="B21" i="7"/>
  <c r="B23" i="10" s="1"/>
  <c r="J75" i="5"/>
  <c r="J71" i="5" s="1"/>
  <c r="C35" i="13"/>
  <c r="C34" i="13"/>
  <c r="C33" i="13"/>
  <c r="C32" i="13"/>
  <c r="C31" i="13"/>
  <c r="C30" i="13"/>
  <c r="C29" i="13"/>
  <c r="B37" i="13" l="1"/>
  <c r="I3" i="37"/>
  <c r="O3" i="10"/>
  <c r="I3" i="3"/>
  <c r="E3" i="7"/>
  <c r="I264" i="3"/>
  <c r="J264" i="3" s="1"/>
  <c r="I265" i="3"/>
  <c r="J265" i="3" s="1"/>
  <c r="I231" i="3"/>
  <c r="J231" i="3" s="1"/>
  <c r="I230" i="3"/>
  <c r="J230" i="3" s="1"/>
  <c r="I229" i="3"/>
  <c r="J229" i="3" s="1"/>
  <c r="I228" i="3"/>
  <c r="J228" i="3" s="1"/>
  <c r="I227" i="3"/>
  <c r="J227" i="3" s="1"/>
  <c r="I226" i="3"/>
  <c r="J226" i="3" s="1"/>
  <c r="I225" i="3"/>
  <c r="J225" i="3" s="1"/>
  <c r="I224" i="3"/>
  <c r="J224" i="3" s="1"/>
  <c r="I219" i="3"/>
  <c r="J219" i="3" s="1"/>
  <c r="I218" i="3"/>
  <c r="J218" i="3" s="1"/>
  <c r="I217" i="3"/>
  <c r="H143" i="3"/>
  <c r="H144" i="3"/>
  <c r="H141" i="3"/>
  <c r="E40" i="20"/>
  <c r="E187" i="20"/>
  <c r="H157" i="3"/>
  <c r="H343" i="3"/>
  <c r="E457" i="21"/>
  <c r="F279" i="21"/>
  <c r="H126" i="3"/>
  <c r="H112" i="3"/>
  <c r="H113" i="3"/>
  <c r="H111" i="3"/>
  <c r="H172" i="3"/>
  <c r="H162" i="3"/>
  <c r="H142" i="3"/>
  <c r="H149" i="3"/>
  <c r="E279" i="21"/>
  <c r="E367" i="21"/>
  <c r="H146" i="3"/>
  <c r="H88" i="3"/>
  <c r="H135" i="3"/>
  <c r="H102" i="3"/>
  <c r="H120" i="3"/>
  <c r="H124" i="3"/>
  <c r="H107" i="3"/>
  <c r="H109" i="3"/>
  <c r="H114" i="3"/>
  <c r="H110" i="3"/>
  <c r="H119" i="3"/>
  <c r="F277" i="20"/>
  <c r="E277" i="20"/>
  <c r="E186" i="20"/>
  <c r="E129" i="20"/>
  <c r="F130" i="20" s="1"/>
  <c r="F40" i="20"/>
  <c r="F41" i="18"/>
  <c r="H117" i="3"/>
  <c r="H103" i="3"/>
  <c r="H101" i="3"/>
  <c r="H99" i="3"/>
  <c r="E312" i="18"/>
  <c r="E314" i="18"/>
  <c r="F314" i="18"/>
  <c r="H98" i="3"/>
  <c r="H97" i="3"/>
  <c r="H96" i="3"/>
  <c r="H94" i="3"/>
  <c r="H92" i="3"/>
  <c r="H87" i="3"/>
  <c r="A5" i="11" l="1"/>
  <c r="H47" i="11"/>
  <c r="G47" i="11"/>
  <c r="H43" i="11"/>
  <c r="G43" i="11"/>
  <c r="H36" i="11"/>
  <c r="G36" i="11"/>
  <c r="H24" i="11"/>
  <c r="G24" i="11"/>
  <c r="I1" i="11"/>
  <c r="V47" i="10"/>
  <c r="T47" i="10"/>
  <c r="V17" i="10"/>
  <c r="T17" i="10"/>
  <c r="V15" i="10"/>
  <c r="T15" i="10"/>
  <c r="V13" i="10"/>
  <c r="T13" i="10"/>
  <c r="V9" i="10"/>
  <c r="T9" i="10"/>
  <c r="V7" i="10"/>
  <c r="T7" i="10"/>
  <c r="G48" i="11" l="1"/>
  <c r="H48" i="11"/>
  <c r="L4" i="37" l="1"/>
  <c r="R4" i="10"/>
  <c r="L3" i="37"/>
  <c r="R3" i="10"/>
  <c r="L4" i="3"/>
  <c r="H4" i="7"/>
  <c r="J5" i="5" s="1"/>
  <c r="L3" i="3"/>
  <c r="H3" i="7"/>
  <c r="J4" i="5" s="1"/>
  <c r="B33" i="7" l="1"/>
  <c r="B47" i="10" s="1"/>
  <c r="B19" i="7"/>
  <c r="B19" i="10" s="1"/>
  <c r="B17" i="7"/>
  <c r="B15" i="10" s="1"/>
  <c r="B16" i="7"/>
  <c r="B13" i="10" s="1"/>
  <c r="B14" i="7"/>
  <c r="B9" i="10" s="1"/>
  <c r="B13" i="7"/>
  <c r="B7" i="10" s="1"/>
  <c r="G12" i="6"/>
  <c r="P23" i="6" s="1"/>
  <c r="G11" i="6"/>
  <c r="U21" i="6" s="1"/>
  <c r="G10" i="6"/>
  <c r="P21" i="6" s="1"/>
  <c r="G9" i="6"/>
  <c r="K21" i="6" s="1"/>
  <c r="G8" i="6"/>
  <c r="I21" i="6" s="1"/>
  <c r="G7" i="6"/>
  <c r="G21" i="6" s="1"/>
  <c r="Z21" i="6" l="1"/>
  <c r="I192" i="3"/>
  <c r="J192" i="3" s="1"/>
  <c r="I186" i="3"/>
  <c r="J186" i="3" s="1"/>
  <c r="I206" i="3"/>
  <c r="J206" i="3" s="1"/>
  <c r="I196" i="3"/>
  <c r="J196" i="3" s="1"/>
  <c r="K195" i="3" s="1"/>
  <c r="I187" i="3"/>
  <c r="J187" i="3" s="1"/>
  <c r="I199" i="3"/>
  <c r="J199" i="3" s="1"/>
  <c r="I205" i="3"/>
  <c r="J205" i="3" s="1"/>
  <c r="I203" i="3"/>
  <c r="J203" i="3" s="1"/>
  <c r="K202" i="3" s="1"/>
  <c r="I200" i="3"/>
  <c r="J200" i="3" s="1"/>
  <c r="I207" i="3"/>
  <c r="J207" i="3" s="1"/>
  <c r="I160" i="3"/>
  <c r="J160" i="3" s="1"/>
  <c r="I159" i="3"/>
  <c r="J159" i="3" s="1"/>
  <c r="I161" i="3"/>
  <c r="J161" i="3" s="1"/>
  <c r="I184" i="3"/>
  <c r="J184" i="3" s="1"/>
  <c r="I371" i="3"/>
  <c r="J371" i="3" s="1"/>
  <c r="I183" i="3"/>
  <c r="J183" i="3" s="1"/>
  <c r="I142" i="3"/>
  <c r="J142" i="3" s="1"/>
  <c r="I172" i="3"/>
  <c r="J172" i="3" s="1"/>
  <c r="I139" i="3"/>
  <c r="J139" i="3" s="1"/>
  <c r="I104" i="3"/>
  <c r="J104" i="3" s="1"/>
  <c r="I124" i="3"/>
  <c r="J124" i="3" s="1"/>
  <c r="I153" i="3"/>
  <c r="J153" i="3" s="1"/>
  <c r="I102" i="3"/>
  <c r="J102" i="3" s="1"/>
  <c r="I82" i="3"/>
  <c r="J82" i="3" s="1"/>
  <c r="I151" i="3"/>
  <c r="J151" i="3" s="1"/>
  <c r="I92" i="3"/>
  <c r="J92" i="3" s="1"/>
  <c r="I101" i="3"/>
  <c r="J101" i="3" s="1"/>
  <c r="I113" i="3"/>
  <c r="J113" i="3" s="1"/>
  <c r="I171" i="3"/>
  <c r="J171" i="3" s="1"/>
  <c r="I135" i="3"/>
  <c r="J135" i="3" s="1"/>
  <c r="I127" i="3"/>
  <c r="J127" i="3" s="1"/>
  <c r="I109" i="3"/>
  <c r="J109" i="3" s="1"/>
  <c r="I120" i="3"/>
  <c r="J120" i="3" s="1"/>
  <c r="I128" i="3"/>
  <c r="J128" i="3" s="1"/>
  <c r="I25" i="3"/>
  <c r="J25" i="3" s="1"/>
  <c r="I119" i="3"/>
  <c r="J119" i="3" s="1"/>
  <c r="I144" i="3"/>
  <c r="J144" i="3" s="1"/>
  <c r="I107" i="3"/>
  <c r="J107" i="3" s="1"/>
  <c r="I141" i="3"/>
  <c r="J141" i="3" s="1"/>
  <c r="I88" i="3"/>
  <c r="J88" i="3" s="1"/>
  <c r="I178" i="3"/>
  <c r="J178" i="3" s="1"/>
  <c r="I154" i="3"/>
  <c r="J154" i="3" s="1"/>
  <c r="I138" i="3"/>
  <c r="J138" i="3" s="1"/>
  <c r="I96" i="3"/>
  <c r="J96" i="3" s="1"/>
  <c r="I177" i="3"/>
  <c r="J177" i="3" s="1"/>
  <c r="I156" i="3"/>
  <c r="J156" i="3" s="1"/>
  <c r="I162" i="3"/>
  <c r="J162" i="3" s="1"/>
  <c r="I115" i="3"/>
  <c r="J115" i="3" s="1"/>
  <c r="I174" i="3"/>
  <c r="J174" i="3" s="1"/>
  <c r="I132" i="3"/>
  <c r="J132" i="3" s="1"/>
  <c r="I99" i="3"/>
  <c r="J99" i="3" s="1"/>
  <c r="I112" i="3"/>
  <c r="J112" i="3" s="1"/>
  <c r="I105" i="3"/>
  <c r="J105" i="3" s="1"/>
  <c r="I111" i="3"/>
  <c r="J111" i="3" s="1"/>
  <c r="I118" i="3"/>
  <c r="J118" i="3" s="1"/>
  <c r="I165" i="3"/>
  <c r="J165" i="3" s="1"/>
  <c r="I121" i="3"/>
  <c r="J121" i="3" s="1"/>
  <c r="I168" i="3"/>
  <c r="J168" i="3" s="1"/>
  <c r="I131" i="3"/>
  <c r="J131" i="3" s="1"/>
  <c r="I169" i="3"/>
  <c r="J169" i="3" s="1"/>
  <c r="I125" i="3"/>
  <c r="J125" i="3" s="1"/>
  <c r="I146" i="3"/>
  <c r="J146" i="3" s="1"/>
  <c r="K145" i="3" s="1"/>
  <c r="I143" i="3"/>
  <c r="J143" i="3" s="1"/>
  <c r="I163" i="3"/>
  <c r="J163" i="3" s="1"/>
  <c r="I97" i="3"/>
  <c r="J97" i="3" s="1"/>
  <c r="I110" i="3"/>
  <c r="J110" i="3" s="1"/>
  <c r="I179" i="3"/>
  <c r="J179" i="3" s="1"/>
  <c r="I155" i="3"/>
  <c r="J155" i="3" s="1"/>
  <c r="I137" i="3"/>
  <c r="J137" i="3" s="1"/>
  <c r="I117" i="3"/>
  <c r="J117" i="3" s="1"/>
  <c r="I134" i="3"/>
  <c r="J134" i="3" s="1"/>
  <c r="I136" i="3"/>
  <c r="J136" i="3" s="1"/>
  <c r="I94" i="3"/>
  <c r="J94" i="3" s="1"/>
  <c r="I176" i="3"/>
  <c r="J176" i="3" s="1"/>
  <c r="I103" i="3"/>
  <c r="J103" i="3" s="1"/>
  <c r="I175" i="3"/>
  <c r="J175" i="3" s="1"/>
  <c r="I108" i="3"/>
  <c r="J108" i="3" s="1"/>
  <c r="I150" i="3"/>
  <c r="J150" i="3" s="1"/>
  <c r="I114" i="3"/>
  <c r="J114" i="3" s="1"/>
  <c r="I87" i="3"/>
  <c r="J87" i="3" s="1"/>
  <c r="I170" i="3"/>
  <c r="J170" i="3" s="1"/>
  <c r="I166" i="3"/>
  <c r="J166" i="3" s="1"/>
  <c r="I130" i="3"/>
  <c r="J130" i="3" s="1"/>
  <c r="I93" i="3"/>
  <c r="J93" i="3" s="1"/>
  <c r="I149" i="3"/>
  <c r="J149" i="3" s="1"/>
  <c r="I126" i="3"/>
  <c r="J126" i="3" s="1"/>
  <c r="I98" i="3"/>
  <c r="J98" i="3" s="1"/>
  <c r="I164" i="3"/>
  <c r="J164" i="3" s="1"/>
  <c r="I77" i="3" l="1"/>
  <c r="J77" i="3" s="1"/>
  <c r="I78" i="3"/>
  <c r="J78" i="3" s="1"/>
  <c r="I76" i="3"/>
  <c r="J76" i="3" s="1"/>
  <c r="I75" i="3"/>
  <c r="J75" i="3" s="1"/>
  <c r="I74" i="3"/>
  <c r="J74" i="3" s="1"/>
  <c r="I57" i="3"/>
  <c r="J57" i="3" s="1"/>
  <c r="I56" i="3"/>
  <c r="J56" i="3" s="1"/>
  <c r="I21" i="3"/>
  <c r="J21" i="3" s="1"/>
  <c r="I248" i="3"/>
  <c r="J248" i="3" s="1"/>
  <c r="I247" i="3"/>
  <c r="J247" i="3" s="1"/>
  <c r="I246" i="3"/>
  <c r="J246" i="3" s="1"/>
  <c r="I17" i="3"/>
  <c r="J17" i="3" s="1"/>
  <c r="I19" i="3"/>
  <c r="J19" i="3" s="1"/>
  <c r="I369" i="3"/>
  <c r="J369" i="3" s="1"/>
  <c r="K368" i="3" s="1"/>
  <c r="I15" i="3"/>
  <c r="J15" i="3" s="1"/>
  <c r="I59" i="3"/>
  <c r="J59" i="3" s="1"/>
  <c r="I34" i="3"/>
  <c r="J34" i="3" s="1"/>
  <c r="I44" i="3"/>
  <c r="J44" i="3" s="1"/>
  <c r="I42" i="3"/>
  <c r="J42" i="3" s="1"/>
  <c r="I37" i="3"/>
  <c r="J37" i="3" s="1"/>
  <c r="I46" i="3"/>
  <c r="J46" i="3" s="1"/>
  <c r="I70" i="3"/>
  <c r="J70" i="3" s="1"/>
  <c r="I66" i="3"/>
  <c r="J66" i="3" s="1"/>
  <c r="I65" i="3"/>
  <c r="J65" i="3" s="1"/>
  <c r="I69" i="3"/>
  <c r="J69" i="3" s="1"/>
  <c r="I62" i="3"/>
  <c r="J62" i="3" s="1"/>
  <c r="I61" i="3"/>
  <c r="J61" i="3" s="1"/>
  <c r="I52" i="3"/>
  <c r="J52" i="3" s="1"/>
  <c r="I47" i="3"/>
  <c r="J47" i="3" s="1"/>
  <c r="I48" i="3"/>
  <c r="J48" i="3" s="1"/>
  <c r="I49" i="3"/>
  <c r="J49" i="3" s="1"/>
  <c r="I68" i="3"/>
  <c r="J68" i="3" s="1"/>
  <c r="I45" i="3"/>
  <c r="J45" i="3" s="1"/>
  <c r="I38" i="3"/>
  <c r="J38" i="3" s="1"/>
  <c r="I50" i="3"/>
  <c r="J50" i="3" s="1"/>
  <c r="I67" i="3"/>
  <c r="J67" i="3" s="1"/>
  <c r="I39" i="3"/>
  <c r="J39" i="3" s="1"/>
  <c r="I60" i="3"/>
  <c r="J60" i="3" s="1"/>
  <c r="I51" i="3"/>
  <c r="J51" i="3" s="1"/>
  <c r="I63" i="3"/>
  <c r="J63" i="3" s="1"/>
  <c r="I64" i="3"/>
  <c r="J64" i="3" s="1"/>
  <c r="I58" i="3"/>
  <c r="J58" i="3" s="1"/>
  <c r="I185" i="3"/>
  <c r="J185" i="3" s="1"/>
  <c r="K182" i="3" s="1"/>
  <c r="I72" i="3"/>
  <c r="J72" i="3" s="1"/>
  <c r="I73" i="3"/>
  <c r="J73" i="3" s="1"/>
  <c r="I40" i="3"/>
  <c r="J40" i="3" s="1"/>
  <c r="I41" i="3"/>
  <c r="J41" i="3" s="1"/>
  <c r="I189" i="3"/>
  <c r="J189" i="3" s="1"/>
  <c r="K188" i="3" s="1"/>
  <c r="I194" i="3"/>
  <c r="J194" i="3" s="1"/>
  <c r="K193" i="3" s="1"/>
  <c r="I2" i="37"/>
  <c r="I298" i="3"/>
  <c r="J298" i="3" s="1"/>
  <c r="I191" i="3"/>
  <c r="J191" i="3" s="1"/>
  <c r="K190" i="3" s="1"/>
  <c r="I259" i="3"/>
  <c r="J259" i="3" s="1"/>
  <c r="I201" i="3"/>
  <c r="J201" i="3" s="1"/>
  <c r="K198" i="3" s="1"/>
  <c r="E2" i="7"/>
  <c r="I2" i="3"/>
  <c r="O2" i="10"/>
  <c r="I286" i="3"/>
  <c r="J286" i="3" s="1"/>
  <c r="I29" i="3"/>
  <c r="J29" i="3" s="1"/>
  <c r="I293" i="3"/>
  <c r="J293" i="3" s="1"/>
  <c r="I292" i="3"/>
  <c r="J292" i="3" s="1"/>
  <c r="I278" i="3"/>
  <c r="J278" i="3" s="1"/>
  <c r="I281" i="3"/>
  <c r="J281" i="3" s="1"/>
  <c r="I252" i="3"/>
  <c r="J252" i="3" s="1"/>
  <c r="I270" i="3"/>
  <c r="J270" i="3" s="1"/>
  <c r="I294" i="3"/>
  <c r="J294" i="3" s="1"/>
  <c r="I274" i="3"/>
  <c r="J274" i="3" s="1"/>
  <c r="I237" i="3"/>
  <c r="J237" i="3" s="1"/>
  <c r="I285" i="3"/>
  <c r="J285" i="3" s="1"/>
  <c r="I275" i="3"/>
  <c r="J275" i="3" s="1"/>
  <c r="I280" i="3"/>
  <c r="J280" i="3" s="1"/>
  <c r="I290" i="3"/>
  <c r="J290" i="3" s="1"/>
  <c r="I257" i="3"/>
  <c r="J257" i="3" s="1"/>
  <c r="I263" i="3"/>
  <c r="J263" i="3" s="1"/>
  <c r="I283" i="3"/>
  <c r="J283" i="3" s="1"/>
  <c r="I261" i="3"/>
  <c r="J261" i="3" s="1"/>
  <c r="I250" i="3"/>
  <c r="J250" i="3" s="1"/>
  <c r="I289" i="3"/>
  <c r="J289" i="3" s="1"/>
  <c r="I28" i="3"/>
  <c r="J28" i="3" s="1"/>
  <c r="I27" i="3"/>
  <c r="J27" i="3" s="1"/>
  <c r="I282" i="3"/>
  <c r="J282" i="3" s="1"/>
  <c r="I32" i="3"/>
  <c r="J32" i="3" s="1"/>
  <c r="I268" i="3"/>
  <c r="J268" i="3" s="1"/>
  <c r="I276" i="3"/>
  <c r="J276" i="3" s="1"/>
  <c r="I291" i="3"/>
  <c r="J291" i="3" s="1"/>
  <c r="I31" i="3"/>
  <c r="J31" i="3" s="1"/>
  <c r="I271" i="3"/>
  <c r="J271" i="3" s="1"/>
  <c r="I260" i="3"/>
  <c r="J260" i="3" s="1"/>
  <c r="I258" i="3"/>
  <c r="J258" i="3" s="1"/>
  <c r="I30" i="3"/>
  <c r="J30" i="3" s="1"/>
  <c r="I269" i="3"/>
  <c r="J269" i="3" s="1"/>
  <c r="I273" i="3"/>
  <c r="J273" i="3" s="1"/>
  <c r="I287" i="3"/>
  <c r="J287" i="3" s="1"/>
  <c r="I284" i="3"/>
  <c r="J284" i="3" s="1"/>
  <c r="I262" i="3"/>
  <c r="J262" i="3" s="1"/>
  <c r="I288" i="3"/>
  <c r="J288" i="3" s="1"/>
  <c r="I279" i="3"/>
  <c r="J279" i="3" s="1"/>
  <c r="I249" i="3"/>
  <c r="J249" i="3" s="1"/>
  <c r="I251" i="3"/>
  <c r="J251" i="3" s="1"/>
  <c r="I233" i="3"/>
  <c r="J233" i="3" s="1"/>
  <c r="I222" i="3"/>
  <c r="J222" i="3" s="1"/>
  <c r="I216" i="3"/>
  <c r="J216" i="3" s="1"/>
  <c r="I239" i="3"/>
  <c r="J239" i="3" s="1"/>
  <c r="I245" i="3"/>
  <c r="J245" i="3" s="1"/>
  <c r="I223" i="3"/>
  <c r="J223" i="3" s="1"/>
  <c r="I243" i="3"/>
  <c r="J243" i="3" s="1"/>
  <c r="I241" i="3"/>
  <c r="J241" i="3" s="1"/>
  <c r="I236" i="3"/>
  <c r="J236" i="3" s="1"/>
  <c r="I256" i="3"/>
  <c r="J256" i="3" s="1"/>
  <c r="I242" i="3"/>
  <c r="J242" i="3" s="1"/>
  <c r="I238" i="3"/>
  <c r="J238" i="3" s="1"/>
  <c r="J217" i="3"/>
  <c r="I244" i="3"/>
  <c r="J244" i="3" s="1"/>
  <c r="I234" i="3"/>
  <c r="J234" i="3" s="1"/>
  <c r="I220" i="3"/>
  <c r="J220" i="3" s="1"/>
  <c r="I235" i="3"/>
  <c r="J235" i="3" s="1"/>
  <c r="I240" i="3"/>
  <c r="J240" i="3" s="1"/>
  <c r="I221" i="3"/>
  <c r="J221" i="3" s="1"/>
  <c r="K129" i="3"/>
  <c r="K116" i="3"/>
  <c r="K133" i="3"/>
  <c r="K167" i="3"/>
  <c r="K173" i="3"/>
  <c r="K95" i="3"/>
  <c r="K106" i="3"/>
  <c r="K100" i="3"/>
  <c r="K123" i="3"/>
  <c r="K158" i="3"/>
  <c r="I332" i="3"/>
  <c r="J332" i="3" s="1"/>
  <c r="I331" i="3"/>
  <c r="J331" i="3" s="1"/>
  <c r="I330" i="3"/>
  <c r="J330" i="3" s="1"/>
  <c r="I329" i="3"/>
  <c r="J329" i="3" s="1"/>
  <c r="I328" i="3"/>
  <c r="J328" i="3" s="1"/>
  <c r="I323" i="3"/>
  <c r="J323" i="3" s="1"/>
  <c r="I322" i="3"/>
  <c r="J322" i="3" s="1"/>
  <c r="I319" i="3"/>
  <c r="J319" i="3" s="1"/>
  <c r="I354" i="3"/>
  <c r="J354" i="3" s="1"/>
  <c r="K353" i="3" s="1"/>
  <c r="H28" i="7" s="1"/>
  <c r="C38" i="10" s="1"/>
  <c r="I358" i="3"/>
  <c r="J358" i="3" s="1"/>
  <c r="K357" i="3" s="1"/>
  <c r="H30" i="7" s="1"/>
  <c r="C42" i="10" s="1"/>
  <c r="I341" i="3"/>
  <c r="J341" i="3" s="1"/>
  <c r="I340" i="3"/>
  <c r="J340" i="3" s="1"/>
  <c r="I339" i="3"/>
  <c r="J339" i="3" s="1"/>
  <c r="I338" i="3"/>
  <c r="J338" i="3" s="1"/>
  <c r="I310" i="3"/>
  <c r="J310" i="3" s="1"/>
  <c r="I309" i="3"/>
  <c r="J309" i="3" s="1"/>
  <c r="I304" i="3"/>
  <c r="J304" i="3" s="1"/>
  <c r="I305" i="3"/>
  <c r="J305" i="3" s="1"/>
  <c r="I313" i="3"/>
  <c r="J313" i="3" s="1"/>
  <c r="I315" i="3"/>
  <c r="J315" i="3" s="1"/>
  <c r="I209" i="3"/>
  <c r="J209" i="3" s="1"/>
  <c r="I320" i="3"/>
  <c r="J320" i="3" s="1"/>
  <c r="I335" i="3"/>
  <c r="J335" i="3" s="1"/>
  <c r="I308" i="3"/>
  <c r="J308" i="3" s="1"/>
  <c r="I311" i="3"/>
  <c r="J311" i="3" s="1"/>
  <c r="I302" i="3"/>
  <c r="J302" i="3" s="1"/>
  <c r="I356" i="3"/>
  <c r="J356" i="3" s="1"/>
  <c r="K355" i="3" s="1"/>
  <c r="H29" i="7" s="1"/>
  <c r="C40" i="10" s="1"/>
  <c r="I336" i="3"/>
  <c r="J336" i="3" s="1"/>
  <c r="I361" i="3"/>
  <c r="J361" i="3" s="1"/>
  <c r="I157" i="3"/>
  <c r="J157" i="3" s="1"/>
  <c r="K152" i="3" s="1"/>
  <c r="I364" i="3"/>
  <c r="J364" i="3" s="1"/>
  <c r="I324" i="3"/>
  <c r="J324" i="3" s="1"/>
  <c r="I346" i="3"/>
  <c r="J346" i="3" s="1"/>
  <c r="I347" i="3"/>
  <c r="J347" i="3" s="1"/>
  <c r="I350" i="3"/>
  <c r="J350" i="3" s="1"/>
  <c r="I352" i="3"/>
  <c r="J352" i="3" s="1"/>
  <c r="I351" i="3"/>
  <c r="J351" i="3" s="1"/>
  <c r="I348" i="3"/>
  <c r="J348" i="3" s="1"/>
  <c r="I325" i="3"/>
  <c r="J325" i="3" s="1"/>
  <c r="I327" i="3"/>
  <c r="J327" i="3" s="1"/>
  <c r="I326" i="3"/>
  <c r="J326" i="3" s="1"/>
  <c r="I367" i="3"/>
  <c r="J367" i="3" s="1"/>
  <c r="I366" i="3"/>
  <c r="J366" i="3" s="1"/>
  <c r="I365" i="3"/>
  <c r="J365" i="3" s="1"/>
  <c r="I213" i="3"/>
  <c r="J213" i="3" s="1"/>
  <c r="I212" i="3"/>
  <c r="J212" i="3" s="1"/>
  <c r="I211" i="3"/>
  <c r="J211" i="3" s="1"/>
  <c r="I342" i="3"/>
  <c r="J342" i="3" s="1"/>
  <c r="I318" i="3"/>
  <c r="J318" i="3" s="1"/>
  <c r="I317" i="3"/>
  <c r="J317" i="3" s="1"/>
  <c r="I210" i="3"/>
  <c r="J210" i="3" s="1"/>
  <c r="I314" i="3"/>
  <c r="J314" i="3" s="1"/>
  <c r="I297" i="3"/>
  <c r="J297" i="3" s="1"/>
  <c r="I301" i="3"/>
  <c r="J301" i="3" s="1"/>
  <c r="I300" i="3"/>
  <c r="J300" i="3" s="1"/>
  <c r="I299" i="3"/>
  <c r="J299" i="3" s="1"/>
  <c r="I360" i="3"/>
  <c r="J360" i="3" s="1"/>
  <c r="I344" i="3"/>
  <c r="J344" i="3" s="1"/>
  <c r="I254" i="3"/>
  <c r="J254" i="3" s="1"/>
  <c r="I255" i="3"/>
  <c r="J255" i="3" s="1"/>
  <c r="I343" i="3"/>
  <c r="J343" i="3" s="1"/>
  <c r="K204" i="3"/>
  <c r="K140" i="3"/>
  <c r="K148" i="3"/>
  <c r="U39" i="4"/>
  <c r="U38" i="4"/>
  <c r="U37" i="4"/>
  <c r="U30" i="4"/>
  <c r="U29" i="4"/>
  <c r="U28" i="4"/>
  <c r="T31" i="4" s="1"/>
  <c r="U21" i="4"/>
  <c r="U20" i="4"/>
  <c r="U19" i="4"/>
  <c r="K14" i="3" l="1"/>
  <c r="K24" i="3"/>
  <c r="K16" i="3"/>
  <c r="T22" i="4"/>
  <c r="J67" i="5" s="1"/>
  <c r="J65" i="5" s="1"/>
  <c r="K71" i="3"/>
  <c r="K43" i="3"/>
  <c r="K208" i="3"/>
  <c r="H18" i="7" s="1"/>
  <c r="C18" i="10" s="1"/>
  <c r="K36" i="3"/>
  <c r="K296" i="3"/>
  <c r="K272" i="3"/>
  <c r="K215" i="3"/>
  <c r="K232" i="3"/>
  <c r="K277" i="3"/>
  <c r="K267" i="3"/>
  <c r="O38" i="10"/>
  <c r="P38" i="10"/>
  <c r="Q40" i="10"/>
  <c r="P40" i="10"/>
  <c r="Q42" i="10"/>
  <c r="P42" i="10"/>
  <c r="K253" i="3"/>
  <c r="K316" i="3"/>
  <c r="H22" i="7" s="1"/>
  <c r="C26" i="10" s="1"/>
  <c r="K181" i="3"/>
  <c r="K312" i="3"/>
  <c r="K349" i="3"/>
  <c r="H27" i="7" s="1"/>
  <c r="C36" i="10" s="1"/>
  <c r="K345" i="3"/>
  <c r="H26" i="7" s="1"/>
  <c r="C34" i="10" s="1"/>
  <c r="K363" i="3"/>
  <c r="H32" i="7" s="1"/>
  <c r="C46" i="10" s="1"/>
  <c r="K334" i="3"/>
  <c r="H24" i="7" s="1"/>
  <c r="C30" i="10" s="1"/>
  <c r="K307" i="3"/>
  <c r="K337" i="3"/>
  <c r="H25" i="7" s="1"/>
  <c r="C32" i="10" s="1"/>
  <c r="K147" i="3"/>
  <c r="K122" i="3"/>
  <c r="K197" i="3"/>
  <c r="T40" i="4"/>
  <c r="I86" i="3"/>
  <c r="J86" i="3" s="1"/>
  <c r="K13" i="3" l="1"/>
  <c r="H333" i="3"/>
  <c r="K35" i="3"/>
  <c r="H15" i="7" s="1"/>
  <c r="C12" i="10" s="1"/>
  <c r="K266" i="3"/>
  <c r="H20" i="7" s="1"/>
  <c r="C22" i="10" s="1"/>
  <c r="N22" i="10" s="1"/>
  <c r="K214" i="3"/>
  <c r="N34" i="10"/>
  <c r="M34" i="10"/>
  <c r="O36" i="10"/>
  <c r="N36" i="10"/>
  <c r="M36" i="10"/>
  <c r="M32" i="10"/>
  <c r="L32" i="10"/>
  <c r="M30" i="10"/>
  <c r="L30" i="10"/>
  <c r="J26" i="10"/>
  <c r="I26" i="10"/>
  <c r="L26" i="10"/>
  <c r="K26" i="10"/>
  <c r="R46" i="10"/>
  <c r="Q46" i="10"/>
  <c r="H18" i="10"/>
  <c r="G18" i="10"/>
  <c r="J18" i="10"/>
  <c r="I18" i="10"/>
  <c r="I362" i="3"/>
  <c r="J362" i="3" s="1"/>
  <c r="K359" i="3" s="1"/>
  <c r="H362" i="3"/>
  <c r="K180" i="3"/>
  <c r="J61" i="5"/>
  <c r="J57" i="5" s="1"/>
  <c r="H33" i="7"/>
  <c r="I85" i="3"/>
  <c r="J85" i="3" s="1"/>
  <c r="H86" i="3"/>
  <c r="H82" i="3"/>
  <c r="H91" i="3"/>
  <c r="I91" i="3"/>
  <c r="J91" i="3" s="1"/>
  <c r="H90" i="3"/>
  <c r="I90" i="3"/>
  <c r="J90" i="3" s="1"/>
  <c r="H84" i="3"/>
  <c r="I84" i="3"/>
  <c r="J84" i="3" s="1"/>
  <c r="H83" i="3"/>
  <c r="I83" i="3"/>
  <c r="J83" i="3" s="1"/>
  <c r="I333" i="3" l="1"/>
  <c r="J333" i="3" s="1"/>
  <c r="K321" i="3" s="1"/>
  <c r="H23" i="7" s="1"/>
  <c r="C28" i="10" s="1"/>
  <c r="J28" i="10" s="1"/>
  <c r="H31" i="7"/>
  <c r="C44" i="10" s="1"/>
  <c r="R44" i="10" s="1"/>
  <c r="M22" i="10"/>
  <c r="J22" i="10"/>
  <c r="K22" i="10"/>
  <c r="K81" i="3"/>
  <c r="L22" i="10"/>
  <c r="O22" i="10"/>
  <c r="P22" i="10"/>
  <c r="F12" i="10"/>
  <c r="E12" i="10"/>
  <c r="G12" i="10"/>
  <c r="K89" i="3"/>
  <c r="C48" i="10"/>
  <c r="K28" i="10" l="1"/>
  <c r="L28" i="10"/>
  <c r="O44" i="10"/>
  <c r="Q44" i="10"/>
  <c r="P44" i="10"/>
  <c r="K80" i="3"/>
  <c r="K79" i="3" s="1"/>
  <c r="I306" i="3"/>
  <c r="J306" i="3" s="1"/>
  <c r="K375" i="3" s="1"/>
  <c r="H306" i="3"/>
  <c r="L13" i="3" l="1"/>
  <c r="H16" i="7"/>
  <c r="C14" i="10" s="1"/>
  <c r="K303" i="3"/>
  <c r="H19" i="7"/>
  <c r="C20" i="10" s="1"/>
  <c r="O20" i="10" s="1"/>
  <c r="H17" i="7"/>
  <c r="C16" i="10" s="1"/>
  <c r="G16" i="10" s="1"/>
  <c r="L20" i="10" l="1"/>
  <c r="K20" i="10"/>
  <c r="J20" i="10"/>
  <c r="N20" i="10"/>
  <c r="M20" i="10"/>
  <c r="I14" i="10"/>
  <c r="H14" i="10"/>
  <c r="G14" i="10"/>
  <c r="J14" i="10"/>
  <c r="F14" i="10"/>
  <c r="E16" i="10"/>
  <c r="F16" i="10"/>
  <c r="K295" i="3"/>
  <c r="H13" i="7"/>
  <c r="H21" i="7" l="1"/>
  <c r="C8" i="10"/>
  <c r="K373" i="3"/>
  <c r="H35" i="7" s="1"/>
  <c r="L16" i="3"/>
  <c r="L71" i="3" l="1"/>
  <c r="L14" i="3"/>
  <c r="C24" i="10"/>
  <c r="M24" i="10" s="1"/>
  <c r="L43" i="3"/>
  <c r="L36" i="3"/>
  <c r="L368" i="3"/>
  <c r="L35" i="3"/>
  <c r="I15" i="7" s="1"/>
  <c r="E8" i="10"/>
  <c r="Q8" i="10"/>
  <c r="Q52" i="10" s="1"/>
  <c r="C33" i="41" s="1"/>
  <c r="F8" i="10"/>
  <c r="F52" i="10" s="1"/>
  <c r="C22" i="41" s="1"/>
  <c r="R8" i="10"/>
  <c r="R52" i="10" s="1"/>
  <c r="C34" i="41" s="1"/>
  <c r="J8" i="10"/>
  <c r="J52" i="10" s="1"/>
  <c r="C26" i="41" s="1"/>
  <c r="K8" i="10"/>
  <c r="L8" i="10"/>
  <c r="M8" i="10"/>
  <c r="M52" i="10" s="1"/>
  <c r="C29" i="41" s="1"/>
  <c r="N8" i="10"/>
  <c r="O8" i="10"/>
  <c r="O52" i="10" s="1"/>
  <c r="C31" i="41" s="1"/>
  <c r="P8" i="10"/>
  <c r="P52" i="10" s="1"/>
  <c r="C32" i="41" s="1"/>
  <c r="G8" i="10"/>
  <c r="G52" i="10" s="1"/>
  <c r="C23" i="41" s="1"/>
  <c r="H8" i="10"/>
  <c r="H52" i="10" s="1"/>
  <c r="C24" i="41" s="1"/>
  <c r="I8" i="10"/>
  <c r="I52" i="10" s="1"/>
  <c r="C25" i="41" s="1"/>
  <c r="L277" i="3"/>
  <c r="L266" i="3"/>
  <c r="I20" i="7" s="1"/>
  <c r="L295" i="3"/>
  <c r="L267" i="3"/>
  <c r="L272" i="3"/>
  <c r="L214" i="3"/>
  <c r="L232" i="3"/>
  <c r="L215" i="3"/>
  <c r="L253" i="3"/>
  <c r="L349" i="3"/>
  <c r="I27" i="7" s="1"/>
  <c r="L345" i="3"/>
  <c r="I26" i="7" s="1"/>
  <c r="L363" i="3"/>
  <c r="I32" i="7" s="1"/>
  <c r="L357" i="3"/>
  <c r="I30" i="7" s="1"/>
  <c r="L359" i="3"/>
  <c r="I31" i="7" s="1"/>
  <c r="L353" i="3"/>
  <c r="I28" i="7" s="1"/>
  <c r="L355" i="3"/>
  <c r="I29" i="7" s="1"/>
  <c r="L334" i="3"/>
  <c r="I24" i="7" s="1"/>
  <c r="L337" i="3"/>
  <c r="I25" i="7" s="1"/>
  <c r="L316" i="3"/>
  <c r="I22" i="7" s="1"/>
  <c r="L321" i="3"/>
  <c r="I23" i="7" s="1"/>
  <c r="L208" i="3"/>
  <c r="I18" i="7" s="1"/>
  <c r="L312" i="3"/>
  <c r="L296" i="3"/>
  <c r="L303" i="3"/>
  <c r="L307" i="3"/>
  <c r="L195" i="3"/>
  <c r="L204" i="3"/>
  <c r="L190" i="3"/>
  <c r="L193" i="3"/>
  <c r="L197" i="3"/>
  <c r="L202" i="3"/>
  <c r="L188" i="3"/>
  <c r="L198" i="3"/>
  <c r="L167" i="3"/>
  <c r="L158" i="3"/>
  <c r="L152" i="3"/>
  <c r="L148" i="3"/>
  <c r="L173" i="3"/>
  <c r="L133" i="3"/>
  <c r="L140" i="3"/>
  <c r="L123" i="3"/>
  <c r="L129" i="3"/>
  <c r="L116" i="3"/>
  <c r="L81" i="3"/>
  <c r="L100" i="3"/>
  <c r="L106" i="3"/>
  <c r="L89" i="3"/>
  <c r="L95" i="3"/>
  <c r="L145" i="3"/>
  <c r="L147" i="3"/>
  <c r="D8" i="10"/>
  <c r="L373" i="3"/>
  <c r="K374" i="3"/>
  <c r="N24" i="10" l="1"/>
  <c r="N52" i="10" s="1"/>
  <c r="C30" i="41" s="1"/>
  <c r="K24" i="10"/>
  <c r="K52" i="10" s="1"/>
  <c r="C27" i="41" s="1"/>
  <c r="L24" i="10"/>
  <c r="L52" i="10" s="1"/>
  <c r="C28" i="41" s="1"/>
  <c r="C15" i="9"/>
  <c r="C14" i="9"/>
  <c r="C19" i="9"/>
  <c r="C13" i="9"/>
  <c r="C12" i="9"/>
  <c r="C16" i="9"/>
  <c r="L374" i="3"/>
  <c r="L375" i="3" s="1"/>
  <c r="H36" i="7"/>
  <c r="L80" i="3"/>
  <c r="L122" i="3"/>
  <c r="L182" i="3"/>
  <c r="L181" i="3"/>
  <c r="L79" i="3"/>
  <c r="L180" i="3"/>
  <c r="C18" i="9" l="1"/>
  <c r="C17" i="9"/>
  <c r="C20" i="9"/>
  <c r="C24" i="9"/>
  <c r="C23" i="9"/>
  <c r="C21" i="9"/>
  <c r="C22" i="9"/>
  <c r="H14" i="7"/>
  <c r="H37" i="7" s="1"/>
  <c r="L24" i="3"/>
  <c r="C10" i="10" l="1"/>
  <c r="C49" i="10" s="1"/>
  <c r="C27" i="10" s="1"/>
  <c r="M283" i="37"/>
  <c r="E10" i="10" l="1"/>
  <c r="E52" i="10" s="1"/>
  <c r="C21" i="41" s="1"/>
  <c r="D10" i="10"/>
  <c r="D52" i="10" s="1"/>
  <c r="C20" i="41" s="1"/>
  <c r="I33" i="7"/>
  <c r="J37" i="7"/>
  <c r="I21" i="7"/>
  <c r="I16" i="7"/>
  <c r="I17" i="7"/>
  <c r="I19" i="7"/>
  <c r="I13" i="7"/>
  <c r="I35" i="7"/>
  <c r="I36" i="7"/>
  <c r="I14" i="7"/>
  <c r="C36" i="41" l="1"/>
  <c r="D20" i="41" s="1"/>
  <c r="C10" i="9"/>
  <c r="C47" i="10"/>
  <c r="C11" i="10"/>
  <c r="I37" i="7"/>
  <c r="C23" i="10"/>
  <c r="C39" i="10"/>
  <c r="C31" i="10"/>
  <c r="C33" i="10"/>
  <c r="C29" i="10"/>
  <c r="C15" i="10"/>
  <c r="C13" i="10"/>
  <c r="C19" i="10"/>
  <c r="C41" i="10"/>
  <c r="C21" i="10"/>
  <c r="C45" i="10"/>
  <c r="C35" i="10"/>
  <c r="C25" i="10"/>
  <c r="C9" i="10"/>
  <c r="C43" i="10"/>
  <c r="C7" i="10"/>
  <c r="C17" i="10"/>
  <c r="C37" i="10"/>
  <c r="D53" i="10"/>
  <c r="C11" i="9"/>
  <c r="I20" i="41" l="1"/>
  <c r="J20" i="41" s="1"/>
  <c r="E20" i="41"/>
  <c r="D21" i="41"/>
  <c r="I21" i="41" s="1"/>
  <c r="D26" i="41"/>
  <c r="I26" i="41" s="1"/>
  <c r="D22" i="41"/>
  <c r="I22" i="41" s="1"/>
  <c r="D32" i="41"/>
  <c r="I32" i="41" s="1"/>
  <c r="D29" i="41"/>
  <c r="I29" i="41" s="1"/>
  <c r="D25" i="41"/>
  <c r="I25" i="41" s="1"/>
  <c r="D23" i="41"/>
  <c r="I23" i="41" s="1"/>
  <c r="D31" i="41"/>
  <c r="I31" i="41" s="1"/>
  <c r="D24" i="41"/>
  <c r="I24" i="41" s="1"/>
  <c r="D34" i="41"/>
  <c r="I34" i="41" s="1"/>
  <c r="D33" i="41"/>
  <c r="I33" i="41" s="1"/>
  <c r="D28" i="41"/>
  <c r="I28" i="41" s="1"/>
  <c r="D30" i="41"/>
  <c r="I30" i="41" s="1"/>
  <c r="D27" i="41"/>
  <c r="I27" i="41" s="1"/>
  <c r="D54" i="10"/>
  <c r="E54" i="10" s="1"/>
  <c r="F54" i="10" s="1"/>
  <c r="G54" i="10" s="1"/>
  <c r="H54" i="10" s="1"/>
  <c r="I54" i="10" s="1"/>
  <c r="J54" i="10" s="1"/>
  <c r="K54" i="10" s="1"/>
  <c r="L54" i="10" s="1"/>
  <c r="M54" i="10" s="1"/>
  <c r="N54" i="10" s="1"/>
  <c r="O54" i="10" s="1"/>
  <c r="P54" i="10" s="1"/>
  <c r="Q54" i="10" s="1"/>
  <c r="R54" i="10" s="1"/>
  <c r="U54" i="10" s="1"/>
  <c r="C26" i="9"/>
  <c r="C28" i="9" s="1"/>
  <c r="E53" i="10"/>
  <c r="F53" i="10" s="1"/>
  <c r="G53" i="10" s="1"/>
  <c r="H53" i="10" s="1"/>
  <c r="I53" i="10" s="1"/>
  <c r="J53" i="10" s="1"/>
  <c r="K53" i="10" s="1"/>
  <c r="L53" i="10" s="1"/>
  <c r="M53" i="10" s="1"/>
  <c r="N53" i="10" s="1"/>
  <c r="O53" i="10" s="1"/>
  <c r="P53" i="10" s="1"/>
  <c r="Q53" i="10" s="1"/>
  <c r="R53" i="10" s="1"/>
  <c r="D36" i="41" l="1"/>
  <c r="E21" i="41"/>
  <c r="E22" i="41" s="1"/>
  <c r="E23" i="41" s="1"/>
  <c r="E24" i="41" s="1"/>
  <c r="E25" i="41" s="1"/>
  <c r="E26" i="41" s="1"/>
  <c r="E27" i="41" s="1"/>
  <c r="E28" i="41" s="1"/>
  <c r="E29" i="41" s="1"/>
  <c r="E30" i="41" s="1"/>
  <c r="E31" i="41" s="1"/>
  <c r="E32" i="41" s="1"/>
  <c r="E33" i="41" s="1"/>
  <c r="E34" i="41" s="1"/>
  <c r="J21" i="41"/>
  <c r="J22" i="41" s="1"/>
  <c r="J23" i="41" s="1"/>
  <c r="J24" i="41" s="1"/>
  <c r="J25" i="41" s="1"/>
  <c r="J26" i="41" s="1"/>
  <c r="J27" i="41" s="1"/>
  <c r="J28" i="41" s="1"/>
  <c r="J29" i="41" s="1"/>
  <c r="J30" i="41" s="1"/>
  <c r="J31" i="41" s="1"/>
  <c r="J32" i="41" s="1"/>
  <c r="J33" i="41" s="1"/>
  <c r="J34" i="41" s="1"/>
  <c r="D12" i="9"/>
  <c r="D16" i="9"/>
  <c r="D14" i="9"/>
  <c r="D23" i="9"/>
  <c r="D21" i="9"/>
  <c r="D15" i="9"/>
  <c r="D22" i="9"/>
  <c r="D18" i="9"/>
  <c r="D20" i="9"/>
  <c r="D19" i="9"/>
  <c r="D17" i="9"/>
  <c r="D13" i="9"/>
  <c r="D24" i="9"/>
  <c r="D10" i="9"/>
  <c r="E10" i="9" s="1"/>
  <c r="H10" i="9" s="1"/>
  <c r="D11" i="9"/>
  <c r="D26" i="9" l="1"/>
  <c r="E11" i="9"/>
  <c r="H11" i="9" s="1"/>
  <c r="E12" i="9" l="1"/>
  <c r="H12" i="9" s="1"/>
  <c r="E13" i="9" l="1"/>
  <c r="H13" i="9" s="1"/>
  <c r="E14" i="9" l="1"/>
  <c r="H14" i="9" s="1"/>
  <c r="E15" i="9" l="1"/>
  <c r="H15" i="9" s="1"/>
  <c r="E16" i="9" l="1"/>
  <c r="H16" i="9" s="1"/>
  <c r="E17" i="9" l="1"/>
  <c r="H17" i="9" s="1"/>
  <c r="E18" i="9" l="1"/>
  <c r="H18" i="9" s="1"/>
  <c r="E19" i="9" l="1"/>
  <c r="H19" i="9" s="1"/>
  <c r="E20" i="9" l="1"/>
  <c r="H20" i="9" s="1"/>
  <c r="E21" i="9" l="1"/>
  <c r="H21" i="9" s="1"/>
  <c r="E22" i="9" l="1"/>
  <c r="H22" i="9" s="1"/>
  <c r="E23" i="9" l="1"/>
  <c r="E24" i="9" l="1"/>
  <c r="H24" i="9" s="1"/>
  <c r="H23" i="9"/>
</calcChain>
</file>

<file path=xl/sharedStrings.xml><?xml version="1.0" encoding="utf-8"?>
<sst xmlns="http://schemas.openxmlformats.org/spreadsheetml/2006/main" count="6171" uniqueCount="2103">
  <si>
    <t>M</t>
  </si>
  <si>
    <t>UN</t>
  </si>
  <si>
    <t>M2</t>
  </si>
  <si>
    <t>M3</t>
  </si>
  <si>
    <t>CHP</t>
  </si>
  <si>
    <t>ROLO COMPACTADOR VIBRATÓRIO DE UM CILINDRO AÇO LISO, POTÊNCIA 80 HP, PESO OPERACIONAL MÁXIMO 8,1 T, IMPACTO DINÂMICO 16,15 / 9,5 T, LARGURA DE TRABALHO 1,68 M - CHP DIURNO. AF_06/2014</t>
  </si>
  <si>
    <t>CAMINHÃO PIPA 6.000 L, PESO BRUTO TOTAL 13.000 KG, DISTÂNCIA ENTRE EIXOS 4,80 M, POTÊNCIA 189 CV INCLUSIVE TANQUE DE AÇO PARA TRANSPORTE DE ÁGUA, CAPACIDADE 6 M3 - CHP DIURNO. AF_06/2014</t>
  </si>
  <si>
    <t>CHI</t>
  </si>
  <si>
    <t>ROLO COMPACTADOR VIBRATÓRIO DE UM CILINDRO AÇO LISO, POTÊNCIA 80 HP, PESO OPERACIONAL MÁXIMO 8,1 T, IMPACTO DINÂMICO 16,15 / 9,5 T, LARGURA DE TRABALHO 1,68 M - CHI DIURNO. AF_06/2014</t>
  </si>
  <si>
    <t>H</t>
  </si>
  <si>
    <t>KG</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</si>
  <si>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</si>
  <si>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</si>
  <si>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</si>
  <si>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FECHADURA DE EMBUTIR COM CILINDRO, EXTERNA, COMPLETA, ACABAMENTO PADRÃO MÉDIO, INCLUSO EXECUÇÃO DE FURO - FORNECIMENTO E INSTALAÇÃO. AF_12/2019</t>
  </si>
  <si>
    <t>FECHADURA DE EMBUTIR PARA PORTAS INTERNAS, COMPLETA, ACABAMENTO PADRÃO MÉDIO, COM EXECUÇÃO DE FURO - FORNECIMENTO E INSTALAÇÃO. AF_12/2019</t>
  </si>
  <si>
    <t>PORTA DE FERRO, DE ABRIR, TIPO GRADE COM CHAPA, COM GUARNIÇÕES. AF_12/2019</t>
  </si>
  <si>
    <t>PORTA EM ALUMÍNIO DE ABRIR TIPO VENEZIANA COM GUARNIÇÃO, FIXAÇÃO COM PARAFUSOS - FORNECIMENTO E INSTALAÇÃO. AF_12/2019</t>
  </si>
  <si>
    <t>TARJETA TIPO LIVRE/OCUPADO PARA PORTA DE BANHEIRO. AF_12/2019</t>
  </si>
  <si>
    <t>LASTRO DE CONCRETO MAGRO, APLICADO EM BLOCOS DE COROAMENTO OU SAPATAS, ESPESSURA DE 5 CM. AF_01/2024</t>
  </si>
  <si>
    <t>FABRICAÇÃO DE FÔRMA PARA VIGAS, EM CHAPA DE MADEIRA COMPENSADA RESINADA, E = 17 MM.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</si>
  <si>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</si>
  <si>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</si>
  <si>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</si>
  <si>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VIGA, ESCORAMENTO COM PONTALETE DE MADEIRA, PÉ-DIREITO SIMPLES, EM MADEIRA SERRADA, 2 UTILIZAÇÕES. AF_09/2020</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</si>
  <si>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</si>
  <si>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</si>
  <si>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</si>
  <si>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</si>
  <si>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MONTAGEM E DESMONTAGEM DE FÔRMA PARA ESCADAS, COM 2 LANCES EM "L" E LAJE PLANA, EM MADEIRA SERRADA, 2 UTILIZAÇÕES. AF_11/2020</t>
  </si>
  <si>
    <t>MONTAGEM E DESMONTAGEM DE FÔRMA PARA ESCADAS, COM 1 LANCE E LAJE PLANA, EM MADEIRA SERRADA, 1 UTILIZAÇÃO. AF_11/2020</t>
  </si>
  <si>
    <t>ARMAÇÃO DE PILAR OU VIGA DE ESTRUTURA CONVENCIONAL DE CONCRETO ARMADO UTILIZANDO AÇO CA-50 DE 6,3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</si>
  <si>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</si>
  <si>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</si>
  <si>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</si>
  <si>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CORTE E DOBRA DE AÇO CA-60, DIÂMETRO DE 4,2 MM. AF_06/2022</t>
  </si>
  <si>
    <t>CORTE E DOBRA DE AÇO CA-60, DIÂMETRO DE 5,0 MM. AF_06/2022</t>
  </si>
  <si>
    <t>ARMAÇÃO UTILIZANDO AÇO CA-25 DE 6,3 MM - MONTAGEM. AF_06/2022</t>
  </si>
  <si>
    <t>ARMAÇÃO UTILIZANDO AÇO CA-25 DE 8,0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</si>
  <si>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</si>
  <si>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20,0 MM - MONTAGEM. AF_06/2022</t>
  </si>
  <si>
    <t>MONTAGEM DE ARMADURA DE ESTACAS, DIÂMETRO = 10,0 MM. AF_09/2021_PS</t>
  </si>
  <si>
    <t>MONTAGEM DE ARMADURA DE ESTACAS, DIÂMETRO = 12,5 MM. AF_09/2021_PS</t>
  </si>
  <si>
    <t>MONTAGEM DE ARMADURA TRANSVERSAL DE ESTACAS DE SEÇÃO CIRCULAR, DIÂMETRO = 6,30 MM. AF_09/2021_PS</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</si>
  <si>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</si>
  <si>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</si>
  <si>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16,0 MM - MONTAGEM. AF_11/2020</t>
  </si>
  <si>
    <t>ARMAÇÃO DE BLOCO UTILIZANDO AÇO CA-50 DE 10 MM - MONTAGEM. AF_01/2024</t>
  </si>
  <si>
    <t>ARMAÇÃO DE PILAR OU VIGA DE ESTRUTURA DE CONCRETO ARMADO EMBUTIDA EM ALVENARIA DE VEDAÇÃO UTILIZANDO AÇO CA-60 DE 5,0 MM - MONTAGEM. AF_06/2022</t>
  </si>
  <si>
    <t>ARMAÇÃO DE SAPATA ISOLADA, VIGA BALDRAME E SAPATA CORRIDA UTILIZANDO AÇO CA-50 DE 6,3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</si>
  <si>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</si>
  <si>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</si>
  <si>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</si>
  <si>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CONCRETO FCK = 15MPA, TRAÇO 1:3,4:3,5 (EM MASSA SECA DE CIMENTO/ AREIA MÉDIA/ BRITA 1) - PREPARO MECÂNICO COM BETONEIRA 400 L. AF_05/2021</t>
  </si>
  <si>
    <t>CONCRETO FCK = 25MPA, TRAÇO 1:2,3:2,7 (EM MASSA SECA DE CIMENTO/ AREIA MÉDIA/ BRITA 1) - PREPARO MECÂNICO COM BETONEIRA 400 L. AF_05/2021</t>
  </si>
  <si>
    <t>LANÇAMENTO COM USO DE BALDES, ADENSAMENTO E ACABAMENTO DE CONCRETO EM ESTRUTURAS.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</si>
  <si>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</si>
  <si>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</si>
  <si>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</si>
  <si>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ESCADAS, FCK=25 MPA, COM USO DE BOMBA - LANÇAMENTO, ADENSAMENTO E ACABAMENTO. AF_02/2022_PS</t>
  </si>
  <si>
    <t>VERGA MOLDADA IN LOCO EM CONCRETO, ESPESSURA DE *20* CM. AF_03/2024</t>
  </si>
  <si>
    <t>CONTRAVERGA PRÉ-MOLDADA, ESPESSURA DE *20* CM. AF_03/2024</t>
  </si>
  <si>
    <t>VERGA PRÉ-FABRICADA COM ATÉ 1,5 M DE VÃO, ESPESSURA DE *20* CM. AF_03/2024</t>
  </si>
  <si>
    <t>PEDRA DE MÃO FIXADA COM CONCRETO PARA BACIA DE DISSIPAÇÃO, 40% DE CONCRETO EM VOLUME, FCK = 20 MPA, COM USO DE JERICA E PREPARO EM BETONEIRA DE 600 L - AREIA, BRITA E PEDRA DE MÃO COMERCIAIS - LANÇAMENTO, ADENSAMENTO E ACABAMENTO. AF_08/2022</t>
  </si>
  <si>
    <t>ESCADA HIDRÁULICA, LARGURA DE 1 A 4,1 M, TIPO DESCIDA D'ÁGUA DE ATERRO EM DEGRAUS (DAD 04, 06, 08, 10, 12, 14, 16, 18), EM CONCRETO USINADO, FCK = 20 MPA, LANÇADO COM BOMBA, INCLUINDO ARMAÇÃO, MATERIAIS E FÔRMAS (3 UTILIZAÇÕES). AF_08/2022</t>
  </si>
  <si>
    <t>CURVA 90 GRAUS PARA ELETRODUTO, PVC, ROSCÁVEL, DN 32 MM (1"), PARA CIRCUITOS TERMINAIS, INSTALADA EM FORRO - FORNECIMENTO E INSTALAÇÃO. AF_03/2023</t>
  </si>
  <si>
    <t>CURVA 90 GRAUS PARA ELETRODUTO, PVC, ROSCÁVEL, DN 60 MM (2"), PARA REDE ENTERRADA DE DISTRIBUIÇÃO DE ENERGIA ELÉTRICA - FORNECIMENTO E INSTALAÇÃO. AF_12/2021</t>
  </si>
  <si>
    <t>CURVA 90 GRAUS PARA ELETRODUTO, PVC, ROSCÁVEL, DN 85 MM (3"), PARA REDE ENTERRADA DE DISTRIBUIÇÃO DE ENERGIA ELÉTRICA - FORNECIMENTO E INSTALAÇÃO. AF_12/2021</t>
  </si>
  <si>
    <t>CABO DE COBRE FLEXÍVEL ISOLADO, 2,5 MM², ANTI-CHAMA 0,6/1,0 KV, PARA CIRCUITOS TERMINAIS - FORNECIMENTO E INSTALAÇÃO. AF_03/2023</t>
  </si>
  <si>
    <t>CABO DE COBRE FLEXÍVEL ISOLADO, 10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</si>
  <si>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</si>
  <si>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</si>
  <si>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CONDULETE DE ALUMÍNIO, TIPO LR, PARA ELETRODUTO DE AÇO GALVANIZADO DN 25 MM (1''), APARENTE - FORNECIMENTO E INSTALAÇÃO. AF_10/2022</t>
  </si>
  <si>
    <t>CONDULETE DE ALUMÍNIO, TIPO T, PARA ELETRODUTO DE AÇO GALVANIZADO DN 25 MM (1''), APARENTE - FORNECIMENTO E INSTALAÇÃO. AF_10/2022</t>
  </si>
  <si>
    <t>CONDULETE DE ALUMÍNIO, TIPO X, PARA ELETRODUTO DE AÇO GALVANIZADO DN 25 MM (1''), APARENTE - FORNECIMENTO E INSTALAÇÃO. AF_10/2022</t>
  </si>
  <si>
    <t>CONDULETE DE PVC, TIPO LL, PARA ELETRODUTO DE PVC SOLDÁVEL DN 32 MM (1''), APARENTE - FORNECIMENTO E INSTALAÇÃO. AF_10/2022</t>
  </si>
  <si>
    <t>ISOLADOR, TIPO ROLDANA, PARA BAIXA TENSÃO - FORNECIMENTO E INSTALAÇÃO. AF_07/2020</t>
  </si>
  <si>
    <t>CABO TELEFÔNICO CTP-APL-50 30 PARES INSTALADO EM ENTRADA DE EDIFICAÇÃO - FORNECIMENTO E INSTALAÇÃO. AF_11/2019</t>
  </si>
  <si>
    <t>RACK FECHADO PARA SERVIDOR - FORNECIMENTO E INSTALAÇÃO. AF_11/2019</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</si>
  <si>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</si>
  <si>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</si>
  <si>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</si>
  <si>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</si>
  <si>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</si>
  <si>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</si>
  <si>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</si>
  <si>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</si>
  <si>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</si>
  <si>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</si>
  <si>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</si>
  <si>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JUNÇÃO SIMPLES,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</si>
  <si>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</si>
  <si>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JUNÇÃO SIMPLES, PVC, SERIE NORMAL, ESGOTO PREDIAL, DN 50 X 50 MM, JUNTA ELÁSTICA, FORNECIDO E INSTALADO EM PRUMADA DE ESGOTO SANITÁRIO OU VENTILAÇÃO. AF_08/2022</t>
  </si>
  <si>
    <t>JUNÇÃO SIMPLES, PVC, SERIE NORMAL, ESGOTO PREDIAL, DN 75 X 75 MM, JUNTA ELÁSTICA, FORNECIDO E INSTALADO EM PRUMADA DE ESGOTO SANITÁRIO OU VENTILAÇÃO. AF_08/2022</t>
  </si>
  <si>
    <t>JUNÇÃO SIMPLES, PVC, SERIE NORMAL, ESGOTO PREDIAL, DN 100 X 100 MM, JUNTA ELÁSTICA, FORNECIDO E INSTALADO EM PRUMADA DE ESGOTO SANITÁRIO OU VENTILAÇÃO. AF_08/2022</t>
  </si>
  <si>
    <t>BUCHA DE REDUÇÃO, LONGA, PVC, SOLDÁVEL, DN 40 X 25 MM, INSTALADO EM PRUMADA DE ÁGUA - FORNECIMENTO E INSTALAÇÃO. AF_06/2022</t>
  </si>
  <si>
    <t>CAIXA SIFONADA, PVC, DN 100 X 100 X 50 MM, JUNTA ELÁSTICA, FORNECIDA E INSTALADA EM RAMAL DE DESCARGA OU EM RAMAL DE ESGOTO SANITÁRIO. AF_08/2022</t>
  </si>
  <si>
    <t>44,31</t>
  </si>
  <si>
    <t>SIFÃO DO TIPO GARRAFA EM METAL CROMADO 1 X 1.1/2" - FORNECIMENTO E INSTALAÇÃO. AF_01/2020</t>
  </si>
  <si>
    <t>ENGATE FLEXÍVEL EM PLÁSTICO BRANCO, 1/2" X 30CM - FORNECIMENTO E INSTALAÇÃO. AF_01/2020</t>
  </si>
  <si>
    <t>LAVATÓRIO LOUÇA BRANCA SUSPENSO, 29,5 X 39CM OU EQUIVALENTE, PADRÃO POPULAR - FORNECIMENTO E INSTALAÇÃO. AF_01/2020</t>
  </si>
  <si>
    <t>MICTÓRIO SIFONADO LOUÇA BRANCA - PADRÃO MÉDIO - FORNECIMENTO E INSTALAÇÃO. AF_01/2020</t>
  </si>
  <si>
    <t>REGISTRO DE GAVETA BRUTO, LATÃO, ROSCÁVEL, 2" - FORNECIMENTO E INSTALAÇÃO. AF_08/2021</t>
  </si>
  <si>
    <t>REGISTRO DE GAVETA BRUTO, LATÃO, ROSCÁVEL, 2 1/2" - FORNECIMENTO E INSTALAÇÃO. AF_08/2021</t>
  </si>
  <si>
    <t>REGISTRO DE GAVETA BRUTO, LATÃO, ROSCÁVEL, 1", COM ACABAMENTO E CANOPLA CROMADOS - FORNECIMENTO E INSTALAÇÃO. AF_08/2021</t>
  </si>
  <si>
    <t>TORNEIRA DE BOIA PARA CAIXA D'ÁGUA, ROSCÁVEL, 1" - FORNECIMENTO E INSTALAÇÃO. AF_08/2021</t>
  </si>
  <si>
    <t>ESCAVAÇÃO MANUAL PARA BLOCO DE COROAMENTO OU SAPATA (INCLUINDO ESCAVAÇÃO PARA COLOCAÇÃO DE FÔRMAS). AF_01/2024</t>
  </si>
  <si>
    <t>ESCAVAÇÃO MANUAL PARA VIGA BALDRAME OU SAPATA CORRIDA (INCLUINDO ESCAVAÇÃO PARA COLOCAÇÃO DE FÔRMAS). AF_01/2024</t>
  </si>
  <si>
    <t>ESCAVAÇÃO MECANIZADA DE VALA COM PROF. ATÉ 1,5 M (MÉDIA MONTANTE E JUSANTE/UMA COMPOSIÇÃO POR TRECHO), RETROESCAV. (0,26 M3), LARG. MENOR QUE 0,8 M, EM SOLO DE 2A CATEGORIA, EM LOCAIS COM ALTO NÍVEL DE INTERFERÊNCIA. AF_02/2021</t>
  </si>
  <si>
    <t>REATERRO MANUAL DE VALAS, COM COMPACTADOR DE SOLOS DE PERCUSSÃO. AF_08/2023</t>
  </si>
  <si>
    <t>TXKM</t>
  </si>
  <si>
    <t>PREPARO DE FUNDO DE VALA COM LARGURA MENOR QUE 1,5 M (ACERTO DO SOLO NATURAL). AF_08/2020</t>
  </si>
  <si>
    <t>PREPARO DE FUNDO DE VALA COM LARGURA MAIOR OU IGUAL A 1,5 M E MENOR QUE 2,5 M (ACERTO DO SOLO NATURAL). AF_08/2020</t>
  </si>
  <si>
    <t>ALVENARIA DE VEDAÇÃO DE BLOCOS CERÂMICOS FURADOS NA VERTICAL DE 9X19X39 CM (ESPESSURA 9 CM) E ARGAMASSA DE ASSENTAMENTO COM PREPARO EM BETONEIRA. AF_12/2021</t>
  </si>
  <si>
    <t>ALVENARIA DE VEDAÇÃO DE BLOCOS CERÂMICOS FURADOS NA VERTICAL DE 19X19X39 CM (ESPESSURA 19 CM) E ARGAMASSA DE ASSENTAMENTO COM PREPARO EM BETONEIRA. AF_12/2021</t>
  </si>
  <si>
    <t>ALVENARIA DE BLOCOS DE CONCRETO ESTRUTURAL 14X19X29 CM (ESPESSURA 14 CM), FBK = 4,5 MPA, UTILIZANDO COLHER DE PEDREIRO. AF_10/2022</t>
  </si>
  <si>
    <t>EXECUÇÃO DE PAVIMENTO EM PARALELEPÍPEDOS, REJUNTAMENTO COM ARGAMASSA TRAÇO 1:3 (CIMENTO E AREIA). AF_05/2020</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</si>
  <si>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</si>
  <si>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</si>
  <si>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</si>
  <si>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</si>
  <si>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DUAS DEMÃOS, LIXAMENTO MANUAL. AF_04/2023</t>
  </si>
  <si>
    <t>EMASSAMENTO COM MASSA LÁTEX, APLICAÇÃO EM PAREDE, DUAS DEMÃOS, LIXAMENTO MANUAL. AF_04/2023</t>
  </si>
  <si>
    <t>PISO EM GRANILITE, MARMORITE OU GRANITINA EM AMBIENTES INTERNOS, COM ESPESSURA DE 8 MM, INCLUSO MISTURA EM BETONEIRA, COLOCAÇÃO DAS JUNTAS, APLICAÇÃO DO PISO, 4 POLIMENTOS COM POLITRIZ, ESTUCAMENTO, SELADOR E CERA. AF_06/2022</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</si>
  <si>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</si>
  <si>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</si>
  <si>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</si>
  <si>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ARGAMASSA TRAÇO 1:3 (EM VOLUME DE CIMENTO E AREIA MÉDIA ÚMIDA), PREPARO MECÂNICO COM BETONEIRA 400 L. AF_08/2019</t>
  </si>
  <si>
    <t>M3XKM</t>
  </si>
  <si>
    <t>LIMPEZA DE CONTRAPISO COM VASSOURA A SECO. AF_04/2019</t>
  </si>
  <si>
    <t>DEMOLIÇÃO DE ALVENARIA PARA QUALQUER TIPO DE BLOCO, DE FORMA MECANIZADA, SEM REAPROVEITAMENTO. AF_09/2023</t>
  </si>
  <si>
    <t>DEMOLIÇÃO DE PILARES E VIGAS EM CONCRETO ARMADO, DE FORMA MECANIZADA COM MARTELETE, SEM REAPROVEITAMENTO. AF_09/2023</t>
  </si>
  <si>
    <t>DEMOLIÇÃO DE ARGAMASSAS, DE FORMA MANUAL, SEM REAPROVEITAMENTO. AF_09/2023</t>
  </si>
  <si>
    <t>DEMOLIÇÃO DE RODAPÉ CERÂMICO, DE FORMA MANUAL, SEM REAPROVEITAMENTO. AF_09/2023</t>
  </si>
  <si>
    <t>REMOÇÃO DE PORTAS, DE FORMA MANUAL, SEM REAPROVEITAMENTO. AF_09/2023</t>
  </si>
  <si>
    <t>REMOÇÃO DE JANELAS, DE FORMA MANUAL, SEM REAPROVEITAMENTO. AF_09/2023</t>
  </si>
  <si>
    <t>REMOÇÃO DE LOUÇAS, DE FORMA MANUAL, SEM REAPROVEITAMENTO. AF_09/2023</t>
  </si>
  <si>
    <t>REMOÇÃO DE METAIS SANITÁRIOS, DE FORMA MANUAL, SEM REAPROVEITAMENTO. AF_09/2023</t>
  </si>
  <si>
    <t>TRANSPORTE COM CAMINHÃO BASCULANTE DE 6 M³, EM VIA URBANA PAVIMENTADA, DMT ATÉ 30 KM (UNIDADE: M3XKM). AF_07/2020</t>
  </si>
  <si>
    <t>LIMPEZA MANUAL DE VEGETAÇÃO EM TERRENO COM ENXADA. AF_03/2024</t>
  </si>
  <si>
    <t>INSTALAÇÃO DE PERGOLADO DE MADEIRA, EM MAÇARANDUBA, ANGELIM OU EQUIVALENTE DA REGIÃO, FIXADO COM CONCRETO SOBRE PISO DE CONCRETO EXISTENTE. AF_11/2021</t>
  </si>
  <si>
    <t>AJUDANTE DE CARPINTEIRO COM ENCARGOS COMPLEMENTARES</t>
  </si>
  <si>
    <t>AUXILIAR DE SERRALHEIRO COM ENCARGOS COMPLEMENTARES</t>
  </si>
  <si>
    <t>CALCETEIRO COM ENCARGOS COMPLEMENTARES</t>
  </si>
  <si>
    <t>PEDREIRO COM ENCARGOS COMPLEMENTARES</t>
  </si>
  <si>
    <t>SERRALHEIRO COM ENCARGOS COMPLEMENTARES</t>
  </si>
  <si>
    <t>SERVENTE COM ENCARGOS COMPLEMENTARES</t>
  </si>
  <si>
    <t>APONTADOR OU APROPRIADOR COM ENCARGOS COMPLEMENTARES</t>
  </si>
  <si>
    <t>ENGENHEIRO CIVIL DE OBRA PLENO COM ENCARGOS COMPLEMENTARES</t>
  </si>
  <si>
    <t>TOPOGRAFO COM ENCARGOS COMPLEMENTARES</t>
  </si>
  <si>
    <t>MES</t>
  </si>
  <si>
    <t>ENCARREGADO GERAL DE OBRAS COM ENCARGOS COMPLEMENTARES</t>
  </si>
  <si>
    <t>TÉCNICO EM SEGURANÇA DO TRABALHO COM ENCARGOS COMPLEMENTARES</t>
  </si>
  <si>
    <t>CARPINTEIRO DE ESQUADRIAS COM ENCARGOS COMPLEMENTARES</t>
  </si>
  <si>
    <t>TÉCNICO EM SONDAGEM COM ENCARGOS COMPLEMENTARES</t>
  </si>
  <si>
    <t>SERVIÇOS PRELIMINARES</t>
  </si>
  <si>
    <t>m2</t>
  </si>
  <si>
    <t>un</t>
  </si>
  <si>
    <t>m</t>
  </si>
  <si>
    <t>ED-48468</t>
  </si>
  <si>
    <t>REMOÇÃO MANUAL DE LUMINÁRIA COMERCIAL, EMBUTIDA OU SOBREPOR, COM REAPROVEITAMENTO, INCLUSIVE AFASTAMENTO E EMPILHAMENTO, EXCLUSIVE TRANSPORTE E RETIRADA DO MATERIAL REMOVIDO NÃO REAPROVEITÁVEL</t>
  </si>
  <si>
    <t>m3</t>
  </si>
  <si>
    <t>ED-48435</t>
  </si>
  <si>
    <t>DEMOLIÇÃO MANUAL DE ALVENARIA DE TIJOLO CERÂMICO OU BLOCO DE CONCRETO,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</si>
  <si>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</si>
  <si>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</si>
  <si>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</si>
  <si>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</si>
  <si>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</si>
  <si>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</si>
  <si>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</si>
  <si>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</si>
  <si>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</si>
  <si>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</si>
  <si>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</si>
  <si>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</si>
  <si>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</si>
  <si>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</si>
  <si>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</si>
  <si>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</si>
  <si>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</si>
  <si>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</si>
  <si>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ED-50130</t>
  </si>
  <si>
    <t>BARRACÃO DE OBRA PARA INSTALAÇÃO SANITÁRIA TIPO-I, ÁREA INTERNA 14,52M2, EM CHAPA DE COMPENSADO RESINADO (OBRA DE PEQUENO PORTE, EFETIVO ATÉ 30 HOMENS), PADRÃO DER-MG</t>
  </si>
  <si>
    <t>ED-50133</t>
  </si>
  <si>
    <t>BARRACÃO DE OBRA PARA REFEITÓRIO TIPO-I, ÁREA INTERNA 18,15M2, EM CHAPA DE COMPENSADO RESINADO (OBRA DE MÉDIO PORTE, EFETIVO DE 30 A 60 HOMENS), PADRÃO DER-MG</t>
  </si>
  <si>
    <t>ED-50126</t>
  </si>
  <si>
    <t>BARRACÃO DE OBRA PARA VESTIÁRIO TIPO-I, ÁREA INTERNA 25,41M2, EM CHAPA DE COMPENSADO RESINADO, INCLUSIVE MOBILIÁRIO (OBRA DE PEQUENO PORTE, EFETIVO ATÉ 30 HOMENS), PADRÃO DER-MG</t>
  </si>
  <si>
    <t>mês</t>
  </si>
  <si>
    <t>ED-50276</t>
  </si>
  <si>
    <t>LOCAÇÃO TOPOGRÁFICA ACIMA DE CINQUENTA (50) PONTOS REFERENCIAIS, INCLUSIVE ESTACA (PIQUETE) DE MARCAÇÃO</t>
  </si>
  <si>
    <t>ED-50159</t>
  </si>
  <si>
    <t>TAPUME FIXO DE PROTEÇÃO PARA FECHAMENTO DE OBRA EM CHAPA DE COMPENSADO, ESP. 12MM, COM MÓDULO NA DIMENSÃO DE (110X220)CM, INCLUSIVE PINTURA LÁTEX (PVA) COM DUAS (2) DEMÃOS, EXCLUSIVE ABERTURA PARA PORTÃO</t>
  </si>
  <si>
    <t>ED-51116</t>
  </si>
  <si>
    <t>ESCAVAÇÃO MECÂNICA DE VALAS COM PROFUNDIDADE MAIOR QUE 1,5M E MENOR OU IGUAL 3,0M, INCLUSIVE CARGA EM CAMINHÃO, EXCLUSIVE TRANSPORTE E DESCARGA</t>
  </si>
  <si>
    <t>ED-29801</t>
  </si>
  <si>
    <t>PERFURAÇÃO MANUAL DE ESTACA TIPO BROCA A TRADO, INCLUSIVE AFASTAMENTO, EXCLUSIVE ARMAÇÃO, CONCRETO ESTRUTURAL, TRANSPORTE E RETIRADA DO MATERIAL ESCAVADO</t>
  </si>
  <si>
    <t>ED-49805</t>
  </si>
  <si>
    <t>FORNECIMENTO DE CONCRETO ESTRUTURAL, USINADO BOMBEADO, COM FCK 25MPA, INCLUSIVE LANÇAMENTO, ADENSAMENTO E ACABAMENTO (FUNDAÇÃO)</t>
  </si>
  <si>
    <t>Kg</t>
  </si>
  <si>
    <t>ED-49645</t>
  </si>
  <si>
    <t>FÔRMA E DESFORMA DE COMPENSADO RESINADO, ESP. 12MM, REAPROVEITAMENTO (3X), EXCLUSIVE ESCORAMENTO</t>
  </si>
  <si>
    <t>ED-49664</t>
  </si>
  <si>
    <t>FORNECIMENTO DE ESTRUTURA METÁLICA EM PERFIL LAMINADO, INCLUSIVE FABRICAÇÃO, TRANSPORTE, MONTAGEM E APLICAÇÃO DE FUNDO PREPARADOR ANTICORROSIVO EM SUPERFÍCIE METÁLICA, UMA (1) DEMÃO</t>
  </si>
  <si>
    <t>ED-50542</t>
  </si>
  <si>
    <t>REVESTIMENTO COM CERÂMICA APLICADO EM PISO, ACABAMENTO ESMALTADO, AMBIENTE INTERNO, PADRÃO EXTRA, DIMENSÃO DA PEÇA ATÉ 2025 CM2, PEI V, ASSENTAMENTO COM ARGAMASSA INDUSTRIALIZADA, INCLUSIVE REJUNTAMENTO</t>
  </si>
  <si>
    <t>ED-50718</t>
  </si>
  <si>
    <t>APLICAÇÃO DE REJUNTE CIMENTÍCIO COLORIDO INDUSTRIALIZADO PARA REVESTIMENTOS DE PAREDE/PISO COM JUNTAS DE ATÉ 3MM DE ESPESSURA</t>
  </si>
  <si>
    <t>PISO EM CONCRETO</t>
  </si>
  <si>
    <t>ED-9320</t>
  </si>
  <si>
    <t>ED-50579</t>
  </si>
  <si>
    <t>ED-50785</t>
  </si>
  <si>
    <t>ED-50769</t>
  </si>
  <si>
    <t>ED-50727</t>
  </si>
  <si>
    <t>CHAPISCO COM ARGAMASSA, TRAÇO 1:3 (CIMENTO E AREIA), ESP. 5MM, APLICADO EM ALVENARIA/ESTRUTURA DE CONCRETO COM COLHER, INCLUSIVE ARGAMASSA COM PREPARO MECANIZADO</t>
  </si>
  <si>
    <t>ED-50759</t>
  </si>
  <si>
    <t>REBOCO COM ARGAMASSA, TRAÇO 1:7 (CIMENTO E AREIA), ESP. 20MM, APLICAÇÃO MANUAL, INCLUSIVE ARGAMASSA COM PREPARO MECANIZADO, EXCLUSIVE CHAPISCO</t>
  </si>
  <si>
    <t>ED-9081</t>
  </si>
  <si>
    <t>REVESTIMENTO COM CERÂMICA APLICADO EM PAREDE, ACABAMENTO ESMALTADO, AMBIENTE INTERNO/EXTERNO, PADRÃO EXTRA, DIMENSÃO DA PEÇA ATÉ 2025 CM2, PEI III, ASSENTAMENTO COM ARGAMASSA INDUSTRIALIZADA, INCLUSIVE REJUNTAMENTO</t>
  </si>
  <si>
    <t>ED-49687</t>
  </si>
  <si>
    <t>FORRO EM CHAPA DE GESSO ACARTONADO, ESP. 12,5MM,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</si>
  <si>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</si>
  <si>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</si>
  <si>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ED-32104</t>
  </si>
  <si>
    <t>U</t>
  </si>
  <si>
    <t>ED-50323</t>
  </si>
  <si>
    <t>ED-48169</t>
  </si>
  <si>
    <t>ED-49168</t>
  </si>
  <si>
    <t>CAIXA DE PASSAGEM EM ALVENARIA E TAMPA DE CONCRETO, FUNDO DE BRITA, TIPO 1, 30 X 30 X 40 CM, INCLUSIVE ESCAVAÇÃO, REATERRO E BOTA-FORA</t>
  </si>
  <si>
    <t>ED-7249</t>
  </si>
  <si>
    <t>ELETRODUTO FLEXÍVEL, EM AÇO GALVANIZADO, REVESTIDO EXTERNAMENTE COM PVC PRETO (1"), INCLUSIVE CONEXÕES, SUPORTES E FIXAÇÃO</t>
  </si>
  <si>
    <t>ED-19519</t>
  </si>
  <si>
    <t>ELETROCALHA PERFURADA (100X50)MM EM CHAPA DE AÇO GALVANIZADO #18, COM TRATAMENTO PRÉ-ZINCADO, INCLUSIVE TAMPA DE ENCAIXE, FIXAÇÃO SUPERIOR, CONEXÕES E ACESSÓRIOS</t>
  </si>
  <si>
    <t>ED-48548</t>
  </si>
  <si>
    <t>ALA DE REDE TUBULAR DN 1500, EXCLUSIVE BOTA FORA</t>
  </si>
  <si>
    <t>ED-48568</t>
  </si>
  <si>
    <t>CHAMINÉ DE POÇO DE VISITA TIPO "A", EM ALVENARIA COM DEGRAUS DE AÇO CA-50</t>
  </si>
  <si>
    <t>ED-48636</t>
  </si>
  <si>
    <t>POÇO DE VISITA PARA REDE TUBULAR TIPO A DN 1000, EXCLUSIVE ESCAVAÇÃO, REATERRO E BOTA FORA</t>
  </si>
  <si>
    <t>ED-48666</t>
  </si>
  <si>
    <t>TAMPÃO CIRCULAR EM FERRO FUNDIDO PARA POÇO DE VISITA, ARTICULADO COM DIÂMETRO DE 60CM, CLASSE 400, INCLUSIVE ASSENTAMENTO, EXCLUSIVE POÇO DE VISITA</t>
  </si>
  <si>
    <t>ED-48549</t>
  </si>
  <si>
    <t>BOCA DE LOBO SIMPLES (TIPO A - FERRO FUNDIDO), QUADRO, GRELHA E CANTONEIRA, INCLUSIVE ESCAVAÇÃO, REATERRO E BOTA-FORA</t>
  </si>
  <si>
    <t>ED-48588</t>
  </si>
  <si>
    <t>ED-50432</t>
  </si>
  <si>
    <t>ED-51139</t>
  </si>
  <si>
    <t>GUIA DE MEIO-FIO, EM CONCRETO COM FCK 20MPA, PRÉ-MOLDADA, MFC-01 PADRÃO DER-MG, DIMENSÕES (12X16,7X35)CM, EXCLUSIVE SARJETA, INCLUSIVE ESCAVAÇÃO, APILOAMENTO E TRANSPORTE COM RETIRADA DO MATERIAL ESCAVADO (EM CAÇAMBA)</t>
  </si>
  <si>
    <t>ED-50270</t>
  </si>
  <si>
    <t>LIMPEZA PERMANENTE DA OBRA - 01 SERVENTE X 4 HORAS DIÁRIAS</t>
  </si>
  <si>
    <t>LIMPEZA FINAL PARA ENTREGA DA OBRA</t>
  </si>
  <si>
    <t>ED-50266</t>
  </si>
  <si>
    <t>TxKM</t>
  </si>
  <si>
    <t>ED-51132</t>
  </si>
  <si>
    <t>CARGA MECÂNICA DE MATERIAL DE QUALQUER NATUREZA SOBRE CAMINHÃO, EXCLUSIVE TRANSPORTE</t>
  </si>
  <si>
    <t>ED-50848</t>
  </si>
  <si>
    <t>LAJE 10 CM MACIÇA DE CONCRETO 20 MPa, COM ARMAÇÃO, FÔRMA RESINADA, ESCORAMENTO E DESFORMA</t>
  </si>
  <si>
    <t>ED-48333</t>
  </si>
  <si>
    <t>TAMPA DE CONCRETO PARA CAIXA DE INSPEÇÃO EM ALVENARIA E = 8 CM</t>
  </si>
  <si>
    <t>hora</t>
  </si>
  <si>
    <t>ED-50381</t>
  </si>
  <si>
    <t>ED-50367</t>
  </si>
  <si>
    <t>RO-41211</t>
  </si>
  <si>
    <t>CO-33095</t>
  </si>
  <si>
    <t>ARQUEÓLOGO, NÍVEL SÊNIOR, INCLUSIVE ENCARGOS COMPLEMENTARES</t>
  </si>
  <si>
    <t>PR A1</t>
  </si>
  <si>
    <t>CO-27427</t>
  </si>
  <si>
    <t>PROJETO EXECUTIVO DE ESTRUTURA DE CONCRETO</t>
  </si>
  <si>
    <t>CO-27428</t>
  </si>
  <si>
    <t>PROJETO EXECUTIVO DE ESTRUTURA METÁLICA</t>
  </si>
  <si>
    <t>CO-27431</t>
  </si>
  <si>
    <t>PROJETO EXECUTIVO DE INSTALAÇÕES ELÉTRICAS</t>
  </si>
  <si>
    <t>CO-27430</t>
  </si>
  <si>
    <t>Obra</t>
  </si>
  <si>
    <t>Bancos</t>
  </si>
  <si>
    <t>B.D.I.</t>
  </si>
  <si>
    <t>Encargos Sociais</t>
  </si>
  <si>
    <t>REFORMA E AMPLIAÇÃO MERCADO MUNICIPAL                                                                                                                                                                         MUNICÍPIO DE SERRO - MG</t>
  </si>
  <si>
    <t>SERVIÇO:</t>
  </si>
  <si>
    <t>Sem Desoneração</t>
  </si>
  <si>
    <t>EQUIPAMENTOS:</t>
  </si>
  <si>
    <t>Horista:</t>
  </si>
  <si>
    <t>Mensalista:</t>
  </si>
  <si>
    <t xml:space="preserve">Planilha Orçamentária </t>
  </si>
  <si>
    <t>Item</t>
  </si>
  <si>
    <t>Descrição</t>
  </si>
  <si>
    <t>Total</t>
  </si>
  <si>
    <t>Peso(%)</t>
  </si>
  <si>
    <t>3</t>
  </si>
  <si>
    <t>4</t>
  </si>
  <si>
    <t>5</t>
  </si>
  <si>
    <t>6</t>
  </si>
  <si>
    <t>7</t>
  </si>
  <si>
    <t>8</t>
  </si>
  <si>
    <t>9</t>
  </si>
  <si>
    <t>10</t>
  </si>
  <si>
    <t>11</t>
  </si>
  <si>
    <t>12</t>
  </si>
  <si>
    <t>13</t>
  </si>
  <si>
    <t>14</t>
  </si>
  <si>
    <t>15</t>
  </si>
  <si>
    <t>16</t>
  </si>
  <si>
    <t>17</t>
  </si>
  <si>
    <t>18</t>
  </si>
  <si>
    <t>19</t>
  </si>
  <si>
    <t>20</t>
  </si>
  <si>
    <t>21</t>
  </si>
  <si>
    <t>Valor sem BDI:</t>
  </si>
  <si>
    <t>BDI:</t>
  </si>
  <si>
    <t>Total:</t>
  </si>
  <si>
    <t>REFORMA E AMPLIAÇÃO MERCADO MUNICIPAL                                                                                                                                                  MUNICÍPIO DE SERRO - MG</t>
  </si>
  <si>
    <t>Código</t>
  </si>
  <si>
    <t>Banco</t>
  </si>
  <si>
    <t>Und</t>
  </si>
  <si>
    <t>Quant.</t>
  </si>
  <si>
    <t>Valor Unit</t>
  </si>
  <si>
    <t>Valor Total sem BDI</t>
  </si>
  <si>
    <t>Valor Unit com BDI</t>
  </si>
  <si>
    <t>Valor Total com BDI</t>
  </si>
  <si>
    <t>Peso (%)</t>
  </si>
  <si>
    <t>ADMINISTRAÇÃO LOCAL</t>
  </si>
  <si>
    <t>1.1</t>
  </si>
  <si>
    <t>SINAPI</t>
  </si>
  <si>
    <t>2.1</t>
  </si>
  <si>
    <t>SETOP</t>
  </si>
  <si>
    <t>2.4</t>
  </si>
  <si>
    <t>2.5</t>
  </si>
  <si>
    <t>2.6</t>
  </si>
  <si>
    <t>2.7</t>
  </si>
  <si>
    <t>2.8</t>
  </si>
  <si>
    <t>2.9</t>
  </si>
  <si>
    <t>DRENAGEM E PAVIMENTAÇÃO DA TRAVESSA MAGALHÃES</t>
  </si>
  <si>
    <t>3.1</t>
  </si>
  <si>
    <t>DOCUMENTAÇÃO ARQUEOLÓGICA</t>
  </si>
  <si>
    <t>3.1.1</t>
  </si>
  <si>
    <t>ARQ01</t>
  </si>
  <si>
    <t>MERCADO</t>
  </si>
  <si>
    <t>ELABORAÇÃO DE RELATÓRIO FCA</t>
  </si>
  <si>
    <t>UNID</t>
  </si>
  <si>
    <t>3.1.2</t>
  </si>
  <si>
    <t>ARQ02</t>
  </si>
  <si>
    <t>ELABORAÇÃO DE RELATÓRIO INICIAL</t>
  </si>
  <si>
    <t>3.1.3</t>
  </si>
  <si>
    <t>ARQ03</t>
  </si>
  <si>
    <t>ELABORAÇÃO DE RELATÓRIO FINAL</t>
  </si>
  <si>
    <t>3.1.4</t>
  </si>
  <si>
    <t>3.1.5</t>
  </si>
  <si>
    <t>3.1.6</t>
  </si>
  <si>
    <t>ARQ04</t>
  </si>
  <si>
    <t>ENDOSSO INSTITUCIONAL</t>
  </si>
  <si>
    <t>3.2</t>
  </si>
  <si>
    <t>REMOÇÕES, ESCAVAÇÕES E DISPOSITIVOS DE DRENAGEM</t>
  </si>
  <si>
    <t>3.2.1</t>
  </si>
  <si>
    <t>3.2.2</t>
  </si>
  <si>
    <t>3.2.3</t>
  </si>
  <si>
    <t>3.2.4</t>
  </si>
  <si>
    <t>3.2.5</t>
  </si>
  <si>
    <t>3.2.6</t>
  </si>
  <si>
    <t>SERRO-150</t>
  </si>
  <si>
    <t>COMPOSIÇÃO</t>
  </si>
  <si>
    <t>REATERRO MANUAL APILOADO COM SOQUETE - BASEADO SINAPI (96995)</t>
  </si>
  <si>
    <t>M³</t>
  </si>
  <si>
    <t>3.2.7</t>
  </si>
  <si>
    <t>3.2.8</t>
  </si>
  <si>
    <t>3.2.9</t>
  </si>
  <si>
    <t>3.2.11</t>
  </si>
  <si>
    <t>GRELHA.01</t>
  </si>
  <si>
    <t>GRELHA DE FERRO FUNDIDO PARA BOCA DE LOBO BASEADO SETOP (48549)</t>
  </si>
  <si>
    <t>3.2.12</t>
  </si>
  <si>
    <t>3.2.13</t>
  </si>
  <si>
    <t>3.2.14</t>
  </si>
  <si>
    <t>3.2.15</t>
  </si>
  <si>
    <t>3.2.16</t>
  </si>
  <si>
    <t>3.2.17</t>
  </si>
  <si>
    <t>3.2.18</t>
  </si>
  <si>
    <t>3.2.19</t>
  </si>
  <si>
    <t>3.2.20</t>
  </si>
  <si>
    <t>3.2.21</t>
  </si>
  <si>
    <t>3.2.22</t>
  </si>
  <si>
    <t>3.2.23</t>
  </si>
  <si>
    <t>3.3</t>
  </si>
  <si>
    <t>CALÇAMENTO TRAVESSA MAGALHÃES E RECOMPOSIÇÃO DE VALAS DE DRENAGEM</t>
  </si>
  <si>
    <t>3.3.1</t>
  </si>
  <si>
    <t>3.3.2</t>
  </si>
  <si>
    <t>3.3.3</t>
  </si>
  <si>
    <t>ESTRUTURAL</t>
  </si>
  <si>
    <t>4.1</t>
  </si>
  <si>
    <t>DETALHAMENTO ESCADAS</t>
  </si>
  <si>
    <t>4.1.1</t>
  </si>
  <si>
    <t>ESCADAS</t>
  </si>
  <si>
    <t>4.1.1.1</t>
  </si>
  <si>
    <t>4.1.1.2</t>
  </si>
  <si>
    <t>4.1.1.3</t>
  </si>
  <si>
    <t>4.1.1.4</t>
  </si>
  <si>
    <t>4.1.1.5</t>
  </si>
  <si>
    <t>4.1.1.6</t>
  </si>
  <si>
    <t>4.1.1.7</t>
  </si>
  <si>
    <t>4.1.2</t>
  </si>
  <si>
    <t>ELEMENTOS - VIGAS</t>
  </si>
  <si>
    <t>4.1.2.1</t>
  </si>
  <si>
    <t>4.1.2.2</t>
  </si>
  <si>
    <t>4.1.2.3</t>
  </si>
  <si>
    <t>4.1.2.4</t>
  </si>
  <si>
    <t>4.1.2.5</t>
  </si>
  <si>
    <t>4.1.3</t>
  </si>
  <si>
    <t>ELEMENTOS - PILARES</t>
  </si>
  <si>
    <t>4.1.3.1</t>
  </si>
  <si>
    <t>4.1.3.2</t>
  </si>
  <si>
    <t>4.1.3.3</t>
  </si>
  <si>
    <t>4.1.3.4</t>
  </si>
  <si>
    <t>4.1.4</t>
  </si>
  <si>
    <t>ELEMENTOS - ESTACAS</t>
  </si>
  <si>
    <t>4.1.4.1</t>
  </si>
  <si>
    <t>4.1.4.2</t>
  </si>
  <si>
    <t>4.1.4.3</t>
  </si>
  <si>
    <t>4.1.4.4</t>
  </si>
  <si>
    <t>4.1.4.5</t>
  </si>
  <si>
    <t>4.1.5</t>
  </si>
  <si>
    <t>ELEMENTOS - SAPATAS</t>
  </si>
  <si>
    <t>4.1.5.1</t>
  </si>
  <si>
    <t>4.1.5.2</t>
  </si>
  <si>
    <t>4.1.5.3</t>
  </si>
  <si>
    <t>4.1.5.4</t>
  </si>
  <si>
    <t>4.1.5.5</t>
  </si>
  <si>
    <t>4.1.5.6</t>
  </si>
  <si>
    <t>4.1.5.7</t>
  </si>
  <si>
    <t>4.1.5.8</t>
  </si>
  <si>
    <t>4.1.5.9</t>
  </si>
  <si>
    <t>4.1.6</t>
  </si>
  <si>
    <t>ELEMENTOS - BLOCOS DE CONCRETO</t>
  </si>
  <si>
    <t>4.1.6.1</t>
  </si>
  <si>
    <t>4.1.6.2</t>
  </si>
  <si>
    <t>4.1.6.3</t>
  </si>
  <si>
    <t>4.1.6.4</t>
  </si>
  <si>
    <t>4.1.6.5</t>
  </si>
  <si>
    <t>4.2</t>
  </si>
  <si>
    <t>REFORÇO FUNDAÇÃO E PILARES</t>
  </si>
  <si>
    <t>4.2.1</t>
  </si>
  <si>
    <t>BLOCOS DE REFORÇO</t>
  </si>
  <si>
    <t>4.2.1.1</t>
  </si>
  <si>
    <t>4.2.1.2</t>
  </si>
  <si>
    <t>4.2.1.3</t>
  </si>
  <si>
    <t>4.2.1.4</t>
  </si>
  <si>
    <t>4.2.1.5</t>
  </si>
  <si>
    <t>4.2.2</t>
  </si>
  <si>
    <t>ESTACAS</t>
  </si>
  <si>
    <t>4.2.2.1</t>
  </si>
  <si>
    <t>4.2.2.2</t>
  </si>
  <si>
    <t>4.2.2.3</t>
  </si>
  <si>
    <t>SBC</t>
  </si>
  <si>
    <t>CONCRETO USINADO 20MPA P/ FUNDAÇÕES LANÇAMENTO MECÂNICO</t>
  </si>
  <si>
    <t>4.2.3</t>
  </si>
  <si>
    <t>BALDRAMES</t>
  </si>
  <si>
    <t>4.2.3.1</t>
  </si>
  <si>
    <t>4.2.3.2</t>
  </si>
  <si>
    <t>4.2.3.3</t>
  </si>
  <si>
    <t>4.2.3.4</t>
  </si>
  <si>
    <t>4.2.3.5</t>
  </si>
  <si>
    <t>4.2.3.6</t>
  </si>
  <si>
    <t>4.2.4</t>
  </si>
  <si>
    <t>REFORÇO PILARES</t>
  </si>
  <si>
    <t>4.2.4.1</t>
  </si>
  <si>
    <t>4.2.4.2</t>
  </si>
  <si>
    <t>4.2.4.3</t>
  </si>
  <si>
    <t>4.2.4.4</t>
  </si>
  <si>
    <t>4.3</t>
  </si>
  <si>
    <t>REFORÇO METÁLICO</t>
  </si>
  <si>
    <t>4.3.1</t>
  </si>
  <si>
    <t>4.4</t>
  </si>
  <si>
    <t>MURO DE ARRIMO</t>
  </si>
  <si>
    <t>4.4.1</t>
  </si>
  <si>
    <t>SAPATAS - MURO DE ARRIMO LATERAL</t>
  </si>
  <si>
    <t>4.4.1.1</t>
  </si>
  <si>
    <t>4.4.1.2</t>
  </si>
  <si>
    <t>4.4.1.3</t>
  </si>
  <si>
    <t>4.4.2</t>
  </si>
  <si>
    <t>BLOCOS - MURO DE ARRIMO LATERAL</t>
  </si>
  <si>
    <t>4.4.2.1</t>
  </si>
  <si>
    <t>4.4.2.2</t>
  </si>
  <si>
    <t>4.4.2.3</t>
  </si>
  <si>
    <t>4.4.2.4</t>
  </si>
  <si>
    <t>4.4.2.5</t>
  </si>
  <si>
    <t>4.4.3</t>
  </si>
  <si>
    <t>SAPATAS - MURO DE ARRIMO FUNDO</t>
  </si>
  <si>
    <t>4.4.3.1</t>
  </si>
  <si>
    <t>4.4.3.2</t>
  </si>
  <si>
    <t>4.4.3.3</t>
  </si>
  <si>
    <t>4.4.3.4</t>
  </si>
  <si>
    <t>4.4.3.5</t>
  </si>
  <si>
    <t>4.4.3.6</t>
  </si>
  <si>
    <t>4.4.3.7</t>
  </si>
  <si>
    <t>4.4.3.8</t>
  </si>
  <si>
    <t>4.4.4</t>
  </si>
  <si>
    <t>PILARES - MURO DE ARRIMO FUNDO</t>
  </si>
  <si>
    <t>4.4.4.1</t>
  </si>
  <si>
    <t>4.4.4.2</t>
  </si>
  <si>
    <t>4.4.4.3</t>
  </si>
  <si>
    <t>4.4.4.4</t>
  </si>
  <si>
    <t>4.4.4.5</t>
  </si>
  <si>
    <t>4.4.5</t>
  </si>
  <si>
    <t>CORTINAS - MURO DE ARRIMO FUNDO</t>
  </si>
  <si>
    <t>4.4.5.1</t>
  </si>
  <si>
    <t>4.4.5.2</t>
  </si>
  <si>
    <t>4.4.5.3</t>
  </si>
  <si>
    <t>4.4.5.4</t>
  </si>
  <si>
    <t>4.4.5.5</t>
  </si>
  <si>
    <t>4.4.5.6</t>
  </si>
  <si>
    <t xml:space="preserve">DEMOLIÇÕES E REMOÇOES </t>
  </si>
  <si>
    <t>5.1</t>
  </si>
  <si>
    <t>DEMOLIÇÕES</t>
  </si>
  <si>
    <t>5.1.1</t>
  </si>
  <si>
    <t>DEMOLIÇÕES DE PISO</t>
  </si>
  <si>
    <t>5.1.1.1</t>
  </si>
  <si>
    <t>5.1.1.2</t>
  </si>
  <si>
    <t>5.1.1.3</t>
  </si>
  <si>
    <t>5.1.1.4</t>
  </si>
  <si>
    <t>5.1.1.5</t>
  </si>
  <si>
    <t>5.1.2</t>
  </si>
  <si>
    <t>DEMOLIÇÕES DE ALVENARIA</t>
  </si>
  <si>
    <t>5.1.2.1</t>
  </si>
  <si>
    <t>5.1.3</t>
  </si>
  <si>
    <t>DEMOLIÇÃO DE ESCADA</t>
  </si>
  <si>
    <t>5.1.3.1</t>
  </si>
  <si>
    <t>DEMOLIÇÃO DE ESCADA EM CONCRETO ESTRUTURADO</t>
  </si>
  <si>
    <t>m³</t>
  </si>
  <si>
    <t>5.1.3.2</t>
  </si>
  <si>
    <t>5.1.4</t>
  </si>
  <si>
    <t>DEMOLIÇÃO DE MOBILIÁRIO FIXO</t>
  </si>
  <si>
    <t>5.1.4.1</t>
  </si>
  <si>
    <t>DEMOLIÇÃO MANUAL DE CONCRETO SIMPLES</t>
  </si>
  <si>
    <t>5.1.5</t>
  </si>
  <si>
    <t>DEMOLIÇÃO DE PILAR</t>
  </si>
  <si>
    <t>5.1.5.1</t>
  </si>
  <si>
    <t>5.2</t>
  </si>
  <si>
    <t>REMOÇÕES</t>
  </si>
  <si>
    <t>5.2.1</t>
  </si>
  <si>
    <t>REMOÇÃO DE ESQUADRIAS SEM REAPROVEITAMENTO</t>
  </si>
  <si>
    <t>5..2.1.1</t>
  </si>
  <si>
    <t>5..2.1.2</t>
  </si>
  <si>
    <t>5..2.1.3</t>
  </si>
  <si>
    <t>ORSE</t>
  </si>
  <si>
    <t>M²</t>
  </si>
  <si>
    <t>5.2.2</t>
  </si>
  <si>
    <t>REMOÇÃO DE LUMINÁRIAS</t>
  </si>
  <si>
    <t>5.2.2.1</t>
  </si>
  <si>
    <t>5.2.3</t>
  </si>
  <si>
    <t>REMOÇÃO DE LOUÇAS (LAVATÓRIO,  VASO SANITÁRIO, TANQUE)INCLUSIVE METAIS (CONDUÍTE, SIFÃO, REGISTRO, TORNEIRAS,VÁLVULA DE DESCARGA, CAIXA SILENCIOSA)SEM APROVEITAMENTO</t>
  </si>
  <si>
    <t>5.2.3.1</t>
  </si>
  <si>
    <t>5.2.3.2</t>
  </si>
  <si>
    <t>5.2.3.3</t>
  </si>
  <si>
    <t>REMOÇÃO DE BANCADAS E PRATELEIRAS</t>
  </si>
  <si>
    <t>ALVENARIA</t>
  </si>
  <si>
    <t>6.1</t>
  </si>
  <si>
    <t>6.2</t>
  </si>
  <si>
    <t>6.3</t>
  </si>
  <si>
    <t>6.4</t>
  </si>
  <si>
    <t>6.6</t>
  </si>
  <si>
    <t>HIDROSSANITÁRIO</t>
  </si>
  <si>
    <t>7.1</t>
  </si>
  <si>
    <t>INSTALAÇÕES DE ÁGUA FRIA</t>
  </si>
  <si>
    <t>7.1.1</t>
  </si>
  <si>
    <t>7.1.2</t>
  </si>
  <si>
    <t>7.1.3</t>
  </si>
  <si>
    <t>7.1.4</t>
  </si>
  <si>
    <t>7.1.5</t>
  </si>
  <si>
    <t>7.1.6</t>
  </si>
  <si>
    <t>7.1.7</t>
  </si>
  <si>
    <t>7.1.8</t>
  </si>
  <si>
    <t>7.1.9</t>
  </si>
  <si>
    <t>7.1.10</t>
  </si>
  <si>
    <t>7.1.11</t>
  </si>
  <si>
    <t>7.1.12</t>
  </si>
  <si>
    <t>7.1.13</t>
  </si>
  <si>
    <t>7.1.14</t>
  </si>
  <si>
    <t>7.1.15</t>
  </si>
  <si>
    <t>7.1.16</t>
  </si>
  <si>
    <t>7.2</t>
  </si>
  <si>
    <t>INSTALAÇÕES DE ESGOTO</t>
  </si>
  <si>
    <t>7.2.1</t>
  </si>
  <si>
    <t>7.2.2</t>
  </si>
  <si>
    <t>7.2.3</t>
  </si>
  <si>
    <t>7.2.4</t>
  </si>
  <si>
    <t>7.2.5</t>
  </si>
  <si>
    <t>7.2.6</t>
  </si>
  <si>
    <t>7.2.7</t>
  </si>
  <si>
    <t>7.2.8</t>
  </si>
  <si>
    <t>7.2.9</t>
  </si>
  <si>
    <t>7.2.10</t>
  </si>
  <si>
    <t>7.2.11</t>
  </si>
  <si>
    <t>7.2.12</t>
  </si>
  <si>
    <t>7.2.13</t>
  </si>
  <si>
    <t>7.2.14</t>
  </si>
  <si>
    <t>7.2.15</t>
  </si>
  <si>
    <t>7.2.16</t>
  </si>
  <si>
    <t>7.2.17</t>
  </si>
  <si>
    <t>7.2.18</t>
  </si>
  <si>
    <t>7.2.19</t>
  </si>
  <si>
    <t>7.2.20</t>
  </si>
  <si>
    <t>7.3</t>
  </si>
  <si>
    <t>METAIS E LOUÇAS</t>
  </si>
  <si>
    <t>7.3.1</t>
  </si>
  <si>
    <t>7.3.2</t>
  </si>
  <si>
    <t>7.3.3</t>
  </si>
  <si>
    <t>7.3.4</t>
  </si>
  <si>
    <t>7.3.5</t>
  </si>
  <si>
    <t>7.3.6</t>
  </si>
  <si>
    <t>7.3.7</t>
  </si>
  <si>
    <t>7.3.8</t>
  </si>
  <si>
    <t>7.3.9</t>
  </si>
  <si>
    <t>7.3.10</t>
  </si>
  <si>
    <t>7.3.11</t>
  </si>
  <si>
    <t>7.3.12</t>
  </si>
  <si>
    <t>INSTALAÇÇÕES ELÉTRICAS</t>
  </si>
  <si>
    <t>8.1</t>
  </si>
  <si>
    <t>CABOS</t>
  </si>
  <si>
    <t>8.1.1</t>
  </si>
  <si>
    <t>8.1.2</t>
  </si>
  <si>
    <t>8.1.3</t>
  </si>
  <si>
    <t>8.1.4</t>
  </si>
  <si>
    <t>8.2</t>
  </si>
  <si>
    <t>ILUMINAÇÃO</t>
  </si>
  <si>
    <t>8.2.1</t>
  </si>
  <si>
    <t>8.2.2</t>
  </si>
  <si>
    <t>8.2.3</t>
  </si>
  <si>
    <t>8.2.4</t>
  </si>
  <si>
    <t>8.3</t>
  </si>
  <si>
    <t>MATERIAL GERAL</t>
  </si>
  <si>
    <t>8.3.1</t>
  </si>
  <si>
    <t>8.3.2</t>
  </si>
  <si>
    <t>ITEM REPETE 2X</t>
  </si>
  <si>
    <t>8.3.3</t>
  </si>
  <si>
    <t>8.3.4</t>
  </si>
  <si>
    <t>8.3.5</t>
  </si>
  <si>
    <t>8.3.6</t>
  </si>
  <si>
    <t>8.3.7</t>
  </si>
  <si>
    <t>8.3.8</t>
  </si>
  <si>
    <t>8.3.9</t>
  </si>
  <si>
    <t>8.3.10</t>
  </si>
  <si>
    <t>8.3.11</t>
  </si>
  <si>
    <t>8.3.12</t>
  </si>
  <si>
    <t>8.3.13</t>
  </si>
  <si>
    <t>8.3.14</t>
  </si>
  <si>
    <t>8.3.15</t>
  </si>
  <si>
    <t>8.3.16</t>
  </si>
  <si>
    <t>8.3.17</t>
  </si>
  <si>
    <t>REVESTIMENTO DE PISOS</t>
  </si>
  <si>
    <t>9.1</t>
  </si>
  <si>
    <t>9.1.1</t>
  </si>
  <si>
    <t>9.1.2</t>
  </si>
  <si>
    <t>9.1.3</t>
  </si>
  <si>
    <t>9.1.4</t>
  </si>
  <si>
    <t>9.1.5</t>
  </si>
  <si>
    <t>9.1.6</t>
  </si>
  <si>
    <t>9.2</t>
  </si>
  <si>
    <t>DECK DE MADEIRA PLÁSTICA</t>
  </si>
  <si>
    <t>9.2.1</t>
  </si>
  <si>
    <t>9.2.2</t>
  </si>
  <si>
    <t>9.2.3</t>
  </si>
  <si>
    <t>PISO.01</t>
  </si>
  <si>
    <t>DECK EM RÉGUAS DE MADEIRA PLÁSTICA, COR JATOBÁ</t>
  </si>
  <si>
    <t>9.3</t>
  </si>
  <si>
    <t>PISO EM GRANILITE, COR BRANCO</t>
  </si>
  <si>
    <t>9.3.1</t>
  </si>
  <si>
    <t>9.3.2</t>
  </si>
  <si>
    <t>9.3.3</t>
  </si>
  <si>
    <t>9.3.4</t>
  </si>
  <si>
    <t>9.4</t>
  </si>
  <si>
    <t>PISO EM CERÂMICA ESMALTADA 45X45</t>
  </si>
  <si>
    <t>9.4.1</t>
  </si>
  <si>
    <t>9.4.2</t>
  </si>
  <si>
    <t>9.4.3</t>
  </si>
  <si>
    <t>REVESTIMENTO DE PAREDES</t>
  </si>
  <si>
    <t>10.1</t>
  </si>
  <si>
    <t>10.2</t>
  </si>
  <si>
    <t>10.3</t>
  </si>
  <si>
    <t>BRISE EM MADEIRA</t>
  </si>
  <si>
    <t>10.4</t>
  </si>
  <si>
    <t>ESQUADRIAS</t>
  </si>
  <si>
    <t>11.1</t>
  </si>
  <si>
    <t>11.2</t>
  </si>
  <si>
    <t>JANELA DE CORRER PINTURA ELETROSTATICA + PERSINA EMBUTIDA</t>
  </si>
  <si>
    <t>m²</t>
  </si>
  <si>
    <t>11.3</t>
  </si>
  <si>
    <t>11.4</t>
  </si>
  <si>
    <t>11.5</t>
  </si>
  <si>
    <t>11.6</t>
  </si>
  <si>
    <t>11.7</t>
  </si>
  <si>
    <t>PORTA ALUMÍNIO 1 FOLHA DE CORRER</t>
  </si>
  <si>
    <t>11.8</t>
  </si>
  <si>
    <t>11.9</t>
  </si>
  <si>
    <t>11.10</t>
  </si>
  <si>
    <t>11.11</t>
  </si>
  <si>
    <t>11.12</t>
  </si>
  <si>
    <t>ESQ.01</t>
  </si>
  <si>
    <t>FORRO EM GESSO ACARTONADO</t>
  </si>
  <si>
    <t>12.1</t>
  </si>
  <si>
    <t>12.2</t>
  </si>
  <si>
    <t>PEDRAS - BANCADAS, SOLEIRAS, DIVISÓRIAS E PRATELEIRAS</t>
  </si>
  <si>
    <t>13.1</t>
  </si>
  <si>
    <t>BANCA/TAMPO GRANITO BRANCO DALLAS</t>
  </si>
  <si>
    <t>SAIA PARA BANCADA GRANITO BRANCO DALLAS 0,10CM</t>
  </si>
  <si>
    <t>GRANITO BRANCO DALLAS COLADO EM PISO</t>
  </si>
  <si>
    <t>13.6</t>
  </si>
  <si>
    <t>DIV.01</t>
  </si>
  <si>
    <t>13.7</t>
  </si>
  <si>
    <t>DIV.02</t>
  </si>
  <si>
    <t>PINTURA TETO</t>
  </si>
  <si>
    <t>14.1</t>
  </si>
  <si>
    <t>14.2</t>
  </si>
  <si>
    <t>14.3</t>
  </si>
  <si>
    <t>PINTURA PAREDES EXTERNAS E INTERNAS</t>
  </si>
  <si>
    <t>15.1</t>
  </si>
  <si>
    <t>15.2</t>
  </si>
  <si>
    <t>15.3</t>
  </si>
  <si>
    <t>CORRIMÃO</t>
  </si>
  <si>
    <t>16.1</t>
  </si>
  <si>
    <t>GUARDA CORPO</t>
  </si>
  <si>
    <t>17.1</t>
  </si>
  <si>
    <t>PLATAFORMA ELEVATÓRIA</t>
  </si>
  <si>
    <t>18.1</t>
  </si>
  <si>
    <t>PLATAFORMA ELEVATORIA DE TRANSPORTE VERTICAL, DESNIVEL DE 2,0 ATE 4,00 M</t>
  </si>
  <si>
    <t>DIVERSOS</t>
  </si>
  <si>
    <t>19.1</t>
  </si>
  <si>
    <t>DIV.03</t>
  </si>
  <si>
    <t>BANCO DE CONCRETO 0,50X050cm</t>
  </si>
  <si>
    <t>DIV.04</t>
  </si>
  <si>
    <t>DIV.05</t>
  </si>
  <si>
    <t>LETREIRO EM ACM</t>
  </si>
  <si>
    <t>PAISAGISMO</t>
  </si>
  <si>
    <t>20.1</t>
  </si>
  <si>
    <t>20.2</t>
  </si>
  <si>
    <t>20.3</t>
  </si>
  <si>
    <t>21.1</t>
  </si>
  <si>
    <t>REFORMA E AMPLIAÇÃO MERCADO MUNICIPAL                                                                                                                                                                     MUNICÍPIO DE SERRO - MG</t>
  </si>
  <si>
    <t>Composição Analítica com Preço unitário sem BDI</t>
  </si>
  <si>
    <t>Tipo</t>
  </si>
  <si>
    <t>Un.</t>
  </si>
  <si>
    <t>Qtd.</t>
  </si>
  <si>
    <t>Preço</t>
  </si>
  <si>
    <t>Composição</t>
  </si>
  <si>
    <t>GRELHA DE FERRO FUNDIDO PARA BOCA DE LOBOBASEADO SETOP (48549)</t>
  </si>
  <si>
    <t>SERVIÇOS DIVERSOS</t>
  </si>
  <si>
    <t>Insumo</t>
  </si>
  <si>
    <t>MATED-12823</t>
  </si>
  <si>
    <t>CANTONEIRA PARA BOCA DE LOBO EM F°F°</t>
  </si>
  <si>
    <t>MATERIAL</t>
  </si>
  <si>
    <t>MATED-12826</t>
  </si>
  <si>
    <t>CONJUNTO QUADRO E GRELHA DE FERRO FUNDIDO P=199KG PARA BOCA DE LOBO</t>
  </si>
  <si>
    <t>sinapi</t>
  </si>
  <si>
    <t>Próprio</t>
  </si>
  <si>
    <t>DECK EM RÉGUAS DE MADEIRA PLÁSTICA, COR JATOBÁ - BASEADO SBC (40584)</t>
  </si>
  <si>
    <t>DECK.01</t>
  </si>
  <si>
    <t>DECK EM MADEIRA PLÁSTICA</t>
  </si>
  <si>
    <t>PUXADOR DUPLO PARA PORTA, 80CM, EM AÇO INOX - BASEADO ORSE (7613)</t>
  </si>
  <si>
    <t>PEDRAS</t>
  </si>
  <si>
    <t xml:space="preserve">MATED-11969 </t>
  </si>
  <si>
    <t>CANTONEIRA DE LATAO</t>
  </si>
  <si>
    <t>MATED-11966</t>
  </si>
  <si>
    <t>CHAPA SUPORTE DE LATAO
CROMADO</t>
  </si>
  <si>
    <t>GRANITO BRANCO DALLAS 2 CM</t>
  </si>
  <si>
    <t xml:space="preserve">MATED-15101 </t>
  </si>
  <si>
    <t>MASSA PLÁSTICA (COR:BRANCA, CINZA OU PRETA|CATALIZADOR: INCLUSO|RENDIMENTO: 0,59KG/M2)</t>
  </si>
  <si>
    <t xml:space="preserve">MATED-11968 </t>
  </si>
  <si>
    <t>PARAFUSO (ROSCA: UNC|APLICAÇÃO: PEDRAS|MATERIAL: LATÃO|CABEÇA DA PORCA: CALOTA PARA BUCHA|PORCA: INCLUSO|REFERÊCIA: 860CR OU EQUIVALENTE)</t>
  </si>
  <si>
    <t>PARAFUSO (TIPO: CASTELO|MATERIAL: LATÃO|NÚMERO:8|ARRUELA: INCLUSA|BUCHA: INCLUSA)</t>
  </si>
  <si>
    <t>MATED-11967</t>
  </si>
  <si>
    <t>SUPORTE DE LATAO</t>
  </si>
  <si>
    <t>PEITORIL DE GRANITO BRANCO DALLAS E= 2CM - BASEADO SETOP (ED-50997)</t>
  </si>
  <si>
    <t>ARGAMASSA COLANTE (TIPO: AC-III|UTILIZAÇÃO: AMBIENTES INTERNOS E EXTERNOS)</t>
  </si>
  <si>
    <t> </t>
  </si>
  <si>
    <t>REFORMA E AMPLIAÇÃO MERCADO MUNICIPAL                                                                                                                                                                        MUNICÍPIO DE SERRO - MG</t>
  </si>
  <si>
    <t>PESQUISA DE MERCADO</t>
  </si>
  <si>
    <t>QUADRO COMPARATIVO DE PROPOSTA - PREÇO FINAL (MEDIANO)</t>
  </si>
  <si>
    <t xml:space="preserve">DESCRIÇÃO DO INSUMO (PRODUTO/EQUIPAMENTO/FERRAMENTA/SERVIÇO </t>
  </si>
  <si>
    <t>UNID.</t>
  </si>
  <si>
    <t>ud</t>
  </si>
  <si>
    <t>PREÇO UNIT.</t>
  </si>
  <si>
    <t>REFERENCIA NA CPU</t>
  </si>
  <si>
    <t>NOME DA EMPRESA</t>
  </si>
  <si>
    <t>CNPJ</t>
  </si>
  <si>
    <t>TELEFONE</t>
  </si>
  <si>
    <t>LINK</t>
  </si>
  <si>
    <t>DATA</t>
  </si>
  <si>
    <t>Quant</t>
  </si>
  <si>
    <t>PREÇO TOTAL</t>
  </si>
  <si>
    <t>Deck Deck</t>
  </si>
  <si>
    <t>30.297.385/0001-61</t>
  </si>
  <si>
    <t>(11) 97855-4676</t>
  </si>
  <si>
    <t>https://deckdeck.com.br/produto/deck-madeira-plastica-wpc-brown-regua-25x145x300m-0870m2-caixa-com-02-pecas/</t>
  </si>
  <si>
    <t>Você Constroi</t>
  </si>
  <si>
    <t>61.740.510/0001-90</t>
  </si>
  <si>
    <t>https://www.voceconstroi.com.br/produto/deck-regua-espacofloor-wpc-teca-15x290cm-71935</t>
  </si>
  <si>
    <t>BR Floor</t>
  </si>
  <si>
    <t>13.985.720/0001-03</t>
  </si>
  <si>
    <t>(16) 99225-4574</t>
  </si>
  <si>
    <t>https://www.brfloor.com.br/deck-area-externa-em-wpc?parceiro=9868&amp;gad_source=4&amp;gclid=Cj0KCQjwjLGyBhCYARIsAPqTz19oIRk_9PnE4OBOkcrKXSIaBdnCU0RYQb5wRlHMtVgrr6PekiFAuu4aAloOEALw_wcB</t>
  </si>
  <si>
    <t>OBS: Veja Anexo I - Cotação de Mercado</t>
  </si>
  <si>
    <t>Mediana:</t>
  </si>
  <si>
    <t>PUXADOR PARA PORTA DUPLO, 80CM, EM AÇO INOX, LINHA: JADE, REF.:SYNETR OU EQUIVALENTE</t>
  </si>
  <si>
    <t>LaRoss</t>
  </si>
  <si>
    <t>15.442.567/0001-95</t>
  </si>
  <si>
    <t>(48) 9695-2871</t>
  </si>
  <si>
    <t>Loja do Puxador</t>
  </si>
  <si>
    <t>20.056.068/0001-08</t>
  </si>
  <si>
    <t>(14) 9 9904- 2945</t>
  </si>
  <si>
    <t>https://www.lojadopuxador.com.br/puxador-para-porta/puxadores-80-cm-para-portas-inox-escovado-pleno?parceiro=6531</t>
  </si>
  <si>
    <t>Formatto Puxadores e Fechaduras</t>
  </si>
  <si>
    <t xml:space="preserve"> 23.454.833/0001-28</t>
  </si>
  <si>
    <t>(49) 99916-1252</t>
  </si>
  <si>
    <t>https://www.formattopuxadores.com.br/puxador-duplo-de-porta-inox-df-926-cromado-italy-line-800mm?utm_source=google&amp;utm_medium=Shopping&amp;utm_campaign=puxador-duplo-de-porta-inox-df-926-cromado-italy-line-800mm&amp;inStock#derivacao=501</t>
  </si>
  <si>
    <t>REVESTIMENTO EM ACM DOS 8 PILARES ESPAÇO DA FEIRA</t>
  </si>
  <si>
    <t>CONTATO</t>
  </si>
  <si>
    <t>Arte Comunicação</t>
  </si>
  <si>
    <t>19.002.324/0001-97</t>
  </si>
  <si>
    <t>(38) 3531-7923</t>
  </si>
  <si>
    <t>LUCAS</t>
  </si>
  <si>
    <t>Evouliu Projetos Visuais</t>
  </si>
  <si>
    <t>11.005.178/0001-41</t>
  </si>
  <si>
    <t>(31) 2568-6368</t>
  </si>
  <si>
    <t>Warley</t>
  </si>
  <si>
    <t>Clips Digital</t>
  </si>
  <si>
    <t>(31)9576-5816</t>
  </si>
  <si>
    <t>LETREIRO EM ACM "MERCADO MUNICIPAL"</t>
  </si>
  <si>
    <t>-</t>
  </si>
  <si>
    <t xml:space="preserve">Múndi Soluções Ambientais </t>
  </si>
  <si>
    <t xml:space="preserve">22.819.133/0001-27 </t>
  </si>
  <si>
    <t xml:space="preserve"> (38) 99927-7457 </t>
  </si>
  <si>
    <t>Gilson Demetrio</t>
  </si>
  <si>
    <t xml:space="preserve">            COMPOSIÇÃO DOS ENCARGOS SOCIAIS</t>
  </si>
  <si>
    <t>TÍTULO</t>
  </si>
  <si>
    <t>FOLHA:</t>
  </si>
  <si>
    <t>DATA:</t>
  </si>
  <si>
    <t>PRAZO:</t>
  </si>
  <si>
    <t>Vigência</t>
  </si>
  <si>
    <t>QUADRO DE COMPOSIÇÃO DOS ENCARGOS SOCIAIS SOBRE A MÃO DE OBRA SEM DESONERAÇÃO</t>
  </si>
  <si>
    <t xml:space="preserve">            TAXAS DE LEIS SOCIAIS E RISCO DE TRABALHO</t>
  </si>
  <si>
    <t>DISCRIMINAÇÃO</t>
  </si>
  <si>
    <t>HORISTA</t>
  </si>
  <si>
    <t>MENSALISTA</t>
  </si>
  <si>
    <t>GRUPO A</t>
  </si>
  <si>
    <t>A.1</t>
  </si>
  <si>
    <t>INSS</t>
  </si>
  <si>
    <t>A.2</t>
  </si>
  <si>
    <t>SESI / SESC</t>
  </si>
  <si>
    <t>A.3</t>
  </si>
  <si>
    <t>SENAI / SENAC</t>
  </si>
  <si>
    <t>A.4</t>
  </si>
  <si>
    <t>INCRA</t>
  </si>
  <si>
    <t>A.5</t>
  </si>
  <si>
    <t>SEBRAE</t>
  </si>
  <si>
    <t>A.6</t>
  </si>
  <si>
    <t>SALÁRIO EDUCAÇÃO</t>
  </si>
  <si>
    <t>A.7</t>
  </si>
  <si>
    <t>SEGURO ACIDENTE TRABALHO</t>
  </si>
  <si>
    <t>A.8</t>
  </si>
  <si>
    <t>FGTS</t>
  </si>
  <si>
    <t>A.9</t>
  </si>
  <si>
    <t>SECONCI</t>
  </si>
  <si>
    <t xml:space="preserve">SUBTOTAL  </t>
  </si>
  <si>
    <t>GRUPO B</t>
  </si>
  <si>
    <t>B.1</t>
  </si>
  <si>
    <t>REPOUSO SEMANAL REMUNERADO</t>
  </si>
  <si>
    <t>Não Incide</t>
  </si>
  <si>
    <t>B.2</t>
  </si>
  <si>
    <t>FERIADOS / DIAS NÃO TRABALHADOS</t>
  </si>
  <si>
    <t>B.3</t>
  </si>
  <si>
    <t>AUXÍLIO ENFERMIDADES</t>
  </si>
  <si>
    <t>B.4</t>
  </si>
  <si>
    <t>13º  SALÁRIO</t>
  </si>
  <si>
    <t>B.5</t>
  </si>
  <si>
    <t>LICENÇA PATERNIDADE</t>
  </si>
  <si>
    <t>B.6</t>
  </si>
  <si>
    <t>FALTAS JUSTIFICADAS</t>
  </si>
  <si>
    <t>B.7</t>
  </si>
  <si>
    <t>DIAS DE CHUVA</t>
  </si>
  <si>
    <t>B.8</t>
  </si>
  <si>
    <t>AUXILIO ACIDENTE DE TRABALHO</t>
  </si>
  <si>
    <t>B.9</t>
  </si>
  <si>
    <t>FÉRIAS + 1/3 FÉRIAS (separar férias e abono)</t>
  </si>
  <si>
    <t>B.10</t>
  </si>
  <si>
    <t>SALÁRIO MATERNIDADE</t>
  </si>
  <si>
    <t>GRUPO C</t>
  </si>
  <si>
    <t>C.1</t>
  </si>
  <si>
    <t>AVISO PRÉVIO INDENIZADO</t>
  </si>
  <si>
    <t>C.2</t>
  </si>
  <si>
    <t>AVISO PRÉVIO TRABALHADO</t>
  </si>
  <si>
    <t>C.3</t>
  </si>
  <si>
    <t>FÉRIAS INDENIZADAS</t>
  </si>
  <si>
    <t>C.4</t>
  </si>
  <si>
    <t>DEPÓSITO RESCUSÃO SEM JUSTA CAUSA</t>
  </si>
  <si>
    <t>C.5</t>
  </si>
  <si>
    <t>INDENIZAÇÃO ADICIONAL</t>
  </si>
  <si>
    <t>GRUPO D</t>
  </si>
  <si>
    <t>D.1</t>
  </si>
  <si>
    <t>REINCIDÊNCIA DE GRUPO A SOBRE GRUPO B</t>
  </si>
  <si>
    <t>D.2</t>
  </si>
  <si>
    <t>REINCIDÊNCIA DE GRUPO I SOBRE AVISO PRÉVIO TRABALHADO E REICIDÊNCIA DO FGTS SOBRE AVISO PRÉVIO</t>
  </si>
  <si>
    <t xml:space="preserve">TOTAL  </t>
  </si>
  <si>
    <t xml:space="preserve">            CALCULO DO BDI  EQUIPAMENTOS</t>
  </si>
  <si>
    <t>REFORMA E AMPLIAÇÃO MERCADO MUNICIPAL                                                                                                                          MUNICÍPIO DE SERRO - MG</t>
  </si>
  <si>
    <t>Empreendimento</t>
  </si>
  <si>
    <t>Município</t>
  </si>
  <si>
    <t>UF</t>
  </si>
  <si>
    <t>SERRO</t>
  </si>
  <si>
    <t>MG</t>
  </si>
  <si>
    <t>Parâmetros para cálculo do BDI</t>
  </si>
  <si>
    <t>Itens Admissíveis</t>
  </si>
  <si>
    <t>Intervalos admissíveis sem justificativa</t>
  </si>
  <si>
    <t>Índices adotados</t>
  </si>
  <si>
    <t>Administração Central (AC)</t>
  </si>
  <si>
    <t xml:space="preserve">De </t>
  </si>
  <si>
    <t>até</t>
  </si>
  <si>
    <t>Seguro e Garantia (S+G)</t>
  </si>
  <si>
    <t>Risco (R)</t>
  </si>
  <si>
    <t>Despesas financeiras (DF)</t>
  </si>
  <si>
    <t>Lucro (L)</t>
  </si>
  <si>
    <t>Tributos (T)</t>
  </si>
  <si>
    <t>ISS</t>
  </si>
  <si>
    <t>PIS</t>
  </si>
  <si>
    <t>CONFINS</t>
  </si>
  <si>
    <t>INSS desoneração (E)</t>
  </si>
  <si>
    <t>ou</t>
  </si>
  <si>
    <t>Controle</t>
  </si>
  <si>
    <t>BDI ADMISSÍVEL</t>
  </si>
  <si>
    <t>BDI NÃO ADMISSÍVEL</t>
  </si>
  <si>
    <t>BDI CALCULADO ----&gt;</t>
  </si>
  <si>
    <t>BDI =[(1+AC+S+R+G)*(1+DF)*(1+L)/(1-(T+E))-1]</t>
  </si>
  <si>
    <t>BDI - SERVIÇOS</t>
  </si>
  <si>
    <t>CONSTRUÇÃO DE EDIFÍCIOS</t>
  </si>
  <si>
    <t>CONTRATANTE:</t>
  </si>
  <si>
    <t>PREFEITURA MUNICIPAL DE SERRO</t>
  </si>
  <si>
    <t>PLANILHA MODELO:</t>
  </si>
  <si>
    <t>REV_00</t>
  </si>
  <si>
    <t>CONSTRUÇÃO DE RODOVIAS E FERROVIAS</t>
  </si>
  <si>
    <t>PROJETO:</t>
  </si>
  <si>
    <t>REFORMA E AMPLIAÇÃO MERCADO MUNICIPAL</t>
  </si>
  <si>
    <t>NÃO DESONERADA</t>
  </si>
  <si>
    <t>CONSTRUÇÃO DE REDES DE ABASTECIMENTO DE ÁGUA, COLETA DE ESGOTO E CONSTRUÇÕES CORRELATAS</t>
  </si>
  <si>
    <t>LOCAL:</t>
  </si>
  <si>
    <t>SERRO - MG</t>
  </si>
  <si>
    <t>CONSTRUÇÃO DE MANUNTEÇÃO DE ESTAÇÕES E REDES DE DISTRIBUIÇÃO DE ENERGIA ELÉTRICA</t>
  </si>
  <si>
    <t>OBRAS PORTUÁRIAS, MARÍTIMAS E FLUVIAIS</t>
  </si>
  <si>
    <t>CAEMA</t>
  </si>
  <si>
    <t>AC =</t>
  </si>
  <si>
    <t>ADMINISTRAÇÃO CENTRAL =</t>
  </si>
  <si>
    <t>S + G =</t>
  </si>
  <si>
    <t>SEGURO + GARANTIAS =</t>
  </si>
  <si>
    <t>R =</t>
  </si>
  <si>
    <t>RISCO =</t>
  </si>
  <si>
    <t>ADM</t>
  </si>
  <si>
    <t>SG</t>
  </si>
  <si>
    <t>RI</t>
  </si>
  <si>
    <t>DF</t>
  </si>
  <si>
    <t>LU</t>
  </si>
  <si>
    <t>DF =</t>
  </si>
  <si>
    <t>DESPESAS FINANCEIRAS =</t>
  </si>
  <si>
    <t>L =</t>
  </si>
  <si>
    <t>LUCRO =</t>
  </si>
  <si>
    <t>I =</t>
  </si>
  <si>
    <t>IMPOSTOS =</t>
  </si>
  <si>
    <t>COFINS</t>
  </si>
  <si>
    <t>BDI =</t>
  </si>
  <si>
    <t>[</t>
  </si>
  <si>
    <t>[(</t>
  </si>
  <si>
    <t>+</t>
  </si>
  <si>
    <t>)x</t>
  </si>
  <si>
    <t>(</t>
  </si>
  <si>
    <t>)]</t>
  </si>
  <si>
    <t>]</t>
  </si>
  <si>
    <t>=</t>
  </si>
  <si>
    <t>)</t>
  </si>
  <si>
    <t>1 - FORMULA CONFORME ACORDAO nº 2622/2013 TCU - PLENÁRIO</t>
  </si>
  <si>
    <t>REFORMA E AMPLIAÇÃO MERCADO MUNICIPAL                                                                                                                   MUNICÍPIO DE SERRO - MG</t>
  </si>
  <si>
    <t>Cronograma Físico e Financeiro</t>
  </si>
  <si>
    <t>Total Por Etapa</t>
  </si>
  <si>
    <t>Porcentagem</t>
  </si>
  <si>
    <t>Custo</t>
  </si>
  <si>
    <t>Porcentagem Acumulado</t>
  </si>
  <si>
    <t>Custo Acumulado</t>
  </si>
  <si>
    <t>Curva ABC</t>
  </si>
  <si>
    <t>Acumulado (%)</t>
  </si>
  <si>
    <r>
      <t xml:space="preserve">Curva A                                                                                                                                                                                                                                                                                                                                                                                                             </t>
    </r>
    <r>
      <rPr>
        <sz val="8"/>
        <color theme="0"/>
        <rFont val="Arial"/>
        <family val="2"/>
      </rPr>
      <t>"20% dos itens representam 80% do custo total."</t>
    </r>
  </si>
  <si>
    <r>
      <t xml:space="preserve">Curva B                                                                                                                                                                                                                                                                                                                                                                                                             </t>
    </r>
    <r>
      <rPr>
        <sz val="8"/>
        <color theme="0"/>
        <rFont val="Arial"/>
        <family val="2"/>
      </rPr>
      <t>"30% dos itens representam 15% do custo total."</t>
    </r>
  </si>
  <si>
    <r>
      <t xml:space="preserve">Curva C                                                                                                                                                                                                                                                                                                                                                                                                             </t>
    </r>
    <r>
      <rPr>
        <sz val="8"/>
        <rFont val="Arial"/>
        <family val="2"/>
      </rPr>
      <t>"50% dos itens representam 5% do custo total."</t>
    </r>
  </si>
  <si>
    <t>REFORMA E AMPLIAÇÃO MERCADO MUNICIPAL                                                                                                                                                                                MUNICÍPIO DE SERRO - MG</t>
  </si>
  <si>
    <t>Curva S</t>
  </si>
  <si>
    <t>MÊS</t>
  </si>
  <si>
    <t>ACUMULADO</t>
  </si>
  <si>
    <t>PREVISTO</t>
  </si>
  <si>
    <t>REALIZADO</t>
  </si>
  <si>
    <t>Valor (R$)</t>
  </si>
  <si>
    <t>Porcentagem (%)</t>
  </si>
  <si>
    <t xml:space="preserve">                    MEMÓRIA DE CÁLCULO</t>
  </si>
  <si>
    <t>TÍTULO: DIVERSOS</t>
  </si>
  <si>
    <t>PÁGINA</t>
  </si>
  <si>
    <t>MERCADO MUNICIPAL                                                                                                                                                                                MUNICÍPIO DE SERRO - MG</t>
  </si>
  <si>
    <t>REV.</t>
  </si>
  <si>
    <t>Cálculo banco de concreto, H=50cm - m</t>
  </si>
  <si>
    <t>FIGURA INDICATIVA (SEM ESCALA)</t>
  </si>
  <si>
    <t>Cálculo</t>
  </si>
  <si>
    <t>Banco 1 + banco 2</t>
  </si>
  <si>
    <t>2,01+2,893+1,622+2,433+5,505</t>
  </si>
  <si>
    <t>Subtotal</t>
  </si>
  <si>
    <t>Cálculo pergolado de madeira - m²</t>
  </si>
  <si>
    <t>Área - m²</t>
  </si>
  <si>
    <t>Vegetação canteiros - Un</t>
  </si>
  <si>
    <t>Nome científico</t>
  </si>
  <si>
    <t>Nome popular</t>
  </si>
  <si>
    <t>Porte</t>
  </si>
  <si>
    <t>Unidade - Un</t>
  </si>
  <si>
    <t>Calliandra dysantha, Fabaceae</t>
  </si>
  <si>
    <t>Flor do cerrado</t>
  </si>
  <si>
    <t>0,5m de altura</t>
  </si>
  <si>
    <t>Lychnophora triflora</t>
  </si>
  <si>
    <t>Arnica Arbusto</t>
  </si>
  <si>
    <t>1,0m de altura</t>
  </si>
  <si>
    <t>MISCANTHUS SINENSIS VARIEGATUS</t>
  </si>
  <si>
    <t>Capim-listrado euláia</t>
  </si>
  <si>
    <t>Calliandra viscidula, Fabaceae</t>
  </si>
  <si>
    <t>LAVANDULA SP</t>
  </si>
  <si>
    <t>Lavanda, alfazema</t>
  </si>
  <si>
    <t>CENTAUREA GYMNOCARPA</t>
  </si>
  <si>
    <t>CENTÁUREA-VELUDO</t>
  </si>
  <si>
    <t>0,4m de altura</t>
  </si>
  <si>
    <t>HEDERA HELIX</t>
  </si>
  <si>
    <t>HERA TREPADEIRA</t>
  </si>
  <si>
    <t>FICUS RADICANS</t>
  </si>
  <si>
    <t>FIGUEIRA TREPADEIRA</t>
  </si>
  <si>
    <t>Fuchsia hybrida</t>
  </si>
  <si>
    <t>BRINCOS-DE-PRINCESA</t>
  </si>
  <si>
    <t>Jacaranda mimosifolia</t>
  </si>
  <si>
    <t>JACARANDÁ MIMOSO</t>
  </si>
  <si>
    <t>15m de altura</t>
  </si>
  <si>
    <t>Myrciaria cauliflora</t>
  </si>
  <si>
    <t>JABUTICABEIRA</t>
  </si>
  <si>
    <t>3m de altura</t>
  </si>
  <si>
    <t>Morus Nigra</t>
  </si>
  <si>
    <t>Amoreira</t>
  </si>
  <si>
    <t>10 m de altura</t>
  </si>
  <si>
    <t>Psidum guajava</t>
  </si>
  <si>
    <t>Goiabeira</t>
  </si>
  <si>
    <t>7m de altura</t>
  </si>
  <si>
    <t>Eugenia uniflora</t>
  </si>
  <si>
    <t>PITANGUEIRA</t>
  </si>
  <si>
    <t>12m de altura</t>
  </si>
  <si>
    <t>Psidum cateleyanum</t>
  </si>
  <si>
    <t>Laranjeira</t>
  </si>
  <si>
    <t>8m de altura</t>
  </si>
  <si>
    <t>Malus domestica</t>
  </si>
  <si>
    <t>MACIEIRA</t>
  </si>
  <si>
    <t>Subtotal arbusto ou cerva viva</t>
  </si>
  <si>
    <t>Subtotal mudas superiores a 2m</t>
  </si>
  <si>
    <t>Cálculo área para adubo - m²</t>
  </si>
  <si>
    <t>Área para adubo - m²</t>
  </si>
  <si>
    <t>0,55*5,26</t>
  </si>
  <si>
    <t>21,61*4,60</t>
  </si>
  <si>
    <t>19,60*2,01</t>
  </si>
  <si>
    <t>TÍTULO: DRENAGEM E PAVIMENTAÇÃO DA TRAVESSA MAGALHÃES</t>
  </si>
  <si>
    <t>Remoção de carga de todo o pavimento existente</t>
  </si>
  <si>
    <t>(2,03+1,20+2,90)*2</t>
  </si>
  <si>
    <t>DEMOLIÇÃO MECANIZADA DE CONCRETO ARMADO</t>
  </si>
  <si>
    <t>4,5*2,6*0,3</t>
  </si>
  <si>
    <t>ESCAVAÇÃO MECÂNICA DE VALAS COM PROFUNDIDADE MAIOR QUE 1,5M E MENOR OU IGUAL 3,0M</t>
  </si>
  <si>
    <t>TRANSPORTE COM CAMINHÃO BASCULANTE DE 6 M³</t>
  </si>
  <si>
    <t>m³XKm</t>
  </si>
  <si>
    <t>PREPARO DE FUNDO DE VALA COM LARGURA MAIOR OU IGUAL A 1,5 M E MENOR QUE 2,5 M</t>
  </si>
  <si>
    <t xml:space="preserve">REATERRO MANUAL APILOADO COM SOQUETE </t>
  </si>
  <si>
    <t xml:space="preserve">TUBO CORRUGADO PEAD, PAREDE DUPLA, DN/DI *400* MM                                                                                                                                                                                                                                                                                                                                                    </t>
  </si>
  <si>
    <t xml:space="preserve">TUBO CORRUGADO PEAD, PAREDE DUPLA, DN/DI *1000* MM                                                                                                                                                                                                                                                                                                                                                    </t>
  </si>
  <si>
    <t>CAIXA DE CAPTAÇÃO E DRENAGEM TIPO C (120 X 120 X 150 CM)</t>
  </si>
  <si>
    <t xml:space="preserve">GRELHA DE FERRO FUNDIDO PARA BOCA DE LOBO </t>
  </si>
  <si>
    <t>BOCA DE LOBO SILMPES - TIPO A , FERRO FUNDIDO</t>
  </si>
  <si>
    <t>DEMOLIÇÃO MECANIZADA DE LAJE DE CONCRETO ARMADO</t>
  </si>
  <si>
    <t>13,55*2,2</t>
  </si>
  <si>
    <t>ESCADA HIDRÁULICA</t>
  </si>
  <si>
    <t>3,68*2</t>
  </si>
  <si>
    <t>ALA DE REDE TUBULAR DN 1500</t>
  </si>
  <si>
    <t>PEDRA DE MÃO FIXADA COM CONCRETO PARA BACIA DE DISSIPAÇÃO</t>
  </si>
  <si>
    <t>AÇO CA-50 12,5MM</t>
  </si>
  <si>
    <t>AÇO CA-25 6,3MM</t>
  </si>
  <si>
    <t>BLOCOS DE CONCRETO ESTRUTURAL 14X19X29</t>
  </si>
  <si>
    <t>LAJE MACIÇA</t>
  </si>
  <si>
    <t>FABRICAÇÃO DE FORMAS PARA VIGAS</t>
  </si>
  <si>
    <t>REGULARIZAÇÃO E COMPACTAÇÃO DE SUBLEITO</t>
  </si>
  <si>
    <t>COMPACTAÇÃO DE BASE PARA PAVIMENTAÇÃO</t>
  </si>
  <si>
    <t>PAVIMENTO EM PARALELEPÍPEDOS</t>
  </si>
  <si>
    <t>TÍTULO: ESQUADRIAS</t>
  </si>
  <si>
    <t>Cálculo área das janelas - m²</t>
  </si>
  <si>
    <t>Ambiente</t>
  </si>
  <si>
    <t>Largura</t>
  </si>
  <si>
    <t>Altura</t>
  </si>
  <si>
    <t>Peitoril</t>
  </si>
  <si>
    <t>Quantidade</t>
  </si>
  <si>
    <t>Administração - Térreo</t>
  </si>
  <si>
    <t>J-4</t>
  </si>
  <si>
    <t>Loja do Queijo</t>
  </si>
  <si>
    <t>J-7</t>
  </si>
  <si>
    <t>J-5</t>
  </si>
  <si>
    <t>Circulação Vertical</t>
  </si>
  <si>
    <t>Loja do Artesanato</t>
  </si>
  <si>
    <t>J-6</t>
  </si>
  <si>
    <t>Banca de Revista</t>
  </si>
  <si>
    <t>Cozinha</t>
  </si>
  <si>
    <t>J-3</t>
  </si>
  <si>
    <t>Lanchonete</t>
  </si>
  <si>
    <t>J-1</t>
  </si>
  <si>
    <t>Escada</t>
  </si>
  <si>
    <t>J-2</t>
  </si>
  <si>
    <t>Depósito</t>
  </si>
  <si>
    <t>I.S. PNE</t>
  </si>
  <si>
    <t>Administração - Subsolo</t>
  </si>
  <si>
    <t>I.S.F.</t>
  </si>
  <si>
    <t>I.S.M.</t>
  </si>
  <si>
    <t>Subtotal Janela basculante de madeira</t>
  </si>
  <si>
    <t>Subtotal Janela de alumínio de enrolar</t>
  </si>
  <si>
    <t>Cálculo área das portas - m²</t>
  </si>
  <si>
    <t>PM-2</t>
  </si>
  <si>
    <t>PM-5</t>
  </si>
  <si>
    <t>Circulação Descoberta</t>
  </si>
  <si>
    <t>PT-2</t>
  </si>
  <si>
    <t>PM-3</t>
  </si>
  <si>
    <t>Hall</t>
  </si>
  <si>
    <t>PT-3</t>
  </si>
  <si>
    <t>PM-1</t>
  </si>
  <si>
    <t>D.M.L.</t>
  </si>
  <si>
    <t>PM-4</t>
  </si>
  <si>
    <t>Fraldário</t>
  </si>
  <si>
    <t>PT-1</t>
  </si>
  <si>
    <t>Subtotal Porta de abrir tipo prancheta com acab. Laminado, marco e alizar em madeira, branco (160)</t>
  </si>
  <si>
    <t>Subtotal Porta de abrir tipo prancheta com acab. Laminado, marco e alizar em madeira, branco (90). Obs: PNE</t>
  </si>
  <si>
    <t>Subtotal Porta de abrir tipo prancheta com acab. Laminado, marco e alizar em madeira, branco (90)</t>
  </si>
  <si>
    <t>Subtotal Porta de abrir tipo prancheta com acab. Laminado, marco e alizar em madeira, branco (80)</t>
  </si>
  <si>
    <t>Subtotal Porta de abrir tipo prancheta com acab. Laminado, marco e alizar em madeira, branco (70)</t>
  </si>
  <si>
    <t>Subtotal Porta de correr metálica</t>
  </si>
  <si>
    <t>Subtotal Porta de abrir de grade metálica</t>
  </si>
  <si>
    <t>Subtotal Porta de abrir para box em alumínio com veneziana</t>
  </si>
  <si>
    <t>Cálculo de verga e conta-verga - m</t>
  </si>
  <si>
    <t>Local</t>
  </si>
  <si>
    <t>Identificação</t>
  </si>
  <si>
    <t>Tipo de abertura</t>
  </si>
  <si>
    <t>Vão</t>
  </si>
  <si>
    <t>Verga</t>
  </si>
  <si>
    <t>Conta-verga</t>
  </si>
  <si>
    <t>Transpasse Sup.</t>
  </si>
  <si>
    <t>Transpasse Inf.</t>
  </si>
  <si>
    <t>Total Verga</t>
  </si>
  <si>
    <t>Total Contraverga</t>
  </si>
  <si>
    <t>Janela</t>
  </si>
  <si>
    <t>J</t>
  </si>
  <si>
    <t>Porta</t>
  </si>
  <si>
    <t>P</t>
  </si>
  <si>
    <t>Total verga (m)</t>
  </si>
  <si>
    <t>Total contra verga (m)</t>
  </si>
  <si>
    <t>Total (m)</t>
  </si>
  <si>
    <t>TÍTULO: FORRO EM GESSO ACARTONADO</t>
  </si>
  <si>
    <t>Paredes internas emassada com massa acrílica, e pintata com tinta acrílica - m²</t>
  </si>
  <si>
    <t>Perímetro</t>
  </si>
  <si>
    <t>Espaço da feira</t>
  </si>
  <si>
    <t>Administração</t>
  </si>
  <si>
    <t>Circulação vertical</t>
  </si>
  <si>
    <t>Loja Artesanato</t>
  </si>
  <si>
    <t>Pilares Frente do Mercado</t>
  </si>
  <si>
    <t>Pilares Hall</t>
  </si>
  <si>
    <t>Administração Subsolo</t>
  </si>
  <si>
    <t>Administração Subsolo Pilar</t>
  </si>
  <si>
    <t xml:space="preserve">Subtotal </t>
  </si>
  <si>
    <t>Descontos -  INFERIOR A 2 m² NÃO DESCONTAR.</t>
  </si>
  <si>
    <t>Perimetro</t>
  </si>
  <si>
    <t>Paredes externas emassada com massa acrílica, e pintata com tinta acrílica - m²</t>
  </si>
  <si>
    <t>Paredes externas térreo</t>
  </si>
  <si>
    <t>Paredes externas subsolo</t>
  </si>
  <si>
    <t>Muro</t>
  </si>
  <si>
    <t>TÍTULO: CORRIMÃO E GUARDA CORPO</t>
  </si>
  <si>
    <t>Cálculo corrimão duplo em aço inox, H=70cm e 92cm - m</t>
  </si>
  <si>
    <t>Escada 01</t>
  </si>
  <si>
    <t>Escada 02</t>
  </si>
  <si>
    <t>(17*0,29)*2</t>
  </si>
  <si>
    <t>Escada 03</t>
  </si>
  <si>
    <t>(17*0,285)*2</t>
  </si>
  <si>
    <t>Escada 04</t>
  </si>
  <si>
    <t>((1,50)+(20*0,28))*2</t>
  </si>
  <si>
    <t>Cálculo guarda corpo metálica em aço galvanizado - m</t>
  </si>
  <si>
    <t>Área externa</t>
  </si>
  <si>
    <t>TÍTULO: BANCADAS</t>
  </si>
  <si>
    <t>Bancadas em Granito branco dallas - m²</t>
  </si>
  <si>
    <t>(3,58*0,75)</t>
  </si>
  <si>
    <t>(1,80*0,75)</t>
  </si>
  <si>
    <t>(1,0*0,87)</t>
  </si>
  <si>
    <t>Bancada em aço inox com boras em chapa dobrada, rodabanca H=10cm - m</t>
  </si>
  <si>
    <t>2,85+1,90+3</t>
  </si>
  <si>
    <t>Balcão em Granito branco dallas, testeira H=10cm - m²</t>
  </si>
  <si>
    <t>Bancada em Granito branco dallas, testeira H=10cm, rodabanca H=10cm - m²</t>
  </si>
  <si>
    <t>(1,58*0,6)</t>
  </si>
  <si>
    <t>I.S.F e I.S.M.</t>
  </si>
  <si>
    <t>(0,40*1,93)*2</t>
  </si>
  <si>
    <t>(1,96*0,65)</t>
  </si>
  <si>
    <t>Soleira em granito branco dallas - m²</t>
  </si>
  <si>
    <t>(0,97*0,275)</t>
  </si>
  <si>
    <t>(1,20*0,15)+(0,97*0,27)</t>
  </si>
  <si>
    <t>(0,15*0,97)</t>
  </si>
  <si>
    <t>(0,77*0,15)</t>
  </si>
  <si>
    <t>Soleira rampada em granito branco dallas - m²</t>
  </si>
  <si>
    <t>(0,28*1,20)*2</t>
  </si>
  <si>
    <t>0,15*0,963</t>
  </si>
  <si>
    <t>Soleira em granilite cor branco - m²</t>
  </si>
  <si>
    <t>(0,27*0,77)</t>
  </si>
  <si>
    <t>(0,87*0,15)</t>
  </si>
  <si>
    <t>Divisória em granito polido, branco  dallas, H=180cm</t>
  </si>
  <si>
    <t>(1,10+0,425)*1,80</t>
  </si>
  <si>
    <t>(1,10+0,735)*1,80</t>
  </si>
  <si>
    <t>(1,10+0,32)*1,80</t>
  </si>
  <si>
    <t>(1,10+0,27)*1,80</t>
  </si>
  <si>
    <t>0,45*1,80</t>
  </si>
  <si>
    <t>Prateleira em granito branco dallas - m²</t>
  </si>
  <si>
    <t>0,6*2,322</t>
  </si>
  <si>
    <t>0,40*2,187</t>
  </si>
  <si>
    <t>Peitoril em granito branco dallas - m²</t>
  </si>
  <si>
    <t>Janela tipo</t>
  </si>
  <si>
    <t>Espessura (+4,5cm)</t>
  </si>
  <si>
    <t>Comprimento</t>
  </si>
  <si>
    <t>Administração subsolo</t>
  </si>
  <si>
    <t>Cálculo Forro em Gesso - Térreo - m²</t>
  </si>
  <si>
    <t>Cálculo Forro em Gesso - m²</t>
  </si>
  <si>
    <t>Espaço da Feira</t>
  </si>
  <si>
    <t>especificado no projeto</t>
  </si>
  <si>
    <t>Banca de revista</t>
  </si>
  <si>
    <t>Subtotal Perímetro Térreo</t>
  </si>
  <si>
    <t>Subtotal Área Térreo</t>
  </si>
  <si>
    <t>Cálculo Forro em Gesso - Subsolo - m²</t>
  </si>
  <si>
    <t>FRALDÁRIO</t>
  </si>
  <si>
    <t>Subtotal Perímetro Subsolo</t>
  </si>
  <si>
    <t>Subtotal Área Subsolo</t>
  </si>
  <si>
    <t>Total Perímetro</t>
  </si>
  <si>
    <t>Total Área</t>
  </si>
  <si>
    <t>TÍTULO: REVESTIMENTOS</t>
  </si>
  <si>
    <t>Revestimento de alvenaria - Esteira de bambu em trama simples - m²</t>
  </si>
  <si>
    <t>Revestimento de alvenaria - ACM 4mm - m²</t>
  </si>
  <si>
    <t>Espaço de Feira - Pilares</t>
  </si>
  <si>
    <t>(0,52*2)+0,54</t>
  </si>
  <si>
    <t>(0,54*2)+(1,14*2)</t>
  </si>
  <si>
    <t>Revestimento Brise em madeira - m²</t>
  </si>
  <si>
    <t>Revestimento Cerâmico esmaltado em placas de 33x45, cor branco - m²</t>
  </si>
  <si>
    <t>Perímetro Cálculo</t>
  </si>
  <si>
    <t>Perímetro Resultado</t>
  </si>
  <si>
    <t>(2,37*2)+(5,03*2)=</t>
  </si>
  <si>
    <t>(5,03)+(2,99)+(1,88)+(1,35)=</t>
  </si>
  <si>
    <t xml:space="preserve">Lanchonete </t>
  </si>
  <si>
    <t>(3,68*2)</t>
  </si>
  <si>
    <t>(1,60*2)+(1,70*2)=</t>
  </si>
  <si>
    <t>(1,60*2)+(1,96*2)=</t>
  </si>
  <si>
    <t>(3,07*2)+(3,06)*2=</t>
  </si>
  <si>
    <t>(3,01*2)+(3,06)*2=</t>
  </si>
  <si>
    <t>TÍTULO: ALVENARIA</t>
  </si>
  <si>
    <t>Cálculo alvenaria tijolo cerâmico - Térreo - m²</t>
  </si>
  <si>
    <t>Cálculo das áreas das alvenarias - e=0,15 m</t>
  </si>
  <si>
    <t>Cálculo alvenaria externa tijolo cerâmico - Subsolo - m²</t>
  </si>
  <si>
    <t>Cálculo das áreas das alvenarias - e=0,28m</t>
  </si>
  <si>
    <t>J-3 (metade)</t>
  </si>
  <si>
    <t>Cálculo alvenaria externa e interna tijolo cerâmico - Subsolo - m²</t>
  </si>
  <si>
    <t>Cálculo das áreas das alvenarias - e=0,27m</t>
  </si>
  <si>
    <t xml:space="preserve">J-3 </t>
  </si>
  <si>
    <t>Cálculo alvenaria interna tijolo cerâmico - Subsolo - m²</t>
  </si>
  <si>
    <t>Cálculo das áreas das alvenarias - e=0,15m</t>
  </si>
  <si>
    <t>Cálculo alvenaria área externa - Subsolo - m²</t>
  </si>
  <si>
    <t>Área externa lateral 01</t>
  </si>
  <si>
    <t>Área externa lateral 02</t>
  </si>
  <si>
    <t>TÍTULO: PISO</t>
  </si>
  <si>
    <t>Piso em Concreto - m²</t>
  </si>
  <si>
    <t>ÁREA MOLHADA</t>
  </si>
  <si>
    <t>especificação no projeto</t>
  </si>
  <si>
    <t>(7*0,29)+(9*0,29)+(1,20)+(18*0,1722)</t>
  </si>
  <si>
    <t xml:space="preserve">Total  </t>
  </si>
  <si>
    <t>Piso deck de madeira plástica - m²</t>
  </si>
  <si>
    <t>Piso deck de madeira plástica- m²</t>
  </si>
  <si>
    <t>Deck</t>
  </si>
  <si>
    <t>Piso em granilite, cor branco - m²</t>
  </si>
  <si>
    <t>Piso em cerâmica em placas esmaltada 45x45, cor branco - m²</t>
  </si>
  <si>
    <t>I.S. M.</t>
  </si>
  <si>
    <t>Rodapé de argamassa 1:3, H=7cm - m</t>
  </si>
  <si>
    <t>Circulação</t>
  </si>
  <si>
    <t>Total  Área</t>
  </si>
  <si>
    <t>Rodapé em granilite, H=7cm, cor branco - m</t>
  </si>
  <si>
    <t>Área</t>
  </si>
  <si>
    <t>Aplicação de selante em junta de dilatação</t>
  </si>
  <si>
    <t>( 5   ×   20,05 )   +   ( 9   ×   11,99 )   +   ( 5   ×   2,94 )   +   ( 3,65    +    3,58   +   2,15   +   3   +   3,26 )</t>
  </si>
  <si>
    <t>TÍTULO: DEMOLIÇÕES E REMOÇÕES</t>
  </si>
  <si>
    <t>REFORMA E AMPLIAÇÃO MERCADO MUNICIPAL                                                                                                                                                                               MUNICÍPIO DE SERRO - MG</t>
  </si>
  <si>
    <t>Demolição de piso - m²</t>
  </si>
  <si>
    <t>Mercado TÉRREO</t>
  </si>
  <si>
    <t>especificações no projeto estrutural</t>
  </si>
  <si>
    <t>Piso na área externa</t>
  </si>
  <si>
    <t>Demolição de revestimento existente, piso - m²</t>
  </si>
  <si>
    <t>Demolição de alvenaria Térreo - m³</t>
  </si>
  <si>
    <t>Demolição de alvenaria - m³</t>
  </si>
  <si>
    <t>Volume - m³</t>
  </si>
  <si>
    <t>Depósito 01</t>
  </si>
  <si>
    <t>(0,22*0,27*2,10)+(0,835*0,27*1,10)+(2,94*0,15*2,10)+(0,27*0,15*2,10)</t>
  </si>
  <si>
    <t>Depósito 02</t>
  </si>
  <si>
    <t>(1,11*0,27*1,10)+(2,94*0,14*2,10)+(0,27*0,14*2,10)</t>
  </si>
  <si>
    <t>((1,11)*1,10)+((0,27+2,94)*2,10)</t>
  </si>
  <si>
    <t>Depósito 03</t>
  </si>
  <si>
    <t>(0,95*0,27*1,10)+(2,94*0,14*2,10)+(0,27*0,14*2,10)</t>
  </si>
  <si>
    <t>((0,95)*1,10)+((0,27+2,94)*2,10)</t>
  </si>
  <si>
    <t>Depósito 04</t>
  </si>
  <si>
    <t>(0,85*0,27*1,10)+(2,94*0,25*2,10)+(0,27*0,25*2,10)+(3,41*1,10*0,27)+(0,24*0,27*2,10)</t>
  </si>
  <si>
    <t>(2,94*2,10*0,27,5)+(0,27*2,10*0,295)+((1,09+1,63)*0,27*1,10)</t>
  </si>
  <si>
    <t>((2,94+0,27)*0,2*2,10)+((1,72+1,315)*1,10*0,27)</t>
  </si>
  <si>
    <t>Alvenaria área externa</t>
  </si>
  <si>
    <t>0,15*1,91*2,10</t>
  </si>
  <si>
    <t>Casa Caixa D'água</t>
  </si>
  <si>
    <t>Demolição de alvenaria Subsolo - m³</t>
  </si>
  <si>
    <t>Administrativo APAQS</t>
  </si>
  <si>
    <t>(0,27*3,34*2,78)+(0,11*2,78*4,90)-(0,80*2,03*0,27)</t>
  </si>
  <si>
    <t>Grupo Marte</t>
  </si>
  <si>
    <t>(2,915*0,25*2,78)+(0,11*3,03*2,78)+(1,885*0,25*2,78)+(0,27*3,03*2,78)-(0,80*2,03*0,27)</t>
  </si>
  <si>
    <t>0,28*7,33*2,78-(0,80*2,03*0,28)</t>
  </si>
  <si>
    <t>2,90*0,15*2,78-(0,6*1,80*0,15)</t>
  </si>
  <si>
    <t>Almoxarifado</t>
  </si>
  <si>
    <t>((0,28+3,26+0,27)*2,78*0,27)+(2,27*0,28*2,78)+(2,27*0,27*2,78)-(0,70*2,03*0,27)</t>
  </si>
  <si>
    <t>Depósito 2</t>
  </si>
  <si>
    <t>2,231*0,16*2,82</t>
  </si>
  <si>
    <t>I.S.</t>
  </si>
  <si>
    <t>(0,15*2,83*0,97)+(0,31*1,55*2,83)-(0,5*2,80*0,15)</t>
  </si>
  <si>
    <t>I.S. 2</t>
  </si>
  <si>
    <t>(0,28*1,55*2,83)+(0,97*0,15*2,83)-(0,5*2,80*0,15)</t>
  </si>
  <si>
    <t>(1,47*0,19*1,80)+(0,12*0,15*1,80)+(0,115*0,15*1,80)+(0,65*0,15*1,80)+(0,105*0,15*1,80)+(0,185*1,47*1,80)+(0,19*0,15*1,80)+(1,95*1,80*0,25)+(0,15*0,2*1,80)</t>
  </si>
  <si>
    <t>(4,81*0,2*1,80)+(1,48*0,18*1,80)*2+(3,63*0,176*2,80)+(1,39*0,29*1,80)+(0,98*0,26*2,80)+(1,18*0,13*2,80)+(0,22*0,15*1,80)+(0,16*0,15*1,80)+(0,08*0,15*1,80)+(0,12*0,15*1,80)+(0,12*0,15*1,80)+(0,07*0,15*1,80)</t>
  </si>
  <si>
    <t>Alvenaria Corredor lateral</t>
  </si>
  <si>
    <t>(1,87,4*0,28*3,70)-(0,90*0,45*3,10)</t>
  </si>
  <si>
    <t>Demolição de revestimento existente, parede - m²</t>
  </si>
  <si>
    <t>(1,47*1,80)+(0,12*1,8)+(0,115*1,8)+(0,65*1,8)+(0,105*1,8)+(1,47*1,8)+(0,19*1,8)+(1,95*1,80)+(0,2*1,8)</t>
  </si>
  <si>
    <t>(4,81*1,80)+(1,48*1,80)*2+(3,63*2,80)+(1,39*1,80)+(0,98*2,80)+(1,18*2,80)+(0,22*1,80)+(0,16*1,80)+(0,08*1,80)+(0,12*1,80)+(0,12*1,80)+(0,07*1,80)</t>
  </si>
  <si>
    <t>Remoção de Portas - m²</t>
  </si>
  <si>
    <t>Mercado</t>
  </si>
  <si>
    <t>0,81*2,10</t>
  </si>
  <si>
    <t>0,80*2,03</t>
  </si>
  <si>
    <t>Administrativo APaQS</t>
  </si>
  <si>
    <t>0,6*1,80</t>
  </si>
  <si>
    <t>0,7*2,03</t>
  </si>
  <si>
    <t>I.S. 1 e 2</t>
  </si>
  <si>
    <t>0,5*2,80</t>
  </si>
  <si>
    <t>Porta na lateral - Depósito</t>
  </si>
  <si>
    <t>0,6*2,03</t>
  </si>
  <si>
    <t>(0,64*1,80)*4+(0,9*2,03)</t>
  </si>
  <si>
    <t>Porta Depósitos 1 e 2</t>
  </si>
  <si>
    <t>(0,87*2,10)*2</t>
  </si>
  <si>
    <t>Porta Depósitos 3 e 4</t>
  </si>
  <si>
    <t>(0,65*2,10)*2</t>
  </si>
  <si>
    <t>0,65*2,10</t>
  </si>
  <si>
    <t>Remoção de Janelas - m²</t>
  </si>
  <si>
    <t>0)</t>
  </si>
  <si>
    <t>Depósito 1 e 2</t>
  </si>
  <si>
    <t>3,14*1,38</t>
  </si>
  <si>
    <t>Depósito 3 e 4 + Escada</t>
  </si>
  <si>
    <t>4,825*1,38</t>
  </si>
  <si>
    <t>Loja do Artesanato + Escada</t>
  </si>
  <si>
    <t>1,73*1,0</t>
  </si>
  <si>
    <t>(2,705*0,435)+(1,60*1)</t>
  </si>
  <si>
    <t>1,60*1,0</t>
  </si>
  <si>
    <t>1,0*0,70</t>
  </si>
  <si>
    <t>(0,95*1,0)*2</t>
  </si>
  <si>
    <t>0,64*0,44</t>
  </si>
  <si>
    <t>Corredor Lateral</t>
  </si>
  <si>
    <t>0,90*0,45</t>
  </si>
  <si>
    <t>1,74*1,0</t>
  </si>
  <si>
    <t>Demolição de grade de ferro fundido - m²</t>
  </si>
  <si>
    <t>((0,22+0,87)*(4,73-2,10))+((0,835)*(4,73-1,10))</t>
  </si>
  <si>
    <t>((0,87)*(4,73-2,10))+((1,11)*(4,73-1,10))</t>
  </si>
  <si>
    <t>((0,645)*(4,73-2,10))+((0,81)*(4,73-1,10))</t>
  </si>
  <si>
    <t>((0,64)*(4,73-2,10))+((4,755)*(4,73-1,10))</t>
  </si>
  <si>
    <t>((1,09+1,63)*(4,73-1,10))+((0,625)*(4,73-2,10))</t>
  </si>
  <si>
    <t>((1,72+1,315)*(4,73-1,10))+((0,66)*(4,73-2,10))</t>
  </si>
  <si>
    <t>Remoção de Luminárias - UN</t>
  </si>
  <si>
    <t>Remoção de Luminárias - UM</t>
  </si>
  <si>
    <t>Unidade - UM</t>
  </si>
  <si>
    <t>Depósito 1, 2, 3 e 4</t>
  </si>
  <si>
    <t>1+1+1+1</t>
  </si>
  <si>
    <t>Caixa D'água</t>
  </si>
  <si>
    <t>Barracão</t>
  </si>
  <si>
    <t>Demolição de Escada - m³</t>
  </si>
  <si>
    <t>((1,58*0,20*0,30)*4)+((1,34*0,20*0,30)*9)+(1,35*1,965*0,20)+(2,01*1,35*0,20)</t>
  </si>
  <si>
    <t>Demolição guarda corpo em alvenaria da escada - m³</t>
  </si>
  <si>
    <t>(0,15*1,685*1,10)+(0,15*1,34*1,10)+(0,24*1,575*1,10)+(0,15*2,54*1,10)</t>
  </si>
  <si>
    <t>Demolição mobiliário fixo - m³</t>
  </si>
  <si>
    <t>Bancos de concreto</t>
  </si>
  <si>
    <t>((0,50)*(1,80*6))*(0,45)</t>
  </si>
  <si>
    <t>Demolição de pilar - m³</t>
  </si>
  <si>
    <t>Pilar 1, 2, 3 e 4</t>
  </si>
  <si>
    <t>4*((0,2*0,45)*(4,73-0,50))</t>
  </si>
  <si>
    <t>Remoções de Louças - UN</t>
  </si>
  <si>
    <t>Remoções de Louças - UM</t>
  </si>
  <si>
    <t>Unidade - UN</t>
  </si>
  <si>
    <t>1 bancada com cuba</t>
  </si>
  <si>
    <t>1,60m</t>
  </si>
  <si>
    <t>1 PIA</t>
  </si>
  <si>
    <t>HALL</t>
  </si>
  <si>
    <t>1 Pia</t>
  </si>
  <si>
    <t>Metais sanitários</t>
  </si>
  <si>
    <t>1+1</t>
  </si>
  <si>
    <t>vaso sanitário</t>
  </si>
  <si>
    <t>1+1+1</t>
  </si>
  <si>
    <t>Subtotal  Bancada</t>
  </si>
  <si>
    <t xml:space="preserve">Subtotal Louças </t>
  </si>
  <si>
    <t>Subtotal Metais Sanitários</t>
  </si>
  <si>
    <t>Total  bancada</t>
  </si>
  <si>
    <t>Total Louças</t>
  </si>
  <si>
    <t>Total Metais Sanitários</t>
  </si>
  <si>
    <t>TÍTULO: ESTRUTURAL ESCADAS</t>
  </si>
  <si>
    <t>Cálculo Montagem e desmontagem de fôrmas das escadas - m²</t>
  </si>
  <si>
    <t>Tipo de Escada</t>
  </si>
  <si>
    <t>Reta</t>
  </si>
  <si>
    <t>Em L</t>
  </si>
  <si>
    <t>Subtotal escada em L</t>
  </si>
  <si>
    <t>Subtotal escada reta</t>
  </si>
  <si>
    <t>Armação de escada utilizando aço - KG</t>
  </si>
  <si>
    <t>Armação de Escada utilizando aço - Kg</t>
  </si>
  <si>
    <t>Aço</t>
  </si>
  <si>
    <t>Quilo - Kg</t>
  </si>
  <si>
    <t>CA-50 8mm</t>
  </si>
  <si>
    <t>CA-50 16mm</t>
  </si>
  <si>
    <t>CA-50 10mm</t>
  </si>
  <si>
    <t>CA-50 20mm</t>
  </si>
  <si>
    <t>Subtotal Aço CA-50 de 8mm</t>
  </si>
  <si>
    <t>Subtotal Aço CA-50 de 10mm</t>
  </si>
  <si>
    <t>Subtotal Aço CA-50 de 16mm</t>
  </si>
  <si>
    <t>Subtotal Aço CA-50 de 20mm</t>
  </si>
  <si>
    <t>Concretagem de escada FCK 25 MPA - m³</t>
  </si>
  <si>
    <t>Cálculo Montagem e desmontagem de fôrmas das vigas - m²</t>
  </si>
  <si>
    <t>Viga</t>
  </si>
  <si>
    <t>Viga 01 e 101</t>
  </si>
  <si>
    <t>Baldrame</t>
  </si>
  <si>
    <t>Cálculo armação vigas  das escadas - Kg</t>
  </si>
  <si>
    <t>Cálculo armação vigas das escadas - Kg</t>
  </si>
  <si>
    <t>VIGA</t>
  </si>
  <si>
    <t>AÇO</t>
  </si>
  <si>
    <t>CÁLCULO</t>
  </si>
  <si>
    <t>CA-50 10 mm</t>
  </si>
  <si>
    <t>CA-60 5 mm</t>
  </si>
  <si>
    <t>Subtotal CA-50 10mm</t>
  </si>
  <si>
    <t>Subtotal CA-60 5mm</t>
  </si>
  <si>
    <t>Concretagem fôrmas das vigas 25 MPA - m³</t>
  </si>
  <si>
    <t>Concretagem fôrmas das vigas FCK 25 MPA - m³</t>
  </si>
  <si>
    <t>Viga de Travamento</t>
  </si>
  <si>
    <t>Cálculo Montagem e desmontagem de fôrmas dos pilares - m²</t>
  </si>
  <si>
    <t>Pilares</t>
  </si>
  <si>
    <t>P1 e P2</t>
  </si>
  <si>
    <t>Cálculo armação dos pilares - Kg</t>
  </si>
  <si>
    <t>CA-50 6.3 mm</t>
  </si>
  <si>
    <t>P1 (arranque)</t>
  </si>
  <si>
    <t>P2 (arranque)</t>
  </si>
  <si>
    <t>Subtotal Aço CA-50 10 mm</t>
  </si>
  <si>
    <t>Subtotal Aço CA-50 6.3 mm</t>
  </si>
  <si>
    <t>Concretagem fôrmas dos pilares 25 MPA - m³</t>
  </si>
  <si>
    <t>Cálculo armação das estacas - Kg</t>
  </si>
  <si>
    <t>Concretagem estacas 25 MPA - m³</t>
  </si>
  <si>
    <t>Concretagem estacas FCK 25 MPA - m³</t>
  </si>
  <si>
    <t>Cálculo Montagem e desmontagem das sapatas - m²</t>
  </si>
  <si>
    <t>Cálculo armação das sapatas - Kg</t>
  </si>
  <si>
    <t>Subtotal CA-50 6.3mm</t>
  </si>
  <si>
    <t>Cálculo concretagem das sapatas - m³</t>
  </si>
  <si>
    <t>Cálculo armação blocos de concreto cheio - Kg</t>
  </si>
  <si>
    <t>CA-50 8 mm</t>
  </si>
  <si>
    <t>Subtotal CA-50 8mm</t>
  </si>
  <si>
    <t>Cálculo concretagem dos blocos - m³</t>
  </si>
  <si>
    <t>Cálculo área dos blocos - m²</t>
  </si>
  <si>
    <t>ÁREA - m²</t>
  </si>
  <si>
    <t>Cálculo escavação das sapatas - m³</t>
  </si>
  <si>
    <t>(3,1*0,50*0,65)+(3,1*0,75*0,75)</t>
  </si>
  <si>
    <t>TÍTULO: ESTRUTURAL REFORÇO FUNDAÇÃO</t>
  </si>
  <si>
    <t>REFORMA E AMPLIAÇÃO MERCADO MUNICIPAL                                                                                                                                                                              MUNICÍPIO DE SERRO - MG</t>
  </si>
  <si>
    <t>Cálculo armação blocos de reforço - Kg</t>
  </si>
  <si>
    <t>((5,4+5,3+5,5)+(5,4+5,3+5,5)*10%)*10</t>
  </si>
  <si>
    <t>CA-60 4,2 mm</t>
  </si>
  <si>
    <t>((0,4+0,4)+(0,4+0,4)*10%)*10</t>
  </si>
  <si>
    <t>Subtotal Aço CA-60 4,2 mm</t>
  </si>
  <si>
    <t>Cálculo Montagem e desmontagem de fôrmas dos blocos - m²</t>
  </si>
  <si>
    <t>Concretagem fôrmas dos blocos 25 MPA - m³</t>
  </si>
  <si>
    <t>Cálculo armação estacas - Kg</t>
  </si>
  <si>
    <t>CA-50 6,3 mm</t>
  </si>
  <si>
    <t>CA-50 12,5 mm</t>
  </si>
  <si>
    <t>Subtotal Aço CA-50 6,3 mm</t>
  </si>
  <si>
    <t>Subtotal Aço CA-50 12,5 mm</t>
  </si>
  <si>
    <t>Concretagem das estacas 20 MPA - m³</t>
  </si>
  <si>
    <t>Cálculo armação dos baldrames - Kg</t>
  </si>
  <si>
    <t>179,2+10%</t>
  </si>
  <si>
    <t>53,17+10%</t>
  </si>
  <si>
    <t>Cálculo Montagem e desmontagem de fôrmas dos baldrames - m²</t>
  </si>
  <si>
    <t>Concretagem dos baldrames 25 MPA - m³</t>
  </si>
  <si>
    <t>Cálculo armação reforço pilar - Kg</t>
  </si>
  <si>
    <t>CA-50 16 mm</t>
  </si>
  <si>
    <t>((91,84+141)+10%)*4</t>
  </si>
  <si>
    <t>((14,11+22,05)+10%)*4</t>
  </si>
  <si>
    <t>Subtotal Aço CA-50 16 mm</t>
  </si>
  <si>
    <t>Cálculo Montagem e desmontagem de fôrmas reforço dos pilares - m²</t>
  </si>
  <si>
    <t>Concretagem reforço pilares 25 MPA - m³</t>
  </si>
  <si>
    <t>Cálculo peso Vigas e Pilares Metálicos - Kg</t>
  </si>
  <si>
    <t>TÍTULO: ESTRUTURAL MURO DE ARRIMO</t>
  </si>
  <si>
    <t>Cálculo Montagem e desmontagem de fôrmas sapatas do muro de arrimo - m²</t>
  </si>
  <si>
    <t>Cálculo armação utilizando aço das sapatas do muro de arrimo - Kg</t>
  </si>
  <si>
    <t>especificações no projeto</t>
  </si>
  <si>
    <t>Cálculo concretagem das sapatas do muro de arrimo - m³</t>
  </si>
  <si>
    <t>Cálculo Montagem e desmontagem formas blocos do muro - m²</t>
  </si>
  <si>
    <t>Cálculo armação utilizando aço do muro de arrimo (blocos) - Kg</t>
  </si>
  <si>
    <t>CA-25 6,3 mm</t>
  </si>
  <si>
    <t>Subtotal Aço CA-25 6,3 mm</t>
  </si>
  <si>
    <t>Cálculo concretagem bloco cheio do muro de arrimo - m³</t>
  </si>
  <si>
    <t>19,74*3.05</t>
  </si>
  <si>
    <t>Cálculo Montagem e desmontagem de fôrmas sapatas muro de arrimo (fundo) - m²</t>
  </si>
  <si>
    <t>Cálculo escavação das sapatas muro de arrimo (fundo) - m³</t>
  </si>
  <si>
    <t>((3,57+3+3+3+3+3+3)*(2,3))+((2,68*2)*(1,40))</t>
  </si>
  <si>
    <t>Sapata</t>
  </si>
  <si>
    <t>S1</t>
  </si>
  <si>
    <t>(3,57+3+3+3+3+3+3)*(2,3)*(6,90-5,64)</t>
  </si>
  <si>
    <t>S2</t>
  </si>
  <si>
    <t>(2,68*2)*(1,40)*(6,90-5,64)</t>
  </si>
  <si>
    <t>Cálculo armação utilizando aço das sapatas do muro de arrimo (fundo)- Kg</t>
  </si>
  <si>
    <t>4+1</t>
  </si>
  <si>
    <t>145+56</t>
  </si>
  <si>
    <t xml:space="preserve"> CA-50 16 mm</t>
  </si>
  <si>
    <t>2671+315</t>
  </si>
  <si>
    <t>Cálculo concretagem fundação muro de arrimo (fundo) - m³</t>
  </si>
  <si>
    <t>Cálculo concretagem fundação de arrimo (fundo) - m³</t>
  </si>
  <si>
    <t>Cálculo Montagem e desmontagem de fôrmas pilares do muro de arrimo (fundo) - m²</t>
  </si>
  <si>
    <t>Cálculo armação utilizando aço dos pilares do muro de arrimo (fundo)- Kg</t>
  </si>
  <si>
    <t>Cálculo concretagem dos pilares do muro de arrimo (fundo) - m³</t>
  </si>
  <si>
    <t>Cálculo Montagem e desmontagem de fôrmas cortinas muro de arrimo (fundo) - m²</t>
  </si>
  <si>
    <t>Cálculo armação utilizando aço cortinas do muro de arrimo (fundo) - Kg</t>
  </si>
  <si>
    <t xml:space="preserve"> CA-60 5 mm</t>
  </si>
  <si>
    <t>Subtotal Aço CA-60 5 mm</t>
  </si>
  <si>
    <t>Cálculo concretagem cortinas do muro de arrimo (fundo) - m³</t>
  </si>
  <si>
    <t>TÍTULO: ELÉTRICO</t>
  </si>
  <si>
    <t>Material Elétrico</t>
  </si>
  <si>
    <t>Levantamento - Iluminação</t>
  </si>
  <si>
    <t>DESCRIÇÃO</t>
  </si>
  <si>
    <t>QTD.</t>
  </si>
  <si>
    <t>UN.</t>
  </si>
  <si>
    <t>REFLETOR LED 30W COM GRADE NO PISO</t>
  </si>
  <si>
    <t>PÇ</t>
  </si>
  <si>
    <t>LUMINÁRIA P/ 4 LÂMPADAS TUBULARES DE 18W</t>
  </si>
  <si>
    <t>LÂMPADAS TUBULARES DE 18W</t>
  </si>
  <si>
    <t>PENDENTE PARA LÂMPADA FRIA</t>
  </si>
  <si>
    <t>LUMINÁRIA DE EMBUTIR NO PISO BLINDADA C/ LÂMPADA PAR 20/30</t>
  </si>
  <si>
    <t>POSTE DECORATIVO</t>
  </si>
  <si>
    <t>BLOCO AUTÔNOMO DE ILUMINAÇÃO DE EMERGÊNCIA A 2,10m do PISO 60W</t>
  </si>
  <si>
    <t>ARANDELA LÂMPADA LED 12W H=2,80M</t>
  </si>
  <si>
    <t>LÂMPADA PARA ARANDELA LED 12W</t>
  </si>
  <si>
    <t>SPOT DIRECIONAL 1 LÂMPADA</t>
  </si>
  <si>
    <t>LUMINÁRIA DE SOBREPOR C/2 LÂMPADAS LED 12W</t>
  </si>
  <si>
    <t>LÂMPADAS LED 12W PARA LUMINÁRIA</t>
  </si>
  <si>
    <t>Levantamento - Material Geral</t>
  </si>
  <si>
    <t>CAIXA DE PASSAGEM PISO EM ALVENARIA 40X40MM</t>
  </si>
  <si>
    <t>CAIXA DE DISTRIBUIÇÃO P/TELEFONIA</t>
  </si>
  <si>
    <t>CAIXA DE MEDIÇÃO EMBUTIR - 1,50M DO PISO</t>
  </si>
  <si>
    <t>QUADRO DE DISTRIBUIÇÃO SOBREPOR - 1,50 DO PISO</t>
  </si>
  <si>
    <t>CONDULETE C/02 TOMADAS RJ45 - 0,30M DO PISO</t>
  </si>
  <si>
    <t>TOMADA HEGAGONAL EM CONDULETE - 2P+T 20A A 0,30 DO PISO</t>
  </si>
  <si>
    <t>CAIXA DE PASSAGEM PISO EM ALVENARIA 30X30MM</t>
  </si>
  <si>
    <t>RACK PADRÃO</t>
  </si>
  <si>
    <t>INTERRUPTOR SIMPLES EM CONDULETE - TIPO C 1 - 1 TECLA - 1,10M DO PISO</t>
  </si>
  <si>
    <t>CONDULETE TIPO T 1"</t>
  </si>
  <si>
    <t>CONDULETE TIPO LR 1"</t>
  </si>
  <si>
    <t>CONDULETE TIPO LR 1" 1/2"</t>
  </si>
  <si>
    <t>CONDULETE TIPO E 1" 1/2"</t>
  </si>
  <si>
    <t>CABO CTP-APL 50-30 PARES 1 1/2"</t>
  </si>
  <si>
    <t>CABO CTP-APL 50-30 PARES 1"</t>
  </si>
  <si>
    <t>TAMPÃO POSTE DE AÇO</t>
  </si>
  <si>
    <t>ARMAÇÃO SECUNDÁRIA DE UM ESTRIBO</t>
  </si>
  <si>
    <t>ISOLADOR ROLDANA</t>
  </si>
  <si>
    <t>CINTA</t>
  </si>
  <si>
    <t>CABEÇOTE OU CURVA 135°</t>
  </si>
  <si>
    <t>ELETRODUTO</t>
  </si>
  <si>
    <t>BUCHAS E PORCAS-ARRUELAS</t>
  </si>
  <si>
    <t>CJ</t>
  </si>
  <si>
    <t>TERMINAL PARA ATERRAMENTO CAIXA</t>
  </si>
  <si>
    <t>DISJUNTOR TERMOMAGNÉTICO</t>
  </si>
  <si>
    <t>HASTE DE ATERRAMENTO</t>
  </si>
  <si>
    <t>ARAME DE AÇO GALVANIZADO N° 12 BWG D 27,76MM</t>
  </si>
  <si>
    <t>CURVA DE 90°</t>
  </si>
  <si>
    <t>CAIXA DE MEDIÇÃO TIPO CM-3</t>
  </si>
  <si>
    <t>CONDULETE TIPO X 1"</t>
  </si>
  <si>
    <t>CONDULETE TIPO LL 1"</t>
  </si>
  <si>
    <t>CONDULETE TIPO C 3"</t>
  </si>
  <si>
    <t>TOMADA HEGAGONAL EM CONDULETE - 2P+T 20A A 1,10 DO PISO</t>
  </si>
  <si>
    <t>CONJUNTO INTERRUPTOR SIMPLES + TOMADA HEXAGONAL EM CONDULETE - 2 TECLA A 1,10 DO PISO</t>
  </si>
  <si>
    <t>INTERRUPTOR PARALELO EM CONDULETE TIPO C - 1 TECLA A 1,10M DO PISO</t>
  </si>
  <si>
    <t xml:space="preserve">02 INTERRUPTOR SIMPLES E 01 BIPOLAR EM CONDULETE A 1,10M DO PISO </t>
  </si>
  <si>
    <t>PONTO DE FORÇA PARA CONDICIONADOR DE AR, EM CONDULETE</t>
  </si>
  <si>
    <t>ELETRODUTO EM AÇO GALVANIZADO 1" FORRO</t>
  </si>
  <si>
    <t>ELETRODUTO EM AÇO GALVANIZADO 1" PAREDE</t>
  </si>
  <si>
    <t>ELETRODUTO EM AÇO GALVANIZADO 2" FORRO</t>
  </si>
  <si>
    <t>ELETRODUTO EM AÇO GALVANIZADO 2" PAREDE</t>
  </si>
  <si>
    <t>ELETRODUTO EM AÇO GALVANIZADO 3" FORRO</t>
  </si>
  <si>
    <t>ELETRODUTO EM AÇO GALVANIZADO 3" DE PAREDE</t>
  </si>
  <si>
    <t>ELETRODUTO EM AÇO GALVANIZADO 1" DE PISO</t>
  </si>
  <si>
    <t>ELETRODUTO EM AÇO GALVANIZADO 1.1/2" FORRO</t>
  </si>
  <si>
    <t>ELETRODUTO EM AÇO GALVANIZADO 1.1/2" PAREDE</t>
  </si>
  <si>
    <t>ABRAÇADEIRA TIPO D EM AÇO LAMINADO ZINCADO 1.1/2"</t>
  </si>
  <si>
    <t>ABRAÇADEIRA TIPO D EM AÇO LAMINADO ZINCADO 1"</t>
  </si>
  <si>
    <t>ABRAÇADEIRA TIPO D EM AÇO LAMINADO ZINCADO 2"</t>
  </si>
  <si>
    <t>ABRAÇADEIRA TIPO D EM AÇO LAMINADO ZINCADO 3"</t>
  </si>
  <si>
    <t>CHUMBADOR DE AÇO 3/8" COM ROSCA INTERNA</t>
  </si>
  <si>
    <t>CURVA DE 90° 1"</t>
  </si>
  <si>
    <t>CURVA DE 90° 2"</t>
  </si>
  <si>
    <t>CURVA DE 90° 3"</t>
  </si>
  <si>
    <t>PARAFUSO CABEÇA SEXTAVADA 3/8"X1.1/2" + ARRUELA DE PRESSÃO 3/8" AÇO GALVANIZADO A FOGO</t>
  </si>
  <si>
    <t>SUSPENSÃO VERTICAL PARA ELETROCALHA</t>
  </si>
  <si>
    <t>TIRANTE 1/4"</t>
  </si>
  <si>
    <t>ELETROCALHA METÁLICA 100X50MM</t>
  </si>
  <si>
    <t>ELETROCALHA METÁLICA 100X75MM</t>
  </si>
  <si>
    <t>FIAÇÃO TÉRREO 2,5mm</t>
  </si>
  <si>
    <t>RETORNO</t>
  </si>
  <si>
    <t>FASE</t>
  </si>
  <si>
    <t>TERRA</t>
  </si>
  <si>
    <t>NEUTRO</t>
  </si>
  <si>
    <t>TOTAL FIAÇÃO TÉRREO 2,5mm</t>
  </si>
  <si>
    <t>FIAÇÃO TÉRREO 10mm</t>
  </si>
  <si>
    <t>FIAÇÃO TÉRREO 25mm</t>
  </si>
  <si>
    <t>FIAÇÃO TÉRREO 50mm</t>
  </si>
  <si>
    <t>FIAÇÃO SUBSOLO - 2,5mm</t>
  </si>
  <si>
    <t>TOTAL FIAÇÃO SUBSOLO - 2,5mm</t>
  </si>
  <si>
    <t>FIAÇÃO SUBSOLO - 10mm</t>
  </si>
  <si>
    <t>TOTAL FIAÇÃO SUBSOLO - 10mm</t>
  </si>
  <si>
    <t>FIAÇÃO SUBSOLO - 4mm</t>
  </si>
  <si>
    <t>TÍTULO: HIDROSSANITÁRIA</t>
  </si>
  <si>
    <t>Materiais Hidrossanitário</t>
  </si>
  <si>
    <t>Legenda:</t>
  </si>
  <si>
    <t>AF - Água Fria</t>
  </si>
  <si>
    <t>TQ - Tubo de Queda</t>
  </si>
  <si>
    <t>CV - Coluna de Ventilação</t>
  </si>
  <si>
    <t>CE - Caixa de Esgoto</t>
  </si>
  <si>
    <t>Levantamento - Subsolo</t>
  </si>
  <si>
    <t>Unidade</t>
  </si>
  <si>
    <t>Registro bruto gaveta europa c/PVC soldável</t>
  </si>
  <si>
    <t>PRJ-HDS F. 1/10</t>
  </si>
  <si>
    <t>Registro de gaveta c/canopla cromada c/PVC soldável</t>
  </si>
  <si>
    <t>Valvula de descarga c/PVC  soldável</t>
  </si>
  <si>
    <t>Metros</t>
  </si>
  <si>
    <t>TUBULAÇÃO DE ÁGUA FRIA E PLUVIAL D = 60 mm</t>
  </si>
  <si>
    <t>PRJ-HDS F. 4/10</t>
  </si>
  <si>
    <t>TUBULAÇÃO DE ÁGUA FRIA E PLUVIAL D = 50 mm</t>
  </si>
  <si>
    <t>TUBULAÇÃO DE ÁGUA FRIA E PLUVIAL D = 32 mm</t>
  </si>
  <si>
    <t>TUBULAÇÃO DE ÁGUA FRIA E PLUVIAL D = 25 mm</t>
  </si>
  <si>
    <t>TUBULAÇÃO DE ÁGUA FRIA E PLUVIAL D = 20 mm</t>
  </si>
  <si>
    <t>JOELHO 90º SOLDÁVEL E C/ BUCHA DE LATÃO Ø 25 mm</t>
  </si>
  <si>
    <t>PRJ-HDS F. 10/10</t>
  </si>
  <si>
    <t>VÁLVULA PARA MICTÓRIO INDIVIDUAL Ø 25 mm</t>
  </si>
  <si>
    <t>MICTÓRIO INDIVIDUAL</t>
  </si>
  <si>
    <t>JOELHO 90º ESGOTO C/ ANEL Ø 40 mm</t>
  </si>
  <si>
    <t>CURVA 90º ESGOTO C/ ANEL Ø 40 mm</t>
  </si>
  <si>
    <t>ADAPTADOR SOLDÁVEL CURTO C/ BOLSA E ROSCA P/ REGISTRO  Ø 50 mm</t>
  </si>
  <si>
    <t>ADAPTADOR SOLDÁVEL CURTO C/ BOLSA E ROSCA P/ REGISTRO  Ø 60 mm</t>
  </si>
  <si>
    <t>REGISTRO DE GAVETA Ø 50 mm</t>
  </si>
  <si>
    <t>REGISTRO DE GAVETA Ø 60 mm</t>
  </si>
  <si>
    <t>VÁLVULA DE DESCARGA DE BAIXA PRESSÃO Ø 50 mm</t>
  </si>
  <si>
    <t>JOELHO 90º AZUL C/ ANEL DE VEDAÇÃO (38MM X 38MM)</t>
  </si>
  <si>
    <t>CURVA CURTA 90º  C/ ANEL DE VEDAÇÃO (∅100MM)</t>
  </si>
  <si>
    <t>TORNEIRA P/ LAVATÓRIO Ø CONFORME PROJETO</t>
  </si>
  <si>
    <t>JOELHO 90º SOLDÁVEL E C/ BUCHA DE LATÃO Ø 20 mm</t>
  </si>
  <si>
    <t>ENGATE FLEXÍVEL P/ LAVATÓRIO (30CM) C/ NIPLE Ø 20 mm</t>
  </si>
  <si>
    <t>VÁLVULA P/ LAVATÓRIO SEM LADRÃO</t>
  </si>
  <si>
    <t>SIFÃO METÁLICO P/ LAVATÓRIO</t>
  </si>
  <si>
    <t xml:space="preserve">TORNEIRA BANCADA P/ PIA C/ BICA MÓVEL </t>
  </si>
  <si>
    <t>JOELHO 90º ESGOTO C/ ANEL Ø 50MM</t>
  </si>
  <si>
    <t>VÁLVULA p/ PIA</t>
  </si>
  <si>
    <t>SIFÃO METÁLICO P/ PIA</t>
  </si>
  <si>
    <t>ENGATE FLEXÍVEL P/ LAVATÓRIO (30CM) C/ NIPLE ∅1/2"</t>
  </si>
  <si>
    <t>CURVA 90º ESGOTO C/ ANEL Ø 50 mm</t>
  </si>
  <si>
    <t>ADAPTADOR SOLDÁVEL CURTO C/ BOLSA E ROSCA P/ REGISTRO Ø 25 mm</t>
  </si>
  <si>
    <t>REGISTRO DE GAVETA Ø 25 mm</t>
  </si>
  <si>
    <t>ENGATE FLEXÍVEL P/ BEBEDOURO (30CM) C/ NIPLE DE Ø 25 mm</t>
  </si>
  <si>
    <t>JOELHO 90º - ESGOTO C/ANEL Ø 40MM</t>
  </si>
  <si>
    <t>BUCHA DE REDUÇÃO PVC 40X25mm</t>
  </si>
  <si>
    <t>Bebedouro kit</t>
  </si>
  <si>
    <t>PRJ-HDS F. 2/10</t>
  </si>
  <si>
    <t>Pia de Cozinha Residencial</t>
  </si>
  <si>
    <t>Lavatório  Residencial</t>
  </si>
  <si>
    <t>Lavatório  Residencial PNE</t>
  </si>
  <si>
    <t>Vaso Sanitário</t>
  </si>
  <si>
    <t>Vaso Sanitário PNE</t>
  </si>
  <si>
    <t>Mictório de Descarga Automática</t>
  </si>
  <si>
    <t>Sifão</t>
  </si>
  <si>
    <t>Caixa Sifonada Ø 40 x 50 MM - Esgoto</t>
  </si>
  <si>
    <t>Joelho 45 Ø 40 MM - Esgoto</t>
  </si>
  <si>
    <t>Joelho 90  Ø 40 MM - Esgoto</t>
  </si>
  <si>
    <t>Junção simples Ø 40 x 40 MM</t>
  </si>
  <si>
    <t>Té Ø 50 MM - Esgoto</t>
  </si>
  <si>
    <t>Joelho 45 Ø 50 MM - Esgoto e Ventilação</t>
  </si>
  <si>
    <t>Joelho 90  Ø 50 MM - Esgoto e Ventilação</t>
  </si>
  <si>
    <t>Junção simples Ø 50 x 50 MM</t>
  </si>
  <si>
    <t>Joelho 90  Ø 75 MM - Ventilação</t>
  </si>
  <si>
    <t>Junção simples Ø 75 x 50 MM - Ventilação</t>
  </si>
  <si>
    <t>Junção simples Ø 100 x 50 MM</t>
  </si>
  <si>
    <t>Te Ø 100 MM - Esgoto</t>
  </si>
  <si>
    <t>Caixa d'água de 2000 L</t>
  </si>
  <si>
    <t>Adaptador flanger</t>
  </si>
  <si>
    <t>Resgitro</t>
  </si>
  <si>
    <t>Adaptador registro para caixa d'água</t>
  </si>
  <si>
    <t>Boia para caixa d'água</t>
  </si>
  <si>
    <t>Caixas  Inspeção  Esgoto Simples</t>
  </si>
  <si>
    <t>TUBULAÇÃO DE ESGOTO Ø 40 MM</t>
  </si>
  <si>
    <t>TUBULAÇÃO DE ESGOTO Ø 50 MM</t>
  </si>
  <si>
    <t>TUBULAÇÃO DE ESGOTO Ø 75 MM</t>
  </si>
  <si>
    <t>TUBULAÇÃO DE ESGOTO Ø 100 MM</t>
  </si>
  <si>
    <t>soma dos trechos de treliça na fachada frontal, lateral esquerda, lateral direita e corte AA</t>
  </si>
  <si>
    <t>24,96+10,46+10,46+50,46</t>
  </si>
  <si>
    <t>Trecho</t>
  </si>
  <si>
    <t>Hall do I.S</t>
  </si>
  <si>
    <t>3,98+4,96+0,87</t>
  </si>
  <si>
    <t>2.10</t>
  </si>
  <si>
    <t>IPHAN.01</t>
  </si>
  <si>
    <t>12.07.01</t>
  </si>
  <si>
    <t>EMBASA</t>
  </si>
  <si>
    <t>24.20.090</t>
  </si>
  <si>
    <t>CPOS</t>
  </si>
  <si>
    <t>N.04.000.039114</t>
  </si>
  <si>
    <t>E.03.000.026653</t>
  </si>
  <si>
    <t>CENTO</t>
  </si>
  <si>
    <t>PAINEL INFORMATIVO PARA AÇÕES DO IPHAN, APLICADO SOBRE TAPUME DE OBRA, 1,80 DE ALTURA E 1,60 DE LARGURA, IMPRESSO EM LONA 440 GRAMAS, INSTALADO EM ESTRUTURA DE TUBO METALON GALVANIZADO 20 X 20 (ESPESSURA COMERCIAL DE 0,9 MM).</t>
  </si>
  <si>
    <t>PISO EM CONCRETO USINADO CONVENCIONAL COM DE FCK 15MPA, COM TELA SOLDADA NERVURADA TIPO Q-138, ACABAMENTO POLÍDO EM NÍVEL ZERO, ESP. 10CM, INCLUSIVE FORNECIMENTO, LANÇAMENTO, ADENSAMENTO, EXCLUSIVE JUNTA DE DILATAÇÃO</t>
  </si>
  <si>
    <t>APLICAÇÃO DE SELANTE, MASTIQUE ELÁSTICO, EM JUNTA DE DILAÇÃO, DIMENSÃO (20X10)MM, FATOR DE FORMA 1:2, EXCLUSIVE DELIMITADOR DE PROFUNDIDADE</t>
  </si>
  <si>
    <t>RODAPÉ EM GRANILITE/MARMORITE, ACABAMENTO POLIDO, COR BRANCA, ALTURA DE 7CM, INCLUSIVE POLIMENTO</t>
  </si>
  <si>
    <t>RODAPÉ COM ARGAMASSA, TRAÇO 1:3 (CIMENTO E AREIA), ESP. 2CM, ALTURA DE 7CM, INCLUSIVE ACABAMENTO DESEMPENADO/ALISADO COM COLHER DE PEDREIRO</t>
  </si>
  <si>
    <t>GUARDA-CORPO EXTERNO, ALTURA 130CM, EM TUBO GALVANIZADO, COM COSTURA, DIÂMETRO DE 2", ESP. 3MM, GRADIL COM DIVISÃO VERTICAL EM TUBO GALVANIZADO, COM COSTURA, DIÂMETRO DE 1", ESP. 3MM, EXCLUSIVE PINTURA</t>
  </si>
  <si>
    <t>TORNEIRA METÁLICA PARA IRRIGAÇÃO/JARDIM, ACABAMENTO CROMADO, APLICAÇÃO DE PAREDE</t>
  </si>
  <si>
    <t>BEBEDOURO DE COLUNA/PRESSÃO,TIPO ADULTO COM ACABAMENTO EM AÇO INOX, PRESSÃO DA REDE MÍNIMA REFERENCIAL DE 6M.C.A, INCLUSIVE ACESSÓRIOS</t>
  </si>
  <si>
    <t>DESCIDA D'ÁGUA TIPO DEGRAU DN 500, EXCLUSIVE BOTA FORA</t>
  </si>
  <si>
    <t>ED-7564</t>
  </si>
  <si>
    <t>TRANSPORTE EM CAMINHÃO, TRAÇÃO 4X2, TIPO TOCO, PESO BRUTO TOTAL (PBT) DE 14.300KG, COM CARROCERIA DE CARGA SECA, COM CAPACIDADE DE 7T, EM RODOVIA PAVIMENTADA, EXCLUSIVE MANOBRA, CARGA E DESCARGA</t>
  </si>
  <si>
    <t>PROJETO EXECUTIVO DE INSTALAÇÕES HIDROSSANITÁRIAS</t>
  </si>
  <si>
    <t>CONSTRUÇÃO DE BASE E SUB-BASE PARA PAVIMENTAÇÃO DE SOLO ESTABILIZADO GRANULOMETRICAMENTE COM MISTURA DE SOLOS EM PISTA - EXCLUSIVE SOLO, ESCAVAÇÃO, CARGA E TRANSPORTE. AF_09/2024</t>
  </si>
  <si>
    <t>REGULARIZAÇÃO E COMPACTAÇÃO DE SUBLEITO DE SOLO PREDOMINANTEMENTE ARGILOSO, PARA OBRAS DE CONSTRUÇÃO DE PAVIMENTOS. AF_09/2024</t>
  </si>
  <si>
    <t>CONCRETAGEM DE PILARES, FCK = 25 MPA, COM USO DE BALDES - LANÇAMENTO, ADENSAMENTO E ACABAMENTO. AF_02/2022</t>
  </si>
  <si>
    <t>ESCAVAÇÃO MECANIZADA DE VALA COM PROF. ATÉ 1,5 M (MÉDIA MONTANTE E JUSANTE/UMA COMPOSIÇÃO POR TRECHO), RETROESCAV. (0,26 M3), LARG. MENOR QUE 0,8 M, EM SOLO DE 2A CATEGORIA, EM LOCAIS COM ALTO NÍVEL DE INTERFERÊNCIA. AF_09/2024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</si>
  <si>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</si>
  <si>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</si>
  <si>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6,3 MM - MONTAGEM. AF_11/2024</t>
  </si>
  <si>
    <t>CONCRETAGEM DE CORTINA DE CONTENÇÃO, ATRAVÉS DE BOMBA - LANÇAMENTO, ADENSAMENTO E ACABAMENTO. AF_11/2024</t>
  </si>
  <si>
    <t>FABRICAÇÃO, MONTAGEM E DESMONTAGEM DE FÔRMA PARA CORTINA DE CONTENÇÃO, EM CHAPA DE MADEIRA COMPENSADA PLASTIFICADA, E = 18 MM, 10 UTILIZAÇÕES. AF_11/2024</t>
  </si>
  <si>
    <t>EXECUÇÃO DE SARJETA DE CONCRETO USINADO, MOLDADA IN LOCO EM TRECHO RETO, 30 CM BASE X 10 CM ALTURA. AF_01/2024</t>
  </si>
  <si>
    <t>LÂMPADA COMPACTA DE LED 10 W, BASE E27 - FORNECIMENTO E INSTALAÇÃO. AF_09/2024</t>
  </si>
  <si>
    <t>LÂMPADA TUBULAR LED DE 18/20 W, COM SOQUETE, BASE G13 - FORNECIMENTO E INSTALAÇÃO. AF_09/2024_PS</t>
  </si>
  <si>
    <t>QUADRO DE DISTRIBUIÇÃO DE ENERGIA EM CHAPA DE AÇO GALVANIZADO, DE EMBUTIR, COM BARRAMENTO TRIFÁSICO, PARA 18 DISJUNTORES DIN 100A - FORNECIMENTO E INSTALAÇÃO. AF_07/2025</t>
  </si>
  <si>
    <t>ADAPTADOR COM FLANGES LIVRES, PVC, SOLDÁVEL, DN 75 MM X 2 1/2", INSTALADO EM RESERVAÇÃO PREDIAL DE ÁGUA - FORNECIMENTO E INSTALAÇÃO. AF_04/2024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</si>
  <si>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</si>
  <si>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</si>
  <si>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</si>
  <si>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50MM, INSTALADO EM PRUMADA DE ÁGUA - FORNECIMENTO E INSTALAÇÃO. AF_06/2022</t>
  </si>
  <si>
    <t>TUBO, PVC, SOLDÁVEL, DE 60MM, INSTALADO EM PRUMADA DE ÁGUA - FORNECIMENTO E INSTALAÇÃO. AF_06/2022</t>
  </si>
  <si>
    <t>SIFÃO DO TIPO GARRAFA/COPO EM PVC 1.1/4 X 1.1/2" - FORNECIMENTO E INSTALAÇÃO. AF_01/2020</t>
  </si>
  <si>
    <t>APLICAÇÃO DE ADUBO EM SOLO. AF_07/2024</t>
  </si>
  <si>
    <t>PLANTIO DE ARBUSTO OU CERCA VIVA. AF_07/2024</t>
  </si>
  <si>
    <t>PLANTIO DE ÁRVORE ORNAMENTAL COM ALTURA DE MUDA MAIOR QUE 2,00 M E MENOR OU IGUAL A 4,00 M . AF_07/2024</t>
  </si>
  <si>
    <t>POSTE DECORATIVO PARA JARDIM EM AÇO TUBULAR, H = *2,5* M, SEM LUMINÁRIA - FORNECIMENTO E INSTALAÇÃO. AF_04/2025</t>
  </si>
  <si>
    <t>ADAPTADOR PVC SOLDAVEL CURTO COM BOLSA E ROSCA, 25 MM X 3/4", PARA AGUA FRIA</t>
  </si>
  <si>
    <t>ADAPTADOR PVC SOLDAVEL CURTO COM BOLSA E ROSCA, 50 MM X1 1/2", PARA AGUA FRIA</t>
  </si>
  <si>
    <t>ADAPTADOR PVC SOLDAVEL CURTO COM BOLSA E ROSCA, 60 MM X 2", PARA AGUA FRIA</t>
  </si>
  <si>
    <t>AREIA GROSSA - POSTO JAZIDA/FORNECEDOR (RETIRADO NA JAZIDA, SEM TRANSPORTE)</t>
  </si>
  <si>
    <t>BANCADA/BANCA/PIA DE ACO INOXIDAVEL (AISI 430) COM 2 CUBAS, COM VALVULAS, ESCORREDOR DUPLO, DE *0,55 X 2,00* M</t>
  </si>
  <si>
    <t>CAIXA DE PASSAGEM ELETRICA DE PAREDE, DE EMBUTIR, EM TERMOPLASTICO / PVC, COM TAMPA APARAFUSADA, DIMENSOES 400 X 400 X *120* MM</t>
  </si>
  <si>
    <t>CAIXA DE PASSAGEM/ LUZ / TELEFONIA, DE EMBUTIR, EM CHAPA DE ACO GALVANIZADO, DIMENSOES 40 X 40 X *12* CM (PADRAO CONCESSIONARIA LOCAL)</t>
  </si>
  <si>
    <t>CONCRETO USINADO BOMBEAVEL, CLASSE DE RESISTENCIA C25, BRITA 0 E 1, SLUMP = 100 +/- 20 MM, COM BOMBEAMENTO (DISPONIBILIZACAO DE BOMBA), SEM O LANCAMENTO (NBR 8953)</t>
  </si>
  <si>
    <t>CONECTOR / TOMADA FEMEA RJ 45, CATEGORIA 5 E (CAT 5E) PARA CABOS</t>
  </si>
  <si>
    <t>JOELHO PVC, SOLDAVEL, COM BUCHA DE LATAO, 90 GRAUS, 20 MM X 1/2", PARA AGUA FRIA PREDIAL</t>
  </si>
  <si>
    <t>JOELHO PVC, SOLDAVEL, COM BUCHA DE LATAO, 90 GRAUS, 25 MM X 1/2", PARA AGUA FRIA PREDIAL</t>
  </si>
  <si>
    <t>JOELHO PVC, SOLDAVEL, COM BUCHA DE LATAO, 90 GRAUS, 32 MM X 3/4", PARA AGUA FRIA PREDIAL</t>
  </si>
  <si>
    <t>LUMINARIA LED REFLETOR RETANGULAR BIVOLT, LUZ BRANCA, 30 W</t>
  </si>
  <si>
    <t>PARAFUSO, AUTOATARRAXANTE, CABECA CHATA, FENDA SIMPLES, EM ACO ZINCADO, 1/4" (6,35 MM) X 25 MM</t>
  </si>
  <si>
    <t>TE SANITARIO, PVC, DN 100 X 100 MM, SERIE NORMAL, PARA ESGOTO PREDIAL</t>
  </si>
  <si>
    <t>TE SANITARIO, PVC, DN 50 X 50 MM, SERIE NORMAL, PARA ESGOTO PREDIAL</t>
  </si>
  <si>
    <t>TUBO CORRUGADO PEAD, PAREDE DUPLA, INTERNA LISA, JEI, DN/DI *1000* MM, PARA SANEAMENTO (DRENAGEM/ESGOTO)</t>
  </si>
  <si>
    <t>TUBO CORRUGADO PEAD, PAREDE DUPLA, INTERNA LISA, JEI, DN/DI *400* MM, PARA SANEAMENTO (DRENAGEM/ESGOTO)</t>
  </si>
  <si>
    <t>TUBO CORRUGADO PEAD, PAREDE DUPLA, INTERNA LISA, JEI, DN/DI 600 MM, PARA SANEAMENTO (DRENAGEM/ESGOTO)</t>
  </si>
  <si>
    <t>VALVULA DE DESCARGA EM METAL CROMADO PARA MICTORIO COM ACIONAMENTO POR PRESSAO E FECHAMENTO AUTOMATICO</t>
  </si>
  <si>
    <t>VALVULA DE DESCARGA METALICA, BASE 1 1/4" E ACABAMENTO METALICO CROMADO</t>
  </si>
  <si>
    <t>https://lista.mercadolivre.com.br/puxador-duplo-de-porta-inox-df-926-cromado-italy-line-800mm?redirectedFromEshopZrp=551d748ccc1f48c8a66e208930765c2c122266877#D[A:Puxador%20Duplo%20De%20Porta%20Inox%20Df%20926%20Cromado%20Italy%20Line%20800MM,La%20Ross]</t>
  </si>
  <si>
    <t>9/2025</t>
  </si>
  <si>
    <t>Vigência 2025</t>
  </si>
  <si>
    <t>(2,03+1,20+2,90)*1</t>
  </si>
  <si>
    <t>116X9,38X0,2</t>
  </si>
  <si>
    <t>(110X8,58X0,10)+116X9,38X0,20</t>
  </si>
  <si>
    <t xml:space="preserve">TUBO CORRUGADO PEAD, PAREDE DUPLA, DN/DI *600* MM                                                                                                                                                                                                                                                                                                                                                    </t>
  </si>
  <si>
    <t>(2,40X2,40X0,20)+(5,00X5,00X0,50)</t>
  </si>
  <si>
    <t>(110X8,58)+(116X9,38)</t>
  </si>
  <si>
    <t>(110X8,58X0,20)+(116X9,38X0,20)</t>
  </si>
  <si>
    <t>(110X8,58)</t>
  </si>
  <si>
    <t>(116X9,38)</t>
  </si>
  <si>
    <t>21.2</t>
  </si>
  <si>
    <t>PARAFUSO LATAO PARA MADEIRA 50mm x 3/8"</t>
  </si>
  <si>
    <t>GOINFRA</t>
  </si>
  <si>
    <t>ADMINISTRAÇÃO LOCAL DA OBRA</t>
  </si>
  <si>
    <t>COMP.ADM.01</t>
  </si>
  <si>
    <t>PRORÍO</t>
  </si>
  <si>
    <t>PLANTIO E PREPARO DE COVAS PARA ÁRVORES COM ALTURA MÉDIA DE 2,00M, DIMENSÕES (60X60X60)CM, EXCLUSIVE FORNECIMENTO DAS MUDAS</t>
  </si>
  <si>
    <t xml:space="preserve">SINAPI - 07/2025 - Minas Gerais
SETOP/SICOR - 04/2025 - Minas Gerais
SBC - 08/2025 - Minas Gerais                                                                                                                                                                                                                                                                                                                                                                                                                               ORSE - 06/2025 - Sergipe                                                                                                                                                                                                                                                                                                                                                                                                                                                            EMBASA - 01/2025 - Bahia                                                                                                                                                                                                                                                                                                                                                                                                                                              CPOS - 02/2025 - São Paulo                                                                                                                                                                                                                                                                                                                                                                                                                        GOINFRA - 12/2024 - Goiás                                                                                                                                                                                                                                                                                                            </t>
  </si>
  <si>
    <t>1.2</t>
  </si>
  <si>
    <t>1.2.1</t>
  </si>
  <si>
    <t>1.1.1</t>
  </si>
  <si>
    <t>1.2.2</t>
  </si>
  <si>
    <t>1.2.3</t>
  </si>
  <si>
    <t>1.2.4</t>
  </si>
  <si>
    <t>ADMINISTRAÇÃO</t>
  </si>
  <si>
    <t>PROJETO "AS BUILT" DE INSTALACOES ELETRICAS</t>
  </si>
  <si>
    <t>SERVIÇO TÉCNICO DE PROJETOS</t>
  </si>
  <si>
    <t>PROJETO "AS BUILT" DE ARQUITETURA</t>
  </si>
  <si>
    <t>3.2.24</t>
  </si>
  <si>
    <t>3.2.25</t>
  </si>
  <si>
    <t>3.2.26</t>
  </si>
  <si>
    <t>110X8,58X0,2</t>
  </si>
  <si>
    <t>(406,38X6)</t>
  </si>
  <si>
    <t>30+38+40+36+20+20+20+30+20+22+10</t>
  </si>
  <si>
    <t>TRANSPORTE MATERIAL QLQR NATUREZA TXKM (TRAVESSA MAGALHÃES)</t>
  </si>
  <si>
    <t xml:space="preserve">(110X8,58X0,12X1,7X310) </t>
  </si>
  <si>
    <t>3.3.4</t>
  </si>
  <si>
    <t>3.3.5</t>
  </si>
  <si>
    <t>3.3.6</t>
  </si>
  <si>
    <t>3.3.7</t>
  </si>
  <si>
    <t>(116x9,38x0,20x6)</t>
  </si>
  <si>
    <t>REASSENTAMENTODE  LAJE QUARTZÍTICAS</t>
  </si>
  <si>
    <t>SERRO-RP-01</t>
  </si>
  <si>
    <t>______________________________________________</t>
  </si>
  <si>
    <t>Deivid Santos Coelho</t>
  </si>
  <si>
    <t xml:space="preserve">Engenheiro Civil </t>
  </si>
  <si>
    <t>CREA-MG: 232245/D</t>
  </si>
  <si>
    <t>CREA-MG: 232245/D-MG</t>
  </si>
  <si>
    <t>REMOÇÃO E CARGA DE TODO PAVIMENTO EXISTENTE</t>
  </si>
  <si>
    <t>REMOÇÃO DE ESTRUTURA METÁLICA CHUMBADA EM CONCRETO (ALAMBRADO, GUARDA-CORPO)</t>
  </si>
  <si>
    <t>CAIXA DE PASSAGEM EM ALVENARIA DE TIJOLOS MACIÇOS ESP. = 0,12M, DIM. INT. = 0.50 X 0.50 X 0.40M, COM TAMPA EM TELA DE PROTEÇÃO METÁLICA COM DOBRADIÇA E PORTA CADEADO</t>
  </si>
  <si>
    <t>BASCULANTE EM MADEIRA DE LEI, MODELO CONVENCIONAL</t>
  </si>
  <si>
    <t>BANCADA EM AÇO INOX - 304, L=60CM, PARA CUBAS SIMPLES, CONCRETADA, ACABAMENTO LISO E POLIDO, ASSENTADA COM ARGAMASSA TRAÇO T-1(1:3), EXCLUSIVE CUBA, SIFÃO, VÁLVULA E TORNEIRA</t>
  </si>
  <si>
    <t>DIVISÓRIA EM GRANITO BRANCO DALLAS, ESP. 2CM, INCLUSIVE INSTALAÇÃO, FERRAGENS EM LATÃO CROMADO, E ACESSÓRIOS - BASEADO SETOP (ED-48533)</t>
  </si>
  <si>
    <t>CORRIMÃO EM AÇO INOX Ø=1 1/2'', DUPLO</t>
  </si>
  <si>
    <t>Referência</t>
  </si>
  <si>
    <t>CRONOGRAMA FÍSICO E FINCANCEIRO</t>
  </si>
  <si>
    <t>RESTAURAÇÃO DA CHÁCARA DO BARÃO                                                                                                                                              MUNICÍPIO DE SERRO - MG</t>
  </si>
  <si>
    <t xml:space="preserve"> Deivid Santos Coelho</t>
  </si>
  <si>
    <t xml:space="preserve"> Engenheiro Civil </t>
  </si>
  <si>
    <t xml:space="preserve"> CREA-MG: 232245/D</t>
  </si>
  <si>
    <t>1.2.5</t>
  </si>
  <si>
    <t>1.2.6</t>
  </si>
  <si>
    <t>3.2.10</t>
  </si>
  <si>
    <t>3.2.27</t>
  </si>
  <si>
    <t>LIMPEZA DURANTE E FINAL DA OBRA</t>
  </si>
  <si>
    <t>PROJETO "AS BUILT" DE INSTALACOES HIDRAULICAS</t>
  </si>
  <si>
    <t>22</t>
  </si>
  <si>
    <t>21.3</t>
  </si>
  <si>
    <t>Data de atualização em  23 de setembro de 2025.</t>
  </si>
  <si>
    <t>(399X1,40)</t>
  </si>
  <si>
    <t>(399X1,40X1,00)</t>
  </si>
  <si>
    <t>(399 X 1,40 X 2,00)</t>
  </si>
  <si>
    <t>1.2.7</t>
  </si>
  <si>
    <t>2.2</t>
  </si>
  <si>
    <t>2.3</t>
  </si>
  <si>
    <t>MATED-11970</t>
  </si>
  <si>
    <t>20.4</t>
  </si>
  <si>
    <t>19.2</t>
  </si>
  <si>
    <t>19.3</t>
  </si>
  <si>
    <t>13.2</t>
  </si>
  <si>
    <t>13.3</t>
  </si>
  <si>
    <t>13.4</t>
  </si>
  <si>
    <t>13.5</t>
  </si>
  <si>
    <t>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</si>
  <si>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</si>
  <si>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</si>
  <si>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</si>
  <si>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</si>
  <si>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</si>
  <si>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</si>
  <si>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</si>
  <si>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</si>
  <si>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</si>
  <si>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</si>
  <si>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</si>
  <si>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</si>
  <si>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</si>
  <si>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</si>
  <si>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</si>
  <si>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</si>
  <si>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</si>
  <si>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</si>
  <si>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</si>
  <si>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</si>
  <si>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</si>
  <si>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</si>
  <si>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</si>
  <si>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</si>
  <si>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</si>
  <si>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</si>
  <si>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</si>
  <si>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</si>
  <si>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</si>
  <si>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</si>
  <si>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</si>
  <si>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</si>
  <si>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</si>
  <si>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</si>
  <si>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</si>
  <si>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</si>
  <si>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</si>
  <si>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</si>
  <si>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</si>
  <si>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</si>
  <si>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</si>
  <si>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</si>
  <si>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</si>
  <si>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</si>
  <si>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</si>
  <si>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</si>
  <si>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</si>
  <si>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</si>
  <si>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</si>
  <si>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</si>
  <si>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</si>
  <si>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</si>
  <si>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</si>
  <si>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</si>
  <si>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</si>
  <si>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</si>
  <si>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</si>
  <si>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</si>
  <si>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</si>
  <si>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</si>
  <si>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</si>
  <si>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</si>
  <si>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</si>
  <si>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</si>
  <si>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</si>
  <si>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</si>
  <si>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</si>
  <si>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</si>
  <si>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</si>
  <si>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</si>
  <si>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</si>
  <si>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</si>
  <si>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</si>
  <si>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</si>
  <si>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</si>
  <si>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</si>
  <si>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</si>
  <si>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</si>
  <si>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</si>
  <si>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</si>
  <si>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</si>
  <si>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</si>
  <si>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</si>
  <si>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</si>
  <si>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</si>
  <si>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</si>
  <si>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</si>
  <si>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</si>
  <si>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</si>
  <si>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</si>
  <si>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</si>
  <si>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</si>
  <si>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</si>
  <si>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</si>
  <si>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</si>
  <si>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</si>
  <si>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</si>
  <si>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</si>
  <si>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</si>
  <si>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</si>
  <si>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</si>
  <si>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</si>
  <si>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</si>
  <si>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</si>
  <si>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</si>
  <si>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</si>
  <si>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</si>
  <si>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</si>
  <si>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</si>
  <si>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CORTE E ESMERILHAMENTO EM TUBO DE FOFO DÚCTIL OU AÇO CARBONO, DN &lt; 100MM</t>
  </si>
  <si>
    <t>SOLDA MIG EM ESQUADRIAS METÁLICAS</t>
  </si>
  <si>
    <t>BANNER EM LONA COM IMPRESSÃO DIGITALMENTE, COM BAINHA REFORÇADA E ILHOSES</t>
  </si>
  <si>
    <t>METALON 20 X 20 CHAPA 20 (0,90 MM)</t>
  </si>
  <si>
    <t>PARAFUSO AUTO-ATARRAXANTE/AUTO-BROCANTE EM AÇO MÉDIO CARBONO, COM ACABAMENTO ZINCADO BRANDO, DE 12 X 38 MM - COM ARRUELA DE VEDAÇÃO</t>
  </si>
  <si>
    <t>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</si>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</sst>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R$&quot;\ #,##0.00;[Red]\-&quot;R$&quot;\ #,##0.00"/>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0.000"/>
    <numFmt numFmtId="165" formatCode="#,##0.00\ %"/>
    <numFmt numFmtId="166" formatCode="0.0000"/>
    <numFmt numFmtId="167" formatCode="0.000"/>
    <numFmt numFmtId="168" formatCode="0.000%"/>
    <numFmt numFmtId="169" formatCode="0.0000%"/>
    <numFmt numFmtId="170" formatCode="_(* #,##0.00_);_(* \(#,##0.00\);_(* &quot;-&quot;??_);_(@_)"/>
  </numFmts>
  <fonts count="81" x14ac:knownFonts="1">
    <font>
      <sz val="11"/>
      <color theme="1"/>
      <name val="Calibri"/>
      <family val="2"/>
      <scheme val="minor"/>
    </font>
    <font>
      <sz val="10"/>
      <name val="Arial"/>
      <family val="2"/>
    </font>
    <font>
      <sz val="9"/>
      <name val="Arial"/>
      <family val="2"/>
    </font>
    <font>
      <b/>
      <sz val="11"/>
      <name val="Arial"/>
      <family val="1"/>
    </font>
    <font>
      <b/>
      <sz val="10"/>
      <name val="Arial"/>
      <family val="1"/>
    </font>
    <font>
      <sz val="8"/>
      <name val="Arial"/>
      <family val="2"/>
    </font>
    <font>
      <b/>
      <sz val="11"/>
      <color theme="0"/>
      <name val="Arial"/>
      <family val="1"/>
    </font>
    <font>
      <sz val="11"/>
      <color theme="1"/>
      <name val="Calibri"/>
      <family val="2"/>
      <scheme val="minor"/>
    </font>
    <font>
      <b/>
      <sz val="10"/>
      <color rgb="FF000000"/>
      <name val="Arial"/>
      <family val="1"/>
    </font>
    <font>
      <sz val="10"/>
      <color rgb="FF000000"/>
      <name val="Arial"/>
      <family val="1"/>
    </font>
    <font>
      <sz val="8"/>
      <name val="Calibri"/>
      <family val="2"/>
      <scheme val="minor"/>
    </font>
    <font>
      <sz val="11"/>
      <color rgb="FF000000"/>
      <name val="Calibri"/>
      <family val="2"/>
    </font>
    <font>
      <sz val="13"/>
      <color rgb="FF000000"/>
      <name val="Calibri"/>
      <family val="2"/>
    </font>
    <font>
      <b/>
      <sz val="11"/>
      <color rgb="FF000000"/>
      <name val="Arial"/>
      <family val="2"/>
    </font>
    <font>
      <b/>
      <sz val="13"/>
      <color rgb="FF000000"/>
      <name val="Calibri"/>
      <family val="2"/>
    </font>
    <font>
      <sz val="8"/>
      <color rgb="FF000000"/>
      <name val="Arial"/>
      <family val="2"/>
    </font>
    <font>
      <b/>
      <sz val="11"/>
      <color theme="0"/>
      <name val="Arial"/>
      <family val="2"/>
    </font>
    <font>
      <sz val="10"/>
      <name val="Arial"/>
      <family val="1"/>
    </font>
    <font>
      <u/>
      <sz val="11"/>
      <color theme="10"/>
      <name val="Calibri"/>
      <family val="2"/>
      <scheme val="minor"/>
    </font>
    <font>
      <b/>
      <sz val="11"/>
      <color rgb="FFFFFFFF"/>
      <name val="Calibri"/>
      <family val="2"/>
    </font>
    <font>
      <b/>
      <sz val="11"/>
      <name val="Calibri"/>
      <family val="2"/>
    </font>
    <font>
      <sz val="11"/>
      <name val="Calibri"/>
      <family val="2"/>
    </font>
    <font>
      <b/>
      <sz val="11"/>
      <color rgb="FF000000"/>
      <name val="Calibri"/>
      <family val="2"/>
    </font>
    <font>
      <sz val="8"/>
      <name val="Calibri"/>
      <family val="2"/>
    </font>
    <font>
      <sz val="8"/>
      <color rgb="FF000000"/>
      <name val="Calibri"/>
      <family val="2"/>
    </font>
    <font>
      <b/>
      <sz val="8"/>
      <name val="Calibri"/>
      <family val="2"/>
    </font>
    <font>
      <b/>
      <sz val="11"/>
      <color theme="1"/>
      <name val="Calibri"/>
      <family val="2"/>
      <scheme val="minor"/>
    </font>
    <font>
      <b/>
      <sz val="16"/>
      <color rgb="FF000000"/>
      <name val="Arial"/>
      <family val="2"/>
    </font>
    <font>
      <b/>
      <sz val="10"/>
      <name val="Arial"/>
      <family val="2"/>
    </font>
    <font>
      <sz val="9"/>
      <color theme="1"/>
      <name val="Calibri"/>
      <family val="2"/>
      <scheme val="minor"/>
    </font>
    <font>
      <sz val="10"/>
      <color theme="1"/>
      <name val="Calibri"/>
      <family val="2"/>
      <scheme val="minor"/>
    </font>
    <font>
      <sz val="28"/>
      <color theme="1"/>
      <name val="Calibri"/>
      <family val="2"/>
      <scheme val="minor"/>
    </font>
    <font>
      <b/>
      <sz val="9"/>
      <color theme="1"/>
      <name val="Arial"/>
      <family val="2"/>
    </font>
    <font>
      <sz val="10"/>
      <color rgb="FF000000"/>
      <name val="Arial"/>
      <family val="2"/>
    </font>
    <font>
      <sz val="9"/>
      <color rgb="FF000000"/>
      <name val="Arial"/>
      <family val="2"/>
    </font>
    <font>
      <u/>
      <sz val="11"/>
      <color rgb="FF000000"/>
      <name val="Calibri"/>
      <family val="2"/>
      <scheme val="minor"/>
    </font>
    <font>
      <b/>
      <sz val="8"/>
      <color rgb="FF000000"/>
      <name val="Calibri"/>
      <family val="2"/>
    </font>
    <font>
      <b/>
      <sz val="11"/>
      <color theme="0"/>
      <name val="Calibri"/>
      <family val="2"/>
      <scheme val="minor"/>
    </font>
    <font>
      <sz val="11"/>
      <color theme="0"/>
      <name val="Calibri"/>
      <family val="2"/>
      <scheme val="minor"/>
    </font>
    <font>
      <sz val="11"/>
      <color theme="1"/>
      <name val="Calibri"/>
      <family val="2"/>
    </font>
    <font>
      <sz val="8"/>
      <color theme="0"/>
      <name val="Arial"/>
      <family val="2"/>
    </font>
    <font>
      <b/>
      <sz val="11"/>
      <name val="Arial"/>
      <family val="2"/>
    </font>
    <font>
      <b/>
      <sz val="16"/>
      <color theme="0"/>
      <name val="Calibri"/>
      <family val="2"/>
      <scheme val="minor"/>
    </font>
    <font>
      <b/>
      <sz val="12"/>
      <color theme="1"/>
      <name val="Arial"/>
      <family val="2"/>
    </font>
    <font>
      <b/>
      <sz val="12"/>
      <name val="Arial"/>
      <family val="1"/>
    </font>
    <font>
      <sz val="11"/>
      <name val="Arial"/>
      <family val="2"/>
    </font>
    <font>
      <b/>
      <sz val="18"/>
      <color theme="0"/>
      <name val="Arial"/>
      <family val="1"/>
    </font>
    <font>
      <sz val="18"/>
      <color theme="1"/>
      <name val="Calibri"/>
      <family val="2"/>
      <scheme val="minor"/>
    </font>
    <font>
      <b/>
      <sz val="11"/>
      <name val="Verdana"/>
      <family val="2"/>
    </font>
    <font>
      <sz val="10"/>
      <color theme="0"/>
      <name val="Arial"/>
      <family val="2"/>
    </font>
    <font>
      <b/>
      <sz val="11"/>
      <name val="Calibri"/>
      <family val="2"/>
      <scheme val="minor"/>
    </font>
    <font>
      <sz val="10"/>
      <name val="MS Sans Serif"/>
      <family val="2"/>
    </font>
    <font>
      <b/>
      <sz val="10"/>
      <name val="Verdana"/>
      <family val="2"/>
    </font>
    <font>
      <sz val="10"/>
      <name val="Verdana"/>
      <family val="2"/>
    </font>
    <font>
      <sz val="11"/>
      <name val="Calibri"/>
      <family val="2"/>
      <scheme val="minor"/>
    </font>
    <font>
      <sz val="8"/>
      <name val="Tahoma"/>
      <family val="2"/>
    </font>
    <font>
      <sz val="10"/>
      <name val="Tahoma"/>
      <family val="2"/>
    </font>
    <font>
      <b/>
      <sz val="10"/>
      <color theme="0"/>
      <name val="Verdana"/>
      <family val="2"/>
    </font>
    <font>
      <sz val="10"/>
      <color theme="0"/>
      <name val="Verdana"/>
      <family val="2"/>
    </font>
    <font>
      <b/>
      <sz val="9"/>
      <color theme="0"/>
      <name val="Verdana"/>
      <family val="2"/>
    </font>
    <font>
      <sz val="9"/>
      <color theme="0"/>
      <name val="Verdana"/>
      <family val="2"/>
    </font>
    <font>
      <sz val="9"/>
      <name val="Verdana"/>
      <family val="2"/>
    </font>
    <font>
      <sz val="8"/>
      <name val="Verdana"/>
      <family val="2"/>
    </font>
    <font>
      <b/>
      <sz val="14"/>
      <name val="Calibri"/>
      <family val="2"/>
      <scheme val="minor"/>
    </font>
    <font>
      <sz val="10"/>
      <name val="Calibri"/>
      <family val="2"/>
      <scheme val="minor"/>
    </font>
    <font>
      <sz val="9"/>
      <name val="Calibri"/>
      <family val="2"/>
      <scheme val="minor"/>
    </font>
    <font>
      <sz val="10"/>
      <color indexed="9"/>
      <name val="Calibri"/>
      <family val="2"/>
      <scheme val="minor"/>
    </font>
    <font>
      <b/>
      <sz val="9"/>
      <name val="Calibri"/>
      <family val="2"/>
      <scheme val="minor"/>
    </font>
    <font>
      <sz val="10"/>
      <color rgb="FFFF0000"/>
      <name val="Calibri"/>
      <family val="2"/>
      <scheme val="minor"/>
    </font>
    <font>
      <sz val="10"/>
      <color theme="0"/>
      <name val="Calibri"/>
      <family val="2"/>
      <scheme val="minor"/>
    </font>
    <font>
      <b/>
      <sz val="9"/>
      <name val="Arial"/>
      <family val="2"/>
    </font>
    <font>
      <b/>
      <sz val="11"/>
      <color rgb="FF990033"/>
      <name val="Calibri"/>
      <family val="2"/>
      <scheme val="minor"/>
    </font>
    <font>
      <sz val="11"/>
      <color rgb="FF000000"/>
      <name val="Arial"/>
      <family val="2"/>
    </font>
    <font>
      <sz val="11"/>
      <color indexed="8"/>
      <name val="Arial"/>
      <family val="2"/>
    </font>
    <font>
      <sz val="11"/>
      <color rgb="FF000000"/>
      <name val="Aptos Narrow"/>
      <charset val="1"/>
    </font>
    <font>
      <sz val="9"/>
      <name val="Arial"/>
      <family val="1"/>
    </font>
    <font>
      <sz val="9"/>
      <color rgb="FF000000"/>
      <name val="Arial"/>
      <family val="1"/>
    </font>
    <font>
      <sz val="11"/>
      <color rgb="FF000000"/>
      <name val="Calibri"/>
      <family val="2"/>
      <charset val="204"/>
    </font>
    <font>
      <b/>
      <sz val="11"/>
      <color rgb="FF000000"/>
      <name val="Calibri"/>
      <family val="2"/>
      <scheme val="minor"/>
    </font>
    <font>
      <b/>
      <sz val="11"/>
      <color rgb="FFFF0000"/>
      <name val="Calibri"/>
      <family val="2"/>
    </font>
    <font>
      <sz val="12"/>
      <name val="Arial"/>
      <family val="2"/>
    </font>
  </fonts>
  <fills count="38">
    <fill>
      <patternFill patternType="none"/>
    </fill>
    <fill>
      <patternFill patternType="gray125"/>
    </fill>
    <fill>
      <patternFill patternType="solid">
        <fgColor rgb="FFFFFFFF"/>
      </patternFill>
    </fill>
    <fill>
      <patternFill patternType="solid">
        <fgColor theme="0" tint="-0.499984740745262"/>
        <bgColor indexed="64"/>
      </patternFill>
    </fill>
    <fill>
      <patternFill patternType="solid">
        <fgColor rgb="FFD8ECF6"/>
      </patternFill>
    </fill>
    <fill>
      <patternFill patternType="solid">
        <fgColor theme="0" tint="-4.9989318521683403E-2"/>
        <bgColor indexed="64"/>
      </patternFill>
    </fill>
    <fill>
      <patternFill patternType="solid">
        <fgColor theme="0"/>
        <bgColor indexed="64"/>
      </patternFill>
    </fill>
    <fill>
      <patternFill patternType="solid">
        <fgColor theme="8" tint="0.59999389629810485"/>
        <bgColor indexed="64"/>
      </patternFill>
    </fill>
    <fill>
      <patternFill patternType="solid">
        <fgColor theme="8"/>
        <bgColor indexed="64"/>
      </patternFill>
    </fill>
    <fill>
      <patternFill patternType="solid">
        <fgColor theme="0" tint="-0.499984740745262"/>
        <bgColor rgb="FF000000"/>
      </patternFill>
    </fill>
    <fill>
      <patternFill patternType="solid">
        <fgColor rgb="FFDFF0D8"/>
      </patternFill>
    </fill>
    <fill>
      <patternFill patternType="solid">
        <fgColor theme="0" tint="-0.14999847407452621"/>
        <bgColor indexed="64"/>
      </patternFill>
    </fill>
    <fill>
      <patternFill patternType="solid">
        <fgColor rgb="FFFFFFFF"/>
        <bgColor rgb="FF000000"/>
      </patternFill>
    </fill>
    <fill>
      <patternFill patternType="solid">
        <fgColor rgb="FF808080"/>
        <bgColor rgb="FF000000"/>
      </patternFill>
    </fill>
    <fill>
      <patternFill patternType="solid">
        <fgColor theme="0" tint="-0.249977111117893"/>
        <bgColor indexed="64"/>
      </patternFill>
    </fill>
    <fill>
      <patternFill patternType="gray0625">
        <fgColor indexed="9"/>
        <bgColor theme="0"/>
      </patternFill>
    </fill>
    <fill>
      <patternFill patternType="solid">
        <fgColor theme="3"/>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rgb="FFFFFFCC"/>
        <bgColor indexed="64"/>
      </patternFill>
    </fill>
    <fill>
      <patternFill patternType="solid">
        <fgColor indexed="9"/>
        <bgColor indexed="64"/>
      </patternFill>
    </fill>
    <fill>
      <patternFill patternType="solid">
        <fgColor rgb="FFFFFF00"/>
        <bgColor indexed="64"/>
      </patternFill>
    </fill>
    <fill>
      <patternFill patternType="solid">
        <fgColor indexed="22"/>
        <bgColor indexed="64"/>
      </patternFill>
    </fill>
    <fill>
      <patternFill patternType="solid">
        <fgColor indexed="42"/>
        <bgColor indexed="64"/>
      </patternFill>
    </fill>
    <fill>
      <patternFill patternType="solid">
        <fgColor indexed="43"/>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BDBD"/>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E1DAF0"/>
        <bgColor indexed="64"/>
      </patternFill>
    </fill>
    <fill>
      <patternFill patternType="solid">
        <fgColor theme="3" tint="0.59999389629810485"/>
        <bgColor indexed="64"/>
      </patternFill>
    </fill>
    <fill>
      <patternFill patternType="solid">
        <fgColor rgb="FFBFBFBF"/>
        <bgColor rgb="FF000000"/>
      </patternFill>
    </fill>
    <fill>
      <patternFill patternType="solid">
        <fgColor theme="4"/>
        <bgColor indexed="64"/>
      </patternFill>
    </fill>
  </fills>
  <borders count="13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rgb="FFCCCCCC"/>
      </bottom>
      <diagonal/>
    </border>
    <border>
      <left style="thin">
        <color rgb="FFCCCCCC"/>
      </left>
      <right style="thin">
        <color rgb="FFCCCCCC"/>
      </right>
      <top style="thin">
        <color rgb="FFCCCCCC"/>
      </top>
      <bottom style="thin">
        <color rgb="FFCCCCCC"/>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right/>
      <top/>
      <bottom style="thin">
        <color theme="0" tint="-0.14996795556505021"/>
      </bottom>
      <diagonal/>
    </border>
    <border>
      <left style="medium">
        <color indexed="64"/>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medium">
        <color indexed="64"/>
      </right>
      <top style="thin">
        <color theme="0" tint="-0.14996795556505021"/>
      </top>
      <bottom style="thin">
        <color theme="0" tint="-0.1499679555650502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rgb="FFCCCCCC"/>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rgb="FF000000"/>
      </right>
      <top/>
      <bottom style="thin">
        <color indexed="64"/>
      </bottom>
      <diagonal/>
    </border>
    <border>
      <left style="thin">
        <color indexed="64"/>
      </left>
      <right/>
      <top/>
      <bottom/>
      <diagonal/>
    </border>
    <border>
      <left/>
      <right style="thin">
        <color rgb="FF000000"/>
      </right>
      <top/>
      <bottom/>
      <diagonal/>
    </border>
    <border>
      <left style="thin">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right style="thin">
        <color rgb="FF000000"/>
      </right>
      <top style="thin">
        <color indexed="64"/>
      </top>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right style="thin">
        <color indexed="64"/>
      </right>
      <top/>
      <bottom style="thin">
        <color indexed="64"/>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rgb="FFCCCCCC"/>
      </left>
      <right/>
      <top style="thin">
        <color rgb="FFCCCCCC"/>
      </top>
      <bottom style="thick">
        <color rgb="FFFF5500"/>
      </bottom>
      <diagonal/>
    </border>
    <border>
      <left style="thin">
        <color rgb="FFCCCCCC"/>
      </left>
      <right/>
      <top style="thick">
        <color rgb="FFFF5500"/>
      </top>
      <bottom style="thin">
        <color rgb="FFCCCCCC"/>
      </bottom>
      <diagonal/>
    </border>
    <border>
      <left style="thin">
        <color rgb="FFCCCCCC"/>
      </left>
      <right/>
      <top style="thin">
        <color rgb="FFCCCCCC"/>
      </top>
      <bottom/>
      <diagonal/>
    </border>
    <border>
      <left style="thin">
        <color theme="0" tint="-0.249977111117893"/>
      </left>
      <right/>
      <top style="thin">
        <color theme="0" tint="-0.249977111117893"/>
      </top>
      <bottom style="thin">
        <color theme="0" tint="-0.249977111117893"/>
      </bottom>
      <diagonal/>
    </border>
    <border>
      <left style="thin">
        <color indexed="64"/>
      </left>
      <right/>
      <top style="thin">
        <color indexed="64"/>
      </top>
      <bottom style="hair">
        <color auto="1"/>
      </bottom>
      <diagonal/>
    </border>
    <border>
      <left/>
      <right/>
      <top style="thin">
        <color indexed="64"/>
      </top>
      <bottom style="hair">
        <color indexed="64"/>
      </bottom>
      <diagonal/>
    </border>
    <border>
      <left/>
      <right style="thin">
        <color indexed="64"/>
      </right>
      <top style="thin">
        <color indexed="64"/>
      </top>
      <bottom style="hair">
        <color auto="1"/>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thin">
        <color indexed="64"/>
      </top>
      <bottom style="hair">
        <color auto="1"/>
      </bottom>
      <diagonal/>
    </border>
    <border>
      <left style="hair">
        <color indexed="64"/>
      </left>
      <right/>
      <top/>
      <bottom/>
      <diagonal/>
    </border>
    <border>
      <left style="medium">
        <color indexed="64"/>
      </left>
      <right/>
      <top style="hair">
        <color indexed="64"/>
      </top>
      <bottom style="hair">
        <color indexed="64"/>
      </bottom>
      <diagonal/>
    </border>
    <border>
      <left style="medium">
        <color indexed="64"/>
      </left>
      <right/>
      <top style="hair">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medium">
        <color indexed="64"/>
      </left>
      <right style="thin">
        <color rgb="FFCCCCCC"/>
      </right>
      <top style="medium">
        <color indexed="64"/>
      </top>
      <bottom/>
      <diagonal/>
    </border>
    <border>
      <left style="thin">
        <color rgb="FFCCCCCC"/>
      </left>
      <right style="thin">
        <color rgb="FFCCCCCC"/>
      </right>
      <top style="medium">
        <color indexed="64"/>
      </top>
      <bottom/>
      <diagonal/>
    </border>
    <border>
      <left style="thin">
        <color rgb="FFCCCCCC"/>
      </left>
      <right style="medium">
        <color indexed="64"/>
      </right>
      <top style="medium">
        <color indexed="64"/>
      </top>
      <bottom/>
      <diagonal/>
    </border>
    <border>
      <left style="medium">
        <color indexed="64"/>
      </left>
      <right style="thin">
        <color theme="0" tint="-0.14996795556505021"/>
      </right>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style="medium">
        <color indexed="64"/>
      </right>
      <top/>
      <bottom style="thin">
        <color theme="0" tint="-0.149967955565050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diagonal/>
    </border>
    <border>
      <left/>
      <right/>
      <top style="thin">
        <color theme="0" tint="-0.14999847407452621"/>
      </top>
      <bottom/>
      <diagonal/>
    </border>
    <border>
      <left/>
      <right style="thin">
        <color theme="0" tint="-0.14999847407452621"/>
      </right>
      <top style="thin">
        <color theme="0" tint="-0.14999847407452621"/>
      </top>
      <bottom/>
      <diagonal/>
    </border>
    <border>
      <left style="thin">
        <color theme="0" tint="-0.14999847407452621"/>
      </left>
      <right/>
      <top/>
      <bottom/>
      <diagonal/>
    </border>
    <border>
      <left/>
      <right style="thin">
        <color theme="0" tint="-0.14999847407452621"/>
      </right>
      <top/>
      <bottom/>
      <diagonal/>
    </border>
    <border>
      <left style="thin">
        <color theme="0" tint="-0.14999847407452621"/>
      </left>
      <right/>
      <top/>
      <bottom style="thin">
        <color theme="0" tint="-0.14999847407452621"/>
      </bottom>
      <diagonal/>
    </border>
    <border>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0" tint="-0.249977111117893"/>
      </top>
      <bottom style="thin">
        <color theme="0" tint="-0.249977111117893"/>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medium">
        <color indexed="64"/>
      </left>
      <right/>
      <top/>
      <bottom style="thin">
        <color theme="0" tint="-0.14999847407452621"/>
      </bottom>
      <diagonal/>
    </border>
    <border>
      <left/>
      <right style="medium">
        <color indexed="64"/>
      </right>
      <top/>
      <bottom style="thin">
        <color theme="0" tint="-0.14999847407452621"/>
      </bottom>
      <diagonal/>
    </border>
    <border>
      <left style="medium">
        <color indexed="64"/>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indexed="64"/>
      </right>
      <top style="thin">
        <color theme="0" tint="-0.14999847407452621"/>
      </top>
      <bottom style="thin">
        <color theme="0" tint="-0.14999847407452621"/>
      </bottom>
      <diagonal/>
    </border>
    <border>
      <left style="medium">
        <color indexed="64"/>
      </left>
      <right style="thin">
        <color theme="0" tint="-0.14999847407452621"/>
      </right>
      <top style="thin">
        <color theme="0" tint="-0.14999847407452621"/>
      </top>
      <bottom style="medium">
        <color indexed="64"/>
      </bottom>
      <diagonal/>
    </border>
    <border>
      <left style="thin">
        <color theme="0" tint="-0.14999847407452621"/>
      </left>
      <right style="thin">
        <color theme="0" tint="-0.14999847407452621"/>
      </right>
      <top style="thin">
        <color theme="0" tint="-0.14999847407452621"/>
      </top>
      <bottom style="medium">
        <color indexed="64"/>
      </bottom>
      <diagonal/>
    </border>
    <border>
      <left style="thin">
        <color theme="0" tint="-0.14999847407452621"/>
      </left>
      <right style="medium">
        <color indexed="64"/>
      </right>
      <top style="thin">
        <color theme="0" tint="-0.14999847407452621"/>
      </top>
      <bottom style="medium">
        <color indexed="64"/>
      </bottom>
      <diagonal/>
    </border>
    <border>
      <left style="medium">
        <color indexed="64"/>
      </left>
      <right style="thin">
        <color rgb="FFCCCCCC"/>
      </right>
      <top style="thin">
        <color rgb="FFCCCCCC"/>
      </top>
      <bottom style="medium">
        <color indexed="64"/>
      </bottom>
      <diagonal/>
    </border>
    <border>
      <left style="thin">
        <color rgb="FFCCCCCC"/>
      </left>
      <right style="thin">
        <color rgb="FFCCCCCC"/>
      </right>
      <top style="thin">
        <color rgb="FFCCCCCC"/>
      </top>
      <bottom style="medium">
        <color indexed="64"/>
      </bottom>
      <diagonal/>
    </border>
    <border>
      <left style="thin">
        <color rgb="FFCCCCCC"/>
      </left>
      <right style="medium">
        <color indexed="64"/>
      </right>
      <top style="thin">
        <color rgb="FFCCCCCC"/>
      </top>
      <bottom style="medium">
        <color indexed="64"/>
      </bottom>
      <diagonal/>
    </border>
    <border>
      <left style="thin">
        <color rgb="FFCCCCCC"/>
      </left>
      <right style="thin">
        <color rgb="FFCCCCCC"/>
      </right>
      <top style="thin">
        <color rgb="FFCCCCCC"/>
      </top>
      <bottom/>
      <diagonal/>
    </border>
    <border>
      <left style="medium">
        <color indexed="64"/>
      </left>
      <right/>
      <top style="thin">
        <color rgb="FFCCCCCC"/>
      </top>
      <bottom/>
      <diagonal/>
    </border>
    <border>
      <left/>
      <right style="medium">
        <color indexed="64"/>
      </right>
      <top style="thin">
        <color rgb="FFCCCCCC"/>
      </top>
      <bottom/>
      <diagonal/>
    </border>
    <border>
      <left style="medium">
        <color indexed="64"/>
      </left>
      <right style="thin">
        <color theme="0" tint="-0.14999847407452621"/>
      </right>
      <top style="thin">
        <color theme="0" tint="-0.14999847407452621"/>
      </top>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medium">
        <color indexed="64"/>
      </right>
      <top style="thin">
        <color theme="0" tint="-0.14999847407452621"/>
      </top>
      <bottom/>
      <diagonal/>
    </border>
  </borders>
  <cellStyleXfs count="40">
    <xf numFmtId="0" fontId="0" fillId="0" borderId="0"/>
    <xf numFmtId="0" fontId="1" fillId="0" borderId="0"/>
    <xf numFmtId="44" fontId="7" fillId="0" borderId="0" applyFont="0" applyFill="0" applyBorder="0" applyAlignment="0" applyProtection="0"/>
    <xf numFmtId="9" fontId="7" fillId="0" borderId="0" applyFont="0" applyFill="0" applyBorder="0" applyAlignment="0" applyProtection="0"/>
    <xf numFmtId="0" fontId="11" fillId="0" borderId="0"/>
    <xf numFmtId="0" fontId="11" fillId="0" borderId="0"/>
    <xf numFmtId="0" fontId="18" fillId="0" borderId="0" applyNumberFormat="0" applyFill="0" applyBorder="0" applyAlignment="0" applyProtection="0"/>
    <xf numFmtId="0" fontId="1" fillId="0" borderId="0"/>
    <xf numFmtId="0" fontId="39" fillId="0" borderId="0"/>
    <xf numFmtId="0" fontId="51" fillId="0" borderId="0"/>
    <xf numFmtId="0" fontId="1" fillId="0" borderId="0"/>
    <xf numFmtId="40" fontId="51" fillId="0" borderId="0" applyFont="0" applyFill="0" applyBorder="0" applyAlignment="0" applyProtection="0"/>
    <xf numFmtId="0" fontId="51" fillId="0" borderId="0"/>
    <xf numFmtId="0" fontId="1" fillId="0" borderId="0"/>
    <xf numFmtId="9" fontId="1" fillId="0" borderId="0" applyFont="0" applyFill="0" applyBorder="0" applyAlignment="0" applyProtection="0"/>
    <xf numFmtId="9" fontId="51" fillId="0" borderId="0" applyFont="0" applyFill="0" applyBorder="0" applyAlignment="0" applyProtection="0"/>
    <xf numFmtId="9" fontId="1" fillId="0" borderId="0" applyFont="0" applyFill="0" applyBorder="0" applyAlignment="0" applyProtection="0"/>
    <xf numFmtId="9" fontId="39" fillId="0" borderId="0" applyFont="0" applyFill="0" applyBorder="0" applyAlignment="0" applyProtection="0"/>
    <xf numFmtId="0" fontId="72" fillId="0" borderId="0"/>
    <xf numFmtId="170" fontId="73" fillId="0" borderId="0" applyFont="0" applyFill="0" applyBorder="0" applyAlignment="0" applyProtection="0"/>
    <xf numFmtId="0" fontId="1" fillId="0" borderId="0"/>
    <xf numFmtId="0" fontId="18" fillId="0" borderId="0" applyNumberFormat="0" applyFill="0" applyBorder="0" applyAlignment="0" applyProtection="0"/>
    <xf numFmtId="0" fontId="77"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9" fontId="7" fillId="0" borderId="0" applyFont="0" applyFill="0" applyBorder="0" applyAlignment="0" applyProtection="0"/>
    <xf numFmtId="0" fontId="38" fillId="37" borderId="0" applyNumberFormat="0" applyBorder="0" applyAlignment="0" applyProtection="0"/>
    <xf numFmtId="0" fontId="1" fillId="0" borderId="0"/>
    <xf numFmtId="9" fontId="1" fillId="0" borderId="0"/>
    <xf numFmtId="0" fontId="1" fillId="0" borderId="0" applyNumberFormat="0" applyFont="0" applyFill="0" applyBorder="0" applyAlignment="0" applyProtection="0"/>
    <xf numFmtId="0" fontId="11" fillId="0" borderId="0"/>
    <xf numFmtId="43" fontId="80" fillId="0" borderId="0" applyFont="0" applyFill="0" applyBorder="0" applyAlignment="0" applyProtection="0"/>
    <xf numFmtId="44" fontId="7" fillId="0" borderId="0" applyFont="0" applyFill="0" applyBorder="0" applyAlignment="0" applyProtection="0"/>
    <xf numFmtId="43" fontId="80"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0" fontId="7" fillId="0" borderId="0"/>
  </cellStyleXfs>
  <cellXfs count="1235">
    <xf numFmtId="0" fontId="0" fillId="0" borderId="0" xfId="0"/>
    <xf numFmtId="49" fontId="3" fillId="2" borderId="1" xfId="0" applyNumberFormat="1" applyFont="1" applyFill="1" applyBorder="1" applyAlignment="1">
      <alignment horizontal="left" vertical="top" wrapText="1"/>
    </xf>
    <xf numFmtId="0" fontId="3" fillId="2" borderId="2" xfId="0" applyFont="1" applyFill="1" applyBorder="1" applyAlignment="1">
      <alignment horizontal="left" vertical="top" wrapText="1"/>
    </xf>
    <xf numFmtId="0" fontId="3" fillId="2" borderId="2" xfId="0" applyFont="1" applyFill="1" applyBorder="1" applyAlignment="1">
      <alignment vertical="top" wrapText="1"/>
    </xf>
    <xf numFmtId="49" fontId="4" fillId="2" borderId="4" xfId="0" applyNumberFormat="1" applyFont="1" applyFill="1" applyBorder="1" applyAlignment="1">
      <alignment horizontal="left" vertical="top" wrapText="1"/>
    </xf>
    <xf numFmtId="0" fontId="1" fillId="2" borderId="0" xfId="0" applyFont="1" applyFill="1" applyAlignment="1">
      <alignment horizontal="left" vertical="top" wrapText="1"/>
    </xf>
    <xf numFmtId="10" fontId="1" fillId="2" borderId="0" xfId="0" applyNumberFormat="1" applyFont="1" applyFill="1" applyAlignment="1">
      <alignment horizontal="left" vertical="top" wrapText="1"/>
    </xf>
    <xf numFmtId="10" fontId="1" fillId="2" borderId="0" xfId="0" applyNumberFormat="1" applyFont="1" applyFill="1" applyAlignment="1">
      <alignment vertical="top" wrapText="1"/>
    </xf>
    <xf numFmtId="0" fontId="1" fillId="2" borderId="0" xfId="0" applyFont="1" applyFill="1" applyAlignment="1">
      <alignment vertical="top"/>
    </xf>
    <xf numFmtId="0" fontId="1" fillId="2" borderId="5" xfId="0" applyFont="1" applyFill="1" applyBorder="1" applyAlignment="1">
      <alignment horizontal="center" vertical="top" wrapText="1"/>
    </xf>
    <xf numFmtId="0" fontId="1" fillId="2" borderId="0" xfId="0" applyFont="1" applyFill="1" applyAlignment="1">
      <alignment horizontal="left" vertical="top"/>
    </xf>
    <xf numFmtId="10" fontId="1" fillId="2" borderId="5" xfId="0" applyNumberFormat="1" applyFont="1" applyFill="1" applyBorder="1" applyAlignment="1">
      <alignment horizontal="left" vertical="top" wrapText="1"/>
    </xf>
    <xf numFmtId="0" fontId="1" fillId="2" borderId="0" xfId="0" applyFont="1" applyFill="1" applyAlignment="1">
      <alignment vertical="top" wrapText="1"/>
    </xf>
    <xf numFmtId="4" fontId="0" fillId="0" borderId="0" xfId="0" applyNumberFormat="1"/>
    <xf numFmtId="0" fontId="12" fillId="6" borderId="1" xfId="4" applyFont="1" applyFill="1" applyBorder="1" applyAlignment="1">
      <alignment horizontal="left" vertical="top" wrapText="1"/>
    </xf>
    <xf numFmtId="0" fontId="11" fillId="6" borderId="2" xfId="4" applyFill="1" applyBorder="1"/>
    <xf numFmtId="0" fontId="11" fillId="6" borderId="3" xfId="4" applyFill="1" applyBorder="1"/>
    <xf numFmtId="0" fontId="12" fillId="6" borderId="4" xfId="4" applyFont="1" applyFill="1" applyBorder="1" applyAlignment="1">
      <alignment horizontal="left" vertical="top" wrapText="1"/>
    </xf>
    <xf numFmtId="0" fontId="3" fillId="6" borderId="0" xfId="0" applyFont="1" applyFill="1" applyAlignment="1">
      <alignment horizontal="left" vertical="top" wrapText="1"/>
    </xf>
    <xf numFmtId="0" fontId="14" fillId="6" borderId="5" xfId="4" applyFont="1" applyFill="1" applyBorder="1" applyAlignment="1">
      <alignment vertical="top"/>
    </xf>
    <xf numFmtId="0" fontId="1" fillId="2" borderId="5" xfId="0" applyFont="1" applyFill="1" applyBorder="1" applyAlignment="1">
      <alignment vertical="top"/>
    </xf>
    <xf numFmtId="0" fontId="1" fillId="2" borderId="5" xfId="0" applyFont="1" applyFill="1" applyBorder="1" applyAlignment="1">
      <alignment horizontal="left" vertical="top"/>
    </xf>
    <xf numFmtId="0" fontId="11" fillId="6" borderId="4" xfId="4" applyFill="1" applyBorder="1" applyAlignment="1">
      <alignment horizontal="left" vertical="top" wrapText="1"/>
    </xf>
    <xf numFmtId="0" fontId="11" fillId="6" borderId="5" xfId="4" applyFill="1" applyBorder="1"/>
    <xf numFmtId="0" fontId="11" fillId="6" borderId="4" xfId="5" applyFill="1" applyBorder="1" applyAlignment="1">
      <alignment horizontal="left" vertical="top" wrapText="1"/>
    </xf>
    <xf numFmtId="0" fontId="11" fillId="6" borderId="5" xfId="5" applyFill="1" applyBorder="1"/>
    <xf numFmtId="0" fontId="6" fillId="6" borderId="14" xfId="0" applyFont="1" applyFill="1" applyBorder="1" applyAlignment="1">
      <alignment horizontal="left" vertical="top" wrapText="1"/>
    </xf>
    <xf numFmtId="0" fontId="6" fillId="6" borderId="15" xfId="0" applyFont="1" applyFill="1" applyBorder="1" applyAlignment="1">
      <alignment horizontal="left" vertical="top" wrapText="1"/>
    </xf>
    <xf numFmtId="0" fontId="6" fillId="6" borderId="15" xfId="0" applyFont="1" applyFill="1" applyBorder="1" applyAlignment="1">
      <alignment horizontal="right" vertical="top" wrapText="1"/>
    </xf>
    <xf numFmtId="0" fontId="6" fillId="6" borderId="15" xfId="0" applyFont="1" applyFill="1" applyBorder="1" applyAlignment="1">
      <alignment horizontal="left" vertical="top"/>
    </xf>
    <xf numFmtId="0" fontId="6" fillId="6" borderId="15" xfId="0" applyFont="1" applyFill="1" applyBorder="1" applyAlignment="1">
      <alignment horizontal="center" vertical="top"/>
    </xf>
    <xf numFmtId="166" fontId="6" fillId="6" borderId="15" xfId="0" applyNumberFormat="1" applyFont="1" applyFill="1" applyBorder="1" applyAlignment="1">
      <alignment horizontal="right" vertical="top"/>
    </xf>
    <xf numFmtId="0" fontId="6" fillId="6" borderId="15" xfId="0" applyFont="1" applyFill="1" applyBorder="1" applyAlignment="1">
      <alignment vertical="center" wrapText="1"/>
    </xf>
    <xf numFmtId="0" fontId="6" fillId="6" borderId="16" xfId="0" applyFont="1" applyFill="1" applyBorder="1" applyAlignment="1">
      <alignment vertical="center" wrapText="1"/>
    </xf>
    <xf numFmtId="0" fontId="9" fillId="10" borderId="8" xfId="0" applyFont="1" applyFill="1" applyBorder="1" applyAlignment="1">
      <alignment horizontal="left" vertical="top" wrapText="1"/>
    </xf>
    <xf numFmtId="4" fontId="9" fillId="10" borderId="7" xfId="0" applyNumberFormat="1" applyFont="1" applyFill="1" applyBorder="1" applyAlignment="1">
      <alignment horizontal="left" vertical="top" wrapText="1"/>
    </xf>
    <xf numFmtId="0" fontId="9" fillId="10" borderId="7" xfId="0" applyFont="1" applyFill="1" applyBorder="1" applyAlignment="1">
      <alignment horizontal="right" vertical="top" wrapText="1"/>
    </xf>
    <xf numFmtId="4" fontId="9" fillId="10" borderId="7" xfId="0" applyNumberFormat="1" applyFont="1" applyFill="1" applyBorder="1" applyAlignment="1">
      <alignment horizontal="left" vertical="top"/>
    </xf>
    <xf numFmtId="4" fontId="9" fillId="10" borderId="7" xfId="0" applyNumberFormat="1" applyFont="1" applyFill="1" applyBorder="1" applyAlignment="1">
      <alignment horizontal="center" vertical="top"/>
    </xf>
    <xf numFmtId="4" fontId="9" fillId="10" borderId="9" xfId="0" applyNumberFormat="1" applyFont="1" applyFill="1" applyBorder="1" applyAlignment="1">
      <alignment horizontal="right" vertical="top" wrapText="1"/>
    </xf>
    <xf numFmtId="4" fontId="9" fillId="10" borderId="7" xfId="0" applyNumberFormat="1" applyFont="1" applyFill="1" applyBorder="1" applyAlignment="1">
      <alignment vertical="top" wrapText="1"/>
    </xf>
    <xf numFmtId="164" fontId="9" fillId="10" borderId="7" xfId="0" applyNumberFormat="1" applyFont="1" applyFill="1" applyBorder="1" applyAlignment="1">
      <alignment horizontal="right" vertical="top"/>
    </xf>
    <xf numFmtId="0" fontId="3" fillId="12" borderId="19" xfId="0" applyFont="1" applyFill="1" applyBorder="1" applyAlignment="1">
      <alignment wrapText="1"/>
    </xf>
    <xf numFmtId="0" fontId="11" fillId="12" borderId="19" xfId="0" applyFont="1" applyFill="1" applyBorder="1" applyAlignment="1">
      <alignment wrapText="1"/>
    </xf>
    <xf numFmtId="0" fontId="11" fillId="12" borderId="19" xfId="0" applyFont="1" applyFill="1" applyBorder="1"/>
    <xf numFmtId="0" fontId="3" fillId="12" borderId="20" xfId="0" applyFont="1" applyFill="1" applyBorder="1" applyAlignment="1">
      <alignment wrapText="1"/>
    </xf>
    <xf numFmtId="0" fontId="22" fillId="0" borderId="35" xfId="0" applyFont="1" applyBorder="1"/>
    <xf numFmtId="0" fontId="22" fillId="0" borderId="35" xfId="0" applyFont="1" applyBorder="1" applyAlignment="1">
      <alignment wrapText="1"/>
    </xf>
    <xf numFmtId="0" fontId="23" fillId="0" borderId="35" xfId="0" applyFont="1" applyBorder="1"/>
    <xf numFmtId="0" fontId="25" fillId="0" borderId="35" xfId="0" applyFont="1" applyBorder="1"/>
    <xf numFmtId="0" fontId="0" fillId="14" borderId="0" xfId="0" applyFill="1"/>
    <xf numFmtId="10" fontId="0" fillId="14" borderId="0" xfId="0" applyNumberFormat="1" applyFill="1"/>
    <xf numFmtId="10" fontId="0" fillId="14" borderId="0" xfId="3" applyNumberFormat="1" applyFont="1" applyFill="1"/>
    <xf numFmtId="164" fontId="28" fillId="15" borderId="4" xfId="0" applyNumberFormat="1" applyFont="1" applyFill="1" applyBorder="1" applyAlignment="1">
      <alignment vertical="center"/>
    </xf>
    <xf numFmtId="0" fontId="1" fillId="15" borderId="0" xfId="0" applyFont="1" applyFill="1" applyAlignment="1">
      <alignment vertical="center"/>
    </xf>
    <xf numFmtId="0" fontId="0" fillId="14" borderId="0" xfId="0" applyFill="1" applyAlignment="1">
      <alignment wrapText="1"/>
    </xf>
    <xf numFmtId="164" fontId="28" fillId="15" borderId="14" xfId="0" applyNumberFormat="1" applyFont="1" applyFill="1" applyBorder="1" applyAlignment="1">
      <alignment vertical="center"/>
    </xf>
    <xf numFmtId="0" fontId="1" fillId="15" borderId="15" xfId="0" applyFont="1" applyFill="1" applyBorder="1" applyAlignment="1">
      <alignment vertical="center"/>
    </xf>
    <xf numFmtId="0" fontId="0" fillId="6" borderId="1" xfId="0" applyFill="1" applyBorder="1"/>
    <xf numFmtId="0" fontId="0" fillId="6" borderId="2" xfId="0" applyFill="1" applyBorder="1"/>
    <xf numFmtId="0" fontId="0" fillId="6" borderId="2" xfId="0" applyFill="1" applyBorder="1" applyAlignment="1">
      <alignment horizontal="center" vertical="center"/>
    </xf>
    <xf numFmtId="0" fontId="0" fillId="6" borderId="3" xfId="0" applyFill="1" applyBorder="1"/>
    <xf numFmtId="0" fontId="0" fillId="6" borderId="4" xfId="0" applyFill="1" applyBorder="1"/>
    <xf numFmtId="0" fontId="29" fillId="6" borderId="0" xfId="0" applyFont="1" applyFill="1"/>
    <xf numFmtId="10" fontId="0" fillId="6" borderId="0" xfId="3" applyNumberFormat="1" applyFont="1" applyFill="1"/>
    <xf numFmtId="0" fontId="0" fillId="6" borderId="0" xfId="0" applyFill="1"/>
    <xf numFmtId="0" fontId="0" fillId="6" borderId="0" xfId="0" applyFill="1" applyAlignment="1">
      <alignment horizontal="center" vertical="center"/>
    </xf>
    <xf numFmtId="10" fontId="0" fillId="6" borderId="0" xfId="3" applyNumberFormat="1" applyFont="1" applyFill="1" applyProtection="1">
      <protection locked="0"/>
    </xf>
    <xf numFmtId="0" fontId="0" fillId="6" borderId="5" xfId="0" applyFill="1" applyBorder="1"/>
    <xf numFmtId="0" fontId="30" fillId="6" borderId="4" xfId="0" applyFont="1" applyFill="1" applyBorder="1"/>
    <xf numFmtId="0" fontId="30" fillId="6" borderId="0" xfId="0" applyFont="1" applyFill="1"/>
    <xf numFmtId="10" fontId="30" fillId="6" borderId="0" xfId="3" applyNumberFormat="1" applyFont="1" applyFill="1"/>
    <xf numFmtId="0" fontId="30" fillId="6" borderId="0" xfId="0" applyFont="1" applyFill="1" applyAlignment="1">
      <alignment horizontal="center" vertical="center"/>
    </xf>
    <xf numFmtId="10" fontId="30" fillId="6" borderId="0" xfId="3" applyNumberFormat="1" applyFont="1" applyFill="1" applyProtection="1">
      <protection locked="0"/>
    </xf>
    <xf numFmtId="0" fontId="30" fillId="6" borderId="5" xfId="0" applyFont="1" applyFill="1" applyBorder="1"/>
    <xf numFmtId="0" fontId="26" fillId="6" borderId="0" xfId="0" applyFont="1" applyFill="1"/>
    <xf numFmtId="0" fontId="26" fillId="6" borderId="0" xfId="0" applyFont="1" applyFill="1" applyAlignment="1">
      <alignment horizontal="center" vertical="center"/>
    </xf>
    <xf numFmtId="166" fontId="26" fillId="6" borderId="0" xfId="0" applyNumberFormat="1" applyFont="1" applyFill="1" applyAlignment="1">
      <alignment horizontal="center" vertical="center"/>
    </xf>
    <xf numFmtId="0" fontId="0" fillId="6" borderId="4" xfId="0" applyFill="1" applyBorder="1" applyAlignment="1">
      <alignment vertical="top"/>
    </xf>
    <xf numFmtId="0" fontId="0" fillId="6" borderId="0" xfId="0" applyFill="1" applyAlignment="1">
      <alignment vertical="top"/>
    </xf>
    <xf numFmtId="0" fontId="26" fillId="6" borderId="0" xfId="0" applyFont="1" applyFill="1" applyAlignment="1">
      <alignment horizontal="center" vertical="top"/>
    </xf>
    <xf numFmtId="0" fontId="26" fillId="6" borderId="0" xfId="0" applyFont="1" applyFill="1" applyAlignment="1">
      <alignment vertical="top"/>
    </xf>
    <xf numFmtId="166" fontId="26" fillId="6" borderId="0" xfId="0" applyNumberFormat="1" applyFont="1" applyFill="1" applyAlignment="1">
      <alignment horizontal="center" vertical="top"/>
    </xf>
    <xf numFmtId="0" fontId="0" fillId="6" borderId="5" xfId="0" applyFill="1" applyBorder="1" applyAlignment="1">
      <alignment vertical="top"/>
    </xf>
    <xf numFmtId="0" fontId="0" fillId="0" borderId="0" xfId="0" applyAlignment="1">
      <alignment vertical="top"/>
    </xf>
    <xf numFmtId="0" fontId="0" fillId="14" borderId="0" xfId="0" applyFill="1" applyAlignment="1">
      <alignment vertical="top"/>
    </xf>
    <xf numFmtId="0" fontId="29" fillId="6" borderId="14" xfId="0" applyFont="1" applyFill="1" applyBorder="1"/>
    <xf numFmtId="0" fontId="0" fillId="6" borderId="15" xfId="0" applyFill="1" applyBorder="1"/>
    <xf numFmtId="0" fontId="0" fillId="6" borderId="15" xfId="0" applyFill="1" applyBorder="1" applyAlignment="1">
      <alignment horizontal="center" vertical="center"/>
    </xf>
    <xf numFmtId="0" fontId="0" fillId="6" borderId="16" xfId="0" applyFill="1" applyBorder="1"/>
    <xf numFmtId="0" fontId="29" fillId="6" borderId="1" xfId="0" applyFont="1" applyFill="1" applyBorder="1"/>
    <xf numFmtId="0" fontId="29" fillId="6" borderId="2" xfId="0" applyFont="1" applyFill="1" applyBorder="1"/>
    <xf numFmtId="0" fontId="29" fillId="6" borderId="3" xfId="0" applyFont="1" applyFill="1" applyBorder="1"/>
    <xf numFmtId="0" fontId="32" fillId="6" borderId="4" xfId="0" applyFont="1" applyFill="1" applyBorder="1" applyAlignment="1">
      <alignment horizontal="centerContinuous"/>
    </xf>
    <xf numFmtId="0" fontId="29" fillId="6" borderId="0" xfId="0" applyFont="1" applyFill="1" applyAlignment="1">
      <alignment horizontal="centerContinuous"/>
    </xf>
    <xf numFmtId="0" fontId="29" fillId="6" borderId="5" xfId="0" applyFont="1" applyFill="1" applyBorder="1" applyAlignment="1">
      <alignment horizontal="centerContinuous"/>
    </xf>
    <xf numFmtId="0" fontId="29" fillId="6" borderId="15" xfId="0" applyFont="1" applyFill="1" applyBorder="1"/>
    <xf numFmtId="0" fontId="29" fillId="6" borderId="16" xfId="0" applyFont="1" applyFill="1" applyBorder="1"/>
    <xf numFmtId="0" fontId="0" fillId="14" borderId="0" xfId="0" applyFill="1" applyAlignment="1">
      <alignment horizontal="center" vertical="center"/>
    </xf>
    <xf numFmtId="0" fontId="2" fillId="2" borderId="0" xfId="0" applyFont="1" applyFill="1" applyAlignment="1">
      <alignment horizontal="left" vertical="top" wrapText="1"/>
    </xf>
    <xf numFmtId="165" fontId="0" fillId="0" borderId="0" xfId="0" applyNumberFormat="1"/>
    <xf numFmtId="10" fontId="0" fillId="0" borderId="0" xfId="0" applyNumberFormat="1"/>
    <xf numFmtId="49" fontId="8" fillId="4" borderId="8" xfId="0" applyNumberFormat="1" applyFont="1" applyFill="1" applyBorder="1" applyAlignment="1">
      <alignment horizontal="center" vertical="top" wrapText="1"/>
    </xf>
    <xf numFmtId="164" fontId="8" fillId="4" borderId="7" xfId="0" applyNumberFormat="1" applyFont="1" applyFill="1" applyBorder="1" applyAlignment="1">
      <alignment horizontal="right" vertical="top" wrapText="1"/>
    </xf>
    <xf numFmtId="165" fontId="8" fillId="4" borderId="9" xfId="0" applyNumberFormat="1" applyFont="1" applyFill="1" applyBorder="1" applyAlignment="1">
      <alignment horizontal="right" vertical="top" wrapText="1"/>
    </xf>
    <xf numFmtId="0" fontId="0" fillId="0" borderId="0" xfId="0" applyAlignment="1">
      <alignment horizontal="center"/>
    </xf>
    <xf numFmtId="0" fontId="24" fillId="0" borderId="35" xfId="0" applyFont="1" applyBorder="1"/>
    <xf numFmtId="0" fontId="36" fillId="0" borderId="35" xfId="0" applyFont="1" applyBorder="1"/>
    <xf numFmtId="164" fontId="4" fillId="6" borderId="0" xfId="0" applyNumberFormat="1" applyFont="1" applyFill="1" applyAlignment="1">
      <alignment horizontal="right" vertical="top" wrapText="1"/>
    </xf>
    <xf numFmtId="10" fontId="1" fillId="6" borderId="0" xfId="3" applyNumberFormat="1" applyFont="1" applyFill="1" applyBorder="1" applyAlignment="1">
      <alignment horizontal="center" vertical="top" wrapText="1"/>
    </xf>
    <xf numFmtId="9" fontId="1" fillId="6" borderId="0" xfId="3" applyFont="1" applyFill="1" applyBorder="1" applyAlignment="1">
      <alignment horizontal="center" vertical="center" wrapText="1"/>
    </xf>
    <xf numFmtId="0" fontId="4" fillId="6" borderId="0" xfId="0" applyFont="1" applyFill="1" applyAlignment="1">
      <alignment horizontal="right" vertical="top" wrapText="1"/>
    </xf>
    <xf numFmtId="0" fontId="17" fillId="6" borderId="0" xfId="0" applyFont="1" applyFill="1" applyAlignment="1">
      <alignment horizontal="left" vertical="top" wrapText="1"/>
    </xf>
    <xf numFmtId="0" fontId="4" fillId="6" borderId="0" xfId="0" applyFont="1" applyFill="1" applyAlignment="1">
      <alignment horizontal="left" vertical="top" wrapText="1"/>
    </xf>
    <xf numFmtId="0" fontId="17" fillId="6" borderId="0" xfId="0" applyFont="1" applyFill="1" applyAlignment="1">
      <alignment horizontal="left" vertical="top"/>
    </xf>
    <xf numFmtId="0" fontId="17" fillId="6" borderId="0" xfId="0" applyFont="1" applyFill="1" applyAlignment="1">
      <alignment horizontal="left" vertical="center"/>
    </xf>
    <xf numFmtId="0" fontId="0" fillId="6" borderId="0" xfId="0" applyFill="1" applyAlignment="1">
      <alignment horizontal="left" vertical="center"/>
    </xf>
    <xf numFmtId="0" fontId="4" fillId="6" borderId="0" xfId="0" applyFont="1" applyFill="1" applyAlignment="1">
      <alignment horizontal="center" vertical="top" wrapText="1"/>
    </xf>
    <xf numFmtId="0" fontId="17" fillId="6" borderId="0" xfId="0" applyFont="1" applyFill="1" applyAlignment="1">
      <alignment vertical="top" wrapText="1"/>
    </xf>
    <xf numFmtId="0" fontId="3" fillId="6" borderId="1" xfId="0" applyFont="1" applyFill="1" applyBorder="1" applyAlignment="1">
      <alignment horizontal="left" vertical="top" wrapText="1"/>
    </xf>
    <xf numFmtId="0" fontId="0" fillId="18" borderId="30" xfId="0" applyFill="1" applyBorder="1" applyAlignment="1">
      <alignment horizontal="center" vertical="center"/>
    </xf>
    <xf numFmtId="0" fontId="0" fillId="18" borderId="47" xfId="0" applyFill="1" applyBorder="1" applyAlignment="1">
      <alignment horizontal="center" vertical="center"/>
    </xf>
    <xf numFmtId="0" fontId="0" fillId="11" borderId="46" xfId="0" applyFill="1" applyBorder="1" applyAlignment="1">
      <alignment horizontal="center" vertical="center"/>
    </xf>
    <xf numFmtId="0" fontId="0" fillId="11" borderId="47" xfId="0" applyFill="1" applyBorder="1" applyAlignment="1">
      <alignment horizontal="center" vertical="center"/>
    </xf>
    <xf numFmtId="0" fontId="0" fillId="18" borderId="46" xfId="0" applyFill="1" applyBorder="1" applyAlignment="1">
      <alignment horizontal="center" vertical="center"/>
    </xf>
    <xf numFmtId="0" fontId="43" fillId="0" borderId="45" xfId="0" applyFont="1" applyBorder="1" applyAlignment="1">
      <alignment horizontal="center"/>
    </xf>
    <xf numFmtId="4" fontId="0" fillId="0" borderId="46" xfId="0" applyNumberFormat="1" applyBorder="1"/>
    <xf numFmtId="10" fontId="0" fillId="0" borderId="46" xfId="3" applyNumberFormat="1" applyFont="1" applyBorder="1"/>
    <xf numFmtId="10" fontId="0" fillId="0" borderId="47" xfId="3" applyNumberFormat="1" applyFont="1" applyBorder="1"/>
    <xf numFmtId="4" fontId="0" fillId="0" borderId="51" xfId="0" applyNumberFormat="1" applyBorder="1"/>
    <xf numFmtId="9" fontId="0" fillId="0" borderId="52" xfId="3" applyFont="1" applyBorder="1"/>
    <xf numFmtId="9" fontId="0" fillId="0" borderId="0" xfId="3" applyFont="1" applyBorder="1"/>
    <xf numFmtId="0" fontId="44" fillId="6" borderId="0" xfId="0" applyFont="1" applyFill="1" applyAlignment="1">
      <alignment horizontal="left" vertical="top" wrapText="1"/>
    </xf>
    <xf numFmtId="0" fontId="44" fillId="6" borderId="0" xfId="0" applyFont="1" applyFill="1" applyAlignment="1">
      <alignment vertical="top" wrapText="1"/>
    </xf>
    <xf numFmtId="0" fontId="47" fillId="0" borderId="0" xfId="0" applyFont="1" applyAlignment="1">
      <alignment vertical="center"/>
    </xf>
    <xf numFmtId="0" fontId="47" fillId="0" borderId="0" xfId="0" applyFont="1" applyAlignment="1">
      <alignment horizontal="center" vertical="center"/>
    </xf>
    <xf numFmtId="0" fontId="3" fillId="11" borderId="7" xfId="0" applyFont="1" applyFill="1" applyBorder="1" applyAlignment="1">
      <alignment horizontal="left" vertical="center" wrapText="1"/>
    </xf>
    <xf numFmtId="0" fontId="3" fillId="11" borderId="7" xfId="0" applyFont="1" applyFill="1" applyBorder="1" applyAlignment="1">
      <alignment horizontal="right" vertical="center" wrapText="1"/>
    </xf>
    <xf numFmtId="0" fontId="0" fillId="0" borderId="0" xfId="0" applyAlignment="1">
      <alignment horizontal="center" vertical="center"/>
    </xf>
    <xf numFmtId="0" fontId="8" fillId="4" borderId="7" xfId="0" applyFont="1" applyFill="1" applyBorder="1" applyAlignment="1">
      <alignment horizontal="left" wrapText="1"/>
    </xf>
    <xf numFmtId="10" fontId="8" fillId="4" borderId="7" xfId="3" applyNumberFormat="1" applyFont="1" applyFill="1" applyBorder="1" applyAlignment="1">
      <alignment horizontal="right" wrapText="1"/>
    </xf>
    <xf numFmtId="0" fontId="0" fillId="0" borderId="0" xfId="0" applyAlignment="1">
      <alignment horizontal="right"/>
    </xf>
    <xf numFmtId="10" fontId="0" fillId="0" borderId="0" xfId="0" applyNumberFormat="1" applyAlignment="1">
      <alignment horizontal="center"/>
    </xf>
    <xf numFmtId="168" fontId="0" fillId="0" borderId="0" xfId="0" applyNumberFormat="1"/>
    <xf numFmtId="0" fontId="8" fillId="5" borderId="7" xfId="0" applyFont="1" applyFill="1" applyBorder="1" applyAlignment="1">
      <alignment horizontal="left" vertical="top" wrapText="1"/>
    </xf>
    <xf numFmtId="164" fontId="8" fillId="5" borderId="7" xfId="0" applyNumberFormat="1" applyFont="1" applyFill="1" applyBorder="1" applyAlignment="1">
      <alignment horizontal="right" vertical="top" wrapText="1"/>
    </xf>
    <xf numFmtId="4" fontId="0" fillId="0" borderId="0" xfId="0" applyNumberFormat="1" applyAlignment="1">
      <alignment horizontal="right" vertical="top"/>
    </xf>
    <xf numFmtId="0" fontId="0" fillId="0" borderId="0" xfId="0" applyAlignment="1">
      <alignment horizontal="right" vertical="top"/>
    </xf>
    <xf numFmtId="0" fontId="4" fillId="2" borderId="0" xfId="0" applyFont="1" applyFill="1" applyAlignment="1">
      <alignment horizontal="center" vertical="top" wrapText="1"/>
    </xf>
    <xf numFmtId="44" fontId="4" fillId="2" borderId="0" xfId="2" applyFont="1" applyFill="1" applyAlignment="1">
      <alignment horizontal="center" wrapText="1"/>
    </xf>
    <xf numFmtId="44" fontId="4" fillId="2" borderId="0" xfId="2" applyFont="1" applyFill="1" applyAlignment="1">
      <alignment horizontal="center" vertical="top" wrapText="1"/>
    </xf>
    <xf numFmtId="0" fontId="4" fillId="2" borderId="0" xfId="0" applyFont="1" applyFill="1" applyAlignment="1">
      <alignment horizontal="right" vertical="top" wrapText="1"/>
    </xf>
    <xf numFmtId="0" fontId="4" fillId="19" borderId="53" xfId="3" applyNumberFormat="1" applyFont="1" applyFill="1" applyBorder="1" applyAlignment="1">
      <alignment horizontal="right" vertical="top" wrapText="1"/>
    </xf>
    <xf numFmtId="0" fontId="4" fillId="20" borderId="53" xfId="0" applyFont="1" applyFill="1" applyBorder="1" applyAlignment="1">
      <alignment horizontal="right" vertical="top" wrapText="1"/>
    </xf>
    <xf numFmtId="9" fontId="0" fillId="0" borderId="0" xfId="3" applyFont="1" applyAlignment="1">
      <alignment horizontal="center"/>
    </xf>
    <xf numFmtId="169" fontId="0" fillId="0" borderId="0" xfId="3" applyNumberFormat="1" applyFont="1" applyAlignment="1">
      <alignment horizontal="center"/>
    </xf>
    <xf numFmtId="10" fontId="4" fillId="6" borderId="0" xfId="0" applyNumberFormat="1" applyFont="1" applyFill="1" applyAlignment="1">
      <alignment horizontal="center" vertical="top" wrapText="1"/>
    </xf>
    <xf numFmtId="44" fontId="4" fillId="6" borderId="0" xfId="0" applyNumberFormat="1" applyFont="1" applyFill="1" applyAlignment="1">
      <alignment horizontal="center" vertical="top" wrapText="1"/>
    </xf>
    <xf numFmtId="0" fontId="17" fillId="6" borderId="0" xfId="0" applyFont="1" applyFill="1" applyAlignment="1">
      <alignment horizontal="center" vertical="top" wrapText="1"/>
    </xf>
    <xf numFmtId="0" fontId="49" fillId="0" borderId="0" xfId="7" applyFont="1" applyAlignment="1">
      <alignment horizontal="center" vertical="center"/>
    </xf>
    <xf numFmtId="0" fontId="1" fillId="0" borderId="0" xfId="7" applyAlignment="1">
      <alignment vertical="center"/>
    </xf>
    <xf numFmtId="0" fontId="39" fillId="0" borderId="0" xfId="8"/>
    <xf numFmtId="0" fontId="5" fillId="21" borderId="30" xfId="0" applyFont="1" applyFill="1" applyBorder="1" applyAlignment="1">
      <alignment horizontal="left" vertical="center"/>
    </xf>
    <xf numFmtId="0" fontId="53" fillId="6" borderId="47" xfId="9" applyFont="1" applyFill="1" applyBorder="1" applyAlignment="1">
      <alignment vertical="center"/>
    </xf>
    <xf numFmtId="0" fontId="53" fillId="0" borderId="0" xfId="9" applyFont="1" applyAlignment="1">
      <alignment vertical="center"/>
    </xf>
    <xf numFmtId="49" fontId="53" fillId="0" borderId="47" xfId="9" applyNumberFormat="1" applyFont="1" applyBorder="1" applyAlignment="1">
      <alignment horizontal="center" vertical="center"/>
    </xf>
    <xf numFmtId="0" fontId="53" fillId="0" borderId="47" xfId="9" applyFont="1" applyBorder="1" applyAlignment="1">
      <alignment horizontal="left" vertical="center"/>
    </xf>
    <xf numFmtId="0" fontId="1" fillId="0" borderId="0" xfId="7" applyAlignment="1">
      <alignment horizontal="center" vertical="center"/>
    </xf>
    <xf numFmtId="0" fontId="53" fillId="0" borderId="0" xfId="10" applyFont="1" applyAlignment="1">
      <alignment vertical="center"/>
    </xf>
    <xf numFmtId="0" fontId="52" fillId="0" borderId="46" xfId="12" applyFont="1" applyBorder="1" applyAlignment="1">
      <alignment horizontal="center" vertical="center"/>
    </xf>
    <xf numFmtId="40" fontId="52" fillId="0" borderId="47" xfId="11" applyFont="1" applyBorder="1" applyAlignment="1">
      <alignment horizontal="center" vertical="center"/>
    </xf>
    <xf numFmtId="10" fontId="56" fillId="6" borderId="46" xfId="14" applyNumberFormat="1" applyFont="1" applyFill="1" applyBorder="1" applyAlignment="1" applyProtection="1">
      <alignment horizontal="center" vertical="center"/>
      <protection locked="0"/>
    </xf>
    <xf numFmtId="10" fontId="56" fillId="6" borderId="47" xfId="14" applyNumberFormat="1" applyFont="1" applyFill="1" applyBorder="1" applyAlignment="1" applyProtection="1">
      <alignment horizontal="center" vertical="center"/>
      <protection locked="0"/>
    </xf>
    <xf numFmtId="10" fontId="52" fillId="6" borderId="46" xfId="15" applyNumberFormat="1" applyFont="1" applyFill="1" applyBorder="1" applyAlignment="1">
      <alignment horizontal="center" vertical="center"/>
    </xf>
    <xf numFmtId="10" fontId="52" fillId="6" borderId="47" xfId="15" applyNumberFormat="1" applyFont="1" applyFill="1" applyBorder="1" applyAlignment="1">
      <alignment horizontal="center" vertical="center"/>
    </xf>
    <xf numFmtId="10" fontId="53" fillId="6" borderId="47" xfId="11" applyNumberFormat="1" applyFont="1" applyFill="1" applyBorder="1" applyAlignment="1">
      <alignment horizontal="center" vertical="center"/>
    </xf>
    <xf numFmtId="10" fontId="57" fillId="3" borderId="59" xfId="15" applyNumberFormat="1" applyFont="1" applyFill="1" applyBorder="1" applyAlignment="1">
      <alignment horizontal="center" vertical="center"/>
    </xf>
    <xf numFmtId="10" fontId="57" fillId="3" borderId="60" xfId="15" applyNumberFormat="1" applyFont="1" applyFill="1" applyBorder="1" applyAlignment="1">
      <alignment horizontal="center" vertical="center"/>
    </xf>
    <xf numFmtId="0" fontId="53" fillId="6" borderId="4" xfId="10" applyFont="1" applyFill="1" applyBorder="1" applyAlignment="1">
      <alignment vertical="center"/>
    </xf>
    <xf numFmtId="0" fontId="53" fillId="6" borderId="0" xfId="10" applyFont="1" applyFill="1" applyAlignment="1">
      <alignment vertical="center"/>
    </xf>
    <xf numFmtId="0" fontId="53" fillId="6" borderId="5" xfId="10" applyFont="1" applyFill="1" applyBorder="1" applyAlignment="1">
      <alignment vertical="center"/>
    </xf>
    <xf numFmtId="0" fontId="58" fillId="6" borderId="4" xfId="10" applyFont="1" applyFill="1" applyBorder="1" applyAlignment="1">
      <alignment vertical="center"/>
    </xf>
    <xf numFmtId="0" fontId="59" fillId="6" borderId="0" xfId="10" applyFont="1" applyFill="1" applyAlignment="1">
      <alignment vertical="center"/>
    </xf>
    <xf numFmtId="0" fontId="59" fillId="6" borderId="5" xfId="10" applyFont="1" applyFill="1" applyBorder="1" applyAlignment="1">
      <alignment vertical="center"/>
    </xf>
    <xf numFmtId="0" fontId="58" fillId="0" borderId="0" xfId="10" applyFont="1" applyAlignment="1">
      <alignment vertical="center"/>
    </xf>
    <xf numFmtId="0" fontId="60" fillId="6" borderId="0" xfId="10" applyFont="1" applyFill="1" applyAlignment="1">
      <alignment vertical="center"/>
    </xf>
    <xf numFmtId="0" fontId="60" fillId="6" borderId="0" xfId="10" applyFont="1" applyFill="1" applyAlignment="1">
      <alignment horizontal="center" vertical="center"/>
    </xf>
    <xf numFmtId="0" fontId="60" fillId="6" borderId="5" xfId="10" applyFont="1" applyFill="1" applyBorder="1" applyAlignment="1">
      <alignment vertical="center"/>
    </xf>
    <xf numFmtId="0" fontId="58" fillId="6" borderId="14" xfId="10" applyFont="1" applyFill="1" applyBorder="1" applyAlignment="1">
      <alignment vertical="center"/>
    </xf>
    <xf numFmtId="0" fontId="17" fillId="6" borderId="15" xfId="0" applyFont="1" applyFill="1" applyBorder="1" applyAlignment="1">
      <alignment horizontal="left" vertical="center"/>
    </xf>
    <xf numFmtId="0" fontId="60" fillId="6" borderId="15" xfId="10" applyFont="1" applyFill="1" applyBorder="1" applyAlignment="1">
      <alignment vertical="center"/>
    </xf>
    <xf numFmtId="0" fontId="60" fillId="6" borderId="15" xfId="10" applyFont="1" applyFill="1" applyBorder="1" applyAlignment="1">
      <alignment horizontal="center" vertical="center"/>
    </xf>
    <xf numFmtId="0" fontId="60" fillId="6" borderId="16" xfId="10" applyFont="1" applyFill="1" applyBorder="1" applyAlignment="1">
      <alignment vertical="center"/>
    </xf>
    <xf numFmtId="0" fontId="61" fillId="0" borderId="0" xfId="10" applyFont="1" applyAlignment="1">
      <alignment vertical="center"/>
    </xf>
    <xf numFmtId="10" fontId="0" fillId="6" borderId="0" xfId="2" applyNumberFormat="1" applyFont="1" applyFill="1" applyBorder="1" applyAlignment="1"/>
    <xf numFmtId="10" fontId="1" fillId="2" borderId="5" xfId="3" applyNumberFormat="1" applyFont="1" applyFill="1" applyBorder="1" applyAlignment="1">
      <alignment horizontal="center" vertical="top" wrapText="1"/>
    </xf>
    <xf numFmtId="165" fontId="28" fillId="2" borderId="5" xfId="0" applyNumberFormat="1" applyFont="1" applyFill="1" applyBorder="1" applyAlignment="1">
      <alignment horizontal="center" vertical="center" wrapText="1"/>
    </xf>
    <xf numFmtId="164" fontId="0" fillId="0" borderId="0" xfId="0" applyNumberFormat="1"/>
    <xf numFmtId="0" fontId="64" fillId="0" borderId="2" xfId="8" applyFont="1" applyBorder="1"/>
    <xf numFmtId="0" fontId="64" fillId="0" borderId="3" xfId="8" applyFont="1" applyBorder="1"/>
    <xf numFmtId="0" fontId="64" fillId="0" borderId="0" xfId="8" applyFont="1"/>
    <xf numFmtId="0" fontId="66" fillId="0" borderId="0" xfId="8" applyFont="1"/>
    <xf numFmtId="0" fontId="66" fillId="0" borderId="5" xfId="8" applyFont="1" applyBorder="1"/>
    <xf numFmtId="0" fontId="64" fillId="0" borderId="47" xfId="8" applyFont="1" applyBorder="1"/>
    <xf numFmtId="0" fontId="67" fillId="11" borderId="47" xfId="8" applyFont="1" applyFill="1" applyBorder="1" applyAlignment="1" applyProtection="1">
      <alignment horizontal="center" vertical="center"/>
      <protection locked="0"/>
    </xf>
    <xf numFmtId="0" fontId="66" fillId="0" borderId="0" xfId="13" applyFont="1"/>
    <xf numFmtId="0" fontId="64" fillId="0" borderId="0" xfId="13" applyFont="1"/>
    <xf numFmtId="0" fontId="65" fillId="24" borderId="45" xfId="13" applyFont="1" applyFill="1" applyBorder="1" applyAlignment="1">
      <alignment horizontal="left" vertical="center"/>
    </xf>
    <xf numFmtId="10" fontId="65" fillId="24" borderId="67" xfId="13" applyNumberFormat="1" applyFont="1" applyFill="1" applyBorder="1" applyAlignment="1">
      <alignment vertical="center"/>
    </xf>
    <xf numFmtId="0" fontId="65" fillId="24" borderId="68" xfId="13" applyFont="1" applyFill="1" applyBorder="1" applyAlignment="1">
      <alignment horizontal="center" vertical="center"/>
    </xf>
    <xf numFmtId="10" fontId="65" fillId="25" borderId="47" xfId="14" applyNumberFormat="1" applyFont="1" applyFill="1" applyBorder="1" applyAlignment="1" applyProtection="1">
      <alignment vertical="center"/>
      <protection locked="0"/>
    </xf>
    <xf numFmtId="0" fontId="68" fillId="0" borderId="0" xfId="13" applyFont="1"/>
    <xf numFmtId="10" fontId="65" fillId="24" borderId="70" xfId="13" applyNumberFormat="1" applyFont="1" applyFill="1" applyBorder="1" applyAlignment="1">
      <alignment vertical="center"/>
    </xf>
    <xf numFmtId="10" fontId="65" fillId="24" borderId="71" xfId="13" applyNumberFormat="1" applyFont="1" applyFill="1" applyBorder="1" applyAlignment="1">
      <alignment horizontal="center" vertical="center"/>
    </xf>
    <xf numFmtId="0" fontId="65" fillId="24" borderId="71" xfId="13" applyFont="1" applyFill="1" applyBorder="1" applyAlignment="1">
      <alignment horizontal="center" vertical="center"/>
    </xf>
    <xf numFmtId="10" fontId="65" fillId="24" borderId="71" xfId="13" applyNumberFormat="1" applyFont="1" applyFill="1" applyBorder="1" applyAlignment="1">
      <alignment horizontal="left" vertical="center"/>
    </xf>
    <xf numFmtId="10" fontId="65" fillId="24" borderId="29" xfId="13" applyNumberFormat="1" applyFont="1" applyFill="1" applyBorder="1" applyAlignment="1">
      <alignment vertical="center"/>
    </xf>
    <xf numFmtId="10" fontId="65" fillId="24" borderId="30" xfId="13" applyNumberFormat="1" applyFont="1" applyFill="1" applyBorder="1" applyAlignment="1">
      <alignment vertical="center"/>
    </xf>
    <xf numFmtId="0" fontId="65" fillId="24" borderId="75" xfId="13" applyFont="1" applyFill="1" applyBorder="1" applyAlignment="1">
      <alignment horizontal="left" vertical="center"/>
    </xf>
    <xf numFmtId="0" fontId="65" fillId="24" borderId="77" xfId="13" applyFont="1" applyFill="1" applyBorder="1" applyAlignment="1">
      <alignment horizontal="left" vertical="center"/>
    </xf>
    <xf numFmtId="0" fontId="65" fillId="24" borderId="78" xfId="13" applyFont="1" applyFill="1" applyBorder="1" applyAlignment="1">
      <alignment horizontal="left" vertical="center"/>
    </xf>
    <xf numFmtId="0" fontId="64" fillId="24" borderId="4" xfId="13" applyFont="1" applyFill="1" applyBorder="1"/>
    <xf numFmtId="10" fontId="64" fillId="24" borderId="47" xfId="14" applyNumberFormat="1" applyFont="1" applyFill="1" applyBorder="1"/>
    <xf numFmtId="164" fontId="3" fillId="2" borderId="0" xfId="0" applyNumberFormat="1" applyFont="1" applyFill="1" applyAlignment="1">
      <alignment horizontal="right" vertical="top" wrapText="1"/>
    </xf>
    <xf numFmtId="0" fontId="1" fillId="2" borderId="0" xfId="0" applyFont="1" applyFill="1" applyAlignment="1">
      <alignment horizontal="right" vertical="top" wrapText="1"/>
    </xf>
    <xf numFmtId="49" fontId="3" fillId="2" borderId="4" xfId="0" applyNumberFormat="1" applyFont="1" applyFill="1" applyBorder="1" applyAlignment="1">
      <alignment horizontal="center" vertical="top" wrapText="1"/>
    </xf>
    <xf numFmtId="164" fontId="3" fillId="2" borderId="5" xfId="0" applyNumberFormat="1" applyFont="1" applyFill="1" applyBorder="1" applyAlignment="1">
      <alignment horizontal="right" vertical="top" wrapText="1"/>
    </xf>
    <xf numFmtId="0" fontId="0" fillId="6" borderId="14" xfId="0" applyFill="1" applyBorder="1"/>
    <xf numFmtId="0" fontId="5" fillId="21" borderId="46" xfId="0" applyFont="1" applyFill="1" applyBorder="1" applyAlignment="1">
      <alignment horizontal="center" vertical="center"/>
    </xf>
    <xf numFmtId="0" fontId="26" fillId="0" borderId="46" xfId="0" applyFont="1" applyBorder="1" applyAlignment="1">
      <alignment horizontal="center"/>
    </xf>
    <xf numFmtId="0" fontId="0" fillId="6" borderId="46" xfId="0" applyFill="1" applyBorder="1" applyAlignment="1">
      <alignment vertical="center" wrapText="1"/>
    </xf>
    <xf numFmtId="0" fontId="0" fillId="6" borderId="57" xfId="0" applyFill="1" applyBorder="1" applyAlignment="1">
      <alignment horizontal="center" vertical="center" wrapText="1"/>
    </xf>
    <xf numFmtId="2" fontId="0" fillId="6" borderId="46" xfId="0" applyNumberFormat="1" applyFill="1" applyBorder="1" applyAlignment="1">
      <alignment horizontal="center" vertical="center" wrapText="1"/>
    </xf>
    <xf numFmtId="2" fontId="26" fillId="0" borderId="46" xfId="0" applyNumberFormat="1" applyFont="1" applyBorder="1" applyAlignment="1">
      <alignment horizontal="center" vertical="center" wrapText="1"/>
    </xf>
    <xf numFmtId="0" fontId="3" fillId="2" borderId="0" xfId="0" applyFont="1" applyFill="1" applyAlignment="1">
      <alignment horizontal="center" vertical="top" wrapText="1"/>
    </xf>
    <xf numFmtId="0" fontId="3" fillId="2" borderId="0" xfId="0" applyFont="1" applyFill="1" applyAlignment="1">
      <alignment horizontal="left" vertical="top" wrapText="1"/>
    </xf>
    <xf numFmtId="0" fontId="3" fillId="2" borderId="0" xfId="0" applyFont="1" applyFill="1" applyAlignment="1">
      <alignment horizontal="right" vertical="top" wrapText="1"/>
    </xf>
    <xf numFmtId="10" fontId="3" fillId="2" borderId="0" xfId="3" applyNumberFormat="1" applyFont="1" applyFill="1" applyBorder="1" applyAlignment="1">
      <alignment horizontal="right" vertical="top" wrapText="1"/>
    </xf>
    <xf numFmtId="2" fontId="26" fillId="11" borderId="42" xfId="0" applyNumberFormat="1" applyFont="1" applyFill="1" applyBorder="1" applyAlignment="1">
      <alignment horizontal="center" vertical="center" wrapText="1"/>
    </xf>
    <xf numFmtId="0" fontId="26" fillId="0" borderId="57" xfId="0" applyFont="1" applyBorder="1" applyAlignment="1">
      <alignment horizontal="center" vertical="center"/>
    </xf>
    <xf numFmtId="0" fontId="43" fillId="0" borderId="85" xfId="0" applyFont="1" applyBorder="1" applyAlignment="1">
      <alignment horizontal="center"/>
    </xf>
    <xf numFmtId="4" fontId="0" fillId="0" borderId="84" xfId="0" applyNumberFormat="1" applyBorder="1"/>
    <xf numFmtId="10" fontId="0" fillId="0" borderId="84" xfId="3" applyNumberFormat="1" applyFont="1" applyBorder="1"/>
    <xf numFmtId="10" fontId="0" fillId="0" borderId="86" xfId="3" applyNumberFormat="1" applyFont="1" applyBorder="1"/>
    <xf numFmtId="164" fontId="1" fillId="2" borderId="0" xfId="0" applyNumberFormat="1" applyFont="1" applyFill="1" applyAlignment="1">
      <alignment horizontal="right" vertical="top"/>
    </xf>
    <xf numFmtId="164" fontId="1" fillId="2" borderId="0" xfId="0" applyNumberFormat="1" applyFont="1" applyFill="1" applyAlignment="1">
      <alignment horizontal="right" vertical="top" wrapText="1"/>
    </xf>
    <xf numFmtId="164" fontId="4" fillId="2" borderId="0" xfId="0" applyNumberFormat="1" applyFont="1" applyFill="1" applyAlignment="1">
      <alignment horizontal="right" vertical="top" wrapText="1"/>
    </xf>
    <xf numFmtId="4" fontId="28" fillId="2" borderId="0" xfId="0" applyNumberFormat="1" applyFont="1" applyFill="1" applyAlignment="1">
      <alignment vertical="top" wrapText="1"/>
    </xf>
    <xf numFmtId="0" fontId="74" fillId="0" borderId="0" xfId="0" applyFont="1"/>
    <xf numFmtId="0" fontId="0" fillId="27" borderId="57" xfId="0" applyFill="1" applyBorder="1" applyAlignment="1">
      <alignment horizontal="center" vertical="center" wrapText="1"/>
    </xf>
    <xf numFmtId="2" fontId="0" fillId="27" borderId="46" xfId="0" applyNumberFormat="1" applyFill="1" applyBorder="1" applyAlignment="1">
      <alignment horizontal="center" vertical="center" wrapText="1"/>
    </xf>
    <xf numFmtId="2" fontId="26" fillId="27" borderId="42" xfId="0" applyNumberFormat="1" applyFont="1" applyFill="1" applyBorder="1" applyAlignment="1">
      <alignment horizontal="center" vertical="center" wrapText="1"/>
    </xf>
    <xf numFmtId="0" fontId="0" fillId="28" borderId="57" xfId="0" applyFill="1" applyBorder="1" applyAlignment="1">
      <alignment horizontal="center" vertical="center" wrapText="1"/>
    </xf>
    <xf numFmtId="2" fontId="0" fillId="28" borderId="46" xfId="0" applyNumberFormat="1" applyFill="1" applyBorder="1" applyAlignment="1">
      <alignment horizontal="center" vertical="center" wrapText="1"/>
    </xf>
    <xf numFmtId="0" fontId="0" fillId="29" borderId="57" xfId="0" applyFill="1" applyBorder="1" applyAlignment="1">
      <alignment horizontal="center" vertical="center" wrapText="1"/>
    </xf>
    <xf numFmtId="2" fontId="0" fillId="29" borderId="46" xfId="0" applyNumberFormat="1" applyFill="1" applyBorder="1" applyAlignment="1">
      <alignment horizontal="center" vertical="center" wrapText="1"/>
    </xf>
    <xf numFmtId="2" fontId="26" fillId="29" borderId="42" xfId="0" applyNumberFormat="1" applyFont="1" applyFill="1" applyBorder="1" applyAlignment="1">
      <alignment horizontal="center" vertical="center" wrapText="1"/>
    </xf>
    <xf numFmtId="2" fontId="26" fillId="28" borderId="42" xfId="0" applyNumberFormat="1" applyFont="1" applyFill="1" applyBorder="1" applyAlignment="1">
      <alignment horizontal="center" vertical="center" wrapText="1"/>
    </xf>
    <xf numFmtId="2" fontId="26" fillId="30" borderId="42" xfId="0" applyNumberFormat="1" applyFont="1" applyFill="1" applyBorder="1" applyAlignment="1">
      <alignment horizontal="center" vertical="center" wrapText="1"/>
    </xf>
    <xf numFmtId="0" fontId="0" fillId="6" borderId="30" xfId="0" applyFill="1" applyBorder="1" applyAlignment="1">
      <alignment horizontal="center" vertical="center" wrapText="1"/>
    </xf>
    <xf numFmtId="0" fontId="26" fillId="0" borderId="20" xfId="0" applyFont="1" applyBorder="1" applyAlignment="1">
      <alignment horizontal="center" vertical="center"/>
    </xf>
    <xf numFmtId="0" fontId="0" fillId="30" borderId="87" xfId="0" applyFill="1" applyBorder="1" applyAlignment="1">
      <alignment horizontal="center" vertical="center" wrapText="1"/>
    </xf>
    <xf numFmtId="0" fontId="0" fillId="28" borderId="88" xfId="0" applyFill="1" applyBorder="1" applyAlignment="1">
      <alignment horizontal="center" vertical="center" wrapText="1"/>
    </xf>
    <xf numFmtId="0" fontId="0" fillId="28" borderId="87" xfId="0" applyFill="1" applyBorder="1" applyAlignment="1">
      <alignment horizontal="center" vertical="center" wrapText="1"/>
    </xf>
    <xf numFmtId="2" fontId="0" fillId="28" borderId="57" xfId="0" applyNumberFormat="1" applyFill="1" applyBorder="1" applyAlignment="1">
      <alignment horizontal="center" vertical="center" wrapText="1"/>
    </xf>
    <xf numFmtId="0" fontId="0" fillId="27" borderId="88" xfId="0" applyFill="1" applyBorder="1" applyAlignment="1">
      <alignment horizontal="center" vertical="center" wrapText="1"/>
    </xf>
    <xf numFmtId="0" fontId="0" fillId="27" borderId="87" xfId="0" applyFill="1" applyBorder="1" applyAlignment="1">
      <alignment horizontal="center" vertical="center" wrapText="1"/>
    </xf>
    <xf numFmtId="2" fontId="0" fillId="27" borderId="57" xfId="0" applyNumberFormat="1" applyFill="1" applyBorder="1" applyAlignment="1">
      <alignment horizontal="center" vertical="center" wrapText="1"/>
    </xf>
    <xf numFmtId="0" fontId="0" fillId="6" borderId="59" xfId="0" applyFill="1" applyBorder="1" applyAlignment="1">
      <alignment vertical="center" wrapText="1"/>
    </xf>
    <xf numFmtId="0" fontId="0" fillId="6" borderId="87" xfId="0" applyFill="1" applyBorder="1" applyAlignment="1">
      <alignment vertical="center" wrapText="1"/>
    </xf>
    <xf numFmtId="2" fontId="0" fillId="30" borderId="87" xfId="0" applyNumberFormat="1" applyFill="1" applyBorder="1" applyAlignment="1">
      <alignment horizontal="center" vertical="center" wrapText="1"/>
    </xf>
    <xf numFmtId="0" fontId="0" fillId="27" borderId="20" xfId="0" applyFill="1" applyBorder="1" applyAlignment="1">
      <alignment horizontal="center" vertical="center" wrapText="1"/>
    </xf>
    <xf numFmtId="2" fontId="0" fillId="27" borderId="59" xfId="0" applyNumberFormat="1" applyFill="1" applyBorder="1" applyAlignment="1">
      <alignment horizontal="center" vertical="center" wrapText="1"/>
    </xf>
    <xf numFmtId="2" fontId="26" fillId="27" borderId="87" xfId="0" applyNumberFormat="1" applyFont="1" applyFill="1" applyBorder="1" applyAlignment="1">
      <alignment horizontal="center" vertical="center" wrapText="1"/>
    </xf>
    <xf numFmtId="2" fontId="26" fillId="28" borderId="87" xfId="0" applyNumberFormat="1" applyFont="1" applyFill="1" applyBorder="1" applyAlignment="1">
      <alignment horizontal="center" vertical="center" wrapText="1"/>
    </xf>
    <xf numFmtId="2" fontId="0" fillId="6" borderId="57" xfId="0" applyNumberFormat="1" applyFill="1" applyBorder="1" applyAlignment="1">
      <alignment horizontal="center" vertical="center" wrapText="1"/>
    </xf>
    <xf numFmtId="0" fontId="26" fillId="0" borderId="87" xfId="0" applyFont="1" applyBorder="1" applyAlignment="1">
      <alignment horizontal="center"/>
    </xf>
    <xf numFmtId="0" fontId="26" fillId="0" borderId="87" xfId="0" applyFont="1" applyBorder="1" applyAlignment="1">
      <alignment horizontal="center" vertical="center"/>
    </xf>
    <xf numFmtId="0" fontId="0" fillId="6" borderId="87" xfId="0" applyFill="1" applyBorder="1" applyAlignment="1">
      <alignment horizontal="center" vertical="top" wrapText="1"/>
    </xf>
    <xf numFmtId="0" fontId="0" fillId="6" borderId="89" xfId="0" applyFill="1" applyBorder="1" applyAlignment="1">
      <alignment horizontal="center" vertical="top" wrapText="1"/>
    </xf>
    <xf numFmtId="0" fontId="0" fillId="6" borderId="42" xfId="0" applyFill="1" applyBorder="1" applyAlignment="1">
      <alignment vertical="center" wrapText="1"/>
    </xf>
    <xf numFmtId="0" fontId="0" fillId="6" borderId="22" xfId="0" applyFill="1" applyBorder="1" applyAlignment="1">
      <alignment horizontal="center" vertical="center" wrapText="1"/>
    </xf>
    <xf numFmtId="0" fontId="0" fillId="6" borderId="28" xfId="0" applyFill="1" applyBorder="1" applyAlignment="1">
      <alignment horizontal="center" vertical="top" wrapText="1"/>
    </xf>
    <xf numFmtId="2" fontId="0" fillId="6" borderId="35" xfId="0" applyNumberFormat="1" applyFill="1" applyBorder="1" applyAlignment="1">
      <alignment horizontal="center" vertical="center" wrapText="1"/>
    </xf>
    <xf numFmtId="0" fontId="0" fillId="0" borderId="90" xfId="0" applyBorder="1" applyAlignment="1">
      <alignment horizontal="center" vertical="center"/>
    </xf>
    <xf numFmtId="0" fontId="0" fillId="0" borderId="87" xfId="0" applyBorder="1" applyAlignment="1">
      <alignment horizontal="center" vertical="center"/>
    </xf>
    <xf numFmtId="0" fontId="0" fillId="27" borderId="87" xfId="0" applyFill="1" applyBorder="1" applyAlignment="1">
      <alignment horizontal="center" vertical="center"/>
    </xf>
    <xf numFmtId="0" fontId="0" fillId="27" borderId="89" xfId="0" applyFill="1" applyBorder="1" applyAlignment="1">
      <alignment horizontal="center" vertical="top" wrapText="1"/>
    </xf>
    <xf numFmtId="0" fontId="0" fillId="28" borderId="87" xfId="0" applyFill="1" applyBorder="1" applyAlignment="1">
      <alignment horizontal="center" vertical="center"/>
    </xf>
    <xf numFmtId="0" fontId="0" fillId="28" borderId="89" xfId="0" applyFill="1" applyBorder="1" applyAlignment="1">
      <alignment horizontal="center" vertical="top" wrapText="1"/>
    </xf>
    <xf numFmtId="2" fontId="0" fillId="0" borderId="0" xfId="0" applyNumberFormat="1"/>
    <xf numFmtId="0" fontId="0" fillId="0" borderId="89" xfId="0" applyBorder="1" applyAlignment="1">
      <alignment horizontal="center" vertical="top" wrapText="1"/>
    </xf>
    <xf numFmtId="2" fontId="0" fillId="0" borderId="57" xfId="0" applyNumberFormat="1" applyBorder="1" applyAlignment="1">
      <alignment horizontal="center" vertical="center" wrapText="1"/>
    </xf>
    <xf numFmtId="2" fontId="0" fillId="6" borderId="87" xfId="0" applyNumberFormat="1" applyFill="1" applyBorder="1" applyAlignment="1">
      <alignment horizontal="center" vertical="center" wrapText="1"/>
    </xf>
    <xf numFmtId="0" fontId="0" fillId="27" borderId="95" xfId="0" applyFill="1" applyBorder="1" applyAlignment="1">
      <alignment horizontal="center" vertical="center"/>
    </xf>
    <xf numFmtId="0" fontId="0" fillId="27" borderId="81" xfId="0" applyFill="1" applyBorder="1" applyAlignment="1">
      <alignment horizontal="center" vertical="top" wrapText="1"/>
    </xf>
    <xf numFmtId="2" fontId="0" fillId="27" borderId="20" xfId="0" applyNumberFormat="1" applyFill="1" applyBorder="1" applyAlignment="1">
      <alignment horizontal="center" vertical="center" wrapText="1"/>
    </xf>
    <xf numFmtId="0" fontId="0" fillId="29" borderId="87" xfId="0" applyFill="1" applyBorder="1" applyAlignment="1">
      <alignment horizontal="center" vertical="center"/>
    </xf>
    <xf numFmtId="0" fontId="0" fillId="29" borderId="89" xfId="0" applyFill="1" applyBorder="1" applyAlignment="1">
      <alignment horizontal="center" vertical="top" wrapText="1"/>
    </xf>
    <xf numFmtId="2" fontId="0" fillId="29" borderId="57" xfId="0" applyNumberFormat="1" applyFill="1" applyBorder="1" applyAlignment="1">
      <alignment horizontal="center" vertical="center" wrapText="1"/>
    </xf>
    <xf numFmtId="2" fontId="26" fillId="29" borderId="87" xfId="0" applyNumberFormat="1" applyFont="1" applyFill="1" applyBorder="1" applyAlignment="1">
      <alignment horizontal="center" vertical="center" wrapText="1"/>
    </xf>
    <xf numFmtId="0" fontId="0" fillId="29" borderId="90" xfId="0" applyFill="1" applyBorder="1" applyAlignment="1">
      <alignment horizontal="center" vertical="center"/>
    </xf>
    <xf numFmtId="0" fontId="0" fillId="29" borderId="28" xfId="0" applyFill="1" applyBorder="1" applyAlignment="1">
      <alignment horizontal="center" vertical="top" wrapText="1"/>
    </xf>
    <xf numFmtId="2" fontId="0" fillId="29" borderId="35" xfId="0" applyNumberFormat="1" applyFill="1" applyBorder="1" applyAlignment="1">
      <alignment horizontal="center" vertical="center" wrapText="1"/>
    </xf>
    <xf numFmtId="2" fontId="26" fillId="0" borderId="59" xfId="0" applyNumberFormat="1" applyFont="1" applyBorder="1" applyAlignment="1">
      <alignment horizontal="center" vertical="center" wrapText="1"/>
    </xf>
    <xf numFmtId="2" fontId="0" fillId="30" borderId="46" xfId="0" applyNumberFormat="1" applyFill="1" applyBorder="1" applyAlignment="1">
      <alignment horizontal="center" vertical="center" wrapText="1"/>
    </xf>
    <xf numFmtId="2" fontId="50" fillId="28" borderId="42" xfId="0" applyNumberFormat="1" applyFont="1" applyFill="1" applyBorder="1" applyAlignment="1">
      <alignment horizontal="center" vertical="center" wrapText="1"/>
    </xf>
    <xf numFmtId="2" fontId="50" fillId="30" borderId="42" xfId="0" applyNumberFormat="1" applyFont="1" applyFill="1" applyBorder="1" applyAlignment="1">
      <alignment horizontal="center" vertical="center" wrapText="1"/>
    </xf>
    <xf numFmtId="2" fontId="50" fillId="27" borderId="42" xfId="0" applyNumberFormat="1" applyFont="1" applyFill="1" applyBorder="1" applyAlignment="1">
      <alignment horizontal="center" vertical="center" wrapText="1"/>
    </xf>
    <xf numFmtId="2" fontId="0" fillId="31" borderId="46" xfId="0" applyNumberFormat="1" applyFill="1" applyBorder="1" applyAlignment="1">
      <alignment horizontal="center" vertical="center" wrapText="1"/>
    </xf>
    <xf numFmtId="2" fontId="26" fillId="31" borderId="42" xfId="0" applyNumberFormat="1" applyFont="1" applyFill="1" applyBorder="1" applyAlignment="1">
      <alignment horizontal="center" vertical="center" wrapText="1"/>
    </xf>
    <xf numFmtId="2" fontId="0" fillId="6" borderId="42" xfId="0" applyNumberFormat="1" applyFill="1" applyBorder="1" applyAlignment="1">
      <alignment horizontal="center" vertical="center" wrapText="1"/>
    </xf>
    <xf numFmtId="0" fontId="26" fillId="0" borderId="46" xfId="0" applyFont="1" applyBorder="1" applyAlignment="1">
      <alignment horizontal="center" vertical="center"/>
    </xf>
    <xf numFmtId="2" fontId="0" fillId="6" borderId="59" xfId="0" applyNumberFormat="1" applyFill="1" applyBorder="1" applyAlignment="1">
      <alignment horizontal="center" vertical="center" wrapText="1"/>
    </xf>
    <xf numFmtId="0" fontId="26" fillId="6" borderId="46" xfId="0" applyFont="1" applyFill="1" applyBorder="1" applyAlignment="1">
      <alignment vertical="center" wrapText="1"/>
    </xf>
    <xf numFmtId="2" fontId="0" fillId="6" borderId="59" xfId="0" applyNumberFormat="1" applyFill="1" applyBorder="1" applyAlignment="1">
      <alignment vertical="center" wrapText="1"/>
    </xf>
    <xf numFmtId="2" fontId="0" fillId="6" borderId="46" xfId="0" applyNumberFormat="1" applyFill="1" applyBorder="1" applyAlignment="1">
      <alignment vertical="center" wrapText="1"/>
    </xf>
    <xf numFmtId="2" fontId="26" fillId="11" borderId="46" xfId="0" applyNumberFormat="1" applyFont="1" applyFill="1" applyBorder="1" applyAlignment="1">
      <alignment horizontal="center" vertical="center" wrapText="1"/>
    </xf>
    <xf numFmtId="0" fontId="0" fillId="6" borderId="18" xfId="0" applyFill="1" applyBorder="1" applyAlignment="1">
      <alignment vertical="center" wrapText="1"/>
    </xf>
    <xf numFmtId="0" fontId="26" fillId="0" borderId="46" xfId="0" applyFont="1" applyBorder="1"/>
    <xf numFmtId="0" fontId="0" fillId="18" borderId="46" xfId="0" applyFill="1" applyBorder="1" applyAlignment="1">
      <alignment vertical="center" wrapText="1"/>
    </xf>
    <xf numFmtId="2" fontId="0" fillId="18" borderId="59" xfId="0" applyNumberFormat="1" applyFill="1" applyBorder="1" applyAlignment="1">
      <alignment horizontal="center" vertical="center" wrapText="1"/>
    </xf>
    <xf numFmtId="0" fontId="0" fillId="5" borderId="0" xfId="0" applyFill="1"/>
    <xf numFmtId="0" fontId="0" fillId="28" borderId="46" xfId="0" applyFill="1" applyBorder="1" applyAlignment="1">
      <alignment vertical="center" wrapText="1"/>
    </xf>
    <xf numFmtId="2" fontId="0" fillId="28" borderId="59" xfId="0" applyNumberFormat="1" applyFill="1" applyBorder="1" applyAlignment="1">
      <alignment horizontal="center" vertical="center" wrapText="1"/>
    </xf>
    <xf numFmtId="0" fontId="0" fillId="29" borderId="46" xfId="0" applyFill="1" applyBorder="1" applyAlignment="1">
      <alignment vertical="center" wrapText="1"/>
    </xf>
    <xf numFmtId="2" fontId="0" fillId="29" borderId="59" xfId="0" applyNumberFormat="1" applyFill="1" applyBorder="1" applyAlignment="1">
      <alignment horizontal="center" vertical="center" wrapText="1"/>
    </xf>
    <xf numFmtId="2" fontId="26" fillId="29" borderId="46" xfId="0" applyNumberFormat="1" applyFont="1" applyFill="1" applyBorder="1" applyAlignment="1">
      <alignment horizontal="center" vertical="center" wrapText="1"/>
    </xf>
    <xf numFmtId="2" fontId="26" fillId="28" borderId="46" xfId="0" applyNumberFormat="1" applyFont="1" applyFill="1" applyBorder="1" applyAlignment="1">
      <alignment horizontal="center" vertical="center" wrapText="1"/>
    </xf>
    <xf numFmtId="0" fontId="0" fillId="28" borderId="18" xfId="0" applyFill="1" applyBorder="1" applyAlignment="1">
      <alignment vertical="center" wrapText="1"/>
    </xf>
    <xf numFmtId="0" fontId="26" fillId="0" borderId="29" xfId="0" applyFont="1" applyBorder="1" applyAlignment="1">
      <alignment horizontal="center"/>
    </xf>
    <xf numFmtId="0" fontId="0" fillId="0" borderId="46" xfId="0" applyBorder="1" applyAlignment="1">
      <alignment horizontal="center"/>
    </xf>
    <xf numFmtId="0" fontId="0" fillId="6" borderId="46" xfId="0" applyFill="1" applyBorder="1" applyAlignment="1">
      <alignment horizontal="center" vertical="center" wrapText="1"/>
    </xf>
    <xf numFmtId="0" fontId="26" fillId="0" borderId="57" xfId="0" applyFont="1" applyBorder="1"/>
    <xf numFmtId="0" fontId="0" fillId="0" borderId="46" xfId="0" applyBorder="1"/>
    <xf numFmtId="2" fontId="0" fillId="6" borderId="46" xfId="0" applyNumberFormat="1" applyFill="1" applyBorder="1" applyAlignment="1">
      <alignment horizontal="center" wrapText="1"/>
    </xf>
    <xf numFmtId="0" fontId="0" fillId="0" borderId="46" xfId="0" applyBorder="1" applyAlignment="1">
      <alignment horizontal="left"/>
    </xf>
    <xf numFmtId="0" fontId="26" fillId="6" borderId="57" xfId="0" applyFont="1" applyFill="1" applyBorder="1" applyAlignment="1">
      <alignment horizontal="center" wrapText="1"/>
    </xf>
    <xf numFmtId="0" fontId="0" fillId="0" borderId="29" xfId="0" applyBorder="1" applyAlignment="1">
      <alignment horizontal="center"/>
    </xf>
    <xf numFmtId="0" fontId="26" fillId="27" borderId="35" xfId="0" applyFont="1" applyFill="1" applyBorder="1" applyAlignment="1">
      <alignment horizontal="left" vertical="center" wrapText="1"/>
    </xf>
    <xf numFmtId="0" fontId="26" fillId="27" borderId="46" xfId="0" applyFont="1" applyFill="1" applyBorder="1" applyAlignment="1">
      <alignment horizontal="center" vertical="center" wrapText="1"/>
    </xf>
    <xf numFmtId="2" fontId="26" fillId="27" borderId="46" xfId="0" applyNumberFormat="1" applyFont="1" applyFill="1" applyBorder="1" applyAlignment="1">
      <alignment horizontal="center" vertical="center" wrapText="1"/>
    </xf>
    <xf numFmtId="2" fontId="26" fillId="0" borderId="42" xfId="0" applyNumberFormat="1" applyFont="1" applyBorder="1" applyAlignment="1">
      <alignment horizontal="center" vertical="center" wrapText="1"/>
    </xf>
    <xf numFmtId="0" fontId="0" fillId="6" borderId="46" xfId="0" applyFill="1" applyBorder="1" applyAlignment="1">
      <alignment horizontal="center" wrapText="1"/>
    </xf>
    <xf numFmtId="0" fontId="8" fillId="4" borderId="97" xfId="0" applyFont="1" applyFill="1" applyBorder="1" applyAlignment="1">
      <alignment horizontal="left" vertical="top" wrapText="1"/>
    </xf>
    <xf numFmtId="0" fontId="8" fillId="4" borderId="98" xfId="0" applyFont="1" applyFill="1" applyBorder="1" applyAlignment="1">
      <alignment horizontal="left" vertical="top" wrapText="1"/>
    </xf>
    <xf numFmtId="0" fontId="8" fillId="4" borderId="98" xfId="0" applyFont="1" applyFill="1" applyBorder="1" applyAlignment="1">
      <alignment horizontal="right" vertical="top" wrapText="1"/>
    </xf>
    <xf numFmtId="0" fontId="8" fillId="4" borderId="98" xfId="0" applyFont="1" applyFill="1" applyBorder="1" applyAlignment="1">
      <alignment horizontal="left" vertical="top"/>
    </xf>
    <xf numFmtId="0" fontId="8" fillId="4" borderId="98" xfId="0" applyFont="1" applyFill="1" applyBorder="1" applyAlignment="1">
      <alignment horizontal="center" vertical="top"/>
    </xf>
    <xf numFmtId="166" fontId="8" fillId="4" borderId="98" xfId="0" applyNumberFormat="1" applyFont="1" applyFill="1" applyBorder="1" applyAlignment="1">
      <alignment horizontal="right" vertical="top"/>
    </xf>
    <xf numFmtId="4" fontId="8" fillId="4" borderId="99" xfId="0" applyNumberFormat="1" applyFont="1" applyFill="1" applyBorder="1" applyAlignment="1">
      <alignment horizontal="right" vertical="top" wrapText="1"/>
    </xf>
    <xf numFmtId="0" fontId="13" fillId="0" borderId="100" xfId="4" applyFont="1" applyBorder="1" applyAlignment="1">
      <alignment horizontal="left" vertical="top" wrapText="1"/>
    </xf>
    <xf numFmtId="0" fontId="13" fillId="0" borderId="101" xfId="4" applyFont="1" applyBorder="1" applyAlignment="1">
      <alignment horizontal="left" vertical="top" wrapText="1"/>
    </xf>
    <xf numFmtId="0" fontId="13" fillId="0" borderId="101" xfId="4" applyFont="1" applyBorder="1" applyAlignment="1">
      <alignment horizontal="right" vertical="top" wrapText="1"/>
    </xf>
    <xf numFmtId="0" fontId="13" fillId="0" borderId="101" xfId="4" applyFont="1" applyBorder="1" applyAlignment="1">
      <alignment horizontal="left" vertical="top"/>
    </xf>
    <xf numFmtId="0" fontId="13" fillId="0" borderId="101" xfId="4" applyFont="1" applyBorder="1" applyAlignment="1">
      <alignment horizontal="center" vertical="top"/>
    </xf>
    <xf numFmtId="166" fontId="13" fillId="0" borderId="101" xfId="4" applyNumberFormat="1" applyFont="1" applyBorder="1" applyAlignment="1">
      <alignment horizontal="right" vertical="top"/>
    </xf>
    <xf numFmtId="0" fontId="13" fillId="0" borderId="102" xfId="4" applyFont="1" applyBorder="1" applyAlignment="1">
      <alignment horizontal="right" vertical="top" wrapText="1"/>
    </xf>
    <xf numFmtId="0" fontId="26" fillId="0" borderId="59" xfId="0" applyFont="1" applyBorder="1" applyAlignment="1">
      <alignment horizontal="center"/>
    </xf>
    <xf numFmtId="0" fontId="26" fillId="0" borderId="59" xfId="0" applyFont="1" applyBorder="1"/>
    <xf numFmtId="0" fontId="26" fillId="0" borderId="18" xfId="0" applyFont="1" applyBorder="1"/>
    <xf numFmtId="0" fontId="26" fillId="31" borderId="35" xfId="0" applyFont="1" applyFill="1" applyBorder="1" applyAlignment="1">
      <alignment horizontal="left" vertical="center" wrapText="1"/>
    </xf>
    <xf numFmtId="0" fontId="0" fillId="27" borderId="46" xfId="0" applyFill="1" applyBorder="1"/>
    <xf numFmtId="0" fontId="0" fillId="27" borderId="46" xfId="0" applyFill="1" applyBorder="1" applyAlignment="1">
      <alignment vertical="center" wrapText="1"/>
    </xf>
    <xf numFmtId="0" fontId="0" fillId="31" borderId="46" xfId="0" applyFill="1" applyBorder="1"/>
    <xf numFmtId="0" fontId="0" fillId="31" borderId="46" xfId="0" applyFill="1" applyBorder="1" applyAlignment="1">
      <alignment vertical="center" wrapText="1"/>
    </xf>
    <xf numFmtId="0" fontId="0" fillId="11" borderId="46" xfId="0" applyFill="1" applyBorder="1"/>
    <xf numFmtId="0" fontId="26" fillId="11" borderId="46" xfId="0" applyFont="1" applyFill="1" applyBorder="1" applyAlignment="1">
      <alignment horizontal="center"/>
    </xf>
    <xf numFmtId="0" fontId="26" fillId="11" borderId="46" xfId="0" applyFont="1" applyFill="1" applyBorder="1"/>
    <xf numFmtId="2" fontId="0" fillId="11" borderId="46" xfId="0" applyNumberFormat="1" applyFill="1" applyBorder="1" applyAlignment="1">
      <alignment horizontal="center" vertical="center" wrapText="1"/>
    </xf>
    <xf numFmtId="0" fontId="26" fillId="31" borderId="46" xfId="0" applyFont="1" applyFill="1" applyBorder="1" applyAlignment="1">
      <alignment horizontal="center"/>
    </xf>
    <xf numFmtId="0" fontId="26" fillId="31" borderId="46" xfId="0" applyFont="1" applyFill="1" applyBorder="1"/>
    <xf numFmtId="0" fontId="0" fillId="30" borderId="46" xfId="0" applyFill="1" applyBorder="1"/>
    <xf numFmtId="0" fontId="26" fillId="30" borderId="46" xfId="0" applyFont="1" applyFill="1" applyBorder="1" applyAlignment="1">
      <alignment horizontal="center"/>
    </xf>
    <xf numFmtId="0" fontId="26" fillId="30" borderId="46" xfId="0" applyFont="1" applyFill="1" applyBorder="1"/>
    <xf numFmtId="2" fontId="26" fillId="32" borderId="42" xfId="0" applyNumberFormat="1" applyFont="1" applyFill="1" applyBorder="1" applyAlignment="1">
      <alignment horizontal="center" vertical="center" wrapText="1"/>
    </xf>
    <xf numFmtId="0" fontId="0" fillId="32" borderId="46" xfId="0" applyFill="1" applyBorder="1"/>
    <xf numFmtId="0" fontId="26" fillId="32" borderId="46" xfId="0" applyFont="1" applyFill="1" applyBorder="1" applyAlignment="1">
      <alignment horizontal="center"/>
    </xf>
    <xf numFmtId="0" fontId="26" fillId="32" borderId="46" xfId="0" applyFont="1" applyFill="1" applyBorder="1"/>
    <xf numFmtId="2" fontId="0" fillId="32" borderId="46" xfId="0" applyNumberFormat="1" applyFill="1" applyBorder="1" applyAlignment="1">
      <alignment horizontal="center" vertical="center" wrapText="1"/>
    </xf>
    <xf numFmtId="0" fontId="26" fillId="32" borderId="35" xfId="0" applyFont="1" applyFill="1" applyBorder="1" applyAlignment="1">
      <alignment horizontal="right" vertical="center" wrapText="1"/>
    </xf>
    <xf numFmtId="0" fontId="26" fillId="30" borderId="35" xfId="0" applyFont="1" applyFill="1" applyBorder="1" applyAlignment="1">
      <alignment horizontal="right" vertical="center" wrapText="1"/>
    </xf>
    <xf numFmtId="0" fontId="26" fillId="31" borderId="35" xfId="0" applyFont="1" applyFill="1" applyBorder="1" applyAlignment="1">
      <alignment horizontal="right" vertical="center" wrapText="1"/>
    </xf>
    <xf numFmtId="0" fontId="26" fillId="11" borderId="35" xfId="0" applyFont="1" applyFill="1" applyBorder="1" applyAlignment="1">
      <alignment horizontal="right" vertical="center" wrapText="1"/>
    </xf>
    <xf numFmtId="0" fontId="26" fillId="0" borderId="35" xfId="0" applyFont="1" applyBorder="1" applyAlignment="1">
      <alignment horizontal="right" vertical="center" wrapText="1"/>
    </xf>
    <xf numFmtId="0" fontId="26" fillId="33" borderId="35" xfId="0" applyFont="1" applyFill="1" applyBorder="1"/>
    <xf numFmtId="2" fontId="0" fillId="33" borderId="42" xfId="0" applyNumberFormat="1" applyFill="1" applyBorder="1" applyAlignment="1">
      <alignment horizontal="center" vertical="center" wrapText="1"/>
    </xf>
    <xf numFmtId="0" fontId="0" fillId="33" borderId="46" xfId="0" applyFill="1" applyBorder="1"/>
    <xf numFmtId="0" fontId="26" fillId="33" borderId="46" xfId="0" applyFont="1" applyFill="1" applyBorder="1" applyAlignment="1">
      <alignment horizontal="center"/>
    </xf>
    <xf numFmtId="0" fontId="26" fillId="33" borderId="46" xfId="0" applyFont="1" applyFill="1" applyBorder="1"/>
    <xf numFmtId="2" fontId="0" fillId="33" borderId="46" xfId="0" applyNumberFormat="1" applyFill="1" applyBorder="1" applyAlignment="1">
      <alignment horizontal="center" vertical="center" wrapText="1"/>
    </xf>
    <xf numFmtId="0" fontId="26" fillId="34" borderId="35" xfId="0" applyFont="1" applyFill="1" applyBorder="1"/>
    <xf numFmtId="2" fontId="0" fillId="34" borderId="42" xfId="0" applyNumberFormat="1" applyFill="1" applyBorder="1" applyAlignment="1">
      <alignment horizontal="center" vertical="center" wrapText="1"/>
    </xf>
    <xf numFmtId="0" fontId="0" fillId="34" borderId="46" xfId="0" applyFill="1" applyBorder="1"/>
    <xf numFmtId="0" fontId="26" fillId="34" borderId="46" xfId="0" applyFont="1" applyFill="1" applyBorder="1" applyAlignment="1">
      <alignment horizontal="center"/>
    </xf>
    <xf numFmtId="0" fontId="26" fillId="34" borderId="46" xfId="0" applyFont="1" applyFill="1" applyBorder="1"/>
    <xf numFmtId="2" fontId="0" fillId="34" borderId="46" xfId="0" applyNumberFormat="1" applyFill="1" applyBorder="1" applyAlignment="1">
      <alignment horizontal="center" vertical="center" wrapText="1"/>
    </xf>
    <xf numFmtId="0" fontId="26" fillId="0" borderId="35" xfId="0" applyFont="1" applyBorder="1"/>
    <xf numFmtId="2" fontId="0" fillId="0" borderId="42" xfId="0" applyNumberFormat="1" applyBorder="1" applyAlignment="1">
      <alignment horizontal="center" vertical="center" wrapText="1"/>
    </xf>
    <xf numFmtId="0" fontId="0" fillId="35" borderId="46" xfId="0" applyFill="1" applyBorder="1"/>
    <xf numFmtId="0" fontId="26" fillId="35" borderId="46" xfId="0" applyFont="1" applyFill="1" applyBorder="1" applyAlignment="1">
      <alignment horizontal="center"/>
    </xf>
    <xf numFmtId="0" fontId="26" fillId="35" borderId="46" xfId="0" applyFont="1" applyFill="1" applyBorder="1"/>
    <xf numFmtId="2" fontId="0" fillId="35" borderId="46" xfId="0" applyNumberFormat="1" applyFill="1" applyBorder="1" applyAlignment="1">
      <alignment horizontal="center" vertical="center" wrapText="1"/>
    </xf>
    <xf numFmtId="0" fontId="26" fillId="35" borderId="35" xfId="0" applyFont="1" applyFill="1" applyBorder="1"/>
    <xf numFmtId="2" fontId="0" fillId="35" borderId="42" xfId="0" applyNumberFormat="1" applyFill="1" applyBorder="1" applyAlignment="1">
      <alignment horizontal="center" vertical="center" wrapText="1"/>
    </xf>
    <xf numFmtId="0" fontId="0" fillId="5" borderId="46" xfId="0" applyFill="1" applyBorder="1"/>
    <xf numFmtId="0" fontId="0" fillId="5" borderId="46" xfId="0" applyFill="1" applyBorder="1" applyAlignment="1">
      <alignment horizontal="right"/>
    </xf>
    <xf numFmtId="0" fontId="0" fillId="11" borderId="46" xfId="0" applyFill="1" applyBorder="1" applyAlignment="1">
      <alignment horizontal="right"/>
    </xf>
    <xf numFmtId="0" fontId="0" fillId="11" borderId="0" xfId="0" applyFill="1"/>
    <xf numFmtId="0" fontId="0" fillId="0" borderId="57" xfId="0" applyBorder="1" applyAlignment="1">
      <alignment horizontal="center" vertical="center"/>
    </xf>
    <xf numFmtId="0" fontId="0" fillId="29" borderId="46" xfId="0" applyFill="1" applyBorder="1" applyAlignment="1">
      <alignment horizontal="center"/>
    </xf>
    <xf numFmtId="0" fontId="0" fillId="29" borderId="57" xfId="0" applyFill="1" applyBorder="1" applyAlignment="1">
      <alignment horizontal="center" vertical="center"/>
    </xf>
    <xf numFmtId="0" fontId="0" fillId="30" borderId="57" xfId="0" applyFill="1" applyBorder="1" applyAlignment="1">
      <alignment horizontal="center" vertical="center"/>
    </xf>
    <xf numFmtId="0" fontId="0" fillId="30" borderId="46" xfId="0" applyFill="1" applyBorder="1" applyAlignment="1">
      <alignment horizontal="center"/>
    </xf>
    <xf numFmtId="0" fontId="0" fillId="0" borderId="57" xfId="0" applyBorder="1" applyAlignment="1">
      <alignment horizontal="center"/>
    </xf>
    <xf numFmtId="0" fontId="0" fillId="6" borderId="29" xfId="0" applyFill="1" applyBorder="1" applyAlignment="1">
      <alignment horizontal="center" vertical="center" wrapText="1"/>
    </xf>
    <xf numFmtId="0" fontId="0" fillId="6" borderId="29" xfId="0" applyFill="1" applyBorder="1" applyAlignment="1">
      <alignment horizontal="left" vertical="center" wrapText="1"/>
    </xf>
    <xf numFmtId="0" fontId="0" fillId="6" borderId="57" xfId="0" applyFill="1" applyBorder="1" applyAlignment="1">
      <alignment horizontal="left" vertical="center" wrapText="1"/>
    </xf>
    <xf numFmtId="0" fontId="0" fillId="6" borderId="24" xfId="0" applyFill="1" applyBorder="1" applyAlignment="1">
      <alignment horizontal="left" vertical="center"/>
    </xf>
    <xf numFmtId="0" fontId="0" fillId="6" borderId="56" xfId="0" applyFill="1" applyBorder="1" applyAlignment="1">
      <alignment horizontal="left" vertical="center"/>
    </xf>
    <xf numFmtId="1" fontId="0" fillId="6" borderId="46" xfId="0" applyNumberFormat="1" applyFill="1" applyBorder="1" applyAlignment="1">
      <alignment horizontal="center" vertical="center" wrapText="1"/>
    </xf>
    <xf numFmtId="1" fontId="26" fillId="11" borderId="42" xfId="0" applyNumberFormat="1" applyFont="1" applyFill="1" applyBorder="1" applyAlignment="1">
      <alignment horizontal="center" vertical="center" wrapText="1"/>
    </xf>
    <xf numFmtId="1" fontId="26" fillId="0" borderId="46" xfId="0" applyNumberFormat="1" applyFont="1" applyBorder="1" applyAlignment="1">
      <alignment horizontal="center" vertical="center" wrapText="1"/>
    </xf>
    <xf numFmtId="1" fontId="0" fillId="0" borderId="46" xfId="0" applyNumberFormat="1" applyBorder="1" applyAlignment="1">
      <alignment horizontal="center" vertical="center" wrapText="1"/>
    </xf>
    <xf numFmtId="1" fontId="26" fillId="0" borderId="42" xfId="0" applyNumberFormat="1" applyFont="1" applyBorder="1" applyAlignment="1">
      <alignment horizontal="center" vertical="center" wrapText="1"/>
    </xf>
    <xf numFmtId="0" fontId="2" fillId="5" borderId="103" xfId="0" applyFont="1" applyFill="1" applyBorder="1" applyAlignment="1">
      <alignment horizontal="right" vertical="top" wrapText="1"/>
    </xf>
    <xf numFmtId="0" fontId="2" fillId="5" borderId="103" xfId="0" applyFont="1" applyFill="1" applyBorder="1" applyAlignment="1">
      <alignment vertical="top" wrapText="1"/>
    </xf>
    <xf numFmtId="0" fontId="3" fillId="2" borderId="103" xfId="0" applyFont="1" applyFill="1" applyBorder="1" applyAlignment="1">
      <alignment horizontal="left" vertical="top" wrapText="1"/>
    </xf>
    <xf numFmtId="0" fontId="3" fillId="2" borderId="103" xfId="0" applyFont="1" applyFill="1" applyBorder="1" applyAlignment="1">
      <alignment vertical="top" wrapText="1"/>
    </xf>
    <xf numFmtId="0" fontId="3" fillId="2" borderId="103" xfId="0" applyFont="1" applyFill="1" applyBorder="1" applyAlignment="1">
      <alignment horizontal="center" vertical="top" wrapText="1"/>
    </xf>
    <xf numFmtId="0" fontId="3" fillId="2" borderId="103" xfId="0" applyFont="1" applyFill="1" applyBorder="1" applyAlignment="1">
      <alignment horizontal="right" vertical="top" wrapText="1"/>
    </xf>
    <xf numFmtId="164" fontId="3" fillId="2" borderId="103" xfId="0" applyNumberFormat="1" applyFont="1" applyFill="1" applyBorder="1" applyAlignment="1">
      <alignment horizontal="right" vertical="top" wrapText="1"/>
    </xf>
    <xf numFmtId="0" fontId="8" fillId="4" borderId="103" xfId="0" applyFont="1" applyFill="1" applyBorder="1" applyAlignment="1">
      <alignment horizontal="left" vertical="top" wrapText="1"/>
    </xf>
    <xf numFmtId="0" fontId="8" fillId="4" borderId="103" xfId="0" applyFont="1" applyFill="1" applyBorder="1" applyAlignment="1">
      <alignment horizontal="right" vertical="top" wrapText="1"/>
    </xf>
    <xf numFmtId="0" fontId="8" fillId="4" borderId="103" xfId="0" applyFont="1" applyFill="1" applyBorder="1" applyAlignment="1">
      <alignment vertical="top" wrapText="1"/>
    </xf>
    <xf numFmtId="167" fontId="8" fillId="4" borderId="103" xfId="0" applyNumberFormat="1" applyFont="1" applyFill="1" applyBorder="1" applyAlignment="1">
      <alignment horizontal="left" vertical="top" wrapText="1"/>
    </xf>
    <xf numFmtId="164" fontId="8" fillId="4" borderId="103" xfId="0" applyNumberFormat="1" applyFont="1" applyFill="1" applyBorder="1" applyAlignment="1">
      <alignment horizontal="left" vertical="top" wrapText="1"/>
    </xf>
    <xf numFmtId="164" fontId="8" fillId="4" borderId="103" xfId="0" applyNumberFormat="1" applyFont="1" applyFill="1" applyBorder="1" applyAlignment="1">
      <alignment horizontal="right" vertical="top" wrapText="1"/>
    </xf>
    <xf numFmtId="2" fontId="9" fillId="5" borderId="103" xfId="0" applyNumberFormat="1" applyFont="1" applyFill="1" applyBorder="1" applyAlignment="1">
      <alignment horizontal="left" vertical="top" wrapText="1"/>
    </xf>
    <xf numFmtId="4" fontId="9" fillId="5" borderId="103" xfId="0" applyNumberFormat="1" applyFont="1" applyFill="1" applyBorder="1" applyAlignment="1">
      <alignment horizontal="left" vertical="top" wrapText="1"/>
    </xf>
    <xf numFmtId="167" fontId="9" fillId="5" borderId="103" xfId="0" applyNumberFormat="1" applyFont="1" applyFill="1" applyBorder="1" applyAlignment="1">
      <alignment horizontal="right" vertical="top" wrapText="1"/>
    </xf>
    <xf numFmtId="164" fontId="9" fillId="5" borderId="103" xfId="0" applyNumberFormat="1" applyFont="1" applyFill="1" applyBorder="1" applyAlignment="1">
      <alignment horizontal="right" vertical="top" wrapText="1"/>
    </xf>
    <xf numFmtId="0" fontId="34" fillId="5" borderId="103" xfId="0" applyFont="1" applyFill="1" applyBorder="1" applyAlignment="1">
      <alignment horizontal="right" vertical="top" wrapText="1"/>
    </xf>
    <xf numFmtId="167" fontId="33" fillId="5" borderId="103" xfId="3" applyNumberFormat="1" applyFont="1" applyFill="1" applyBorder="1" applyAlignment="1">
      <alignment horizontal="right" vertical="top" wrapText="1"/>
    </xf>
    <xf numFmtId="164" fontId="33" fillId="5" borderId="103" xfId="0" applyNumberFormat="1" applyFont="1" applyFill="1" applyBorder="1" applyAlignment="1">
      <alignment horizontal="right" vertical="top" wrapText="1"/>
    </xf>
    <xf numFmtId="0" fontId="8" fillId="7" borderId="103" xfId="0" applyFont="1" applyFill="1" applyBorder="1" applyAlignment="1">
      <alignment horizontal="right" vertical="top" wrapText="1"/>
    </xf>
    <xf numFmtId="0" fontId="8" fillId="7" borderId="103" xfId="0" applyFont="1" applyFill="1" applyBorder="1" applyAlignment="1">
      <alignment vertical="top" wrapText="1"/>
    </xf>
    <xf numFmtId="0" fontId="8" fillId="7" borderId="103" xfId="0" applyFont="1" applyFill="1" applyBorder="1" applyAlignment="1">
      <alignment horizontal="left" vertical="top" wrapText="1"/>
    </xf>
    <xf numFmtId="167" fontId="8" fillId="7" borderId="103" xfId="0" applyNumberFormat="1" applyFont="1" applyFill="1" applyBorder="1" applyAlignment="1">
      <alignment horizontal="left" vertical="top" wrapText="1"/>
    </xf>
    <xf numFmtId="164" fontId="8" fillId="7" borderId="103" xfId="0" applyNumberFormat="1" applyFont="1" applyFill="1" applyBorder="1" applyAlignment="1">
      <alignment horizontal="left" vertical="top" wrapText="1"/>
    </xf>
    <xf numFmtId="164" fontId="8" fillId="7" borderId="103" xfId="0" applyNumberFormat="1" applyFont="1" applyFill="1" applyBorder="1" applyAlignment="1">
      <alignment horizontal="right" vertical="top" wrapText="1"/>
    </xf>
    <xf numFmtId="0" fontId="8" fillId="8" borderId="103" xfId="0" applyFont="1" applyFill="1" applyBorder="1" applyAlignment="1">
      <alignment horizontal="right" vertical="top" wrapText="1"/>
    </xf>
    <xf numFmtId="0" fontId="8" fillId="8" borderId="103" xfId="0" applyFont="1" applyFill="1" applyBorder="1" applyAlignment="1">
      <alignment vertical="top" wrapText="1"/>
    </xf>
    <xf numFmtId="0" fontId="8" fillId="8" borderId="103" xfId="0" applyFont="1" applyFill="1" applyBorder="1" applyAlignment="1">
      <alignment horizontal="left" vertical="top" wrapText="1"/>
    </xf>
    <xf numFmtId="167" fontId="8" fillId="8" borderId="103" xfId="0" applyNumberFormat="1" applyFont="1" applyFill="1" applyBorder="1" applyAlignment="1">
      <alignment horizontal="left" vertical="top" wrapText="1"/>
    </xf>
    <xf numFmtId="164" fontId="8" fillId="8" borderId="103" xfId="0" applyNumberFormat="1" applyFont="1" applyFill="1" applyBorder="1" applyAlignment="1">
      <alignment horizontal="left" vertical="top" wrapText="1"/>
    </xf>
    <xf numFmtId="164" fontId="8" fillId="8" borderId="103" xfId="0" applyNumberFormat="1" applyFont="1" applyFill="1" applyBorder="1" applyAlignment="1">
      <alignment horizontal="right" vertical="top" wrapText="1"/>
    </xf>
    <xf numFmtId="0" fontId="1" fillId="2" borderId="110" xfId="0" applyFont="1" applyFill="1" applyBorder="1" applyAlignment="1">
      <alignment horizontal="right" vertical="top" wrapText="1"/>
    </xf>
    <xf numFmtId="0" fontId="1" fillId="2" borderId="110" xfId="0" applyFont="1" applyFill="1" applyBorder="1" applyAlignment="1">
      <alignment vertical="top" wrapText="1"/>
    </xf>
    <xf numFmtId="0" fontId="1" fillId="2" borderId="110" xfId="0" applyFont="1" applyFill="1" applyBorder="1" applyAlignment="1">
      <alignment horizontal="left" vertical="top" wrapText="1"/>
    </xf>
    <xf numFmtId="0" fontId="5" fillId="2" borderId="110" xfId="0" applyFont="1" applyFill="1" applyBorder="1" applyAlignment="1">
      <alignment vertical="top" wrapText="1"/>
    </xf>
    <xf numFmtId="0" fontId="5" fillId="2" borderId="110" xfId="0" applyFont="1" applyFill="1" applyBorder="1" applyAlignment="1">
      <alignment horizontal="left" vertical="top" wrapText="1"/>
    </xf>
    <xf numFmtId="10" fontId="1" fillId="2" borderId="110" xfId="0" applyNumberFormat="1" applyFont="1" applyFill="1" applyBorder="1" applyAlignment="1">
      <alignment horizontal="left" vertical="top" wrapText="1"/>
    </xf>
    <xf numFmtId="10" fontId="1" fillId="2" borderId="110" xfId="0" applyNumberFormat="1" applyFont="1" applyFill="1" applyBorder="1" applyAlignment="1">
      <alignment vertical="top" wrapText="1"/>
    </xf>
    <xf numFmtId="0" fontId="45" fillId="6" borderId="0" xfId="0" applyFont="1" applyFill="1" applyAlignment="1">
      <alignment horizontal="left" vertical="top" wrapText="1"/>
    </xf>
    <xf numFmtId="10" fontId="1" fillId="2" borderId="0" xfId="0" applyNumberFormat="1" applyFont="1" applyFill="1" applyAlignment="1">
      <alignment horizontal="right" vertical="top" wrapText="1"/>
    </xf>
    <xf numFmtId="164" fontId="0" fillId="6" borderId="0" xfId="0" applyNumberFormat="1" applyFill="1"/>
    <xf numFmtId="10" fontId="33" fillId="5" borderId="103" xfId="3" applyNumberFormat="1" applyFont="1" applyFill="1" applyBorder="1" applyAlignment="1">
      <alignment horizontal="right" vertical="top" wrapText="1"/>
    </xf>
    <xf numFmtId="0" fontId="2" fillId="2" borderId="110" xfId="0" applyFont="1" applyFill="1" applyBorder="1" applyAlignment="1">
      <alignment horizontal="left" vertical="top" wrapText="1"/>
    </xf>
    <xf numFmtId="10" fontId="9" fillId="4" borderId="65" xfId="3" applyNumberFormat="1" applyFont="1" applyFill="1" applyBorder="1" applyAlignment="1">
      <alignment wrapText="1"/>
    </xf>
    <xf numFmtId="10" fontId="9" fillId="4" borderId="17" xfId="3" applyNumberFormat="1" applyFont="1" applyFill="1" applyBorder="1" applyAlignment="1">
      <alignment wrapText="1"/>
    </xf>
    <xf numFmtId="10" fontId="4" fillId="5" borderId="66" xfId="3" applyNumberFormat="1" applyFont="1" applyFill="1" applyBorder="1" applyAlignment="1">
      <alignment vertical="top" wrapText="1"/>
    </xf>
    <xf numFmtId="10" fontId="4" fillId="5" borderId="112" xfId="3" applyNumberFormat="1" applyFont="1" applyFill="1" applyBorder="1" applyAlignment="1">
      <alignment vertical="top" wrapText="1"/>
    </xf>
    <xf numFmtId="4" fontId="33" fillId="5" borderId="64" xfId="0" applyNumberFormat="1" applyFont="1" applyFill="1" applyBorder="1" applyAlignment="1">
      <alignment vertical="top" wrapText="1"/>
    </xf>
    <xf numFmtId="10" fontId="9" fillId="4" borderId="63" xfId="3" applyNumberFormat="1" applyFont="1" applyFill="1" applyBorder="1" applyAlignment="1">
      <alignment wrapText="1"/>
    </xf>
    <xf numFmtId="10" fontId="4" fillId="19" borderId="66" xfId="3" applyNumberFormat="1" applyFont="1" applyFill="1" applyBorder="1" applyAlignment="1">
      <alignment vertical="top" wrapText="1"/>
    </xf>
    <xf numFmtId="4" fontId="4" fillId="20" borderId="66" xfId="0" applyNumberFormat="1" applyFont="1" applyFill="1" applyBorder="1" applyAlignment="1">
      <alignment vertical="top" wrapText="1"/>
    </xf>
    <xf numFmtId="0" fontId="3" fillId="11" borderId="36" xfId="0" applyFont="1" applyFill="1" applyBorder="1" applyAlignment="1">
      <alignment vertical="center" wrapText="1"/>
    </xf>
    <xf numFmtId="0" fontId="0" fillId="0" borderId="18" xfId="0" applyBorder="1"/>
    <xf numFmtId="0" fontId="0" fillId="0" borderId="19" xfId="0" applyBorder="1"/>
    <xf numFmtId="0" fontId="0" fillId="0" borderId="20" xfId="0" applyBorder="1"/>
    <xf numFmtId="0" fontId="0" fillId="0" borderId="24" xfId="0" applyBorder="1"/>
    <xf numFmtId="0" fontId="0" fillId="0" borderId="56" xfId="0" applyBorder="1"/>
    <xf numFmtId="164" fontId="3" fillId="2" borderId="2" xfId="0" applyNumberFormat="1" applyFont="1" applyFill="1" applyBorder="1" applyAlignment="1">
      <alignment vertical="top" wrapText="1"/>
    </xf>
    <xf numFmtId="49" fontId="4" fillId="2" borderId="121" xfId="0" applyNumberFormat="1" applyFont="1" applyFill="1" applyBorder="1" applyAlignment="1">
      <alignment horizontal="left" vertical="top" wrapText="1"/>
    </xf>
    <xf numFmtId="0" fontId="1" fillId="2" borderId="122" xfId="0" applyFont="1" applyFill="1" applyBorder="1" applyAlignment="1">
      <alignment horizontal="center" vertical="top" wrapText="1"/>
    </xf>
    <xf numFmtId="49" fontId="3" fillId="2" borderId="123" xfId="0" applyNumberFormat="1" applyFont="1" applyFill="1" applyBorder="1" applyAlignment="1">
      <alignment horizontal="left" vertical="top" wrapText="1"/>
    </xf>
    <xf numFmtId="0" fontId="3" fillId="2" borderId="124" xfId="0" applyFont="1" applyFill="1" applyBorder="1" applyAlignment="1">
      <alignment horizontal="right" vertical="top" wrapText="1"/>
    </xf>
    <xf numFmtId="0" fontId="8" fillId="4" borderId="123" xfId="0" applyFont="1" applyFill="1" applyBorder="1" applyAlignment="1">
      <alignment horizontal="left" vertical="top" wrapText="1"/>
    </xf>
    <xf numFmtId="165" fontId="8" fillId="4" borderId="124" xfId="0" applyNumberFormat="1" applyFont="1" applyFill="1" applyBorder="1" applyAlignment="1">
      <alignment horizontal="right" vertical="top" wrapText="1"/>
    </xf>
    <xf numFmtId="0" fontId="2" fillId="5" borderId="123" xfId="0" applyFont="1" applyFill="1" applyBorder="1" applyAlignment="1">
      <alignment vertical="top" wrapText="1"/>
    </xf>
    <xf numFmtId="165" fontId="9" fillId="5" borderId="124" xfId="0" applyNumberFormat="1" applyFont="1" applyFill="1" applyBorder="1" applyAlignment="1">
      <alignment horizontal="right" vertical="top" wrapText="1"/>
    </xf>
    <xf numFmtId="49" fontId="9" fillId="5" borderId="123" xfId="0" applyNumberFormat="1" applyFont="1" applyFill="1" applyBorder="1" applyAlignment="1">
      <alignment horizontal="left" vertical="top" wrapText="1"/>
    </xf>
    <xf numFmtId="49" fontId="8" fillId="7" borderId="123" xfId="0" applyNumberFormat="1" applyFont="1" applyFill="1" applyBorder="1" applyAlignment="1">
      <alignment horizontal="left" vertical="top" wrapText="1"/>
    </xf>
    <xf numFmtId="165" fontId="8" fillId="7" borderId="124" xfId="0" applyNumberFormat="1" applyFont="1" applyFill="1" applyBorder="1" applyAlignment="1">
      <alignment horizontal="right" vertical="top" wrapText="1"/>
    </xf>
    <xf numFmtId="49" fontId="8" fillId="8" borderId="123" xfId="0" applyNumberFormat="1" applyFont="1" applyFill="1" applyBorder="1" applyAlignment="1">
      <alignment horizontal="left" vertical="top" wrapText="1"/>
    </xf>
    <xf numFmtId="165" fontId="8" fillId="8" borderId="124" xfId="0" applyNumberFormat="1" applyFont="1" applyFill="1" applyBorder="1" applyAlignment="1">
      <alignment horizontal="right" vertical="top" wrapText="1"/>
    </xf>
    <xf numFmtId="49" fontId="33" fillId="5" borderId="123" xfId="0" applyNumberFormat="1" applyFont="1" applyFill="1" applyBorder="1" applyAlignment="1">
      <alignment horizontal="left" vertical="top" wrapText="1"/>
    </xf>
    <xf numFmtId="49" fontId="9" fillId="5" borderId="125" xfId="0" applyNumberFormat="1" applyFont="1" applyFill="1" applyBorder="1" applyAlignment="1">
      <alignment horizontal="left" vertical="top" wrapText="1"/>
    </xf>
    <xf numFmtId="0" fontId="2" fillId="5" borderId="126" xfId="0" applyFont="1" applyFill="1" applyBorder="1" applyAlignment="1">
      <alignment horizontal="right" vertical="top" wrapText="1"/>
    </xf>
    <xf numFmtId="0" fontId="2" fillId="5" borderId="126" xfId="0" applyFont="1" applyFill="1" applyBorder="1" applyAlignment="1">
      <alignment vertical="top" wrapText="1"/>
    </xf>
    <xf numFmtId="2" fontId="9" fillId="5" borderId="126" xfId="0" applyNumberFormat="1" applyFont="1" applyFill="1" applyBorder="1" applyAlignment="1">
      <alignment horizontal="left" vertical="top" wrapText="1"/>
    </xf>
    <xf numFmtId="4" fontId="9" fillId="5" borderId="126" xfId="0" applyNumberFormat="1" applyFont="1" applyFill="1" applyBorder="1" applyAlignment="1">
      <alignment horizontal="left" vertical="top" wrapText="1"/>
    </xf>
    <xf numFmtId="167" fontId="9" fillId="5" borderId="126" xfId="0" applyNumberFormat="1" applyFont="1" applyFill="1" applyBorder="1" applyAlignment="1">
      <alignment horizontal="right" vertical="top" wrapText="1"/>
    </xf>
    <xf numFmtId="164" fontId="9" fillId="5" borderId="126" xfId="0" applyNumberFormat="1" applyFont="1" applyFill="1" applyBorder="1" applyAlignment="1">
      <alignment horizontal="right" vertical="top" wrapText="1"/>
    </xf>
    <xf numFmtId="165" fontId="9" fillId="5" borderId="127" xfId="0" applyNumberFormat="1" applyFont="1" applyFill="1" applyBorder="1" applyAlignment="1">
      <alignment horizontal="right" vertical="top" wrapText="1"/>
    </xf>
    <xf numFmtId="0" fontId="13" fillId="6" borderId="0" xfId="4" applyFont="1" applyFill="1" applyAlignment="1">
      <alignment horizontal="left" vertical="top"/>
    </xf>
    <xf numFmtId="4" fontId="12" fillId="6" borderId="0" xfId="4" applyNumberFormat="1" applyFont="1" applyFill="1" applyAlignment="1">
      <alignment horizontal="left" vertical="top"/>
    </xf>
    <xf numFmtId="4" fontId="12" fillId="6" borderId="0" xfId="4" applyNumberFormat="1" applyFont="1" applyFill="1" applyAlignment="1">
      <alignment horizontal="left" vertical="top" wrapText="1"/>
    </xf>
    <xf numFmtId="0" fontId="14" fillId="6" borderId="0" xfId="4" applyFont="1" applyFill="1" applyAlignment="1">
      <alignment vertical="top"/>
    </xf>
    <xf numFmtId="0" fontId="12" fillId="6" borderId="0" xfId="4" applyFont="1" applyFill="1"/>
    <xf numFmtId="0" fontId="11" fillId="6" borderId="0" xfId="4" applyFill="1"/>
    <xf numFmtId="0" fontId="11" fillId="6" borderId="0" xfId="5" applyFill="1"/>
    <xf numFmtId="0" fontId="11" fillId="6" borderId="0" xfId="5" applyFill="1" applyAlignment="1">
      <alignment horizontal="left" vertical="top" wrapText="1"/>
    </xf>
    <xf numFmtId="0" fontId="11" fillId="6" borderId="0" xfId="5" applyFill="1" applyAlignment="1">
      <alignment horizontal="right" vertical="top" wrapText="1"/>
    </xf>
    <xf numFmtId="0" fontId="11" fillId="6" borderId="0" xfId="5" applyFill="1" applyAlignment="1">
      <alignment horizontal="left" vertical="top"/>
    </xf>
    <xf numFmtId="0" fontId="11" fillId="6" borderId="0" xfId="5" applyFill="1" applyAlignment="1">
      <alignment horizontal="center" vertical="top"/>
    </xf>
    <xf numFmtId="166" fontId="11" fillId="6" borderId="0" xfId="5" applyNumberFormat="1" applyFill="1" applyAlignment="1">
      <alignment horizontal="right" vertical="top"/>
    </xf>
    <xf numFmtId="0" fontId="0" fillId="0" borderId="4" xfId="0" applyBorder="1"/>
    <xf numFmtId="0" fontId="0" fillId="0" borderId="5" xfId="0" applyBorder="1"/>
    <xf numFmtId="0" fontId="9" fillId="10" borderId="131" xfId="0" applyFont="1" applyFill="1" applyBorder="1" applyAlignment="1">
      <alignment horizontal="right" vertical="top" wrapText="1"/>
    </xf>
    <xf numFmtId="4" fontId="75" fillId="11" borderId="36" xfId="0" applyNumberFormat="1" applyFont="1" applyFill="1" applyBorder="1" applyAlignment="1">
      <alignment horizontal="right" vertical="top" wrapText="1"/>
    </xf>
    <xf numFmtId="4" fontId="75" fillId="11" borderId="129" xfId="0" applyNumberFormat="1" applyFont="1" applyFill="1" applyBorder="1" applyAlignment="1">
      <alignment horizontal="right" vertical="top" wrapText="1"/>
    </xf>
    <xf numFmtId="0" fontId="75" fillId="11" borderId="7" xfId="0" applyFont="1" applyFill="1" applyBorder="1" applyAlignment="1">
      <alignment horizontal="left" vertical="top" wrapText="1"/>
    </xf>
    <xf numFmtId="4" fontId="76" fillId="11" borderId="7" xfId="0" applyNumberFormat="1" applyFont="1" applyFill="1" applyBorder="1" applyAlignment="1">
      <alignment horizontal="left" vertical="top" wrapText="1"/>
    </xf>
    <xf numFmtId="4" fontId="75" fillId="11" borderId="36" xfId="0" applyNumberFormat="1" applyFont="1" applyFill="1" applyBorder="1" applyAlignment="1">
      <alignment horizontal="left" vertical="top" wrapText="1"/>
    </xf>
    <xf numFmtId="0" fontId="75" fillId="11" borderId="129" xfId="0" applyFont="1" applyFill="1" applyBorder="1" applyAlignment="1">
      <alignment horizontal="left" vertical="top" wrapText="1"/>
    </xf>
    <xf numFmtId="4" fontId="76" fillId="11" borderId="129" xfId="0" applyNumberFormat="1" applyFont="1" applyFill="1" applyBorder="1" applyAlignment="1">
      <alignment horizontal="left" vertical="top" wrapText="1"/>
    </xf>
    <xf numFmtId="0" fontId="75" fillId="11" borderId="8" xfId="0" applyFont="1" applyFill="1" applyBorder="1" applyAlignment="1">
      <alignment horizontal="left" vertical="top" wrapText="1"/>
    </xf>
    <xf numFmtId="4" fontId="75" fillId="11" borderId="7" xfId="0" applyNumberFormat="1" applyFont="1" applyFill="1" applyBorder="1" applyAlignment="1">
      <alignment horizontal="left" vertical="top" wrapText="1"/>
    </xf>
    <xf numFmtId="4" fontId="76" fillId="11" borderId="7" xfId="0" applyNumberFormat="1" applyFont="1" applyFill="1" applyBorder="1" applyAlignment="1">
      <alignment horizontal="center" vertical="top" wrapText="1"/>
    </xf>
    <xf numFmtId="164" fontId="76" fillId="11" borderId="7" xfId="0" applyNumberFormat="1" applyFont="1" applyFill="1" applyBorder="1" applyAlignment="1">
      <alignment horizontal="right" vertical="top" wrapText="1"/>
    </xf>
    <xf numFmtId="4" fontId="76" fillId="11" borderId="7" xfId="0" applyNumberFormat="1" applyFont="1" applyFill="1" applyBorder="1" applyAlignment="1">
      <alignment horizontal="right" vertical="top" wrapText="1"/>
    </xf>
    <xf numFmtId="4" fontId="75" fillId="11" borderId="9" xfId="0" applyNumberFormat="1" applyFont="1" applyFill="1" applyBorder="1" applyAlignment="1">
      <alignment horizontal="right" vertical="top" wrapText="1"/>
    </xf>
    <xf numFmtId="0" fontId="75" fillId="11" borderId="128" xfId="0" applyFont="1" applyFill="1" applyBorder="1" applyAlignment="1">
      <alignment horizontal="left" vertical="top" wrapText="1"/>
    </xf>
    <xf numFmtId="4" fontId="75" fillId="11" borderId="129" xfId="0" applyNumberFormat="1" applyFont="1" applyFill="1" applyBorder="1" applyAlignment="1">
      <alignment horizontal="left" vertical="top" wrapText="1"/>
    </xf>
    <xf numFmtId="4" fontId="76" fillId="11" borderId="129" xfId="0" applyNumberFormat="1" applyFont="1" applyFill="1" applyBorder="1" applyAlignment="1">
      <alignment horizontal="center" vertical="top" wrapText="1"/>
    </xf>
    <xf numFmtId="164" fontId="76" fillId="11" borderId="129" xfId="0" applyNumberFormat="1" applyFont="1" applyFill="1" applyBorder="1" applyAlignment="1">
      <alignment horizontal="right" vertical="top" wrapText="1"/>
    </xf>
    <xf numFmtId="4" fontId="76" fillId="11" borderId="129" xfId="0" applyNumberFormat="1" applyFont="1" applyFill="1" applyBorder="1" applyAlignment="1">
      <alignment vertical="top" wrapText="1"/>
    </xf>
    <xf numFmtId="4" fontId="75" fillId="11" borderId="130" xfId="0" applyNumberFormat="1" applyFont="1" applyFill="1" applyBorder="1" applyAlignment="1">
      <alignment horizontal="right" vertical="top" wrapText="1"/>
    </xf>
    <xf numFmtId="4" fontId="76" fillId="11" borderId="7" xfId="0" applyNumberFormat="1" applyFont="1" applyFill="1" applyBorder="1" applyAlignment="1">
      <alignment vertical="top" wrapText="1"/>
    </xf>
    <xf numFmtId="0" fontId="75" fillId="11" borderId="38" xfId="0" applyFont="1" applyFill="1" applyBorder="1" applyAlignment="1">
      <alignment horizontal="left" vertical="top" wrapText="1"/>
    </xf>
    <xf numFmtId="49" fontId="33" fillId="29" borderId="123" xfId="0" applyNumberFormat="1" applyFont="1" applyFill="1" applyBorder="1" applyAlignment="1">
      <alignment horizontal="left" vertical="top" wrapText="1"/>
    </xf>
    <xf numFmtId="0" fontId="34" fillId="29" borderId="103" xfId="0" applyFont="1" applyFill="1" applyBorder="1" applyAlignment="1">
      <alignment horizontal="right" vertical="top" wrapText="1"/>
    </xf>
    <xf numFmtId="0" fontId="2" fillId="29" borderId="103" xfId="0" applyFont="1" applyFill="1" applyBorder="1" applyAlignment="1">
      <alignment vertical="top" wrapText="1"/>
    </xf>
    <xf numFmtId="2" fontId="9" fillId="29" borderId="103" xfId="0" applyNumberFormat="1" applyFont="1" applyFill="1" applyBorder="1" applyAlignment="1">
      <alignment horizontal="left" vertical="top" wrapText="1"/>
    </xf>
    <xf numFmtId="4" fontId="9" fillId="29" borderId="103" xfId="0" applyNumberFormat="1" applyFont="1" applyFill="1" applyBorder="1" applyAlignment="1">
      <alignment horizontal="left" vertical="top" wrapText="1"/>
    </xf>
    <xf numFmtId="167" fontId="9" fillId="29" borderId="103" xfId="0" applyNumberFormat="1" applyFont="1" applyFill="1" applyBorder="1" applyAlignment="1">
      <alignment horizontal="right" vertical="top" wrapText="1"/>
    </xf>
    <xf numFmtId="164" fontId="9" fillId="29" borderId="103" xfId="0" applyNumberFormat="1" applyFont="1" applyFill="1" applyBorder="1" applyAlignment="1">
      <alignment horizontal="right" vertical="top" wrapText="1"/>
    </xf>
    <xf numFmtId="164" fontId="33" fillId="29" borderId="103" xfId="0" applyNumberFormat="1" applyFont="1" applyFill="1" applyBorder="1" applyAlignment="1">
      <alignment horizontal="right" vertical="top" wrapText="1"/>
    </xf>
    <xf numFmtId="165" fontId="9" fillId="29" borderId="124" xfId="0" applyNumberFormat="1" applyFont="1" applyFill="1" applyBorder="1" applyAlignment="1">
      <alignment horizontal="right" vertical="top" wrapText="1"/>
    </xf>
    <xf numFmtId="0" fontId="2" fillId="29" borderId="123" xfId="0" applyFont="1" applyFill="1" applyBorder="1" applyAlignment="1">
      <alignment vertical="top" wrapText="1"/>
    </xf>
    <xf numFmtId="0" fontId="2" fillId="29" borderId="103" xfId="0" applyFont="1" applyFill="1" applyBorder="1" applyAlignment="1">
      <alignment horizontal="right" vertical="top" wrapText="1"/>
    </xf>
    <xf numFmtId="44" fontId="1" fillId="6" borderId="0" xfId="2" applyFont="1" applyFill="1" applyAlignment="1">
      <alignment vertical="top" wrapText="1"/>
    </xf>
    <xf numFmtId="44" fontId="1" fillId="2" borderId="0" xfId="2" applyFont="1" applyFill="1" applyAlignment="1">
      <alignment vertical="top" wrapText="1"/>
    </xf>
    <xf numFmtId="44" fontId="28" fillId="2" borderId="0" xfId="2" applyFont="1" applyFill="1" applyAlignment="1">
      <alignment vertical="top" wrapText="1"/>
    </xf>
    <xf numFmtId="3" fontId="75" fillId="11" borderId="36" xfId="0" applyNumberFormat="1" applyFont="1" applyFill="1" applyBorder="1" applyAlignment="1">
      <alignment horizontal="right" vertical="top" wrapText="1"/>
    </xf>
    <xf numFmtId="0" fontId="29" fillId="6" borderId="4" xfId="0" applyFont="1" applyFill="1" applyBorder="1"/>
    <xf numFmtId="0" fontId="29" fillId="6" borderId="5" xfId="0" applyFont="1" applyFill="1" applyBorder="1"/>
    <xf numFmtId="0" fontId="6" fillId="6" borderId="4" xfId="0" applyFont="1" applyFill="1" applyBorder="1" applyAlignment="1">
      <alignment horizontal="left" vertical="top" wrapText="1"/>
    </xf>
    <xf numFmtId="0" fontId="6" fillId="6" borderId="0" xfId="0" applyFont="1" applyFill="1" applyAlignment="1">
      <alignment horizontal="left" vertical="top" wrapText="1"/>
    </xf>
    <xf numFmtId="0" fontId="6" fillId="6" borderId="0" xfId="0" applyFont="1" applyFill="1" applyAlignment="1">
      <alignment horizontal="right" vertical="top" wrapText="1"/>
    </xf>
    <xf numFmtId="0" fontId="6" fillId="6" borderId="0" xfId="0" applyFont="1" applyFill="1" applyAlignment="1">
      <alignment horizontal="left" vertical="top"/>
    </xf>
    <xf numFmtId="0" fontId="6" fillId="6" borderId="0" xfId="0" applyFont="1" applyFill="1" applyAlignment="1">
      <alignment horizontal="center" vertical="top"/>
    </xf>
    <xf numFmtId="166" fontId="6" fillId="6" borderId="0" xfId="0" applyNumberFormat="1" applyFont="1" applyFill="1" applyAlignment="1">
      <alignment horizontal="right" vertical="top"/>
    </xf>
    <xf numFmtId="0" fontId="6" fillId="6" borderId="0" xfId="0" applyFont="1" applyFill="1" applyAlignment="1">
      <alignment vertical="center" wrapText="1"/>
    </xf>
    <xf numFmtId="0" fontId="6" fillId="6" borderId="5" xfId="0" applyFont="1" applyFill="1" applyBorder="1" applyAlignment="1">
      <alignment vertical="center" wrapText="1"/>
    </xf>
    <xf numFmtId="0" fontId="0" fillId="22" borderId="0" xfId="0" applyFill="1"/>
    <xf numFmtId="2" fontId="26" fillId="0" borderId="87" xfId="0" applyNumberFormat="1" applyFont="1" applyBorder="1" applyAlignment="1">
      <alignment horizontal="center" vertical="center" wrapText="1"/>
    </xf>
    <xf numFmtId="44" fontId="0" fillId="0" borderId="0" xfId="0" applyNumberFormat="1"/>
    <xf numFmtId="0" fontId="11" fillId="0" borderId="46" xfId="0" applyFont="1" applyBorder="1" applyAlignment="1">
      <alignment horizontal="center"/>
    </xf>
    <xf numFmtId="0" fontId="11" fillId="0" borderId="57" xfId="0" applyFont="1" applyBorder="1" applyAlignment="1">
      <alignment horizontal="center"/>
    </xf>
    <xf numFmtId="0" fontId="11" fillId="0" borderId="42" xfId="0" applyFont="1" applyBorder="1" applyAlignment="1">
      <alignment horizontal="center"/>
    </xf>
    <xf numFmtId="0" fontId="11" fillId="0" borderId="35" xfId="0" applyFont="1" applyBorder="1" applyAlignment="1">
      <alignment horizontal="center"/>
    </xf>
    <xf numFmtId="0" fontId="22" fillId="36" borderId="0" xfId="0" applyFont="1" applyFill="1" applyAlignment="1">
      <alignment horizontal="center"/>
    </xf>
    <xf numFmtId="0" fontId="22" fillId="36" borderId="56" xfId="0" applyFont="1" applyFill="1" applyBorder="1" applyAlignment="1">
      <alignment horizontal="center"/>
    </xf>
    <xf numFmtId="0" fontId="22" fillId="36" borderId="21" xfId="0" applyFont="1" applyFill="1" applyBorder="1" applyAlignment="1">
      <alignment horizontal="center"/>
    </xf>
    <xf numFmtId="0" fontId="0" fillId="6" borderId="0" xfId="0" applyFill="1" applyAlignment="1">
      <alignment horizontal="left" vertical="top"/>
    </xf>
    <xf numFmtId="0" fontId="0" fillId="0" borderId="0" xfId="0" applyAlignment="1">
      <alignment horizontal="left" vertical="top"/>
    </xf>
    <xf numFmtId="10" fontId="1" fillId="2" borderId="5" xfId="0" applyNumberFormat="1" applyFont="1" applyFill="1" applyBorder="1" applyAlignment="1">
      <alignment horizontal="right" vertical="top"/>
    </xf>
    <xf numFmtId="10" fontId="0" fillId="6" borderId="0" xfId="2" applyNumberFormat="1" applyFont="1" applyFill="1" applyBorder="1" applyAlignment="1">
      <alignment vertical="top"/>
    </xf>
    <xf numFmtId="2" fontId="23" fillId="0" borderId="35" xfId="0" applyNumberFormat="1" applyFont="1" applyBorder="1"/>
    <xf numFmtId="2" fontId="25" fillId="0" borderId="35" xfId="0" applyNumberFormat="1" applyFont="1" applyBorder="1"/>
    <xf numFmtId="2" fontId="26" fillId="0" borderId="46" xfId="0" applyNumberFormat="1" applyFont="1" applyBorder="1" applyAlignment="1">
      <alignment horizontal="center"/>
    </xf>
    <xf numFmtId="0" fontId="9" fillId="5" borderId="7" xfId="0" applyFont="1" applyFill="1" applyBorder="1" applyAlignment="1">
      <alignment horizontal="right" vertical="top" wrapText="1"/>
    </xf>
    <xf numFmtId="0" fontId="75" fillId="11" borderId="36" xfId="0" applyFont="1" applyFill="1" applyBorder="1" applyAlignment="1">
      <alignment horizontal="right" vertical="top" wrapText="1"/>
    </xf>
    <xf numFmtId="0" fontId="2" fillId="5" borderId="53" xfId="0" applyFont="1" applyFill="1" applyBorder="1" applyAlignment="1">
      <alignment horizontal="right" vertical="top" wrapText="1"/>
    </xf>
    <xf numFmtId="0" fontId="2" fillId="5" borderId="53" xfId="0" applyFont="1" applyFill="1" applyBorder="1" applyAlignment="1">
      <alignment vertical="top" wrapText="1"/>
    </xf>
    <xf numFmtId="4" fontId="9" fillId="5" borderId="53" xfId="0" applyNumberFormat="1" applyFont="1" applyFill="1" applyBorder="1" applyAlignment="1">
      <alignment horizontal="left" vertical="top" wrapText="1"/>
    </xf>
    <xf numFmtId="0" fontId="2" fillId="28" borderId="123" xfId="0" applyFont="1" applyFill="1" applyBorder="1" applyAlignment="1">
      <alignment vertical="top" wrapText="1"/>
    </xf>
    <xf numFmtId="0" fontId="2" fillId="28" borderId="103" xfId="0" applyFont="1" applyFill="1" applyBorder="1" applyAlignment="1">
      <alignment horizontal="right" vertical="top" wrapText="1"/>
    </xf>
    <xf numFmtId="0" fontId="2" fillId="28" borderId="103" xfId="0" applyFont="1" applyFill="1" applyBorder="1" applyAlignment="1">
      <alignment vertical="top" wrapText="1"/>
    </xf>
    <xf numFmtId="2" fontId="9" fillId="28" borderId="103" xfId="0" applyNumberFormat="1" applyFont="1" applyFill="1" applyBorder="1" applyAlignment="1">
      <alignment horizontal="left" vertical="top" wrapText="1"/>
    </xf>
    <xf numFmtId="4" fontId="9" fillId="28" borderId="103" xfId="0" applyNumberFormat="1" applyFont="1" applyFill="1" applyBorder="1" applyAlignment="1">
      <alignment horizontal="left" vertical="top" wrapText="1"/>
    </xf>
    <xf numFmtId="167" fontId="9" fillId="28" borderId="103" xfId="0" applyNumberFormat="1" applyFont="1" applyFill="1" applyBorder="1" applyAlignment="1">
      <alignment horizontal="right" vertical="top" wrapText="1"/>
    </xf>
    <xf numFmtId="164" fontId="9" fillId="28" borderId="103" xfId="0" applyNumberFormat="1" applyFont="1" applyFill="1" applyBorder="1" applyAlignment="1">
      <alignment horizontal="right" vertical="top" wrapText="1"/>
    </xf>
    <xf numFmtId="165" fontId="9" fillId="28" borderId="124" xfId="0" applyNumberFormat="1" applyFont="1" applyFill="1" applyBorder="1" applyAlignment="1">
      <alignment horizontal="right" vertical="top" wrapText="1"/>
    </xf>
    <xf numFmtId="0" fontId="3" fillId="6" borderId="4" xfId="0" applyFont="1" applyFill="1" applyBorder="1" applyAlignment="1">
      <alignment horizontal="left" vertical="top" wrapText="1"/>
    </xf>
    <xf numFmtId="0" fontId="17" fillId="6" borderId="0" xfId="0" applyFont="1" applyFill="1" applyAlignment="1">
      <alignment horizontal="left" vertical="center" wrapText="1"/>
    </xf>
    <xf numFmtId="0" fontId="17" fillId="2" borderId="0" xfId="0" applyFont="1" applyFill="1" applyAlignment="1">
      <alignment vertical="top" wrapText="1"/>
    </xf>
    <xf numFmtId="0" fontId="0" fillId="0" borderId="108" xfId="0" applyBorder="1"/>
    <xf numFmtId="0" fontId="17" fillId="6" borderId="0" xfId="0" applyFont="1" applyFill="1" applyAlignment="1">
      <alignment vertical="center" wrapText="1"/>
    </xf>
    <xf numFmtId="0" fontId="4" fillId="6" borderId="108" xfId="0" applyFont="1" applyFill="1" applyBorder="1" applyAlignment="1">
      <alignment horizontal="right" vertical="top" wrapText="1"/>
    </xf>
    <xf numFmtId="0" fontId="17" fillId="6" borderId="108" xfId="0" applyFont="1" applyFill="1" applyBorder="1" applyAlignment="1">
      <alignment vertical="center" wrapText="1"/>
    </xf>
    <xf numFmtId="0" fontId="0" fillId="6" borderId="79" xfId="0" applyFill="1" applyBorder="1"/>
    <xf numFmtId="0" fontId="0" fillId="6" borderId="80" xfId="0" applyFill="1" applyBorder="1"/>
    <xf numFmtId="0" fontId="0" fillId="6" borderId="81" xfId="0" applyFill="1" applyBorder="1"/>
    <xf numFmtId="0" fontId="0" fillId="6" borderId="82" xfId="0" applyFill="1" applyBorder="1"/>
    <xf numFmtId="0" fontId="0" fillId="6" borderId="25" xfId="0" applyFill="1" applyBorder="1"/>
    <xf numFmtId="0" fontId="0" fillId="6" borderId="83" xfId="0" applyFill="1" applyBorder="1"/>
    <xf numFmtId="0" fontId="0" fillId="6" borderId="27" xfId="0" applyFill="1" applyBorder="1"/>
    <xf numFmtId="0" fontId="0" fillId="6" borderId="28" xfId="0" applyFill="1" applyBorder="1"/>
    <xf numFmtId="0" fontId="64" fillId="6" borderId="4" xfId="13" applyFont="1" applyFill="1" applyBorder="1"/>
    <xf numFmtId="0" fontId="64" fillId="6" borderId="0" xfId="13" applyFont="1" applyFill="1"/>
    <xf numFmtId="0" fontId="64" fillId="6" borderId="5" xfId="13" applyFont="1" applyFill="1" applyBorder="1"/>
    <xf numFmtId="0" fontId="64" fillId="6" borderId="14" xfId="13" applyFont="1" applyFill="1" applyBorder="1"/>
    <xf numFmtId="0" fontId="64" fillId="6" borderId="15" xfId="13" applyFont="1" applyFill="1" applyBorder="1"/>
    <xf numFmtId="0" fontId="64" fillId="6" borderId="16" xfId="13" applyFont="1" applyFill="1" applyBorder="1"/>
    <xf numFmtId="0" fontId="53" fillId="6" borderId="4" xfId="10" applyFont="1" applyFill="1" applyBorder="1" applyAlignment="1">
      <alignment horizontal="center" vertical="center"/>
    </xf>
    <xf numFmtId="0" fontId="53" fillId="6" borderId="0" xfId="10" applyFont="1" applyFill="1" applyAlignment="1">
      <alignment horizontal="center" vertical="center"/>
    </xf>
    <xf numFmtId="0" fontId="53" fillId="6" borderId="5" xfId="10" applyFont="1" applyFill="1" applyBorder="1" applyAlignment="1">
      <alignment horizontal="center" vertical="center"/>
    </xf>
    <xf numFmtId="10" fontId="1" fillId="2" borderId="5" xfId="0" applyNumberFormat="1" applyFont="1" applyFill="1" applyBorder="1" applyAlignment="1">
      <alignment horizontal="right" vertical="top" wrapText="1"/>
    </xf>
    <xf numFmtId="0" fontId="3" fillId="2" borderId="123" xfId="0" applyFont="1" applyFill="1" applyBorder="1" applyAlignment="1">
      <alignment horizontal="left" vertical="top" wrapText="1"/>
    </xf>
    <xf numFmtId="10" fontId="3" fillId="2" borderId="124" xfId="3" applyNumberFormat="1" applyFont="1" applyFill="1" applyBorder="1" applyAlignment="1">
      <alignment horizontal="right" vertical="top" wrapText="1"/>
    </xf>
    <xf numFmtId="0" fontId="0" fillId="6" borderId="104" xfId="0" applyFill="1" applyBorder="1"/>
    <xf numFmtId="0" fontId="1" fillId="6" borderId="105" xfId="0" applyFont="1" applyFill="1" applyBorder="1" applyAlignment="1">
      <alignment vertical="top" wrapText="1"/>
    </xf>
    <xf numFmtId="0" fontId="0" fillId="6" borderId="105" xfId="0" applyFill="1" applyBorder="1"/>
    <xf numFmtId="0" fontId="0" fillId="6" borderId="106" xfId="0" applyFill="1" applyBorder="1"/>
    <xf numFmtId="0" fontId="0" fillId="6" borderId="107" xfId="0" applyFill="1" applyBorder="1"/>
    <xf numFmtId="0" fontId="1" fillId="6" borderId="0" xfId="0" applyFont="1" applyFill="1" applyAlignment="1">
      <alignment vertical="top" wrapText="1"/>
    </xf>
    <xf numFmtId="0" fontId="0" fillId="6" borderId="108" xfId="0" applyFill="1" applyBorder="1"/>
    <xf numFmtId="0" fontId="42" fillId="3" borderId="43" xfId="0" applyFont="1" applyFill="1" applyBorder="1" applyAlignment="1">
      <alignment vertical="center"/>
    </xf>
    <xf numFmtId="0" fontId="42" fillId="3" borderId="34" xfId="0" applyFont="1" applyFill="1" applyBorder="1" applyAlignment="1">
      <alignment vertical="center"/>
    </xf>
    <xf numFmtId="0" fontId="42" fillId="3" borderId="44" xfId="0" applyFont="1" applyFill="1" applyBorder="1" applyAlignment="1">
      <alignment vertical="center"/>
    </xf>
    <xf numFmtId="0" fontId="37" fillId="17" borderId="48" xfId="0" applyFont="1" applyFill="1" applyBorder="1" applyAlignment="1">
      <alignment vertical="center"/>
    </xf>
    <xf numFmtId="0" fontId="37" fillId="17" borderId="49" xfId="0" applyFont="1" applyFill="1" applyBorder="1" applyAlignment="1">
      <alignment vertical="center"/>
    </xf>
    <xf numFmtId="0" fontId="37" fillId="17" borderId="50" xfId="0" applyFont="1" applyFill="1" applyBorder="1" applyAlignment="1">
      <alignment vertical="center"/>
    </xf>
    <xf numFmtId="0" fontId="37" fillId="17" borderId="45" xfId="0" applyFont="1" applyFill="1" applyBorder="1" applyAlignment="1">
      <alignment vertical="center"/>
    </xf>
    <xf numFmtId="0" fontId="0" fillId="0" borderId="107" xfId="0" applyBorder="1"/>
    <xf numFmtId="0" fontId="0" fillId="6" borderId="109" xfId="0" applyFill="1" applyBorder="1"/>
    <xf numFmtId="0" fontId="0" fillId="6" borderId="110" xfId="0" applyFill="1" applyBorder="1"/>
    <xf numFmtId="0" fontId="0" fillId="6" borderId="111" xfId="0" applyFill="1" applyBorder="1"/>
    <xf numFmtId="0" fontId="4" fillId="2" borderId="0" xfId="0" applyFont="1" applyFill="1" applyAlignment="1">
      <alignment horizontal="center" vertical="top"/>
    </xf>
    <xf numFmtId="164" fontId="4" fillId="6" borderId="0" xfId="0" applyNumberFormat="1" applyFont="1" applyFill="1" applyAlignment="1">
      <alignment horizontal="right" vertical="top"/>
    </xf>
    <xf numFmtId="0" fontId="17" fillId="2" borderId="0" xfId="0" applyFont="1" applyFill="1" applyAlignment="1">
      <alignment vertical="top"/>
    </xf>
    <xf numFmtId="4" fontId="0" fillId="0" borderId="15" xfId="0" applyNumberFormat="1" applyBorder="1"/>
    <xf numFmtId="0" fontId="0" fillId="0" borderId="132" xfId="0" applyBorder="1"/>
    <xf numFmtId="0" fontId="0" fillId="0" borderId="17" xfId="0" applyBorder="1"/>
    <xf numFmtId="0" fontId="0" fillId="0" borderId="133" xfId="0" applyBorder="1"/>
    <xf numFmtId="10" fontId="5" fillId="2" borderId="0" xfId="0" applyNumberFormat="1" applyFont="1" applyFill="1" applyAlignment="1">
      <alignment vertical="top" wrapText="1"/>
    </xf>
    <xf numFmtId="49" fontId="33" fillId="5" borderId="134" xfId="0" applyNumberFormat="1" applyFont="1" applyFill="1" applyBorder="1" applyAlignment="1">
      <alignment horizontal="left" vertical="top" wrapText="1"/>
    </xf>
    <xf numFmtId="0" fontId="2" fillId="5" borderId="135" xfId="0" applyFont="1" applyFill="1" applyBorder="1" applyAlignment="1">
      <alignment vertical="top" wrapText="1"/>
    </xf>
    <xf numFmtId="2" fontId="9" fillId="5" borderId="135" xfId="0" applyNumberFormat="1" applyFont="1" applyFill="1" applyBorder="1" applyAlignment="1">
      <alignment horizontal="left" vertical="top" wrapText="1"/>
    </xf>
    <xf numFmtId="4" fontId="9" fillId="5" borderId="135" xfId="0" applyNumberFormat="1" applyFont="1" applyFill="1" applyBorder="1" applyAlignment="1">
      <alignment horizontal="left" vertical="top" wrapText="1"/>
    </xf>
    <xf numFmtId="164" fontId="9" fillId="5" borderId="135" xfId="0" applyNumberFormat="1" applyFont="1" applyFill="1" applyBorder="1" applyAlignment="1">
      <alignment horizontal="right" vertical="top" wrapText="1"/>
    </xf>
    <xf numFmtId="165" fontId="9" fillId="5" borderId="136" xfId="0" applyNumberFormat="1" applyFont="1" applyFill="1" applyBorder="1" applyAlignment="1">
      <alignment horizontal="right" vertical="top" wrapText="1"/>
    </xf>
    <xf numFmtId="0" fontId="8" fillId="4" borderId="36" xfId="0" applyFont="1" applyFill="1" applyBorder="1" applyAlignment="1">
      <alignment horizontal="left" vertical="top" wrapText="1"/>
    </xf>
    <xf numFmtId="0" fontId="8" fillId="4" borderId="37" xfId="0" applyFont="1" applyFill="1" applyBorder="1" applyAlignment="1">
      <alignment horizontal="left" vertical="top" wrapText="1"/>
    </xf>
    <xf numFmtId="0" fontId="8" fillId="4" borderId="38" xfId="0" applyFont="1" applyFill="1" applyBorder="1" applyAlignment="1">
      <alignment horizontal="left" vertical="top"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0" fontId="3" fillId="2" borderId="0" xfId="0" applyFont="1" applyFill="1" applyAlignment="1">
      <alignment horizontal="center" vertical="top" wrapText="1"/>
    </xf>
    <xf numFmtId="0" fontId="6" fillId="3" borderId="4"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5" xfId="0" applyFont="1" applyFill="1" applyBorder="1" applyAlignment="1">
      <alignment horizontal="center" vertical="center" wrapText="1"/>
    </xf>
    <xf numFmtId="0" fontId="1" fillId="2" borderId="0" xfId="0" applyFont="1" applyFill="1" applyAlignment="1">
      <alignment horizontal="left" vertical="top" wrapText="1"/>
    </xf>
    <xf numFmtId="0" fontId="2" fillId="2" borderId="0" xfId="0" applyFont="1" applyFill="1" applyAlignment="1">
      <alignment horizontal="left" vertical="top" wrapText="1"/>
    </xf>
    <xf numFmtId="10" fontId="1" fillId="2" borderId="0" xfId="0" applyNumberFormat="1" applyFont="1" applyFill="1" applyAlignment="1">
      <alignment horizontal="left" vertical="top" wrapText="1"/>
    </xf>
    <xf numFmtId="0" fontId="17" fillId="6" borderId="0" xfId="0" applyFont="1" applyFill="1" applyAlignment="1">
      <alignment horizontal="left" vertical="top" wrapText="1"/>
    </xf>
    <xf numFmtId="0" fontId="17" fillId="6" borderId="0" xfId="0" applyFont="1" applyFill="1" applyAlignment="1">
      <alignment horizontal="left" vertical="center" wrapText="1"/>
    </xf>
    <xf numFmtId="0" fontId="17" fillId="6" borderId="108" xfId="0" applyFont="1" applyFill="1" applyBorder="1" applyAlignment="1">
      <alignment horizontal="left" vertical="center" wrapText="1"/>
    </xf>
    <xf numFmtId="164" fontId="4" fillId="6" borderId="0" xfId="0" applyNumberFormat="1" applyFont="1" applyFill="1" applyAlignment="1">
      <alignment horizontal="right" vertical="top" wrapText="1"/>
    </xf>
    <xf numFmtId="0" fontId="6" fillId="3" borderId="123" xfId="0" applyFont="1" applyFill="1" applyBorder="1" applyAlignment="1">
      <alignment horizontal="center" vertical="center" wrapText="1"/>
    </xf>
    <xf numFmtId="0" fontId="6" fillId="3" borderId="103" xfId="0" applyFont="1" applyFill="1" applyBorder="1" applyAlignment="1">
      <alignment horizontal="center" vertical="center" wrapText="1"/>
    </xf>
    <xf numFmtId="0" fontId="6" fillId="3" borderId="124" xfId="0" applyFont="1" applyFill="1" applyBorder="1" applyAlignment="1">
      <alignment horizontal="center" vertical="center" wrapText="1"/>
    </xf>
    <xf numFmtId="0" fontId="15" fillId="6" borderId="0" xfId="4" applyFont="1" applyFill="1" applyAlignment="1">
      <alignment horizontal="left" vertical="top" wrapText="1"/>
    </xf>
    <xf numFmtId="0" fontId="15" fillId="6" borderId="10" xfId="4" applyFont="1" applyFill="1" applyBorder="1" applyAlignment="1">
      <alignment horizontal="left" vertical="top" wrapText="1"/>
    </xf>
    <xf numFmtId="0" fontId="16" fillId="9" borderId="11" xfId="5" applyFont="1" applyFill="1" applyBorder="1" applyAlignment="1">
      <alignment horizontal="center" vertical="center" wrapText="1"/>
    </xf>
    <xf numFmtId="0" fontId="16" fillId="9" borderId="12" xfId="5" applyFont="1" applyFill="1" applyBorder="1" applyAlignment="1">
      <alignment horizontal="center" vertical="center" wrapText="1"/>
    </xf>
    <xf numFmtId="0" fontId="16" fillId="9" borderId="13" xfId="5" applyFont="1" applyFill="1" applyBorder="1" applyAlignment="1">
      <alignment horizontal="center" vertical="center" wrapText="1"/>
    </xf>
    <xf numFmtId="0" fontId="23" fillId="0" borderId="29" xfId="0" applyFont="1" applyBorder="1"/>
    <xf numFmtId="0" fontId="23" fillId="0" borderId="30" xfId="0" applyFont="1" applyBorder="1"/>
    <xf numFmtId="0" fontId="23" fillId="0" borderId="31" xfId="0" applyFont="1" applyBorder="1"/>
    <xf numFmtId="0" fontId="25" fillId="0" borderId="30" xfId="0" applyFont="1" applyBorder="1"/>
    <xf numFmtId="0" fontId="25" fillId="0" borderId="31" xfId="0" applyFont="1" applyBorder="1"/>
    <xf numFmtId="0" fontId="24" fillId="0" borderId="18" xfId="0" applyFont="1" applyBorder="1" applyAlignment="1">
      <alignment wrapText="1"/>
    </xf>
    <xf numFmtId="0" fontId="24" fillId="0" borderId="19" xfId="0" applyFont="1" applyBorder="1" applyAlignment="1">
      <alignment wrapText="1"/>
    </xf>
    <xf numFmtId="0" fontId="24" fillId="0" borderId="32" xfId="0" applyFont="1" applyBorder="1" applyAlignment="1">
      <alignment wrapText="1"/>
    </xf>
    <xf numFmtId="0" fontId="24" fillId="0" borderId="30" xfId="0" applyFont="1" applyBorder="1" applyAlignment="1">
      <alignment wrapText="1"/>
    </xf>
    <xf numFmtId="0" fontId="24" fillId="0" borderId="31" xfId="0" applyFont="1" applyBorder="1" applyAlignment="1">
      <alignment wrapText="1"/>
    </xf>
    <xf numFmtId="0" fontId="35" fillId="0" borderId="30" xfId="6" applyFont="1" applyFill="1" applyBorder="1" applyAlignment="1"/>
    <xf numFmtId="0" fontId="35" fillId="0" borderId="31" xfId="6" applyFont="1" applyFill="1" applyBorder="1" applyAlignment="1"/>
    <xf numFmtId="14" fontId="24" fillId="0" borderId="30" xfId="0" applyNumberFormat="1" applyFont="1" applyBorder="1"/>
    <xf numFmtId="0" fontId="24" fillId="0" borderId="31" xfId="0" applyFont="1" applyBorder="1"/>
    <xf numFmtId="0" fontId="24" fillId="0" borderId="30" xfId="0" applyFont="1" applyBorder="1"/>
    <xf numFmtId="0" fontId="18" fillId="0" borderId="30" xfId="6" applyFill="1" applyBorder="1" applyAlignment="1"/>
    <xf numFmtId="0" fontId="18" fillId="0" borderId="31" xfId="6" applyFill="1" applyBorder="1" applyAlignment="1"/>
    <xf numFmtId="0" fontId="22" fillId="0" borderId="30" xfId="0" applyFont="1" applyBorder="1"/>
    <xf numFmtId="0" fontId="22" fillId="0" borderId="31" xfId="0" applyFont="1" applyBorder="1"/>
    <xf numFmtId="0" fontId="23" fillId="0" borderId="18" xfId="0" applyFont="1" applyBorder="1" applyAlignment="1">
      <alignment wrapText="1"/>
    </xf>
    <xf numFmtId="0" fontId="23" fillId="0" borderId="32" xfId="0" applyFont="1" applyBorder="1" applyAlignment="1">
      <alignment wrapText="1"/>
    </xf>
    <xf numFmtId="0" fontId="23" fillId="0" borderId="24" xfId="0" applyFont="1" applyBorder="1" applyAlignment="1">
      <alignment wrapText="1"/>
    </xf>
    <xf numFmtId="0" fontId="23" fillId="0" borderId="25" xfId="0" applyFont="1" applyBorder="1" applyAlignment="1">
      <alignment wrapText="1"/>
    </xf>
    <xf numFmtId="0" fontId="23" fillId="0" borderId="26" xfId="0" applyFont="1" applyBorder="1" applyAlignment="1">
      <alignment wrapText="1"/>
    </xf>
    <xf numFmtId="0" fontId="23" fillId="0" borderId="28" xfId="0" applyFont="1" applyBorder="1" applyAlignment="1">
      <alignment wrapText="1"/>
    </xf>
    <xf numFmtId="3" fontId="24" fillId="0" borderId="30" xfId="0" applyNumberFormat="1" applyFont="1" applyBorder="1"/>
    <xf numFmtId="0" fontId="22" fillId="0" borderId="29" xfId="0" applyFont="1" applyBorder="1" applyAlignment="1">
      <alignment wrapText="1"/>
    </xf>
    <xf numFmtId="0" fontId="22" fillId="0" borderId="31" xfId="0" applyFont="1" applyBorder="1" applyAlignment="1">
      <alignment wrapText="1"/>
    </xf>
    <xf numFmtId="0" fontId="22" fillId="0" borderId="30" xfId="0" applyFont="1" applyBorder="1" applyAlignment="1">
      <alignment wrapText="1"/>
    </xf>
    <xf numFmtId="0" fontId="24" fillId="0" borderId="29" xfId="0" applyFont="1" applyBorder="1"/>
    <xf numFmtId="0" fontId="36" fillId="0" borderId="30" xfId="0" applyFont="1" applyBorder="1"/>
    <xf numFmtId="0" fontId="36" fillId="0" borderId="31" xfId="0" applyFont="1" applyBorder="1"/>
    <xf numFmtId="0" fontId="11" fillId="0" borderId="29" xfId="0" applyFont="1" applyBorder="1" applyAlignment="1">
      <alignment wrapText="1"/>
    </xf>
    <xf numFmtId="0" fontId="11" fillId="0" borderId="31" xfId="0" applyFont="1" applyBorder="1" applyAlignment="1">
      <alignment wrapText="1"/>
    </xf>
    <xf numFmtId="0" fontId="20" fillId="0" borderId="30" xfId="0" applyFont="1" applyBorder="1"/>
    <xf numFmtId="0" fontId="20" fillId="0" borderId="31" xfId="0" applyFont="1" applyBorder="1"/>
    <xf numFmtId="0" fontId="11" fillId="0" borderId="18" xfId="0" applyFont="1" applyBorder="1" applyAlignment="1">
      <alignment wrapText="1"/>
    </xf>
    <xf numFmtId="0" fontId="11" fillId="0" borderId="32" xfId="0" applyFont="1" applyBorder="1" applyAlignment="1">
      <alignment wrapText="1"/>
    </xf>
    <xf numFmtId="0" fontId="11" fillId="0" borderId="26" xfId="0" applyFont="1" applyBorder="1" applyAlignment="1">
      <alignment wrapText="1"/>
    </xf>
    <xf numFmtId="0" fontId="11" fillId="0" borderId="28" xfId="0" applyFont="1" applyBorder="1" applyAlignment="1">
      <alignment wrapText="1"/>
    </xf>
    <xf numFmtId="0" fontId="21" fillId="0" borderId="18" xfId="0" quotePrefix="1" applyFont="1" applyBorder="1" applyAlignment="1">
      <alignment wrapText="1"/>
    </xf>
    <xf numFmtId="0" fontId="21" fillId="0" borderId="19" xfId="0" applyFont="1" applyBorder="1" applyAlignment="1">
      <alignment wrapText="1"/>
    </xf>
    <xf numFmtId="0" fontId="21" fillId="0" borderId="32" xfId="0" applyFont="1" applyBorder="1" applyAlignment="1">
      <alignment wrapText="1"/>
    </xf>
    <xf numFmtId="0" fontId="21" fillId="0" borderId="26" xfId="0" applyFont="1" applyBorder="1" applyAlignment="1">
      <alignment wrapText="1"/>
    </xf>
    <xf numFmtId="0" fontId="21" fillId="0" borderId="27" xfId="0" applyFont="1" applyBorder="1" applyAlignment="1">
      <alignment wrapText="1"/>
    </xf>
    <xf numFmtId="0" fontId="21" fillId="0" borderId="28" xfId="0" applyFont="1" applyBorder="1" applyAlignment="1">
      <alignment wrapText="1"/>
    </xf>
    <xf numFmtId="0" fontId="20" fillId="0" borderId="18" xfId="0" applyFont="1" applyBorder="1"/>
    <xf numFmtId="0" fontId="20" fillId="0" borderId="32" xfId="0" applyFont="1" applyBorder="1"/>
    <xf numFmtId="0" fontId="20" fillId="0" borderId="26" xfId="0" applyFont="1" applyBorder="1"/>
    <xf numFmtId="0" fontId="20" fillId="0" borderId="28" xfId="0" applyFont="1" applyBorder="1"/>
    <xf numFmtId="0" fontId="21" fillId="0" borderId="34" xfId="0" applyFont="1" applyBorder="1"/>
    <xf numFmtId="0" fontId="21" fillId="0" borderId="33" xfId="0" applyFont="1" applyBorder="1"/>
    <xf numFmtId="0" fontId="20" fillId="0" borderId="34" xfId="0" applyFont="1" applyBorder="1"/>
    <xf numFmtId="0" fontId="20" fillId="0" borderId="33" xfId="0" applyFont="1" applyBorder="1"/>
    <xf numFmtId="8" fontId="21" fillId="0" borderId="34" xfId="0" applyNumberFormat="1" applyFont="1" applyBorder="1"/>
    <xf numFmtId="0" fontId="24" fillId="0" borderId="24" xfId="0" applyFont="1" applyBorder="1" applyAlignment="1">
      <alignment wrapText="1"/>
    </xf>
    <xf numFmtId="0" fontId="24" fillId="0" borderId="25" xfId="0" applyFont="1" applyBorder="1" applyAlignment="1">
      <alignment wrapText="1"/>
    </xf>
    <xf numFmtId="0" fontId="24" fillId="0" borderId="26" xfId="0" applyFont="1" applyBorder="1" applyAlignment="1">
      <alignment wrapText="1"/>
    </xf>
    <xf numFmtId="0" fontId="24" fillId="0" borderId="28" xfId="0" applyFont="1" applyBorder="1" applyAlignment="1">
      <alignment wrapText="1"/>
    </xf>
    <xf numFmtId="0" fontId="11" fillId="0" borderId="18" xfId="0" quotePrefix="1" applyFont="1" applyBorder="1" applyAlignment="1">
      <alignment wrapText="1"/>
    </xf>
    <xf numFmtId="0" fontId="11" fillId="0" borderId="19" xfId="0" applyFont="1" applyBorder="1" applyAlignment="1">
      <alignment wrapText="1"/>
    </xf>
    <xf numFmtId="0" fontId="11" fillId="0" borderId="27" xfId="0" applyFont="1" applyBorder="1" applyAlignment="1">
      <alignment wrapText="1"/>
    </xf>
    <xf numFmtId="0" fontId="22" fillId="0" borderId="18" xfId="0" applyFont="1" applyBorder="1"/>
    <xf numFmtId="0" fontId="22" fillId="0" borderId="32" xfId="0" applyFont="1" applyBorder="1"/>
    <xf numFmtId="0" fontId="22" fillId="0" borderId="26" xfId="0" applyFont="1" applyBorder="1"/>
    <xf numFmtId="0" fontId="22" fillId="0" borderId="28" xfId="0" applyFont="1" applyBorder="1"/>
    <xf numFmtId="0" fontId="11" fillId="0" borderId="34" xfId="0" applyFont="1" applyBorder="1"/>
    <xf numFmtId="0" fontId="11" fillId="0" borderId="33" xfId="0" applyFont="1" applyBorder="1"/>
    <xf numFmtId="0" fontId="22" fillId="0" borderId="34" xfId="0" applyFont="1" applyBorder="1"/>
    <xf numFmtId="0" fontId="22" fillId="0" borderId="33" xfId="0" applyFont="1" applyBorder="1"/>
    <xf numFmtId="8" fontId="11" fillId="0" borderId="34" xfId="0" applyNumberFormat="1" applyFont="1" applyBorder="1"/>
    <xf numFmtId="0" fontId="18" fillId="0" borderId="30" xfId="21" applyFill="1" applyBorder="1" applyAlignment="1"/>
    <xf numFmtId="0" fontId="23" fillId="0" borderId="19" xfId="0" applyFont="1" applyBorder="1" applyAlignment="1">
      <alignment wrapText="1"/>
    </xf>
    <xf numFmtId="0" fontId="21" fillId="0" borderId="18" xfId="0" applyFont="1" applyBorder="1" applyAlignment="1">
      <alignment wrapText="1"/>
    </xf>
    <xf numFmtId="0" fontId="3" fillId="12" borderId="18" xfId="0" applyFont="1" applyFill="1" applyBorder="1" applyAlignment="1">
      <alignment wrapText="1"/>
    </xf>
    <xf numFmtId="0" fontId="3" fillId="12" borderId="19" xfId="0" applyFont="1" applyFill="1" applyBorder="1" applyAlignment="1">
      <alignment wrapText="1"/>
    </xf>
    <xf numFmtId="0" fontId="1" fillId="12" borderId="21" xfId="0" applyFont="1" applyFill="1" applyBorder="1" applyAlignment="1">
      <alignment horizontal="left" vertical="top" wrapText="1"/>
    </xf>
    <xf numFmtId="0" fontId="1" fillId="12" borderId="22" xfId="0" applyFont="1" applyFill="1" applyBorder="1" applyAlignment="1">
      <alignment horizontal="left" vertical="top" wrapText="1"/>
    </xf>
    <xf numFmtId="0" fontId="1" fillId="12" borderId="22" xfId="0" applyFont="1" applyFill="1" applyBorder="1" applyAlignment="1">
      <alignment vertical="top"/>
    </xf>
    <xf numFmtId="0" fontId="19" fillId="13" borderId="24" xfId="0" applyFont="1" applyFill="1" applyBorder="1" applyAlignment="1">
      <alignment horizontal="center" vertical="center" wrapText="1"/>
    </xf>
    <xf numFmtId="0" fontId="19" fillId="13" borderId="0" xfId="0" applyFont="1" applyFill="1" applyAlignment="1">
      <alignment horizontal="center" vertical="center" wrapText="1"/>
    </xf>
    <xf numFmtId="0" fontId="19" fillId="13" borderId="25" xfId="0" applyFont="1" applyFill="1" applyBorder="1" applyAlignment="1">
      <alignment horizontal="center" vertical="center" wrapText="1"/>
    </xf>
    <xf numFmtId="0" fontId="19" fillId="13" borderId="26" xfId="0" applyFont="1" applyFill="1" applyBorder="1" applyAlignment="1">
      <alignment horizontal="center" vertical="center" wrapText="1"/>
    </xf>
    <xf numFmtId="0" fontId="19" fillId="13" borderId="27" xfId="0" applyFont="1" applyFill="1" applyBorder="1" applyAlignment="1">
      <alignment horizontal="center" vertical="center" wrapText="1"/>
    </xf>
    <xf numFmtId="0" fontId="19" fillId="13" borderId="28" xfId="0" applyFont="1" applyFill="1" applyBorder="1" applyAlignment="1">
      <alignment horizontal="center" vertical="center" wrapText="1"/>
    </xf>
    <xf numFmtId="0" fontId="11" fillId="0" borderId="30" xfId="0" applyFont="1" applyBorder="1" applyAlignment="1">
      <alignment wrapText="1"/>
    </xf>
    <xf numFmtId="0" fontId="1" fillId="12" borderId="22" xfId="0" applyFont="1" applyFill="1" applyBorder="1" applyAlignment="1">
      <alignment wrapText="1"/>
    </xf>
    <xf numFmtId="0" fontId="1" fillId="12" borderId="23" xfId="0" applyFont="1" applyFill="1" applyBorder="1" applyAlignment="1">
      <alignment wrapText="1"/>
    </xf>
    <xf numFmtId="0" fontId="69" fillId="26" borderId="61" xfId="13" applyFont="1" applyFill="1" applyBorder="1" applyAlignment="1">
      <alignment horizontal="center"/>
    </xf>
    <xf numFmtId="0" fontId="69" fillId="26" borderId="19" xfId="13" applyFont="1" applyFill="1" applyBorder="1" applyAlignment="1">
      <alignment horizontal="center"/>
    </xf>
    <xf numFmtId="0" fontId="69" fillId="26" borderId="62" xfId="13" applyFont="1" applyFill="1" applyBorder="1" applyAlignment="1">
      <alignment horizontal="center"/>
    </xf>
    <xf numFmtId="0" fontId="48" fillId="6" borderId="1" xfId="7" applyFont="1" applyFill="1" applyBorder="1" applyAlignment="1">
      <alignment horizontal="center" vertical="center"/>
    </xf>
    <xf numFmtId="0" fontId="48" fillId="6" borderId="2" xfId="7" applyFont="1" applyFill="1" applyBorder="1" applyAlignment="1">
      <alignment horizontal="center" vertical="center"/>
    </xf>
    <xf numFmtId="0" fontId="48" fillId="6" borderId="3" xfId="7" applyFont="1" applyFill="1" applyBorder="1" applyAlignment="1">
      <alignment horizontal="center" vertical="center"/>
    </xf>
    <xf numFmtId="0" fontId="48" fillId="6" borderId="4" xfId="7" applyFont="1" applyFill="1" applyBorder="1" applyAlignment="1">
      <alignment horizontal="center" vertical="center"/>
    </xf>
    <xf numFmtId="0" fontId="48" fillId="6" borderId="0" xfId="7" applyFont="1" applyFill="1" applyAlignment="1">
      <alignment horizontal="center" vertical="center"/>
    </xf>
    <xf numFmtId="0" fontId="48" fillId="6" borderId="5" xfId="7" applyFont="1" applyFill="1" applyBorder="1" applyAlignment="1">
      <alignment horizontal="center" vertical="center"/>
    </xf>
    <xf numFmtId="0" fontId="48" fillId="6" borderId="54" xfId="7" applyFont="1" applyFill="1" applyBorder="1" applyAlignment="1">
      <alignment horizontal="center" vertical="center"/>
    </xf>
    <xf numFmtId="0" fontId="48" fillId="6" borderId="22" xfId="7" applyFont="1" applyFill="1" applyBorder="1" applyAlignment="1">
      <alignment horizontal="center" vertical="center"/>
    </xf>
    <xf numFmtId="0" fontId="48" fillId="6" borderId="55" xfId="7" applyFont="1" applyFill="1" applyBorder="1" applyAlignment="1">
      <alignment horizontal="center" vertical="center"/>
    </xf>
    <xf numFmtId="0" fontId="64" fillId="0" borderId="76" xfId="13" applyFont="1" applyBorder="1" applyAlignment="1">
      <alignment horizontal="center"/>
    </xf>
    <xf numFmtId="0" fontId="64" fillId="0" borderId="0" xfId="13" applyFont="1" applyAlignment="1">
      <alignment horizontal="center"/>
    </xf>
    <xf numFmtId="0" fontId="64" fillId="0" borderId="5" xfId="13" applyFont="1" applyBorder="1" applyAlignment="1">
      <alignment horizontal="center"/>
    </xf>
    <xf numFmtId="0" fontId="64" fillId="25" borderId="29" xfId="13" applyFont="1" applyFill="1" applyBorder="1" applyAlignment="1">
      <alignment horizontal="center"/>
    </xf>
    <xf numFmtId="0" fontId="64" fillId="25" borderId="30" xfId="13" applyFont="1" applyFill="1" applyBorder="1" applyAlignment="1">
      <alignment horizontal="center"/>
    </xf>
    <xf numFmtId="0" fontId="64" fillId="25" borderId="57" xfId="13" applyFont="1" applyFill="1" applyBorder="1" applyAlignment="1">
      <alignment horizontal="center"/>
    </xf>
    <xf numFmtId="10" fontId="65" fillId="24" borderId="30" xfId="13" applyNumberFormat="1" applyFont="1" applyFill="1" applyBorder="1" applyAlignment="1">
      <alignment horizontal="center" vertical="center"/>
    </xf>
    <xf numFmtId="10" fontId="65" fillId="24" borderId="57" xfId="13" applyNumberFormat="1" applyFont="1" applyFill="1" applyBorder="1" applyAlignment="1">
      <alignment horizontal="center" vertical="center"/>
    </xf>
    <xf numFmtId="0" fontId="65" fillId="24" borderId="18" xfId="13" applyFont="1" applyFill="1" applyBorder="1" applyAlignment="1">
      <alignment horizontal="left" vertical="center"/>
    </xf>
    <xf numFmtId="0" fontId="65" fillId="24" borderId="20" xfId="13" applyFont="1" applyFill="1" applyBorder="1" applyAlignment="1">
      <alignment horizontal="left" vertical="center"/>
    </xf>
    <xf numFmtId="10" fontId="65" fillId="23" borderId="61" xfId="13" applyNumberFormat="1" applyFont="1" applyFill="1" applyBorder="1" applyAlignment="1">
      <alignment horizontal="center" vertical="center"/>
    </xf>
    <xf numFmtId="10" fontId="65" fillId="23" borderId="19" xfId="13" applyNumberFormat="1" applyFont="1" applyFill="1" applyBorder="1" applyAlignment="1">
      <alignment horizontal="center" vertical="center"/>
    </xf>
    <xf numFmtId="10" fontId="65" fillId="23" borderId="62" xfId="13" applyNumberFormat="1" applyFont="1" applyFill="1" applyBorder="1" applyAlignment="1">
      <alignment horizontal="center" vertical="center"/>
    </xf>
    <xf numFmtId="10" fontId="65" fillId="24" borderId="71" xfId="13" applyNumberFormat="1" applyFont="1" applyFill="1" applyBorder="1" applyAlignment="1">
      <alignment horizontal="center" vertical="center"/>
    </xf>
    <xf numFmtId="10" fontId="65" fillId="24" borderId="72" xfId="13" applyNumberFormat="1" applyFont="1" applyFill="1" applyBorder="1" applyAlignment="1">
      <alignment horizontal="center" vertical="center"/>
    </xf>
    <xf numFmtId="10" fontId="65" fillId="24" borderId="73" xfId="13" applyNumberFormat="1" applyFont="1" applyFill="1" applyBorder="1" applyAlignment="1">
      <alignment horizontal="center" vertical="center"/>
    </xf>
    <xf numFmtId="10" fontId="65" fillId="24" borderId="74" xfId="13" applyNumberFormat="1" applyFont="1" applyFill="1" applyBorder="1" applyAlignment="1">
      <alignment horizontal="center" vertical="center"/>
    </xf>
    <xf numFmtId="0" fontId="67" fillId="23" borderId="58" xfId="13" applyFont="1" applyFill="1" applyBorder="1" applyAlignment="1">
      <alignment horizontal="left" vertical="center"/>
    </xf>
    <xf numFmtId="0" fontId="67" fillId="23" borderId="41" xfId="13" applyFont="1" applyFill="1" applyBorder="1" applyAlignment="1">
      <alignment horizontal="left" vertical="center"/>
    </xf>
    <xf numFmtId="0" fontId="67" fillId="23" borderId="18" xfId="13" applyFont="1" applyFill="1" applyBorder="1" applyAlignment="1">
      <alignment horizontal="center" vertical="center" wrapText="1"/>
    </xf>
    <xf numFmtId="0" fontId="67" fillId="23" borderId="19" xfId="13" applyFont="1" applyFill="1" applyBorder="1" applyAlignment="1">
      <alignment horizontal="center" vertical="center" wrapText="1"/>
    </xf>
    <xf numFmtId="0" fontId="67" fillId="23" borderId="20" xfId="13" applyFont="1" applyFill="1" applyBorder="1" applyAlignment="1">
      <alignment horizontal="center" vertical="center" wrapText="1"/>
    </xf>
    <xf numFmtId="0" fontId="67" fillId="23" borderId="21" xfId="13" applyFont="1" applyFill="1" applyBorder="1" applyAlignment="1">
      <alignment horizontal="center" vertical="center" wrapText="1"/>
    </xf>
    <xf numFmtId="0" fontId="67" fillId="23" borderId="22" xfId="13" applyFont="1" applyFill="1" applyBorder="1" applyAlignment="1">
      <alignment horizontal="center" vertical="center" wrapText="1"/>
    </xf>
    <xf numFmtId="0" fontId="67" fillId="23" borderId="35" xfId="13" applyFont="1" applyFill="1" applyBorder="1" applyAlignment="1">
      <alignment horizontal="center" vertical="center" wrapText="1"/>
    </xf>
    <xf numFmtId="0" fontId="67" fillId="23" borderId="24" xfId="13" applyFont="1" applyFill="1" applyBorder="1" applyAlignment="1">
      <alignment horizontal="center" vertical="center"/>
    </xf>
    <xf numFmtId="0" fontId="67" fillId="23" borderId="0" xfId="13" applyFont="1" applyFill="1" applyAlignment="1">
      <alignment horizontal="center" vertical="center"/>
    </xf>
    <xf numFmtId="0" fontId="67" fillId="23" borderId="5" xfId="13" applyFont="1" applyFill="1" applyBorder="1" applyAlignment="1">
      <alignment horizontal="center" vertical="center"/>
    </xf>
    <xf numFmtId="0" fontId="67" fillId="23" borderId="21" xfId="13" applyFont="1" applyFill="1" applyBorder="1" applyAlignment="1">
      <alignment horizontal="center" vertical="center"/>
    </xf>
    <xf numFmtId="0" fontId="67" fillId="23" borderId="22" xfId="13" applyFont="1" applyFill="1" applyBorder="1" applyAlignment="1">
      <alignment horizontal="center" vertical="center"/>
    </xf>
    <xf numFmtId="0" fontId="67" fillId="23" borderId="55" xfId="13" applyFont="1" applyFill="1" applyBorder="1" applyAlignment="1">
      <alignment horizontal="center" vertical="center"/>
    </xf>
    <xf numFmtId="10" fontId="65" fillId="24" borderId="68" xfId="13" applyNumberFormat="1" applyFont="1" applyFill="1" applyBorder="1" applyAlignment="1">
      <alignment horizontal="center" vertical="center"/>
    </xf>
    <xf numFmtId="10" fontId="65" fillId="24" borderId="69" xfId="13" applyNumberFormat="1" applyFont="1" applyFill="1" applyBorder="1" applyAlignment="1">
      <alignment horizontal="center" vertical="center"/>
    </xf>
    <xf numFmtId="0" fontId="64" fillId="22" borderId="61" xfId="13" applyFont="1" applyFill="1" applyBorder="1" applyAlignment="1">
      <alignment horizontal="center"/>
    </xf>
    <xf numFmtId="0" fontId="64" fillId="22" borderId="19" xfId="13" applyFont="1" applyFill="1" applyBorder="1" applyAlignment="1">
      <alignment horizontal="center"/>
    </xf>
    <xf numFmtId="0" fontId="64" fillId="22" borderId="62" xfId="13" applyFont="1" applyFill="1" applyBorder="1" applyAlignment="1">
      <alignment horizontal="center"/>
    </xf>
    <xf numFmtId="0" fontId="5" fillId="6" borderId="39" xfId="0" applyFont="1" applyFill="1" applyBorder="1" applyAlignment="1">
      <alignment horizontal="left" vertical="center"/>
    </xf>
    <xf numFmtId="0" fontId="5" fillId="6" borderId="30" xfId="0" applyFont="1" applyFill="1" applyBorder="1" applyAlignment="1">
      <alignment horizontal="left" vertical="center"/>
    </xf>
    <xf numFmtId="0" fontId="5" fillId="6" borderId="57" xfId="0" applyFont="1" applyFill="1" applyBorder="1" applyAlignment="1">
      <alignment horizontal="left" vertical="center"/>
    </xf>
    <xf numFmtId="0" fontId="52" fillId="6" borderId="18" xfId="9" applyFont="1" applyFill="1" applyBorder="1" applyAlignment="1">
      <alignment horizontal="center" vertical="center"/>
    </xf>
    <xf numFmtId="0" fontId="52" fillId="6" borderId="19" xfId="9" applyFont="1" applyFill="1" applyBorder="1" applyAlignment="1">
      <alignment horizontal="center" vertical="center"/>
    </xf>
    <xf numFmtId="0" fontId="52" fillId="6" borderId="20" xfId="9" applyFont="1" applyFill="1" applyBorder="1" applyAlignment="1">
      <alignment horizontal="center" vertical="center"/>
    </xf>
    <xf numFmtId="0" fontId="52" fillId="6" borderId="24" xfId="9" applyFont="1" applyFill="1" applyBorder="1" applyAlignment="1">
      <alignment horizontal="center" vertical="center"/>
    </xf>
    <xf numFmtId="0" fontId="52" fillId="6" borderId="0" xfId="9" applyFont="1" applyFill="1" applyAlignment="1">
      <alignment horizontal="center" vertical="center"/>
    </xf>
    <xf numFmtId="0" fontId="52" fillId="6" borderId="56" xfId="9" applyFont="1" applyFill="1" applyBorder="1" applyAlignment="1">
      <alignment horizontal="center" vertical="center"/>
    </xf>
    <xf numFmtId="0" fontId="52" fillId="6" borderId="21" xfId="9" applyFont="1" applyFill="1" applyBorder="1" applyAlignment="1">
      <alignment horizontal="center" vertical="center"/>
    </xf>
    <xf numFmtId="0" fontId="52" fillId="6" borderId="22" xfId="9" applyFont="1" applyFill="1" applyBorder="1" applyAlignment="1">
      <alignment horizontal="center" vertical="center"/>
    </xf>
    <xf numFmtId="0" fontId="52" fillId="6" borderId="35" xfId="9" applyFont="1" applyFill="1" applyBorder="1" applyAlignment="1">
      <alignment horizontal="center" vertical="center"/>
    </xf>
    <xf numFmtId="0" fontId="62" fillId="6" borderId="29" xfId="9" applyFont="1" applyFill="1" applyBorder="1" applyAlignment="1">
      <alignment horizontal="left" vertical="center"/>
    </xf>
    <xf numFmtId="0" fontId="62" fillId="6" borderId="40" xfId="9" applyFont="1" applyFill="1" applyBorder="1" applyAlignment="1">
      <alignment horizontal="left" vertical="center"/>
    </xf>
    <xf numFmtId="0" fontId="2" fillId="6" borderId="45" xfId="0" applyFont="1" applyFill="1" applyBorder="1" applyAlignment="1">
      <alignment horizontal="left" vertical="top" wrapText="1"/>
    </xf>
    <xf numFmtId="0" fontId="2" fillId="6" borderId="46" xfId="0" applyFont="1" applyFill="1" applyBorder="1" applyAlignment="1">
      <alignment horizontal="left" vertical="top" wrapText="1"/>
    </xf>
    <xf numFmtId="49" fontId="62" fillId="6" borderId="29" xfId="9" applyNumberFormat="1" applyFont="1" applyFill="1" applyBorder="1" applyAlignment="1">
      <alignment horizontal="center" vertical="center"/>
    </xf>
    <xf numFmtId="49" fontId="62" fillId="6" borderId="40" xfId="9" applyNumberFormat="1" applyFont="1" applyFill="1" applyBorder="1" applyAlignment="1">
      <alignment horizontal="center" vertical="center"/>
    </xf>
    <xf numFmtId="0" fontId="62" fillId="6" borderId="29" xfId="9" quotePrefix="1" applyFont="1" applyFill="1" applyBorder="1" applyAlignment="1">
      <alignment horizontal="left" vertical="center"/>
    </xf>
    <xf numFmtId="0" fontId="63" fillId="6" borderId="4" xfId="8" applyFont="1" applyFill="1" applyBorder="1" applyAlignment="1">
      <alignment horizontal="center" vertical="center" wrapText="1"/>
    </xf>
    <xf numFmtId="0" fontId="63" fillId="6" borderId="0" xfId="8" applyFont="1" applyFill="1" applyAlignment="1">
      <alignment horizontal="center" vertical="center" wrapText="1"/>
    </xf>
    <xf numFmtId="0" fontId="63" fillId="6" borderId="5" xfId="8" applyFont="1" applyFill="1" applyBorder="1" applyAlignment="1">
      <alignment horizontal="center" vertical="center" wrapText="1"/>
    </xf>
    <xf numFmtId="0" fontId="65" fillId="0" borderId="45" xfId="8" applyFont="1" applyBorder="1" applyAlignment="1">
      <alignment horizontal="left" vertical="center"/>
    </xf>
    <xf numFmtId="0" fontId="65" fillId="0" borderId="46" xfId="8" applyFont="1" applyBorder="1" applyAlignment="1">
      <alignment horizontal="left" vertical="center"/>
    </xf>
    <xf numFmtId="0" fontId="65" fillId="0" borderId="47" xfId="8" applyFont="1" applyBorder="1" applyAlignment="1">
      <alignment horizontal="left" vertical="center"/>
    </xf>
    <xf numFmtId="0" fontId="67" fillId="11" borderId="45" xfId="13" applyFont="1" applyFill="1" applyBorder="1" applyAlignment="1">
      <alignment horizontal="center" vertical="center"/>
    </xf>
    <xf numFmtId="0" fontId="67" fillId="11" borderId="46" xfId="13" applyFont="1" applyFill="1" applyBorder="1" applyAlignment="1">
      <alignment horizontal="center" vertical="center"/>
    </xf>
    <xf numFmtId="0" fontId="67" fillId="11" borderId="47" xfId="13" applyFont="1" applyFill="1" applyBorder="1" applyAlignment="1">
      <alignment horizontal="center" vertical="center"/>
    </xf>
    <xf numFmtId="0" fontId="67" fillId="11" borderId="45" xfId="8" applyFont="1" applyFill="1" applyBorder="1" applyAlignment="1" applyProtection="1">
      <alignment horizontal="center" vertical="center"/>
      <protection locked="0"/>
    </xf>
    <xf numFmtId="0" fontId="67" fillId="11" borderId="46" xfId="8" applyFont="1" applyFill="1" applyBorder="1" applyAlignment="1" applyProtection="1">
      <alignment horizontal="center" vertical="center"/>
      <protection locked="0"/>
    </xf>
    <xf numFmtId="14" fontId="1" fillId="15" borderId="15" xfId="0" applyNumberFormat="1" applyFont="1" applyFill="1" applyBorder="1" applyAlignment="1">
      <alignment horizontal="center" vertical="center"/>
    </xf>
    <xf numFmtId="14" fontId="1" fillId="15" borderId="16" xfId="0" applyNumberFormat="1" applyFont="1" applyFill="1" applyBorder="1" applyAlignment="1">
      <alignment horizontal="center" vertical="center"/>
    </xf>
    <xf numFmtId="4" fontId="27" fillId="6" borderId="1" xfId="0" applyNumberFormat="1" applyFont="1" applyFill="1" applyBorder="1" applyAlignment="1">
      <alignment horizontal="center" vertical="center" wrapText="1"/>
    </xf>
    <xf numFmtId="4" fontId="27" fillId="6" borderId="2" xfId="0" applyNumberFormat="1" applyFont="1" applyFill="1" applyBorder="1" applyAlignment="1">
      <alignment horizontal="center" vertical="center" wrapText="1"/>
    </xf>
    <xf numFmtId="4" fontId="27" fillId="6" borderId="3" xfId="0" applyNumberFormat="1" applyFont="1" applyFill="1" applyBorder="1" applyAlignment="1">
      <alignment horizontal="center" vertical="center" wrapText="1"/>
    </xf>
    <xf numFmtId="0" fontId="28" fillId="15" borderId="0" xfId="0" applyFont="1" applyFill="1" applyAlignment="1">
      <alignment horizontal="center" vertical="center"/>
    </xf>
    <xf numFmtId="164" fontId="1" fillId="15" borderId="0" xfId="0" applyNumberFormat="1" applyFont="1" applyFill="1" applyAlignment="1">
      <alignment horizontal="center" vertical="center"/>
    </xf>
    <xf numFmtId="164" fontId="1" fillId="15" borderId="5" xfId="0" applyNumberFormat="1" applyFont="1" applyFill="1" applyBorder="1" applyAlignment="1">
      <alignment horizontal="center" vertical="center"/>
    </xf>
    <xf numFmtId="0" fontId="1" fillId="15" borderId="0" xfId="0" applyFont="1" applyFill="1" applyAlignment="1">
      <alignment horizontal="center" vertical="center"/>
    </xf>
    <xf numFmtId="14" fontId="1" fillId="15" borderId="0" xfId="0" applyNumberFormat="1" applyFont="1" applyFill="1" applyAlignment="1">
      <alignment horizontal="center" vertical="center"/>
    </xf>
    <xf numFmtId="14" fontId="1" fillId="15" borderId="5" xfId="0" applyNumberFormat="1" applyFont="1" applyFill="1" applyBorder="1" applyAlignment="1">
      <alignment horizontal="center" vertical="center"/>
    </xf>
    <xf numFmtId="0" fontId="26" fillId="11" borderId="14" xfId="0" applyFont="1" applyFill="1" applyBorder="1" applyAlignment="1">
      <alignment horizontal="center" vertical="center" wrapText="1"/>
    </xf>
    <xf numFmtId="0" fontId="26" fillId="11" borderId="15" xfId="0" applyFont="1" applyFill="1" applyBorder="1" applyAlignment="1">
      <alignment horizontal="center" vertical="center" wrapText="1"/>
    </xf>
    <xf numFmtId="0" fontId="26" fillId="11" borderId="16" xfId="0" applyFont="1" applyFill="1" applyBorder="1" applyAlignment="1">
      <alignment horizontal="center" vertical="center" wrapText="1"/>
    </xf>
    <xf numFmtId="0" fontId="31" fillId="6" borderId="0" xfId="0" applyFont="1" applyFill="1" applyAlignment="1">
      <alignment horizontal="center" vertical="center"/>
    </xf>
    <xf numFmtId="0" fontId="26" fillId="6" borderId="0" xfId="0" applyFont="1" applyFill="1" applyAlignment="1">
      <alignment horizontal="center" vertical="center"/>
    </xf>
    <xf numFmtId="166" fontId="0" fillId="6" borderId="0" xfId="0" applyNumberFormat="1" applyFill="1" applyAlignment="1">
      <alignment horizontal="center" vertical="center"/>
    </xf>
    <xf numFmtId="10" fontId="26" fillId="6" borderId="0" xfId="3" applyNumberFormat="1" applyFont="1" applyFill="1" applyAlignment="1">
      <alignment horizontal="center" vertical="center"/>
    </xf>
    <xf numFmtId="0" fontId="26" fillId="6" borderId="19" xfId="0" applyFont="1" applyFill="1" applyBorder="1" applyAlignment="1">
      <alignment horizontal="center" vertical="top"/>
    </xf>
    <xf numFmtId="0" fontId="52" fillId="6" borderId="39" xfId="7" applyFont="1" applyFill="1" applyBorder="1" applyAlignment="1">
      <alignment horizontal="center" vertical="center"/>
    </xf>
    <xf numFmtId="0" fontId="52" fillId="6" borderId="30" xfId="7" applyFont="1" applyFill="1" applyBorder="1" applyAlignment="1">
      <alignment horizontal="center" vertical="center"/>
    </xf>
    <xf numFmtId="0" fontId="52" fillId="6" borderId="40" xfId="7" applyFont="1" applyFill="1" applyBorder="1" applyAlignment="1">
      <alignment horizontal="center" vertical="center"/>
    </xf>
    <xf numFmtId="0" fontId="48" fillId="6" borderId="1" xfId="7" applyFont="1" applyFill="1" applyBorder="1" applyAlignment="1">
      <alignment horizontal="left" vertical="center"/>
    </xf>
    <xf numFmtId="0" fontId="48" fillId="6" borderId="2" xfId="7" applyFont="1" applyFill="1" applyBorder="1" applyAlignment="1">
      <alignment horizontal="left" vertical="center"/>
    </xf>
    <xf numFmtId="0" fontId="48" fillId="6" borderId="3" xfId="7" applyFont="1" applyFill="1" applyBorder="1" applyAlignment="1">
      <alignment horizontal="left" vertical="center"/>
    </xf>
    <xf numFmtId="0" fontId="48" fillId="6" borderId="54" xfId="7" applyFont="1" applyFill="1" applyBorder="1" applyAlignment="1">
      <alignment horizontal="left" vertical="center"/>
    </xf>
    <xf numFmtId="0" fontId="48" fillId="6" borderId="22" xfId="7" applyFont="1" applyFill="1" applyBorder="1" applyAlignment="1">
      <alignment horizontal="left" vertical="center"/>
    </xf>
    <xf numFmtId="0" fontId="48" fillId="6" borderId="55" xfId="7" applyFont="1" applyFill="1" applyBorder="1" applyAlignment="1">
      <alignment horizontal="left" vertical="center"/>
    </xf>
    <xf numFmtId="0" fontId="50" fillId="11" borderId="39" xfId="0" applyFont="1" applyFill="1" applyBorder="1" applyAlignment="1">
      <alignment horizontal="right" vertical="center"/>
    </xf>
    <xf numFmtId="0" fontId="50" fillId="11" borderId="30" xfId="0" applyFont="1" applyFill="1" applyBorder="1" applyAlignment="1">
      <alignment horizontal="right" vertical="center"/>
    </xf>
    <xf numFmtId="0" fontId="50" fillId="11" borderId="40" xfId="0" applyFont="1" applyFill="1" applyBorder="1" applyAlignment="1">
      <alignment horizontal="right" vertical="center"/>
    </xf>
    <xf numFmtId="0" fontId="5" fillId="21" borderId="39" xfId="0" applyFont="1" applyFill="1" applyBorder="1" applyAlignment="1">
      <alignment horizontal="left" vertical="center"/>
    </xf>
    <xf numFmtId="0" fontId="5" fillId="21" borderId="30" xfId="0" applyFont="1" applyFill="1" applyBorder="1" applyAlignment="1">
      <alignment horizontal="left" vertical="center"/>
    </xf>
    <xf numFmtId="0" fontId="2" fillId="21" borderId="4" xfId="0" applyFont="1" applyFill="1" applyBorder="1" applyAlignment="1">
      <alignment horizontal="left" vertical="top" wrapText="1"/>
    </xf>
    <xf numFmtId="0" fontId="2" fillId="21" borderId="0" xfId="0" applyFont="1" applyFill="1" applyAlignment="1">
      <alignment horizontal="left" vertical="top" wrapText="1"/>
    </xf>
    <xf numFmtId="0" fontId="2" fillId="21" borderId="54" xfId="0" applyFont="1" applyFill="1" applyBorder="1" applyAlignment="1">
      <alignment horizontal="left" vertical="top" wrapText="1"/>
    </xf>
    <xf numFmtId="0" fontId="2" fillId="21" borderId="22" xfId="0" applyFont="1" applyFill="1" applyBorder="1" applyAlignment="1">
      <alignment horizontal="left" vertical="top" wrapText="1"/>
    </xf>
    <xf numFmtId="0" fontId="50" fillId="11" borderId="39" xfId="0" applyFont="1" applyFill="1" applyBorder="1" applyAlignment="1">
      <alignment horizontal="center" vertical="center"/>
    </xf>
    <xf numFmtId="0" fontId="50" fillId="11" borderId="30" xfId="0" applyFont="1" applyFill="1" applyBorder="1" applyAlignment="1">
      <alignment horizontal="center" vertical="center"/>
    </xf>
    <xf numFmtId="0" fontId="50" fillId="11" borderId="40" xfId="0" applyFont="1" applyFill="1" applyBorder="1" applyAlignment="1">
      <alignment horizontal="center" vertical="center"/>
    </xf>
    <xf numFmtId="0" fontId="54" fillId="11" borderId="39" xfId="0" applyFont="1" applyFill="1" applyBorder="1" applyAlignment="1">
      <alignment horizontal="center" vertical="center"/>
    </xf>
    <xf numFmtId="0" fontId="54" fillId="11" borderId="30" xfId="0" applyFont="1" applyFill="1" applyBorder="1" applyAlignment="1">
      <alignment horizontal="center" vertical="center"/>
    </xf>
    <xf numFmtId="0" fontId="54" fillId="11" borderId="40" xfId="0" applyFont="1" applyFill="1" applyBorder="1" applyAlignment="1">
      <alignment horizontal="center" vertical="center"/>
    </xf>
    <xf numFmtId="40" fontId="52" fillId="0" borderId="45" xfId="11" applyFont="1" applyBorder="1" applyAlignment="1">
      <alignment horizontal="center" vertical="center"/>
    </xf>
    <xf numFmtId="40" fontId="52" fillId="0" borderId="46" xfId="11" applyFont="1" applyBorder="1" applyAlignment="1">
      <alignment horizontal="center" vertical="center"/>
    </xf>
    <xf numFmtId="0" fontId="52" fillId="0" borderId="39" xfId="12" applyFont="1" applyBorder="1" applyAlignment="1">
      <alignment horizontal="center" vertical="center"/>
    </xf>
    <xf numFmtId="0" fontId="52" fillId="0" borderId="30" xfId="12" applyFont="1" applyBorder="1" applyAlignment="1">
      <alignment horizontal="center" vertical="center"/>
    </xf>
    <xf numFmtId="0" fontId="52" fillId="0" borderId="40" xfId="12" applyFont="1" applyBorder="1" applyAlignment="1">
      <alignment horizontal="center" vertical="center"/>
    </xf>
    <xf numFmtId="0" fontId="53" fillId="6" borderId="45" xfId="12" applyFont="1" applyFill="1" applyBorder="1" applyAlignment="1">
      <alignment horizontal="center" vertical="center"/>
    </xf>
    <xf numFmtId="0" fontId="53" fillId="6" borderId="46" xfId="12" applyFont="1" applyFill="1" applyBorder="1" applyAlignment="1">
      <alignment horizontal="center" vertical="center"/>
    </xf>
    <xf numFmtId="0" fontId="55" fillId="6" borderId="29" xfId="13" applyFont="1" applyFill="1" applyBorder="1" applyAlignment="1">
      <alignment horizontal="left" vertical="center"/>
    </xf>
    <xf numFmtId="0" fontId="55" fillId="6" borderId="30" xfId="13" applyFont="1" applyFill="1" applyBorder="1" applyAlignment="1">
      <alignment horizontal="left" vertical="center"/>
    </xf>
    <xf numFmtId="0" fontId="55" fillId="6" borderId="57" xfId="13" applyFont="1" applyFill="1" applyBorder="1" applyAlignment="1">
      <alignment horizontal="left" vertical="center"/>
    </xf>
    <xf numFmtId="40" fontId="52" fillId="6" borderId="39" xfId="11" applyFont="1" applyFill="1" applyBorder="1" applyAlignment="1">
      <alignment horizontal="right" vertical="center"/>
    </xf>
    <xf numFmtId="40" fontId="52" fillId="6" borderId="30" xfId="11" applyFont="1" applyFill="1" applyBorder="1" applyAlignment="1">
      <alignment horizontal="right" vertical="center"/>
    </xf>
    <xf numFmtId="40" fontId="52" fillId="6" borderId="57" xfId="11" applyFont="1" applyFill="1" applyBorder="1" applyAlignment="1">
      <alignment horizontal="right" vertical="center"/>
    </xf>
    <xf numFmtId="0" fontId="55" fillId="6" borderId="46" xfId="13" applyFont="1" applyFill="1" applyBorder="1" applyAlignment="1">
      <alignment horizontal="left" vertical="center"/>
    </xf>
    <xf numFmtId="0" fontId="55" fillId="6" borderId="29" xfId="13" applyFont="1" applyFill="1" applyBorder="1" applyAlignment="1">
      <alignment horizontal="left" vertical="center" wrapText="1"/>
    </xf>
    <xf numFmtId="0" fontId="55" fillId="6" borderId="30" xfId="13" applyFont="1" applyFill="1" applyBorder="1" applyAlignment="1">
      <alignment horizontal="left" vertical="center" wrapText="1"/>
    </xf>
    <xf numFmtId="0" fontId="55" fillId="6" borderId="57" xfId="13" applyFont="1" applyFill="1" applyBorder="1" applyAlignment="1">
      <alignment horizontal="left" vertical="center" wrapText="1"/>
    </xf>
    <xf numFmtId="40" fontId="57" fillId="3" borderId="58" xfId="11" applyFont="1" applyFill="1" applyBorder="1" applyAlignment="1">
      <alignment horizontal="right" vertical="center"/>
    </xf>
    <xf numFmtId="40" fontId="57" fillId="3" borderId="59" xfId="11" applyFont="1" applyFill="1" applyBorder="1" applyAlignment="1">
      <alignment horizontal="right" vertical="center"/>
    </xf>
    <xf numFmtId="0" fontId="53" fillId="6" borderId="61" xfId="10" applyFont="1" applyFill="1" applyBorder="1" applyAlignment="1">
      <alignment horizontal="center" vertical="center"/>
    </xf>
    <xf numFmtId="0" fontId="53" fillId="6" borderId="19" xfId="10" applyFont="1" applyFill="1" applyBorder="1" applyAlignment="1">
      <alignment horizontal="center" vertical="center"/>
    </xf>
    <xf numFmtId="0" fontId="53" fillId="6" borderId="62" xfId="10" applyFont="1" applyFill="1" applyBorder="1" applyAlignment="1">
      <alignment horizontal="center" vertical="center"/>
    </xf>
    <xf numFmtId="0" fontId="45" fillId="6" borderId="0" xfId="0" applyFont="1" applyFill="1" applyAlignment="1">
      <alignment horizontal="left" vertical="top" wrapText="1"/>
    </xf>
    <xf numFmtId="0" fontId="46" fillId="3" borderId="6" xfId="0" applyFont="1" applyFill="1" applyBorder="1" applyAlignment="1">
      <alignment horizontal="center" vertical="center" wrapText="1"/>
    </xf>
    <xf numFmtId="0" fontId="6" fillId="16" borderId="123" xfId="0" applyFont="1" applyFill="1" applyBorder="1" applyAlignment="1">
      <alignment horizontal="center" vertical="center" wrapText="1"/>
    </xf>
    <xf numFmtId="0" fontId="6" fillId="16" borderId="103" xfId="0" applyFont="1" applyFill="1" applyBorder="1" applyAlignment="1">
      <alignment horizontal="center" vertical="center" wrapText="1"/>
    </xf>
    <xf numFmtId="0" fontId="6" fillId="16" borderId="124" xfId="0" applyFont="1" applyFill="1" applyBorder="1" applyAlignment="1">
      <alignment horizontal="center" vertical="center" wrapText="1"/>
    </xf>
    <xf numFmtId="0" fontId="6" fillId="17" borderId="123" xfId="0" applyFont="1" applyFill="1" applyBorder="1" applyAlignment="1">
      <alignment horizontal="center" vertical="center" wrapText="1"/>
    </xf>
    <xf numFmtId="0" fontId="6" fillId="17" borderId="103" xfId="0" applyFont="1" applyFill="1" applyBorder="1" applyAlignment="1">
      <alignment horizontal="center" vertical="center" wrapText="1"/>
    </xf>
    <xf numFmtId="0" fontId="6" fillId="17" borderId="124" xfId="0" applyFont="1" applyFill="1" applyBorder="1" applyAlignment="1">
      <alignment horizontal="center" vertical="center" wrapText="1"/>
    </xf>
    <xf numFmtId="0" fontId="41" fillId="18" borderId="123" xfId="0" applyFont="1" applyFill="1" applyBorder="1" applyAlignment="1">
      <alignment horizontal="center" vertical="center" wrapText="1"/>
    </xf>
    <xf numFmtId="0" fontId="41" fillId="18" borderId="103" xfId="0" applyFont="1" applyFill="1" applyBorder="1" applyAlignment="1">
      <alignment horizontal="center" vertical="center" wrapText="1"/>
    </xf>
    <xf numFmtId="0" fontId="41" fillId="18" borderId="124" xfId="0" applyFont="1" applyFill="1" applyBorder="1" applyAlignment="1">
      <alignment horizontal="center" vertical="center" wrapText="1"/>
    </xf>
    <xf numFmtId="0" fontId="38" fillId="3" borderId="45" xfId="0" applyFont="1" applyFill="1" applyBorder="1" applyAlignment="1">
      <alignment horizontal="center" vertical="center"/>
    </xf>
    <xf numFmtId="0" fontId="38" fillId="3" borderId="46" xfId="0" applyFont="1" applyFill="1" applyBorder="1" applyAlignment="1">
      <alignment horizontal="center" vertical="center"/>
    </xf>
    <xf numFmtId="0" fontId="38" fillId="3" borderId="47" xfId="0" applyFont="1" applyFill="1" applyBorder="1" applyAlignment="1">
      <alignment horizontal="center" vertical="center"/>
    </xf>
    <xf numFmtId="0" fontId="0" fillId="11" borderId="29" xfId="0" applyFill="1" applyBorder="1" applyAlignment="1">
      <alignment horizontal="center" vertical="center"/>
    </xf>
    <xf numFmtId="0" fontId="0" fillId="11" borderId="30" xfId="0" applyFill="1" applyBorder="1" applyAlignment="1">
      <alignment horizontal="center" vertical="center"/>
    </xf>
    <xf numFmtId="0" fontId="0" fillId="11" borderId="40" xfId="0" applyFill="1" applyBorder="1" applyAlignment="1">
      <alignment horizontal="center" vertical="center"/>
    </xf>
    <xf numFmtId="0" fontId="3" fillId="6" borderId="0" xfId="0" applyFont="1" applyFill="1" applyAlignment="1">
      <alignment horizontal="left" vertical="top" wrapText="1"/>
    </xf>
    <xf numFmtId="0" fontId="1" fillId="6" borderId="0" xfId="0" applyFont="1" applyFill="1" applyAlignment="1">
      <alignment horizontal="left" vertical="top" wrapText="1"/>
    </xf>
    <xf numFmtId="0" fontId="1" fillId="6" borderId="110" xfId="0" applyFont="1" applyFill="1" applyBorder="1" applyAlignment="1">
      <alignment horizontal="left" vertical="top" wrapText="1"/>
    </xf>
    <xf numFmtId="0" fontId="37" fillId="3" borderId="104" xfId="0" applyFont="1" applyFill="1" applyBorder="1" applyAlignment="1">
      <alignment horizontal="center" vertical="center"/>
    </xf>
    <xf numFmtId="0" fontId="37" fillId="3" borderId="105" xfId="0" applyFont="1" applyFill="1" applyBorder="1" applyAlignment="1">
      <alignment horizontal="center" vertical="center"/>
    </xf>
    <xf numFmtId="0" fontId="37" fillId="3" borderId="106" xfId="0" applyFont="1" applyFill="1" applyBorder="1" applyAlignment="1">
      <alignment horizontal="center" vertical="center"/>
    </xf>
    <xf numFmtId="0" fontId="37" fillId="3" borderId="109" xfId="0" applyFont="1" applyFill="1" applyBorder="1" applyAlignment="1">
      <alignment horizontal="center" vertical="center"/>
    </xf>
    <xf numFmtId="0" fontId="37" fillId="3" borderId="110" xfId="0" applyFont="1" applyFill="1" applyBorder="1" applyAlignment="1">
      <alignment horizontal="center" vertical="center"/>
    </xf>
    <xf numFmtId="0" fontId="37" fillId="3" borderId="111" xfId="0" applyFont="1" applyFill="1" applyBorder="1" applyAlignment="1">
      <alignment horizontal="center" vertical="center"/>
    </xf>
    <xf numFmtId="0" fontId="2" fillId="6" borderId="4" xfId="0" applyFont="1" applyFill="1" applyBorder="1" applyAlignment="1">
      <alignment horizontal="left" vertical="top" wrapText="1"/>
    </xf>
    <xf numFmtId="0" fontId="2" fillId="6" borderId="0" xfId="0" applyFont="1" applyFill="1" applyAlignment="1">
      <alignment horizontal="left" vertical="top" wrapText="1"/>
    </xf>
    <xf numFmtId="0" fontId="2" fillId="6" borderId="5" xfId="0" applyFont="1" applyFill="1" applyBorder="1" applyAlignment="1">
      <alignment horizontal="left" vertical="top" wrapText="1"/>
    </xf>
    <xf numFmtId="0" fontId="4" fillId="6" borderId="4" xfId="0" applyFont="1" applyFill="1" applyBorder="1" applyAlignment="1">
      <alignment horizontal="left" vertical="top" wrapText="1"/>
    </xf>
    <xf numFmtId="0" fontId="4" fillId="6" borderId="0" xfId="0" applyFont="1" applyFill="1" applyAlignment="1">
      <alignment horizontal="left" vertical="top" wrapText="1"/>
    </xf>
    <xf numFmtId="0" fontId="4" fillId="6" borderId="5" xfId="0" applyFont="1" applyFill="1" applyBorder="1" applyAlignment="1">
      <alignment horizontal="left" vertical="top" wrapText="1"/>
    </xf>
    <xf numFmtId="0" fontId="42" fillId="3" borderId="48" xfId="0" applyFont="1" applyFill="1" applyBorder="1" applyAlignment="1">
      <alignment horizontal="center" vertical="center"/>
    </xf>
    <xf numFmtId="0" fontId="42" fillId="3" borderId="49" xfId="0" applyFont="1" applyFill="1" applyBorder="1" applyAlignment="1">
      <alignment horizontal="center" vertical="center"/>
    </xf>
    <xf numFmtId="0" fontId="42" fillId="3" borderId="50" xfId="0" applyFont="1" applyFill="1" applyBorder="1" applyAlignment="1">
      <alignment horizontal="center" vertical="center"/>
    </xf>
    <xf numFmtId="0" fontId="42" fillId="3" borderId="45" xfId="0" applyFont="1" applyFill="1" applyBorder="1" applyAlignment="1">
      <alignment horizontal="center" vertical="center"/>
    </xf>
    <xf numFmtId="0" fontId="42" fillId="3" borderId="46" xfId="0" applyFont="1" applyFill="1" applyBorder="1" applyAlignment="1">
      <alignment horizontal="center" vertical="center"/>
    </xf>
    <xf numFmtId="0" fontId="42" fillId="3" borderId="47" xfId="0" applyFont="1" applyFill="1" applyBorder="1" applyAlignment="1">
      <alignment horizontal="center" vertical="center"/>
    </xf>
    <xf numFmtId="0" fontId="42" fillId="3" borderId="43" xfId="0" applyFont="1" applyFill="1" applyBorder="1" applyAlignment="1">
      <alignment horizontal="center" vertical="center"/>
    </xf>
    <xf numFmtId="0" fontId="42" fillId="3" borderId="34" xfId="0" applyFont="1" applyFill="1" applyBorder="1" applyAlignment="1">
      <alignment horizontal="center" vertical="center"/>
    </xf>
    <xf numFmtId="0" fontId="42" fillId="3" borderId="44" xfId="0" applyFont="1" applyFill="1" applyBorder="1" applyAlignment="1">
      <alignment horizontal="center" vertical="center"/>
    </xf>
    <xf numFmtId="0" fontId="37" fillId="17" borderId="48" xfId="0" applyFont="1" applyFill="1" applyBorder="1" applyAlignment="1">
      <alignment horizontal="center" vertical="center"/>
    </xf>
    <xf numFmtId="0" fontId="37" fillId="17" borderId="45" xfId="0" applyFont="1" applyFill="1" applyBorder="1" applyAlignment="1">
      <alignment horizontal="center" vertical="center"/>
    </xf>
    <xf numFmtId="0" fontId="37" fillId="17" borderId="49" xfId="0" applyFont="1" applyFill="1" applyBorder="1" applyAlignment="1">
      <alignment horizontal="center" vertical="center"/>
    </xf>
    <xf numFmtId="0" fontId="37" fillId="17" borderId="50" xfId="0" applyFont="1" applyFill="1" applyBorder="1" applyAlignment="1">
      <alignment horizontal="center" vertical="center"/>
    </xf>
    <xf numFmtId="0" fontId="0" fillId="11" borderId="46" xfId="0" applyFill="1" applyBorder="1" applyAlignment="1">
      <alignment horizontal="center" vertical="center"/>
    </xf>
    <xf numFmtId="0" fontId="0" fillId="11" borderId="47" xfId="0" applyFill="1" applyBorder="1" applyAlignment="1">
      <alignment horizontal="center" vertical="center"/>
    </xf>
    <xf numFmtId="0" fontId="3" fillId="6" borderId="1" xfId="0" applyFont="1" applyFill="1" applyBorder="1" applyAlignment="1">
      <alignment horizontal="left" vertical="top" wrapText="1"/>
    </xf>
    <xf numFmtId="0" fontId="3" fillId="6" borderId="2" xfId="0" applyFont="1" applyFill="1" applyBorder="1" applyAlignment="1">
      <alignment horizontal="left" vertical="top" wrapText="1"/>
    </xf>
    <xf numFmtId="0" fontId="3" fillId="6" borderId="3" xfId="0" applyFont="1" applyFill="1" applyBorder="1" applyAlignment="1">
      <alignment horizontal="left" vertical="top" wrapText="1"/>
    </xf>
    <xf numFmtId="0" fontId="3" fillId="6" borderId="4" xfId="0" applyFont="1" applyFill="1" applyBorder="1" applyAlignment="1">
      <alignment horizontal="left" vertical="top" wrapText="1"/>
    </xf>
    <xf numFmtId="0" fontId="3" fillId="6" borderId="5" xfId="0" applyFont="1" applyFill="1" applyBorder="1" applyAlignment="1">
      <alignment horizontal="left" vertical="top" wrapText="1"/>
    </xf>
    <xf numFmtId="0" fontId="3" fillId="6" borderId="54" xfId="0" applyFont="1" applyFill="1" applyBorder="1" applyAlignment="1">
      <alignment horizontal="left" vertical="top" wrapText="1"/>
    </xf>
    <xf numFmtId="0" fontId="3" fillId="6" borderId="22" xfId="0" applyFont="1" applyFill="1" applyBorder="1" applyAlignment="1">
      <alignment horizontal="left" vertical="top" wrapText="1"/>
    </xf>
    <xf numFmtId="0" fontId="3" fillId="6" borderId="55" xfId="0" applyFont="1" applyFill="1" applyBorder="1" applyAlignment="1">
      <alignment horizontal="left" vertical="top" wrapText="1"/>
    </xf>
    <xf numFmtId="0" fontId="26" fillId="14" borderId="46" xfId="0" applyFont="1" applyFill="1" applyBorder="1" applyAlignment="1">
      <alignment horizontal="center" vertical="center"/>
    </xf>
    <xf numFmtId="0" fontId="26" fillId="0" borderId="29" xfId="0" applyFont="1" applyBorder="1" applyAlignment="1">
      <alignment horizontal="center"/>
    </xf>
    <xf numFmtId="0" fontId="26" fillId="0" borderId="57" xfId="0" applyFont="1" applyBorder="1" applyAlignment="1">
      <alignment horizontal="center"/>
    </xf>
    <xf numFmtId="0" fontId="0" fillId="6" borderId="29" xfId="0" applyFill="1" applyBorder="1" applyAlignment="1">
      <alignment horizontal="center" vertical="center" wrapText="1"/>
    </xf>
    <xf numFmtId="0" fontId="0" fillId="6" borderId="57" xfId="0" applyFill="1" applyBorder="1" applyAlignment="1">
      <alignment horizontal="center" vertical="center" wrapText="1"/>
    </xf>
    <xf numFmtId="0" fontId="26" fillId="11" borderId="29" xfId="0" applyFont="1" applyFill="1" applyBorder="1" applyAlignment="1">
      <alignment horizontal="left" vertical="center" wrapText="1"/>
    </xf>
    <xf numFmtId="0" fontId="26" fillId="11" borderId="30" xfId="0" applyFont="1" applyFill="1" applyBorder="1" applyAlignment="1">
      <alignment horizontal="left" vertical="center" wrapText="1"/>
    </xf>
    <xf numFmtId="0" fontId="26" fillId="11" borderId="57" xfId="0" applyFont="1" applyFill="1" applyBorder="1" applyAlignment="1">
      <alignment horizontal="left" vertical="center" wrapText="1"/>
    </xf>
    <xf numFmtId="0" fontId="71" fillId="11" borderId="21" xfId="0" applyFont="1" applyFill="1" applyBorder="1" applyAlignment="1">
      <alignment horizontal="center" vertical="center" wrapText="1"/>
    </xf>
    <xf numFmtId="0" fontId="71" fillId="11" borderId="22" xfId="0" applyFont="1" applyFill="1" applyBorder="1" applyAlignment="1">
      <alignment horizontal="center" vertical="center" wrapText="1"/>
    </xf>
    <xf numFmtId="0" fontId="71" fillId="11" borderId="30" xfId="0" applyFont="1" applyFill="1" applyBorder="1" applyAlignment="1">
      <alignment horizontal="center" vertical="center" wrapText="1"/>
    </xf>
    <xf numFmtId="0" fontId="71" fillId="11" borderId="57" xfId="0" applyFont="1" applyFill="1" applyBorder="1" applyAlignment="1">
      <alignment horizontal="center" vertical="center" wrapText="1"/>
    </xf>
    <xf numFmtId="0" fontId="0" fillId="11" borderId="46" xfId="0" applyFill="1" applyBorder="1" applyAlignment="1">
      <alignment horizontal="left"/>
    </xf>
    <xf numFmtId="0" fontId="0" fillId="0" borderId="46" xfId="0" applyBorder="1" applyAlignment="1">
      <alignment horizontal="center" vertical="center"/>
    </xf>
    <xf numFmtId="0" fontId="28" fillId="0" borderId="18" xfId="0" applyFont="1" applyBorder="1" applyAlignment="1">
      <alignment horizontal="left" vertical="center" wrapText="1"/>
    </xf>
    <xf numFmtId="0" fontId="28" fillId="0" borderId="19" xfId="0" applyFont="1" applyBorder="1" applyAlignment="1">
      <alignment horizontal="left" vertical="center" wrapText="1"/>
    </xf>
    <xf numFmtId="0" fontId="28" fillId="0" borderId="20" xfId="0" applyFont="1" applyBorder="1" applyAlignment="1">
      <alignment horizontal="left" vertical="center" wrapText="1"/>
    </xf>
    <xf numFmtId="0" fontId="28" fillId="0" borderId="21" xfId="0" applyFont="1" applyBorder="1" applyAlignment="1">
      <alignment horizontal="left" vertical="center" wrapText="1"/>
    </xf>
    <xf numFmtId="0" fontId="28" fillId="0" borderId="22" xfId="0" applyFont="1" applyBorder="1" applyAlignment="1">
      <alignment horizontal="left" vertical="center" wrapText="1"/>
    </xf>
    <xf numFmtId="0" fontId="28" fillId="0" borderId="35" xfId="0" applyFont="1" applyBorder="1" applyAlignment="1">
      <alignment horizontal="left" vertical="center" wrapText="1"/>
    </xf>
    <xf numFmtId="0" fontId="5" fillId="21" borderId="18" xfId="0" applyFont="1" applyFill="1" applyBorder="1" applyAlignment="1">
      <alignment horizontal="left" vertical="top"/>
    </xf>
    <xf numFmtId="0" fontId="5" fillId="21" borderId="19" xfId="0" applyFont="1" applyFill="1" applyBorder="1" applyAlignment="1">
      <alignment horizontal="left" vertical="top"/>
    </xf>
    <xf numFmtId="0" fontId="5" fillId="21" borderId="20" xfId="0" applyFont="1" applyFill="1" applyBorder="1" applyAlignment="1">
      <alignment horizontal="left" vertical="top"/>
    </xf>
    <xf numFmtId="17" fontId="70" fillId="0" borderId="59" xfId="0" applyNumberFormat="1" applyFont="1" applyBorder="1" applyAlignment="1">
      <alignment horizontal="center" vertical="center"/>
    </xf>
    <xf numFmtId="17" fontId="70" fillId="0" borderId="56" xfId="0" applyNumberFormat="1" applyFont="1" applyBorder="1" applyAlignment="1">
      <alignment horizontal="center" vertical="center"/>
    </xf>
    <xf numFmtId="17" fontId="70" fillId="0" borderId="35" xfId="0" applyNumberFormat="1" applyFont="1" applyBorder="1" applyAlignment="1">
      <alignment horizontal="center" vertical="center"/>
    </xf>
    <xf numFmtId="0" fontId="2" fillId="21" borderId="87" xfId="0" applyFont="1" applyFill="1" applyBorder="1" applyAlignment="1">
      <alignment horizontal="left" vertical="center" wrapText="1"/>
    </xf>
    <xf numFmtId="0" fontId="0" fillId="0" borderId="46" xfId="0" applyBorder="1" applyAlignment="1">
      <alignment horizontal="center"/>
    </xf>
    <xf numFmtId="0" fontId="70" fillId="21" borderId="46" xfId="0" applyFont="1" applyFill="1" applyBorder="1" applyAlignment="1">
      <alignment horizontal="center" vertical="center" wrapText="1"/>
    </xf>
    <xf numFmtId="0" fontId="26" fillId="0" borderId="29" xfId="0" applyFont="1" applyBorder="1" applyAlignment="1">
      <alignment horizontal="left" vertical="center" wrapText="1"/>
    </xf>
    <xf numFmtId="0" fontId="26" fillId="0" borderId="30" xfId="0" applyFont="1" applyBorder="1" applyAlignment="1">
      <alignment horizontal="left" vertical="center" wrapText="1"/>
    </xf>
    <xf numFmtId="0" fontId="26" fillId="0" borderId="57" xfId="0" applyFont="1" applyBorder="1" applyAlignment="1">
      <alignment horizontal="left" vertical="center" wrapText="1"/>
    </xf>
    <xf numFmtId="0" fontId="26" fillId="30" borderId="29" xfId="0" applyFont="1" applyFill="1" applyBorder="1" applyAlignment="1">
      <alignment horizontal="left" vertical="center" wrapText="1"/>
    </xf>
    <xf numFmtId="0" fontId="26" fillId="30" borderId="30" xfId="0" applyFont="1" applyFill="1" applyBorder="1" applyAlignment="1">
      <alignment horizontal="left" vertical="center" wrapText="1"/>
    </xf>
    <xf numFmtId="0" fontId="26" fillId="30" borderId="57" xfId="0" applyFont="1" applyFill="1" applyBorder="1" applyAlignment="1">
      <alignment horizontal="left" vertical="center" wrapText="1"/>
    </xf>
    <xf numFmtId="0" fontId="0" fillId="29" borderId="29" xfId="0" applyFill="1" applyBorder="1" applyAlignment="1">
      <alignment horizontal="center"/>
    </xf>
    <xf numFmtId="0" fontId="0" fillId="29" borderId="57" xfId="0" applyFill="1" applyBorder="1" applyAlignment="1">
      <alignment horizontal="center"/>
    </xf>
    <xf numFmtId="0" fontId="0" fillId="30" borderId="29" xfId="0" applyFill="1" applyBorder="1" applyAlignment="1">
      <alignment horizontal="center"/>
    </xf>
    <xf numFmtId="0" fontId="0" fillId="30" borderId="57" xfId="0" applyFill="1" applyBorder="1" applyAlignment="1">
      <alignment horizontal="center"/>
    </xf>
    <xf numFmtId="0" fontId="26" fillId="29" borderId="29" xfId="0" applyFont="1" applyFill="1" applyBorder="1" applyAlignment="1">
      <alignment horizontal="left" vertical="center" wrapText="1"/>
    </xf>
    <xf numFmtId="0" fontId="26" fillId="29" borderId="30" xfId="0" applyFont="1" applyFill="1" applyBorder="1" applyAlignment="1">
      <alignment horizontal="left" vertical="center" wrapText="1"/>
    </xf>
    <xf numFmtId="0" fontId="26" fillId="29" borderId="57" xfId="0" applyFont="1" applyFill="1" applyBorder="1" applyAlignment="1">
      <alignment horizontal="left" vertical="center" wrapText="1"/>
    </xf>
    <xf numFmtId="0" fontId="0" fillId="0" borderId="29" xfId="0" applyBorder="1" applyAlignment="1">
      <alignment horizontal="center"/>
    </xf>
    <xf numFmtId="0" fontId="0" fillId="0" borderId="57" xfId="0" applyBorder="1" applyAlignment="1">
      <alignment horizontal="center"/>
    </xf>
    <xf numFmtId="0" fontId="0" fillId="0" borderId="113" xfId="0" applyBorder="1" applyAlignment="1">
      <alignment horizontal="center"/>
    </xf>
    <xf numFmtId="0" fontId="0" fillId="0" borderId="114" xfId="0" applyBorder="1" applyAlignment="1">
      <alignment horizontal="center"/>
    </xf>
    <xf numFmtId="0" fontId="0" fillId="0" borderId="115" xfId="0" applyBorder="1" applyAlignment="1">
      <alignment horizontal="center"/>
    </xf>
    <xf numFmtId="0" fontId="0" fillId="0" borderId="116" xfId="0" applyBorder="1" applyAlignment="1">
      <alignment horizontal="center"/>
    </xf>
    <xf numFmtId="0" fontId="0" fillId="0" borderId="87" xfId="0" applyBorder="1" applyAlignment="1">
      <alignment horizontal="center"/>
    </xf>
    <xf numFmtId="0" fontId="0" fillId="0" borderId="117" xfId="0" applyBorder="1" applyAlignment="1">
      <alignment horizontal="center"/>
    </xf>
    <xf numFmtId="0" fontId="0" fillId="0" borderId="118" xfId="0" applyBorder="1" applyAlignment="1">
      <alignment horizontal="center"/>
    </xf>
    <xf numFmtId="0" fontId="0" fillId="0" borderId="119" xfId="0" applyBorder="1" applyAlignment="1">
      <alignment horizontal="center"/>
    </xf>
    <xf numFmtId="0" fontId="0" fillId="0" borderId="120" xfId="0" applyBorder="1" applyAlignment="1">
      <alignment horizontal="center"/>
    </xf>
    <xf numFmtId="0" fontId="26" fillId="0" borderId="30" xfId="0" applyFont="1" applyBorder="1" applyAlignment="1">
      <alignment horizontal="center"/>
    </xf>
    <xf numFmtId="0" fontId="78" fillId="14" borderId="21" xfId="0" applyFont="1" applyFill="1" applyBorder="1" applyAlignment="1">
      <alignment horizontal="center" vertical="center" wrapText="1"/>
    </xf>
    <xf numFmtId="0" fontId="78" fillId="14" borderId="22" xfId="0" applyFont="1" applyFill="1" applyBorder="1" applyAlignment="1">
      <alignment horizontal="center" vertical="center" wrapText="1"/>
    </xf>
    <xf numFmtId="0" fontId="78" fillId="14" borderId="30" xfId="0" applyFont="1" applyFill="1" applyBorder="1" applyAlignment="1">
      <alignment horizontal="center" vertical="center" wrapText="1"/>
    </xf>
    <xf numFmtId="0" fontId="78" fillId="14" borderId="57" xfId="0" applyFont="1" applyFill="1" applyBorder="1" applyAlignment="1">
      <alignment horizontal="center" vertical="center" wrapText="1"/>
    </xf>
    <xf numFmtId="0" fontId="78" fillId="14" borderId="29" xfId="0" applyFont="1" applyFill="1" applyBorder="1" applyAlignment="1">
      <alignment horizontal="center" vertical="center" wrapText="1"/>
    </xf>
    <xf numFmtId="17" fontId="70" fillId="0" borderId="19" xfId="0" applyNumberFormat="1" applyFont="1" applyBorder="1" applyAlignment="1">
      <alignment horizontal="center" vertical="center"/>
    </xf>
    <xf numFmtId="17" fontId="70" fillId="0" borderId="20" xfId="0" applyNumberFormat="1" applyFont="1" applyBorder="1" applyAlignment="1">
      <alignment horizontal="center" vertical="center"/>
    </xf>
    <xf numFmtId="17" fontId="70" fillId="0" borderId="0" xfId="0" applyNumberFormat="1" applyFont="1" applyAlignment="1">
      <alignment horizontal="center" vertical="center"/>
    </xf>
    <xf numFmtId="17" fontId="70" fillId="0" borderId="22" xfId="0" applyNumberFormat="1" applyFont="1" applyBorder="1" applyAlignment="1">
      <alignment horizontal="center" vertical="center"/>
    </xf>
    <xf numFmtId="0" fontId="26" fillId="27" borderId="29" xfId="0" applyFont="1" applyFill="1" applyBorder="1" applyAlignment="1">
      <alignment horizontal="left" vertical="center" wrapText="1"/>
    </xf>
    <xf numFmtId="0" fontId="26" fillId="27" borderId="30" xfId="0" applyFont="1" applyFill="1" applyBorder="1" applyAlignment="1">
      <alignment horizontal="left" vertical="center" wrapText="1"/>
    </xf>
    <xf numFmtId="0" fontId="26" fillId="27" borderId="57" xfId="0" applyFont="1" applyFill="1" applyBorder="1" applyAlignment="1">
      <alignment horizontal="left" vertical="center" wrapText="1"/>
    </xf>
    <xf numFmtId="0" fontId="26" fillId="31" borderId="29" xfId="0" applyFont="1" applyFill="1" applyBorder="1" applyAlignment="1">
      <alignment horizontal="left" vertical="center" wrapText="1"/>
    </xf>
    <xf numFmtId="0" fontId="26" fillId="31" borderId="30" xfId="0" applyFont="1" applyFill="1" applyBorder="1" applyAlignment="1">
      <alignment horizontal="left" vertical="center" wrapText="1"/>
    </xf>
    <xf numFmtId="0" fontId="26" fillId="31" borderId="57" xfId="0" applyFont="1" applyFill="1" applyBorder="1" applyAlignment="1">
      <alignment horizontal="left" vertical="center" wrapText="1"/>
    </xf>
    <xf numFmtId="0" fontId="26" fillId="32" borderId="29" xfId="0" applyFont="1" applyFill="1" applyBorder="1" applyAlignment="1">
      <alignment horizontal="left" vertical="center" wrapText="1"/>
    </xf>
    <xf numFmtId="0" fontId="26" fillId="32" borderId="30" xfId="0" applyFont="1" applyFill="1" applyBorder="1" applyAlignment="1">
      <alignment horizontal="left" vertical="center" wrapText="1"/>
    </xf>
    <xf numFmtId="0" fontId="26" fillId="32" borderId="57" xfId="0" applyFont="1" applyFill="1" applyBorder="1" applyAlignment="1">
      <alignment horizontal="left" vertical="center" wrapText="1"/>
    </xf>
    <xf numFmtId="0" fontId="26" fillId="33" borderId="29" xfId="0" applyFont="1" applyFill="1" applyBorder="1" applyAlignment="1">
      <alignment horizontal="left" vertical="center" wrapText="1"/>
    </xf>
    <xf numFmtId="0" fontId="26" fillId="33" borderId="30" xfId="0" applyFont="1" applyFill="1" applyBorder="1" applyAlignment="1">
      <alignment horizontal="left" vertical="center" wrapText="1"/>
    </xf>
    <xf numFmtId="0" fontId="26" fillId="33" borderId="57" xfId="0" applyFont="1" applyFill="1" applyBorder="1" applyAlignment="1">
      <alignment horizontal="left" vertical="center" wrapText="1"/>
    </xf>
    <xf numFmtId="0" fontId="26" fillId="34" borderId="29" xfId="0" applyFont="1" applyFill="1" applyBorder="1" applyAlignment="1">
      <alignment horizontal="left" vertical="center" wrapText="1"/>
    </xf>
    <xf numFmtId="0" fontId="26" fillId="34" borderId="30" xfId="0" applyFont="1" applyFill="1" applyBorder="1" applyAlignment="1">
      <alignment horizontal="left" vertical="center" wrapText="1"/>
    </xf>
    <xf numFmtId="0" fontId="26" fillId="34" borderId="57" xfId="0" applyFont="1" applyFill="1" applyBorder="1" applyAlignment="1">
      <alignment horizontal="left" vertical="center" wrapText="1"/>
    </xf>
    <xf numFmtId="0" fontId="71" fillId="11" borderId="0" xfId="0" applyFont="1" applyFill="1" applyAlignment="1">
      <alignment horizontal="center" vertical="center" wrapText="1"/>
    </xf>
    <xf numFmtId="0" fontId="0" fillId="0" borderId="24" xfId="0" applyBorder="1" applyAlignment="1">
      <alignment horizontal="center"/>
    </xf>
    <xf numFmtId="0" fontId="0" fillId="0" borderId="0" xfId="0" applyAlignment="1">
      <alignment horizontal="center"/>
    </xf>
    <xf numFmtId="0" fontId="0" fillId="0" borderId="56"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35" xfId="0" applyBorder="1" applyAlignment="1">
      <alignment horizontal="center"/>
    </xf>
    <xf numFmtId="0" fontId="26" fillId="35" borderId="29" xfId="0" applyFont="1" applyFill="1" applyBorder="1" applyAlignment="1">
      <alignment horizontal="left" vertical="center" wrapText="1"/>
    </xf>
    <xf numFmtId="0" fontId="26" fillId="35" borderId="30" xfId="0" applyFont="1" applyFill="1" applyBorder="1" applyAlignment="1">
      <alignment horizontal="left" vertical="center" wrapText="1"/>
    </xf>
    <xf numFmtId="0" fontId="26" fillId="35" borderId="57" xfId="0" applyFont="1" applyFill="1" applyBorder="1" applyAlignment="1">
      <alignment horizontal="left" vertical="center" wrapText="1"/>
    </xf>
    <xf numFmtId="0" fontId="71" fillId="11" borderId="24" xfId="0" applyFont="1" applyFill="1" applyBorder="1" applyAlignment="1">
      <alignment horizontal="center" vertical="center" wrapText="1"/>
    </xf>
    <xf numFmtId="0" fontId="71" fillId="11" borderId="19" xfId="0" applyFont="1" applyFill="1" applyBorder="1" applyAlignment="1">
      <alignment horizontal="center" vertical="center" wrapText="1"/>
    </xf>
    <xf numFmtId="0" fontId="71" fillId="11" borderId="20" xfId="0" applyFont="1" applyFill="1" applyBorder="1" applyAlignment="1">
      <alignment horizontal="center" vertical="center" wrapText="1"/>
    </xf>
    <xf numFmtId="0" fontId="0" fillId="6" borderId="29" xfId="0" applyFill="1" applyBorder="1" applyAlignment="1">
      <alignment horizontal="left" vertical="center" wrapText="1"/>
    </xf>
    <xf numFmtId="0" fontId="0" fillId="6" borderId="57" xfId="0" applyFill="1" applyBorder="1" applyAlignment="1">
      <alignment horizontal="left" vertical="center" wrapText="1"/>
    </xf>
    <xf numFmtId="0" fontId="0" fillId="6" borderId="29" xfId="0" applyFill="1" applyBorder="1" applyAlignment="1">
      <alignment horizontal="center" wrapText="1"/>
    </xf>
    <xf numFmtId="0" fontId="0" fillId="6" borderId="57" xfId="0" applyFill="1" applyBorder="1" applyAlignment="1">
      <alignment horizontal="center" wrapText="1"/>
    </xf>
    <xf numFmtId="0" fontId="26" fillId="22" borderId="46" xfId="0" applyFont="1" applyFill="1" applyBorder="1" applyAlignment="1">
      <alignment horizontal="center" vertical="center"/>
    </xf>
    <xf numFmtId="0" fontId="26" fillId="0" borderId="29" xfId="0" applyFont="1" applyBorder="1" applyAlignment="1">
      <alignment horizontal="left"/>
    </xf>
    <xf numFmtId="0" fontId="26" fillId="0" borderId="57" xfId="0" applyFont="1" applyBorder="1" applyAlignment="1">
      <alignment horizontal="left"/>
    </xf>
    <xf numFmtId="0" fontId="0" fillId="0" borderId="29" xfId="0" applyBorder="1" applyAlignment="1">
      <alignment horizontal="left"/>
    </xf>
    <xf numFmtId="0" fontId="0" fillId="0" borderId="57" xfId="0" applyBorder="1" applyAlignment="1">
      <alignment horizontal="left"/>
    </xf>
    <xf numFmtId="0" fontId="71" fillId="11" borderId="29" xfId="0" applyFont="1" applyFill="1" applyBorder="1" applyAlignment="1">
      <alignment horizontal="center" vertical="center" wrapText="1"/>
    </xf>
    <xf numFmtId="0" fontId="0" fillId="11" borderId="29" xfId="0" applyFill="1" applyBorder="1" applyAlignment="1">
      <alignment horizontal="left"/>
    </xf>
    <xf numFmtId="0" fontId="0" fillId="11" borderId="30" xfId="0" applyFill="1" applyBorder="1" applyAlignment="1">
      <alignment horizontal="left"/>
    </xf>
    <xf numFmtId="0" fontId="0" fillId="11" borderId="57" xfId="0" applyFill="1" applyBorder="1" applyAlignment="1">
      <alignment horizontal="left"/>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4" xfId="0" applyBorder="1" applyAlignment="1">
      <alignment horizontal="center" vertical="center"/>
    </xf>
    <xf numFmtId="0" fontId="0" fillId="0" borderId="0" xfId="0" applyAlignment="1">
      <alignment horizontal="center" vertical="center"/>
    </xf>
    <xf numFmtId="0" fontId="0" fillId="0" borderId="56"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35" xfId="0" applyBorder="1" applyAlignment="1">
      <alignment horizontal="center" vertical="center"/>
    </xf>
    <xf numFmtId="0" fontId="26" fillId="29" borderId="46" xfId="0" applyFont="1" applyFill="1" applyBorder="1" applyAlignment="1">
      <alignment horizontal="left" vertical="center" wrapText="1"/>
    </xf>
    <xf numFmtId="0" fontId="26" fillId="27" borderId="46" xfId="0" applyFont="1" applyFill="1" applyBorder="1" applyAlignment="1">
      <alignment horizontal="left" vertical="center" wrapText="1"/>
    </xf>
    <xf numFmtId="0" fontId="26" fillId="0" borderId="29" xfId="0" applyFont="1" applyBorder="1" applyAlignment="1">
      <alignment horizontal="center" vertical="center" wrapText="1"/>
    </xf>
    <xf numFmtId="0" fontId="26" fillId="0" borderId="30"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29" xfId="0" applyFont="1" applyBorder="1" applyAlignment="1">
      <alignment horizontal="center" vertical="center"/>
    </xf>
    <xf numFmtId="0" fontId="26" fillId="0" borderId="30" xfId="0" applyFont="1" applyBorder="1" applyAlignment="1">
      <alignment horizontal="center" vertical="center"/>
    </xf>
    <xf numFmtId="0" fontId="26" fillId="0" borderId="57" xfId="0" applyFont="1" applyBorder="1" applyAlignment="1">
      <alignment horizontal="center" vertical="center"/>
    </xf>
    <xf numFmtId="0" fontId="0" fillId="6" borderId="30" xfId="0" applyFill="1" applyBorder="1" applyAlignment="1">
      <alignment horizontal="center" vertical="center" wrapText="1"/>
    </xf>
    <xf numFmtId="0" fontId="0" fillId="0" borderId="30" xfId="0" applyBorder="1" applyAlignment="1">
      <alignment horizontal="left"/>
    </xf>
    <xf numFmtId="0" fontId="26" fillId="0" borderId="87" xfId="0" applyFont="1" applyBorder="1" applyAlignment="1">
      <alignment horizontal="left" vertical="center" wrapText="1"/>
    </xf>
    <xf numFmtId="0" fontId="26" fillId="5" borderId="29" xfId="0" applyFont="1" applyFill="1" applyBorder="1" applyAlignment="1">
      <alignment horizontal="center" vertical="center"/>
    </xf>
    <xf numFmtId="0" fontId="26" fillId="5" borderId="30" xfId="0" applyFont="1" applyFill="1" applyBorder="1" applyAlignment="1">
      <alignment horizontal="center" vertical="center"/>
    </xf>
    <xf numFmtId="0" fontId="26" fillId="5" borderId="57" xfId="0" applyFont="1" applyFill="1" applyBorder="1" applyAlignment="1">
      <alignment horizontal="center" vertical="center"/>
    </xf>
    <xf numFmtId="0" fontId="26" fillId="0" borderId="46" xfId="0" applyFont="1" applyBorder="1" applyAlignment="1">
      <alignment horizontal="left" vertical="center" wrapText="1"/>
    </xf>
    <xf numFmtId="0" fontId="0" fillId="29" borderId="18" xfId="0" applyFill="1" applyBorder="1" applyAlignment="1">
      <alignment horizontal="center" vertical="center" wrapText="1"/>
    </xf>
    <xf numFmtId="0" fontId="0" fillId="29" borderId="20" xfId="0" applyFill="1" applyBorder="1" applyAlignment="1">
      <alignment horizontal="center" vertical="center" wrapText="1"/>
    </xf>
    <xf numFmtId="0" fontId="0" fillId="29" borderId="29" xfId="0" applyFill="1" applyBorder="1" applyAlignment="1">
      <alignment horizontal="center" vertical="center" wrapText="1"/>
    </xf>
    <xf numFmtId="0" fontId="0" fillId="29" borderId="57" xfId="0" applyFill="1"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57" xfId="0" applyBorder="1" applyAlignment="1">
      <alignment horizontal="center" vertical="center" wrapText="1"/>
    </xf>
    <xf numFmtId="0" fontId="26" fillId="28" borderId="46" xfId="0" applyFont="1" applyFill="1" applyBorder="1" applyAlignment="1">
      <alignment horizontal="left" vertical="center" wrapText="1"/>
    </xf>
    <xf numFmtId="0" fontId="0" fillId="28" borderId="18" xfId="0" applyFill="1" applyBorder="1" applyAlignment="1">
      <alignment horizontal="center" vertical="center" wrapText="1"/>
    </xf>
    <xf numFmtId="0" fontId="0" fillId="28" borderId="20" xfId="0" applyFill="1" applyBorder="1" applyAlignment="1">
      <alignment horizontal="center" vertical="center" wrapText="1"/>
    </xf>
    <xf numFmtId="0" fontId="26" fillId="11" borderId="46" xfId="0" applyFont="1" applyFill="1" applyBorder="1" applyAlignment="1">
      <alignment horizontal="left" vertical="center" wrapText="1"/>
    </xf>
    <xf numFmtId="0" fontId="26" fillId="0" borderId="46" xfId="0" applyFont="1" applyBorder="1" applyAlignment="1">
      <alignment horizontal="center"/>
    </xf>
    <xf numFmtId="0" fontId="0" fillId="6" borderId="18" xfId="0" applyFill="1" applyBorder="1" applyAlignment="1">
      <alignment horizontal="center" vertical="center" wrapText="1"/>
    </xf>
    <xf numFmtId="0" fontId="0" fillId="6" borderId="19" xfId="0" applyFill="1" applyBorder="1" applyAlignment="1">
      <alignment horizontal="center" vertical="center" wrapText="1"/>
    </xf>
    <xf numFmtId="0" fontId="0" fillId="6" borderId="20" xfId="0" applyFill="1" applyBorder="1" applyAlignment="1">
      <alignment horizontal="center" vertical="center" wrapText="1"/>
    </xf>
    <xf numFmtId="0" fontId="0" fillId="6" borderId="21" xfId="0" applyFill="1" applyBorder="1" applyAlignment="1">
      <alignment horizontal="center" vertical="center" wrapText="1"/>
    </xf>
    <xf numFmtId="0" fontId="0" fillId="6" borderId="22" xfId="0" applyFill="1" applyBorder="1" applyAlignment="1">
      <alignment horizontal="center" vertical="center" wrapText="1"/>
    </xf>
    <xf numFmtId="0" fontId="0" fillId="6" borderId="35" xfId="0" applyFill="1" applyBorder="1" applyAlignment="1">
      <alignment horizontal="center" vertical="center" wrapText="1"/>
    </xf>
    <xf numFmtId="0" fontId="0" fillId="6" borderId="59" xfId="0" applyFill="1" applyBorder="1" applyAlignment="1">
      <alignment vertical="center" wrapText="1"/>
    </xf>
    <xf numFmtId="0" fontId="0" fillId="6" borderId="42" xfId="0" applyFill="1" applyBorder="1" applyAlignment="1">
      <alignment vertical="center" wrapText="1"/>
    </xf>
    <xf numFmtId="2" fontId="0" fillId="6" borderId="59" xfId="0" applyNumberFormat="1" applyFill="1" applyBorder="1" applyAlignment="1">
      <alignment horizontal="center" vertical="center" wrapText="1"/>
    </xf>
    <xf numFmtId="2" fontId="0" fillId="6" borderId="42" xfId="0" applyNumberFormat="1" applyFill="1" applyBorder="1" applyAlignment="1">
      <alignment horizontal="center" vertical="center" wrapText="1"/>
    </xf>
    <xf numFmtId="0" fontId="0" fillId="6" borderId="18" xfId="0" applyFill="1" applyBorder="1" applyAlignment="1">
      <alignment horizontal="center" vertical="top" wrapText="1"/>
    </xf>
    <xf numFmtId="0" fontId="0" fillId="6" borderId="19" xfId="0" applyFill="1" applyBorder="1" applyAlignment="1">
      <alignment horizontal="center" vertical="top" wrapText="1"/>
    </xf>
    <xf numFmtId="0" fontId="0" fillId="6" borderId="20" xfId="0" applyFill="1" applyBorder="1" applyAlignment="1">
      <alignment horizontal="center" vertical="top" wrapText="1"/>
    </xf>
    <xf numFmtId="0" fontId="0" fillId="6" borderId="21" xfId="0" applyFill="1" applyBorder="1" applyAlignment="1">
      <alignment horizontal="center" vertical="top" wrapText="1"/>
    </xf>
    <xf numFmtId="0" fontId="0" fillId="6" borderId="22" xfId="0" applyFill="1" applyBorder="1" applyAlignment="1">
      <alignment horizontal="center" vertical="top" wrapText="1"/>
    </xf>
    <xf numFmtId="0" fontId="0" fillId="6" borderId="35" xfId="0" applyFill="1" applyBorder="1" applyAlignment="1">
      <alignment horizontal="center" vertical="top" wrapText="1"/>
    </xf>
    <xf numFmtId="0" fontId="0" fillId="6" borderId="59" xfId="0" applyFill="1" applyBorder="1" applyAlignment="1">
      <alignment horizontal="left" vertical="center" wrapText="1"/>
    </xf>
    <xf numFmtId="0" fontId="0" fillId="6" borderId="42" xfId="0" applyFill="1" applyBorder="1" applyAlignment="1">
      <alignment horizontal="left" vertical="center" wrapText="1"/>
    </xf>
    <xf numFmtId="0" fontId="0" fillId="6" borderId="24" xfId="0" applyFill="1" applyBorder="1" applyAlignment="1">
      <alignment horizontal="center" vertical="center" wrapText="1"/>
    </xf>
    <xf numFmtId="0" fontId="0" fillId="6" borderId="0" xfId="0" applyFill="1" applyAlignment="1">
      <alignment horizontal="center" vertical="center" wrapText="1"/>
    </xf>
    <xf numFmtId="0" fontId="0" fillId="6" borderId="56" xfId="0" applyFill="1" applyBorder="1" applyAlignment="1">
      <alignment horizontal="center" vertical="center" wrapText="1"/>
    </xf>
    <xf numFmtId="2" fontId="0" fillId="6" borderId="34" xfId="0" applyNumberFormat="1" applyFill="1" applyBorder="1" applyAlignment="1">
      <alignment horizontal="center" vertical="center" wrapText="1"/>
    </xf>
    <xf numFmtId="0" fontId="0" fillId="6" borderId="34" xfId="0" applyFill="1" applyBorder="1" applyAlignment="1">
      <alignment horizontal="left" vertical="center" wrapText="1"/>
    </xf>
    <xf numFmtId="0" fontId="0" fillId="6" borderId="29" xfId="0" applyFill="1" applyBorder="1" applyAlignment="1">
      <alignment vertical="center" wrapText="1"/>
    </xf>
    <xf numFmtId="0" fontId="0" fillId="6" borderId="57" xfId="0" applyFill="1" applyBorder="1" applyAlignment="1">
      <alignment vertical="center" wrapText="1"/>
    </xf>
    <xf numFmtId="0" fontId="0" fillId="6" borderId="18" xfId="0" applyFill="1" applyBorder="1" applyAlignment="1">
      <alignment horizontal="left" vertical="center" wrapText="1"/>
    </xf>
    <xf numFmtId="0" fontId="0" fillId="6" borderId="20" xfId="0" applyFill="1" applyBorder="1" applyAlignment="1">
      <alignment horizontal="left" vertical="center" wrapText="1"/>
    </xf>
    <xf numFmtId="0" fontId="0" fillId="6" borderId="24" xfId="0" applyFill="1" applyBorder="1" applyAlignment="1">
      <alignment horizontal="left" vertical="center" wrapText="1"/>
    </xf>
    <xf numFmtId="0" fontId="0" fillId="6" borderId="56" xfId="0" applyFill="1" applyBorder="1" applyAlignment="1">
      <alignment horizontal="left" vertical="center" wrapText="1"/>
    </xf>
    <xf numFmtId="0" fontId="0" fillId="6" borderId="21" xfId="0" applyFill="1" applyBorder="1" applyAlignment="1">
      <alignment horizontal="left" vertical="center" wrapText="1"/>
    </xf>
    <xf numFmtId="0" fontId="0" fillId="6" borderId="35" xfId="0" applyFill="1" applyBorder="1" applyAlignment="1">
      <alignment horizontal="left" vertical="center" wrapText="1"/>
    </xf>
    <xf numFmtId="0" fontId="0" fillId="18" borderId="18" xfId="0" applyFill="1" applyBorder="1" applyAlignment="1">
      <alignment horizontal="center" vertical="center" wrapText="1"/>
    </xf>
    <xf numFmtId="0" fontId="0" fillId="18" borderId="20" xfId="0" applyFill="1" applyBorder="1" applyAlignment="1">
      <alignment horizontal="center" vertical="center" wrapText="1"/>
    </xf>
    <xf numFmtId="0" fontId="0" fillId="6" borderId="88" xfId="0" applyFill="1" applyBorder="1" applyAlignment="1">
      <alignment horizontal="left" vertical="center" wrapText="1"/>
    </xf>
    <xf numFmtId="0" fontId="0" fillId="6" borderId="89" xfId="0" applyFill="1" applyBorder="1" applyAlignment="1">
      <alignment horizontal="left" vertical="center" wrapText="1"/>
    </xf>
    <xf numFmtId="0" fontId="0" fillId="6" borderId="88" xfId="0" applyFill="1" applyBorder="1" applyAlignment="1">
      <alignment horizontal="center" vertical="center" wrapText="1"/>
    </xf>
    <xf numFmtId="0" fontId="0" fillId="6" borderId="89" xfId="0" applyFill="1" applyBorder="1" applyAlignment="1">
      <alignment horizontal="center" vertical="center" wrapText="1"/>
    </xf>
    <xf numFmtId="0" fontId="26" fillId="11" borderId="22" xfId="0" applyFont="1" applyFill="1" applyBorder="1" applyAlignment="1">
      <alignment horizontal="left" vertical="center" wrapText="1"/>
    </xf>
    <xf numFmtId="0" fontId="26" fillId="11" borderId="35" xfId="0" applyFont="1" applyFill="1" applyBorder="1" applyAlignment="1">
      <alignment horizontal="left" vertical="center" wrapText="1"/>
    </xf>
    <xf numFmtId="0" fontId="26" fillId="0" borderId="18" xfId="0" applyFont="1" applyBorder="1" applyAlignment="1">
      <alignment horizontal="left" vertical="center" wrapText="1"/>
    </xf>
    <xf numFmtId="0" fontId="26" fillId="0" borderId="19" xfId="0" applyFont="1" applyBorder="1" applyAlignment="1">
      <alignment horizontal="left" vertical="center" wrapText="1"/>
    </xf>
    <xf numFmtId="0" fontId="26" fillId="0" borderId="20" xfId="0" applyFont="1" applyBorder="1" applyAlignment="1">
      <alignment horizontal="left" vertical="center" wrapText="1"/>
    </xf>
    <xf numFmtId="0" fontId="0" fillId="0" borderId="59" xfId="0" applyBorder="1" applyAlignment="1">
      <alignment horizontal="center" vertical="center"/>
    </xf>
    <xf numFmtId="0" fontId="26" fillId="14" borderId="87" xfId="0" applyFont="1" applyFill="1" applyBorder="1" applyAlignment="1">
      <alignment horizontal="center" vertical="center"/>
    </xf>
    <xf numFmtId="0" fontId="26" fillId="0" borderId="88" xfId="0" applyFont="1" applyBorder="1" applyAlignment="1">
      <alignment horizontal="center"/>
    </xf>
    <xf numFmtId="0" fontId="26" fillId="0" borderId="89" xfId="0" applyFont="1" applyBorder="1" applyAlignment="1">
      <alignment horizontal="center"/>
    </xf>
    <xf numFmtId="0" fontId="26" fillId="0" borderId="88" xfId="0" applyFont="1" applyBorder="1" applyAlignment="1">
      <alignment horizontal="center" vertical="center"/>
    </xf>
    <xf numFmtId="0" fontId="26" fillId="0" borderId="89" xfId="0" applyFont="1" applyBorder="1" applyAlignment="1">
      <alignment horizontal="center" vertical="center"/>
    </xf>
    <xf numFmtId="2" fontId="0" fillId="6" borderId="88" xfId="0" applyNumberFormat="1" applyFill="1" applyBorder="1" applyAlignment="1">
      <alignment horizontal="center" vertical="center" wrapText="1"/>
    </xf>
    <xf numFmtId="0" fontId="26" fillId="28" borderId="87" xfId="0" applyFont="1" applyFill="1" applyBorder="1" applyAlignment="1">
      <alignment horizontal="left" vertical="center" wrapText="1"/>
    </xf>
    <xf numFmtId="0" fontId="26" fillId="0" borderId="82" xfId="0" applyFont="1" applyBorder="1" applyAlignment="1">
      <alignment horizontal="center" vertical="center" wrapText="1"/>
    </xf>
    <xf numFmtId="0" fontId="26" fillId="0" borderId="0" xfId="0" applyFont="1" applyAlignment="1">
      <alignment horizontal="center" vertical="center" wrapText="1"/>
    </xf>
    <xf numFmtId="0" fontId="26" fillId="0" borderId="56" xfId="0" applyFont="1" applyBorder="1" applyAlignment="1">
      <alignment horizontal="center" vertical="center" wrapText="1"/>
    </xf>
    <xf numFmtId="0" fontId="26" fillId="27" borderId="21" xfId="0" applyFont="1" applyFill="1" applyBorder="1" applyAlignment="1">
      <alignment horizontal="left" vertical="center" wrapText="1"/>
    </xf>
    <xf numFmtId="0" fontId="26" fillId="27" borderId="22" xfId="0" applyFont="1" applyFill="1" applyBorder="1" applyAlignment="1">
      <alignment horizontal="left" vertical="center" wrapText="1"/>
    </xf>
    <xf numFmtId="0" fontId="26" fillId="27" borderId="35" xfId="0" applyFont="1" applyFill="1" applyBorder="1" applyAlignment="1">
      <alignment horizontal="left" vertical="center" wrapText="1"/>
    </xf>
    <xf numFmtId="0" fontId="26" fillId="28" borderId="21" xfId="0" applyFont="1" applyFill="1" applyBorder="1" applyAlignment="1">
      <alignment horizontal="left" vertical="center" wrapText="1"/>
    </xf>
    <xf numFmtId="0" fontId="26" fillId="28" borderId="22" xfId="0" applyFont="1" applyFill="1" applyBorder="1" applyAlignment="1">
      <alignment horizontal="left" vertical="center" wrapText="1"/>
    </xf>
    <xf numFmtId="0" fontId="26" fillId="28" borderId="35" xfId="0" applyFont="1" applyFill="1" applyBorder="1" applyAlignment="1">
      <alignment horizontal="left" vertical="center" wrapText="1"/>
    </xf>
    <xf numFmtId="0" fontId="0" fillId="27" borderId="29" xfId="0" applyFill="1" applyBorder="1" applyAlignment="1">
      <alignment horizontal="center" vertical="center" wrapText="1"/>
    </xf>
    <xf numFmtId="0" fontId="0" fillId="27" borderId="57" xfId="0" applyFill="1" applyBorder="1" applyAlignment="1">
      <alignment horizontal="center" vertical="center" wrapText="1"/>
    </xf>
    <xf numFmtId="0" fontId="0" fillId="28" borderId="29" xfId="0" applyFill="1" applyBorder="1" applyAlignment="1">
      <alignment horizontal="center" vertical="center" wrapText="1"/>
    </xf>
    <xf numFmtId="0" fontId="0" fillId="28" borderId="57" xfId="0" applyFill="1" applyBorder="1" applyAlignment="1">
      <alignment horizontal="center" vertical="center" wrapText="1"/>
    </xf>
    <xf numFmtId="0" fontId="0" fillId="27" borderId="18" xfId="0" applyFill="1" applyBorder="1" applyAlignment="1">
      <alignment horizontal="center" vertical="center" wrapText="1"/>
    </xf>
    <xf numFmtId="0" fontId="0" fillId="27" borderId="20" xfId="0" applyFill="1" applyBorder="1" applyAlignment="1">
      <alignment horizontal="center" vertical="center" wrapText="1"/>
    </xf>
    <xf numFmtId="0" fontId="0" fillId="30" borderId="87" xfId="0" applyFill="1" applyBorder="1" applyAlignment="1">
      <alignment horizontal="center" vertical="center" wrapText="1"/>
    </xf>
    <xf numFmtId="0" fontId="26" fillId="27" borderId="87" xfId="0" applyFont="1" applyFill="1" applyBorder="1" applyAlignment="1">
      <alignment horizontal="left" vertical="center" wrapText="1"/>
    </xf>
    <xf numFmtId="0" fontId="0" fillId="6" borderId="88" xfId="0" applyFill="1" applyBorder="1" applyAlignment="1">
      <alignment horizontal="center" vertical="top" wrapText="1"/>
    </xf>
    <xf numFmtId="0" fontId="0" fillId="6" borderId="89" xfId="0" applyFill="1" applyBorder="1" applyAlignment="1">
      <alignment horizontal="center" vertical="top" wrapText="1"/>
    </xf>
    <xf numFmtId="0" fontId="26" fillId="28" borderId="29" xfId="0" applyFont="1" applyFill="1" applyBorder="1" applyAlignment="1">
      <alignment horizontal="left" vertical="center" wrapText="1"/>
    </xf>
    <xf numFmtId="0" fontId="26" fillId="28" borderId="30" xfId="0" applyFont="1" applyFill="1" applyBorder="1" applyAlignment="1">
      <alignment horizontal="left" vertical="center" wrapText="1"/>
    </xf>
    <xf numFmtId="0" fontId="26" fillId="28" borderId="57" xfId="0" applyFont="1" applyFill="1" applyBorder="1" applyAlignment="1">
      <alignment horizontal="left" vertical="center" wrapText="1"/>
    </xf>
    <xf numFmtId="0" fontId="26" fillId="0" borderId="91" xfId="0" applyFont="1" applyBorder="1" applyAlignment="1">
      <alignment horizontal="center"/>
    </xf>
    <xf numFmtId="0" fontId="26" fillId="0" borderId="92" xfId="0" applyFont="1" applyBorder="1" applyAlignment="1">
      <alignment horizontal="center"/>
    </xf>
    <xf numFmtId="0" fontId="0" fillId="6" borderId="93" xfId="0" applyFill="1" applyBorder="1" applyAlignment="1">
      <alignment horizontal="left" vertical="center" wrapText="1"/>
    </xf>
    <xf numFmtId="0" fontId="0" fillId="6" borderId="94" xfId="0" applyFill="1" applyBorder="1" applyAlignment="1">
      <alignment horizontal="left" vertical="center" wrapText="1"/>
    </xf>
    <xf numFmtId="0" fontId="0" fillId="6" borderId="31" xfId="0" applyFill="1" applyBorder="1" applyAlignment="1">
      <alignment horizontal="left" vertical="center" wrapText="1"/>
    </xf>
    <xf numFmtId="0" fontId="0" fillId="6" borderId="87" xfId="0" applyFill="1" applyBorder="1" applyAlignment="1">
      <alignment horizontal="left" vertical="center" wrapText="1"/>
    </xf>
    <xf numFmtId="0" fontId="0" fillId="6" borderId="32" xfId="0" applyFill="1" applyBorder="1" applyAlignment="1">
      <alignment horizontal="left" vertical="center" wrapText="1"/>
    </xf>
    <xf numFmtId="0" fontId="26" fillId="29" borderId="87" xfId="0" applyFont="1" applyFill="1" applyBorder="1" applyAlignment="1">
      <alignment horizontal="left" vertical="center" wrapText="1"/>
    </xf>
    <xf numFmtId="0" fontId="0" fillId="6" borderId="23" xfId="0" applyFill="1" applyBorder="1" applyAlignment="1">
      <alignment horizontal="left" vertical="center" wrapText="1"/>
    </xf>
    <xf numFmtId="0" fontId="50" fillId="30" borderId="29" xfId="0" applyFont="1" applyFill="1" applyBorder="1" applyAlignment="1">
      <alignment horizontal="left" vertical="center" wrapText="1"/>
    </xf>
    <xf numFmtId="0" fontId="50" fillId="30" borderId="30" xfId="0" applyFont="1" applyFill="1" applyBorder="1" applyAlignment="1">
      <alignment horizontal="left" vertical="center" wrapText="1"/>
    </xf>
    <xf numFmtId="0" fontId="50" fillId="30" borderId="57" xfId="0" applyFont="1" applyFill="1" applyBorder="1" applyAlignment="1">
      <alignment horizontal="left" vertical="center" wrapText="1"/>
    </xf>
    <xf numFmtId="0" fontId="26" fillId="0" borderId="46" xfId="0" applyFont="1" applyBorder="1" applyAlignment="1">
      <alignment horizontal="center" vertical="center" wrapText="1"/>
    </xf>
    <xf numFmtId="0" fontId="50" fillId="27" borderId="29" xfId="0" applyFont="1" applyFill="1" applyBorder="1" applyAlignment="1">
      <alignment horizontal="left" vertical="center" wrapText="1"/>
    </xf>
    <xf numFmtId="0" fontId="50" fillId="27" borderId="30" xfId="0" applyFont="1" applyFill="1" applyBorder="1" applyAlignment="1">
      <alignment horizontal="left" vertical="center" wrapText="1"/>
    </xf>
    <xf numFmtId="0" fontId="50" fillId="27" borderId="57" xfId="0" applyFont="1" applyFill="1" applyBorder="1" applyAlignment="1">
      <alignment horizontal="left" vertical="center" wrapText="1"/>
    </xf>
    <xf numFmtId="0" fontId="0" fillId="30" borderId="29" xfId="0" applyFill="1" applyBorder="1" applyAlignment="1">
      <alignment horizontal="center" vertical="center" wrapText="1"/>
    </xf>
    <xf numFmtId="0" fontId="0" fillId="30" borderId="57" xfId="0" applyFill="1" applyBorder="1" applyAlignment="1">
      <alignment horizontal="center" vertical="center" wrapText="1"/>
    </xf>
    <xf numFmtId="0" fontId="50" fillId="28" borderId="29" xfId="0" applyFont="1" applyFill="1" applyBorder="1" applyAlignment="1">
      <alignment horizontal="left" vertical="center" wrapText="1"/>
    </xf>
    <xf numFmtId="0" fontId="50" fillId="28" borderId="30" xfId="0" applyFont="1" applyFill="1" applyBorder="1" applyAlignment="1">
      <alignment horizontal="left" vertical="center" wrapText="1"/>
    </xf>
    <xf numFmtId="0" fontId="50" fillId="28" borderId="57" xfId="0" applyFont="1" applyFill="1" applyBorder="1" applyAlignment="1">
      <alignment horizontal="left" vertical="center" wrapText="1"/>
    </xf>
    <xf numFmtId="0" fontId="0" fillId="31" borderId="29" xfId="0" applyFill="1" applyBorder="1" applyAlignment="1">
      <alignment horizontal="center" vertical="center" wrapText="1"/>
    </xf>
    <xf numFmtId="0" fontId="0" fillId="31" borderId="57" xfId="0" applyFill="1" applyBorder="1" applyAlignment="1">
      <alignment horizontal="center" vertical="center" wrapText="1"/>
    </xf>
    <xf numFmtId="0" fontId="26" fillId="0" borderId="96" xfId="0" applyFont="1" applyBorder="1" applyAlignment="1">
      <alignment horizontal="center" vertical="center"/>
    </xf>
    <xf numFmtId="0" fontId="0" fillId="6" borderId="79" xfId="0" applyFill="1" applyBorder="1" applyAlignment="1">
      <alignment horizontal="center" vertical="center" wrapText="1"/>
    </xf>
    <xf numFmtId="0" fontId="0" fillId="6" borderId="80" xfId="0" applyFill="1" applyBorder="1" applyAlignment="1">
      <alignment horizontal="center" vertical="center" wrapText="1"/>
    </xf>
    <xf numFmtId="0" fontId="0" fillId="6" borderId="81" xfId="0" applyFill="1" applyBorder="1" applyAlignment="1">
      <alignment horizontal="center" vertical="center" wrapText="1"/>
    </xf>
    <xf numFmtId="0" fontId="0" fillId="6" borderId="46" xfId="0" applyFill="1" applyBorder="1" applyAlignment="1">
      <alignment horizontal="center" vertical="center" wrapText="1"/>
    </xf>
    <xf numFmtId="0" fontId="26" fillId="6" borderId="29" xfId="0" applyFont="1" applyFill="1" applyBorder="1" applyAlignment="1">
      <alignment horizontal="center" vertical="center" wrapText="1"/>
    </xf>
    <xf numFmtId="0" fontId="22" fillId="36" borderId="29" xfId="0" applyFont="1" applyFill="1" applyBorder="1" applyAlignment="1">
      <alignment horizontal="center"/>
    </xf>
    <xf numFmtId="0" fontId="22" fillId="36" borderId="30" xfId="0" applyFont="1" applyFill="1" applyBorder="1" applyAlignment="1">
      <alignment horizontal="center"/>
    </xf>
    <xf numFmtId="0" fontId="11" fillId="0" borderId="29" xfId="0" applyFont="1" applyBorder="1" applyAlignment="1">
      <alignment horizontal="left"/>
    </xf>
    <xf numFmtId="0" fontId="11" fillId="0" borderId="30" xfId="0" applyFont="1" applyBorder="1" applyAlignment="1">
      <alignment horizontal="left"/>
    </xf>
    <xf numFmtId="0" fontId="22" fillId="36" borderId="57" xfId="0" applyFont="1" applyFill="1" applyBorder="1" applyAlignment="1">
      <alignment horizontal="center"/>
    </xf>
    <xf numFmtId="0" fontId="0" fillId="0" borderId="59" xfId="0" applyBorder="1" applyAlignment="1">
      <alignment horizontal="center"/>
    </xf>
    <xf numFmtId="0" fontId="0" fillId="0" borderId="42" xfId="0" applyBorder="1" applyAlignment="1">
      <alignment horizontal="center"/>
    </xf>
    <xf numFmtId="0" fontId="70" fillId="21" borderId="59" xfId="0" applyFont="1" applyFill="1" applyBorder="1" applyAlignment="1">
      <alignment horizontal="center" vertical="center" wrapText="1"/>
    </xf>
    <xf numFmtId="0" fontId="70" fillId="21" borderId="42" xfId="0" applyFont="1" applyFill="1" applyBorder="1" applyAlignment="1">
      <alignment horizontal="center" vertical="center" wrapText="1"/>
    </xf>
    <xf numFmtId="0" fontId="11" fillId="0" borderId="30" xfId="0" applyFont="1" applyBorder="1" applyAlignment="1">
      <alignment horizontal="center"/>
    </xf>
    <xf numFmtId="0" fontId="11" fillId="0" borderId="31" xfId="0" applyFont="1" applyBorder="1" applyAlignment="1">
      <alignment horizontal="center"/>
    </xf>
    <xf numFmtId="0" fontId="79" fillId="36" borderId="29" xfId="0" applyFont="1" applyFill="1" applyBorder="1" applyAlignment="1">
      <alignment horizontal="center"/>
    </xf>
    <xf numFmtId="0" fontId="79" fillId="36" borderId="30" xfId="0" applyFont="1" applyFill="1" applyBorder="1" applyAlignment="1">
      <alignment horizontal="center"/>
    </xf>
    <xf numFmtId="0" fontId="79" fillId="36" borderId="31" xfId="0" applyFont="1" applyFill="1" applyBorder="1" applyAlignment="1">
      <alignment horizontal="center"/>
    </xf>
    <xf numFmtId="0" fontId="22" fillId="36" borderId="31" xfId="0" applyFont="1" applyFill="1" applyBorder="1" applyAlignment="1">
      <alignment horizontal="center"/>
    </xf>
    <xf numFmtId="0" fontId="0" fillId="0" borderId="29" xfId="0" applyBorder="1" applyAlignment="1">
      <alignment horizontal="left" vertical="center" wrapText="1"/>
    </xf>
    <xf numFmtId="0" fontId="0" fillId="0" borderId="57" xfId="0" applyBorder="1" applyAlignment="1">
      <alignment horizontal="left" vertical="center" wrapText="1"/>
    </xf>
    <xf numFmtId="0" fontId="26" fillId="0" borderId="46" xfId="0" applyFont="1" applyBorder="1" applyAlignment="1">
      <alignment horizontal="center" vertical="center"/>
    </xf>
    <xf numFmtId="0" fontId="54" fillId="6" borderId="29" xfId="0" applyFont="1" applyFill="1" applyBorder="1" applyAlignment="1">
      <alignment horizontal="left" vertical="center" wrapText="1"/>
    </xf>
    <xf numFmtId="0" fontId="54" fillId="6" borderId="57" xfId="0" applyFont="1" applyFill="1" applyBorder="1" applyAlignment="1">
      <alignment horizontal="left" vertical="center" wrapText="1"/>
    </xf>
    <xf numFmtId="0" fontId="26" fillId="6" borderId="29" xfId="0" applyFont="1" applyFill="1" applyBorder="1" applyAlignment="1">
      <alignment horizontal="center"/>
    </xf>
    <xf numFmtId="0" fontId="26" fillId="6" borderId="57" xfId="0" applyFont="1" applyFill="1" applyBorder="1" applyAlignment="1">
      <alignment horizontal="center"/>
    </xf>
    <xf numFmtId="0" fontId="0" fillId="6" borderId="18" xfId="0" applyFill="1" applyBorder="1" applyAlignment="1">
      <alignment horizontal="left" vertical="center"/>
    </xf>
    <xf numFmtId="0" fontId="0" fillId="6" borderId="19" xfId="0" applyFill="1" applyBorder="1" applyAlignment="1">
      <alignment horizontal="left" vertical="center"/>
    </xf>
    <xf numFmtId="0" fontId="0" fillId="6" borderId="20" xfId="0" applyFill="1" applyBorder="1" applyAlignment="1">
      <alignment horizontal="left" vertical="center"/>
    </xf>
    <xf numFmtId="0" fontId="0" fillId="6" borderId="24" xfId="0" applyFill="1" applyBorder="1" applyAlignment="1">
      <alignment horizontal="left" vertical="center"/>
    </xf>
    <xf numFmtId="0" fontId="0" fillId="6" borderId="0" xfId="0" applyFill="1" applyAlignment="1">
      <alignment horizontal="left" vertical="center"/>
    </xf>
    <xf numFmtId="0" fontId="0" fillId="6" borderId="56" xfId="0" applyFill="1" applyBorder="1" applyAlignment="1">
      <alignment horizontal="left" vertical="center"/>
    </xf>
  </cellXfs>
  <cellStyles count="40">
    <cellStyle name="Comma" xfId="26" xr:uid="{34FDC96C-004F-4BB6-890B-C2947031F34D}"/>
    <cellStyle name="Comma [0]" xfId="27" xr:uid="{C56F0B7B-703A-4A8D-A19F-6F3AA7108036}"/>
    <cellStyle name="Currency" xfId="24" xr:uid="{DF407167-E6A8-49A9-A191-536F676BDBE7}"/>
    <cellStyle name="Currency [0]" xfId="25" xr:uid="{F3E344FF-807C-41BC-AEA9-100689B26BF4}"/>
    <cellStyle name="Ênfase1 2" xfId="29" xr:uid="{8E717ABF-300D-4B29-8966-B62AB994C18A}"/>
    <cellStyle name="Hiperlink" xfId="21" builtinId="8"/>
    <cellStyle name="Hyperlink" xfId="6" xr:uid="{00000000-000B-0000-0000-000008000000}"/>
    <cellStyle name="Moeda" xfId="2" builtinId="4"/>
    <cellStyle name="Moeda 2" xfId="35" xr:uid="{0EF5F3C9-4A65-44C2-8837-7B61859D6A6A}"/>
    <cellStyle name="Moeda 3" xfId="37" xr:uid="{18C377F7-9099-4B0C-B469-A0C3E29ADFF5}"/>
    <cellStyle name="Normal" xfId="0" builtinId="0"/>
    <cellStyle name="Normal 10" xfId="30" xr:uid="{520C5FAB-B844-421D-8B5C-B48ABDB8FC99}"/>
    <cellStyle name="Normal 10 10" xfId="13" xr:uid="{D82C0BEE-F9C5-433B-BBB5-E44EA767DA1A}"/>
    <cellStyle name="Normal 11" xfId="22" xr:uid="{C28EAF6B-C23C-4FAF-B4C2-E99592899857}"/>
    <cellStyle name="Normal 12 2 2" xfId="39" xr:uid="{59B1328D-34F2-4633-8EEC-18D98DDFA48A}"/>
    <cellStyle name="Normal 2" xfId="1" xr:uid="{FD71D8E8-63CE-40F6-800F-6467A476B39B}"/>
    <cellStyle name="Normal 2 11" xfId="20" xr:uid="{3DFCE83A-02FA-4EBC-BA99-9255B8F136C4}"/>
    <cellStyle name="Normal 2 2 2" xfId="7" xr:uid="{733CBEEA-C699-423B-B1FE-55625B15034A}"/>
    <cellStyle name="Normal 2 2 3" xfId="12" xr:uid="{3275CE98-22C2-49C2-92AB-66254339F6F3}"/>
    <cellStyle name="Normal 2 3" xfId="5" xr:uid="{1CBFF9C6-F06C-4C25-98D1-D902CEA36477}"/>
    <cellStyle name="Normal 26 2" xfId="18" xr:uid="{2940DD05-69F2-4F15-9194-FC33DEA70FFE}"/>
    <cellStyle name="Normal 3" xfId="32" xr:uid="{0678D3A3-DEB1-4FEB-91B7-D892E5019BD6}"/>
    <cellStyle name="Normal 3 2" xfId="33" xr:uid="{6E0C811B-970D-4222-B08F-76170AA23DEA}"/>
    <cellStyle name="Normal 4 2 2" xfId="8" xr:uid="{4BEC4721-CC72-47F4-ACF5-4E708BB7EF42}"/>
    <cellStyle name="Normal 5" xfId="4" xr:uid="{98578238-A565-40A1-8A8C-816DA0E5D7FD}"/>
    <cellStyle name="Normal 5 2" xfId="9" xr:uid="{5CF5F3C2-559A-444D-AF7E-B38D0E052D4D}"/>
    <cellStyle name="Normal_TIMBRADO - EXCEL 2 2" xfId="10" xr:uid="{77540AF5-974A-455F-806B-14C15C5E877A}"/>
    <cellStyle name="Percent" xfId="23" xr:uid="{223A6178-AC75-4AA6-A2A0-A46952624A94}"/>
    <cellStyle name="Porcentagem" xfId="3" builtinId="5"/>
    <cellStyle name="Porcentagem 2" xfId="17" xr:uid="{F2413328-52CD-4E65-A97E-F4240975F9A9}"/>
    <cellStyle name="Porcentagem 2 2" xfId="31" xr:uid="{B2FC987D-3898-485E-A555-E1717DB4D499}"/>
    <cellStyle name="Porcentagem 2 2 2" xfId="15" xr:uid="{2C78BD20-4132-4C51-9D35-8BB995DFF06F}"/>
    <cellStyle name="Porcentagem 2 2 3" xfId="16" xr:uid="{28791761-2E70-449B-94C0-EAE1536BE552}"/>
    <cellStyle name="Porcentagem 2 3" xfId="14" xr:uid="{97B72A3B-A8A1-487E-9580-B4A88F65B20A}"/>
    <cellStyle name="Porcentagem 3" xfId="28" xr:uid="{2EB2FA59-FFB4-4DE1-BDF6-CEE289A30B21}"/>
    <cellStyle name="Separador de milhares 17 3 4" xfId="34" xr:uid="{FC6CED23-FBDB-4546-AF87-AD1E01D033C9}"/>
    <cellStyle name="Separador de milhares 17 3 4 2" xfId="36" xr:uid="{38D08CCA-5A9C-4902-8FC8-8BA9C33B0DC3}"/>
    <cellStyle name="Separador de milhares 2 2" xfId="11" xr:uid="{23943113-AA18-49CC-BD74-E4CE74F2FE2C}"/>
    <cellStyle name="Vírgula 2" xfId="38" xr:uid="{8378D1A8-66A5-4226-94D0-A39EA52E3ED3}"/>
    <cellStyle name="Vírgula 21" xfId="19" xr:uid="{824193C3-092B-464E-B23F-0BCC84D76944}"/>
  </cellStyles>
  <dxfs count="9">
    <dxf>
      <fill>
        <patternFill patternType="lightUp">
          <bgColor indexed="55"/>
        </patternFill>
      </fill>
    </dxf>
    <dxf>
      <fill>
        <patternFill patternType="lightUp">
          <bgColor indexed="55"/>
        </patternFill>
      </fill>
    </dxf>
    <dxf>
      <fill>
        <patternFill patternType="lightUp">
          <bgColor indexed="55"/>
        </patternFill>
      </fill>
    </dxf>
    <dxf>
      <fill>
        <patternFill patternType="lightUp">
          <bgColor indexed="55"/>
        </patternFill>
      </fill>
    </dxf>
    <dxf>
      <font>
        <b/>
        <i val="0"/>
        <condense val="0"/>
        <extend val="0"/>
      </font>
    </dxf>
    <dxf>
      <font>
        <b/>
        <i val="0"/>
        <condense val="0"/>
        <extend val="0"/>
      </font>
    </dxf>
    <dxf>
      <font>
        <b/>
        <i val="0"/>
        <condense val="0"/>
        <extend val="0"/>
      </font>
    </dxf>
    <dxf>
      <font>
        <b/>
        <i val="0"/>
        <condense val="0"/>
        <extend val="0"/>
      </font>
    </dxf>
    <dxf>
      <font>
        <b/>
        <i val="0"/>
        <condense val="0"/>
        <extend val="0"/>
      </font>
    </dxf>
  </dxfs>
  <tableStyles count="0" defaultTableStyle="TableStyleMedium2" defaultPivotStyle="PivotStyleLight16"/>
  <colors>
    <mruColors>
      <color rgb="FFE1DAF0"/>
      <color rgb="FFFFBDBD"/>
      <color rgb="FFE2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 Id="rId35" Type="http://schemas.openxmlformats.org/officeDocument/2006/relationships/calcChain" Target="calcChain.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756420117291389"/>
          <c:y val="1.4432518258015397E-2"/>
          <c:w val="0.87029599761323329"/>
          <c:h val="0.72660257141770324"/>
        </c:manualLayout>
      </c:layout>
      <c:lineChart>
        <c:grouping val="standard"/>
        <c:varyColors val="0"/>
        <c:ser>
          <c:idx val="0"/>
          <c:order val="0"/>
          <c:tx>
            <c:strRef>
              <c:f>'Curva S'!$I$18</c:f>
              <c:strCache>
                <c:ptCount val="1"/>
                <c:pt idx="0">
                  <c:v>PREVISTO</c:v>
                </c:pt>
              </c:strCache>
            </c:strRef>
          </c:tx>
          <c:spPr>
            <a:ln w="28575" cap="rnd">
              <a:solidFill>
                <a:schemeClr val="accent1"/>
              </a:solidFill>
              <a:round/>
            </a:ln>
            <a:effectLst/>
          </c:spPr>
          <c:marker>
            <c:symbol val="none"/>
          </c:marker>
          <c:dLbls>
            <c:dLbl>
              <c:idx val="0"/>
              <c:layout>
                <c:manualLayout>
                  <c:x val="2.5635981741799888E-2"/>
                  <c:y val="-1.07555862977948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954-4BC1-87D7-3DE6AF384ABC}"/>
                </c:ext>
              </c:extLst>
            </c:dLbl>
            <c:dLbl>
              <c:idx val="1"/>
              <c:layout>
                <c:manualLayout>
                  <c:x val="1.0962755350111793E-3"/>
                  <c:y val="1.470133145384897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954-4BC1-87D7-3DE6AF384ABC}"/>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'Curva S'!$H$20:$H$34</c:f>
              <c:numCache>
                <c:formatCode>General</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'Curva S'!$I$20:$I$34</c:f>
              <c:numCache>
                <c:formatCode>0.00%</c:formatCode>
                <c:ptCount val="15"/>
                <c:pt idx="0">
                  <c:v>1.5651967220696474E-2</c:v>
                </c:pt>
                <c:pt idx="1">
                  <c:v>0.16818625484254884</c:v>
                </c:pt>
                <c:pt idx="2">
                  <c:v>0.22307839668827822</c:v>
                </c:pt>
                <c:pt idx="3">
                  <c:v>0.17880569879082223</c:v>
                </c:pt>
                <c:pt idx="4">
                  <c:v>4.1747904568140669E-2</c:v>
                </c:pt>
                <c:pt idx="5">
                  <c:v>4.8880571959100172E-2</c:v>
                </c:pt>
                <c:pt idx="6">
                  <c:v>4.9809577499123077E-2</c:v>
                </c:pt>
                <c:pt idx="7">
                  <c:v>5.2267715552402352E-2</c:v>
                </c:pt>
                <c:pt idx="8">
                  <c:v>6.4325890304976804E-2</c:v>
                </c:pt>
                <c:pt idx="9">
                  <c:v>5.5787773318523741E-2</c:v>
                </c:pt>
                <c:pt idx="10">
                  <c:v>4.0809101005374653E-2</c:v>
                </c:pt>
                <c:pt idx="11">
                  <c:v>1.4627953398742075E-2</c:v>
                </c:pt>
                <c:pt idx="12">
                  <c:v>2.2046350707054282E-2</c:v>
                </c:pt>
                <c:pt idx="13">
                  <c:v>1.742756463328804E-2</c:v>
                </c:pt>
                <c:pt idx="14">
                  <c:v>6.5472795109282325E-3</c:v>
                </c:pt>
              </c:numCache>
            </c:numRef>
          </c:val>
          <c:smooth val="0"/>
          <c:extLst>
            <c:ext xmlns:c16="http://schemas.microsoft.com/office/drawing/2014/chart" uri="{C3380CC4-5D6E-409C-BE32-E72D297353CC}">
              <c16:uniqueId val="{00000005-E954-4BC1-87D7-3DE6AF384ABC}"/>
            </c:ext>
          </c:extLst>
        </c:ser>
        <c:ser>
          <c:idx val="1"/>
          <c:order val="1"/>
          <c:tx>
            <c:strRef>
              <c:f>'Curva S'!$J$18</c:f>
              <c:strCache>
                <c:ptCount val="1"/>
                <c:pt idx="0">
                  <c:v>REALIZADO</c:v>
                </c:pt>
              </c:strCache>
            </c:strRef>
          </c:tx>
          <c:spPr>
            <a:ln w="28575" cap="rnd">
              <a:solidFill>
                <a:schemeClr val="accent2"/>
              </a:solidFill>
              <a:round/>
            </a:ln>
            <a:effectLst/>
          </c:spPr>
          <c:marker>
            <c:symbol val="none"/>
          </c:marker>
          <c:dLbls>
            <c:dLbl>
              <c:idx val="0"/>
              <c:layout>
                <c:manualLayout>
                  <c:x val="-4.175134830768689E-2"/>
                  <c:y val="-4.104037534999421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E954-4BC1-87D7-3DE6AF384ABC}"/>
                </c:ext>
              </c:extLst>
            </c:dLbl>
            <c:dLbl>
              <c:idx val="12"/>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641-4D15-A8C4-10FB2DFDB33F}"/>
                </c:ext>
              </c:extLst>
            </c:dLbl>
            <c:dLbl>
              <c:idx val="13"/>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641-4D15-A8C4-10FB2DFDB33F}"/>
                </c:ext>
              </c:extLst>
            </c:dLbl>
            <c:dLbl>
              <c:idx val="14"/>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641-4D15-A8C4-10FB2DFDB33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'Curva S'!$H$20:$H$34</c:f>
              <c:numCache>
                <c:formatCode>General</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'Curva S'!$J$20:$J$34</c:f>
              <c:numCache>
                <c:formatCode>0.00%</c:formatCode>
                <c:ptCount val="15"/>
                <c:pt idx="0">
                  <c:v>1.5651967220696474E-2</c:v>
                </c:pt>
                <c:pt idx="1">
                  <c:v>0.18383822206324532</c:v>
                </c:pt>
                <c:pt idx="2">
                  <c:v>0.40691661875152352</c:v>
                </c:pt>
                <c:pt idx="3">
                  <c:v>0.58572231754234572</c:v>
                </c:pt>
                <c:pt idx="4">
                  <c:v>0.62747022211048642</c:v>
                </c:pt>
                <c:pt idx="5">
                  <c:v>0.67635079406958654</c:v>
                </c:pt>
                <c:pt idx="6">
                  <c:v>0.72616037156870961</c:v>
                </c:pt>
                <c:pt idx="7">
                  <c:v>0.778428087121112</c:v>
                </c:pt>
                <c:pt idx="8">
                  <c:v>0.84275397742608882</c:v>
                </c:pt>
                <c:pt idx="9">
                  <c:v>0.89854175074461251</c:v>
                </c:pt>
                <c:pt idx="10">
                  <c:v>0.93935085174998711</c:v>
                </c:pt>
                <c:pt idx="11">
                  <c:v>0.95397880514872924</c:v>
                </c:pt>
                <c:pt idx="12">
                  <c:v>0.97602515585578353</c:v>
                </c:pt>
                <c:pt idx="13">
                  <c:v>0.99345272048907152</c:v>
                </c:pt>
                <c:pt idx="14">
                  <c:v>0.99999999999999978</c:v>
                </c:pt>
              </c:numCache>
            </c:numRef>
          </c:val>
          <c:smooth val="0"/>
          <c:extLst>
            <c:ext xmlns:c16="http://schemas.microsoft.com/office/drawing/2014/chart" uri="{C3380CC4-5D6E-409C-BE32-E72D297353CC}">
              <c16:uniqueId val="{0000000A-E954-4BC1-87D7-3DE6AF384ABC}"/>
            </c:ext>
          </c:extLst>
        </c:ser>
        <c:dLbls>
          <c:dLblPos val="ctr"/>
          <c:showLegendKey val="0"/>
          <c:showVal val="1"/>
          <c:showCatName val="0"/>
          <c:showSerName val="0"/>
          <c:showPercent val="0"/>
          <c:showBubbleSize val="0"/>
        </c:dLbls>
        <c:smooth val="0"/>
        <c:axId val="2082264960"/>
        <c:axId val="1530140064"/>
      </c:lineChart>
      <c:catAx>
        <c:axId val="208226496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pt-BR"/>
                  <a:t>Etapa</a:t>
                </a:r>
              </a:p>
            </c:rich>
          </c:tx>
          <c:layout>
            <c:manualLayout>
              <c:xMode val="edge"/>
              <c:yMode val="edge"/>
              <c:x val="0.5260693139532493"/>
              <c:y val="0.85288627356342217"/>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pt-BR"/>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530140064"/>
        <c:crosses val="autoZero"/>
        <c:auto val="1"/>
        <c:lblAlgn val="ctr"/>
        <c:lblOffset val="100"/>
        <c:noMultiLvlLbl val="0"/>
      </c:catAx>
      <c:valAx>
        <c:axId val="1530140064"/>
        <c:scaling>
          <c:orientation val="minMax"/>
          <c:max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pt-BR"/>
                  <a:t>Acumulado (%)</a:t>
                </a:r>
              </a:p>
            </c:rich>
          </c:tx>
          <c:layout>
            <c:manualLayout>
              <c:xMode val="edge"/>
              <c:yMode val="edge"/>
              <c:x val="5.5903128034367554E-2"/>
              <c:y val="0.2884826693048059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pt-BR"/>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2082264960"/>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pt-BR"/>
          </a:p>
        </c:txPr>
      </c:dTable>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pt-BR"/>
    </a:p>
  </c:txPr>
  <c:printSettings>
    <c:headerFooter/>
    <c:pageMargins b="0.78740157499999996" l="0.511811024" r="0.511811024" t="0.78740157499999996" header="0.31496062000000002" footer="0.31496062000000002"/>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spc="0" baseline="0">
                <a:solidFill>
                  <a:schemeClr val="tx2">
                    <a:lumMod val="60000"/>
                    <a:lumOff val="40000"/>
                  </a:schemeClr>
                </a:solidFill>
                <a:latin typeface="+mn-lt"/>
                <a:ea typeface="+mn-ea"/>
                <a:cs typeface="+mn-cs"/>
              </a:defRPr>
            </a:pPr>
            <a:r>
              <a:rPr lang="pt-BR" sz="1800" b="1" u="none">
                <a:solidFill>
                  <a:schemeClr val="tx2">
                    <a:lumMod val="60000"/>
                    <a:lumOff val="40000"/>
                  </a:schemeClr>
                </a:solidFill>
              </a:rPr>
              <a:t>Curva S</a:t>
            </a:r>
            <a:r>
              <a:rPr lang="pt-BR" sz="1800" b="1" u="none">
                <a:solidFill>
                  <a:schemeClr val="bg1"/>
                </a:solidFill>
              </a:rPr>
              <a:t>.</a:t>
            </a:r>
          </a:p>
        </c:rich>
      </c:tx>
      <c:layout>
        <c:manualLayout>
          <c:xMode val="edge"/>
          <c:yMode val="edge"/>
          <c:x val="0.46736271141087377"/>
          <c:y val="9.9604327690395247E-3"/>
        </c:manualLayout>
      </c:layout>
      <c:overlay val="0"/>
      <c:spPr>
        <a:noFill/>
        <a:ln>
          <a:noFill/>
        </a:ln>
        <a:effectLst/>
      </c:spPr>
      <c:txPr>
        <a:bodyPr rot="0" spcFirstLastPara="1" vertOverflow="ellipsis" vert="horz" wrap="square" anchor="ctr" anchorCtr="1"/>
        <a:lstStyle/>
        <a:p>
          <a:pPr>
            <a:defRPr sz="1800" b="1" i="0" u="none" strike="noStrike" kern="1200" spc="0" baseline="0">
              <a:solidFill>
                <a:schemeClr val="tx2">
                  <a:lumMod val="60000"/>
                  <a:lumOff val="40000"/>
                </a:schemeClr>
              </a:solidFill>
              <a:latin typeface="+mn-lt"/>
              <a:ea typeface="+mn-ea"/>
              <a:cs typeface="+mn-cs"/>
            </a:defRPr>
          </a:pPr>
          <a:endParaRPr lang="pt-BR"/>
        </a:p>
      </c:txPr>
    </c:title>
    <c:autoTitleDeleted val="0"/>
    <c:plotArea>
      <c:layout/>
      <c:lineChart>
        <c:grouping val="standard"/>
        <c:varyColors val="0"/>
        <c:ser>
          <c:idx val="0"/>
          <c:order val="0"/>
          <c:tx>
            <c:strRef>
              <c:f>'Curva S Ref.'!$H$8</c:f>
              <c:strCache>
                <c:ptCount val="1"/>
                <c:pt idx="0">
                  <c:v>PREVISTO</c:v>
                </c:pt>
              </c:strCache>
            </c:strRef>
          </c:tx>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'Curva S Ref.'!$G$10:$G$24</c:f>
              <c:numCache>
                <c:formatCode>General</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'Curva S Ref.'!$H$10:$H$24</c:f>
              <c:numCache>
                <c:formatCode>0.00%</c:formatCode>
                <c:ptCount val="15"/>
                <c:pt idx="0">
                  <c:v>1.5651967220696474E-2</c:v>
                </c:pt>
                <c:pt idx="1">
                  <c:v>0.18383822206324532</c:v>
                </c:pt>
                <c:pt idx="2">
                  <c:v>0.40691661875152352</c:v>
                </c:pt>
                <c:pt idx="3">
                  <c:v>0.58572231754234572</c:v>
                </c:pt>
                <c:pt idx="4">
                  <c:v>0.62747022211048642</c:v>
                </c:pt>
                <c:pt idx="5">
                  <c:v>0.67635079406958654</c:v>
                </c:pt>
                <c:pt idx="6">
                  <c:v>0.72616037156870961</c:v>
                </c:pt>
                <c:pt idx="7">
                  <c:v>0.778428087121112</c:v>
                </c:pt>
                <c:pt idx="8">
                  <c:v>0.84275397742608882</c:v>
                </c:pt>
                <c:pt idx="9">
                  <c:v>0.89854175074461251</c:v>
                </c:pt>
                <c:pt idx="10">
                  <c:v>0.93935085174998711</c:v>
                </c:pt>
                <c:pt idx="11">
                  <c:v>0.95397880514872924</c:v>
                </c:pt>
                <c:pt idx="12">
                  <c:v>0.97602515585578353</c:v>
                </c:pt>
                <c:pt idx="13">
                  <c:v>0.99345272048907152</c:v>
                </c:pt>
                <c:pt idx="14">
                  <c:v>0.99999999999999978</c:v>
                </c:pt>
              </c:numCache>
            </c:numRef>
          </c:val>
          <c:smooth val="0"/>
          <c:extLst>
            <c:ext xmlns:c16="http://schemas.microsoft.com/office/drawing/2014/chart" uri="{C3380CC4-5D6E-409C-BE32-E72D297353CC}">
              <c16:uniqueId val="{00000000-B666-436E-BA78-B0AADAB42EC0}"/>
            </c:ext>
          </c:extLst>
        </c:ser>
        <c:ser>
          <c:idx val="1"/>
          <c:order val="1"/>
          <c:tx>
            <c:strRef>
              <c:f>'Curva S Ref.'!$I$8</c:f>
              <c:strCache>
                <c:ptCount val="1"/>
                <c:pt idx="0">
                  <c:v>REALIZADO</c:v>
                </c:pt>
              </c:strCache>
            </c:strRef>
          </c:tx>
          <c:spPr>
            <a:ln w="28575" cap="rnd">
              <a:solidFill>
                <a:schemeClr val="accent2"/>
              </a:solidFill>
              <a:round/>
            </a:ln>
            <a:effectLst/>
          </c:spPr>
          <c:marker>
            <c:symbol val="none"/>
          </c:marker>
          <c:dLbls>
            <c:dLbl>
              <c:idx val="0"/>
              <c:layout>
                <c:manualLayout>
                  <c:x val="2.4032525724950581E-2"/>
                  <c:y val="-1.536893859919865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666-436E-BA78-B0AADAB42EC0}"/>
                </c:ext>
              </c:extLst>
            </c:dLbl>
            <c:dLbl>
              <c:idx val="1"/>
              <c:layout>
                <c:manualLayout>
                  <c:x val="2.4032525724950581E-2"/>
                  <c:y val="-1.536893859919865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66-436E-BA78-B0AADAB42EC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'Curva S Ref.'!$G$10:$G$24</c:f>
              <c:numCache>
                <c:formatCode>General</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'Curva S Ref.'!$I$10:$I$24</c:f>
              <c:numCache>
                <c:formatCode>0.00%</c:formatCode>
                <c:ptCount val="15"/>
              </c:numCache>
            </c:numRef>
          </c:val>
          <c:smooth val="0"/>
          <c:extLst>
            <c:ext xmlns:c16="http://schemas.microsoft.com/office/drawing/2014/chart" uri="{C3380CC4-5D6E-409C-BE32-E72D297353CC}">
              <c16:uniqueId val="{00000008-B666-436E-BA78-B0AADAB42EC0}"/>
            </c:ext>
          </c:extLst>
        </c:ser>
        <c:dLbls>
          <c:dLblPos val="t"/>
          <c:showLegendKey val="0"/>
          <c:showVal val="1"/>
          <c:showCatName val="0"/>
          <c:showSerName val="0"/>
          <c:showPercent val="0"/>
          <c:showBubbleSize val="0"/>
        </c:dLbls>
        <c:smooth val="0"/>
        <c:axId val="2082264960"/>
        <c:axId val="1530140064"/>
      </c:lineChart>
      <c:catAx>
        <c:axId val="2082264960"/>
        <c:scaling>
          <c:orientation val="minMax"/>
        </c:scaling>
        <c:delete val="0"/>
        <c:axPos val="b"/>
        <c:title>
          <c:tx>
            <c:rich>
              <a:bodyPr rot="0" spcFirstLastPara="1" vertOverflow="ellipsis" vert="horz" wrap="square" anchor="ctr" anchorCtr="1"/>
              <a:lstStyle/>
              <a:p>
                <a:pPr>
                  <a:defRPr sz="1200" b="1" i="0" u="none" strike="noStrike" kern="1200" baseline="0">
                    <a:solidFill>
                      <a:schemeClr val="tx2">
                        <a:lumMod val="60000"/>
                        <a:lumOff val="40000"/>
                      </a:schemeClr>
                    </a:solidFill>
                    <a:latin typeface="+mn-lt"/>
                    <a:ea typeface="+mn-ea"/>
                    <a:cs typeface="+mn-cs"/>
                  </a:defRPr>
                </a:pPr>
                <a:r>
                  <a:rPr lang="pt-BR" sz="1200" b="1">
                    <a:solidFill>
                      <a:schemeClr val="tx2">
                        <a:lumMod val="60000"/>
                        <a:lumOff val="40000"/>
                      </a:schemeClr>
                    </a:solidFill>
                  </a:rPr>
                  <a:t>Mês</a:t>
                </a:r>
              </a:p>
            </c:rich>
          </c:tx>
          <c:layout>
            <c:manualLayout>
              <c:xMode val="edge"/>
              <c:yMode val="edge"/>
              <c:x val="0.53477250560545275"/>
              <c:y val="0.95886341266386677"/>
            </c:manualLayout>
          </c:layout>
          <c:overlay val="0"/>
          <c:spPr>
            <a:noFill/>
            <a:ln>
              <a:noFill/>
            </a:ln>
            <a:effectLst/>
          </c:spPr>
          <c:txPr>
            <a:bodyPr rot="0" spcFirstLastPara="1" vertOverflow="ellipsis" vert="horz" wrap="square" anchor="ctr" anchorCtr="1"/>
            <a:lstStyle/>
            <a:p>
              <a:pPr>
                <a:defRPr sz="1200" b="1" i="0" u="none" strike="noStrike" kern="1200" baseline="0">
                  <a:solidFill>
                    <a:schemeClr val="tx2">
                      <a:lumMod val="60000"/>
                      <a:lumOff val="40000"/>
                    </a:schemeClr>
                  </a:solidFill>
                  <a:latin typeface="+mn-lt"/>
                  <a:ea typeface="+mn-ea"/>
                  <a:cs typeface="+mn-cs"/>
                </a:defRPr>
              </a:pPr>
              <a:endParaRPr lang="pt-BR"/>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530140064"/>
        <c:crosses val="autoZero"/>
        <c:auto val="1"/>
        <c:lblAlgn val="ctr"/>
        <c:lblOffset val="100"/>
        <c:noMultiLvlLbl val="0"/>
      </c:catAx>
      <c:valAx>
        <c:axId val="1530140064"/>
        <c:scaling>
          <c:orientation val="minMax"/>
          <c:max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1" i="0" u="none" strike="noStrike" kern="1200" baseline="0">
                    <a:solidFill>
                      <a:schemeClr val="tx2">
                        <a:lumMod val="60000"/>
                        <a:lumOff val="40000"/>
                      </a:schemeClr>
                    </a:solidFill>
                    <a:latin typeface="+mn-lt"/>
                    <a:ea typeface="+mn-ea"/>
                    <a:cs typeface="+mn-cs"/>
                  </a:defRPr>
                </a:pPr>
                <a:r>
                  <a:rPr lang="pt-BR" sz="1200" b="1" baseline="0">
                    <a:solidFill>
                      <a:schemeClr val="tx2">
                        <a:lumMod val="60000"/>
                        <a:lumOff val="40000"/>
                      </a:schemeClr>
                    </a:solidFill>
                  </a:rPr>
                  <a:t>Acumulado (%)</a:t>
                </a:r>
                <a:endParaRPr lang="pt-BR" sz="1200" b="1">
                  <a:solidFill>
                    <a:schemeClr val="tx2">
                      <a:lumMod val="60000"/>
                      <a:lumOff val="40000"/>
                    </a:schemeClr>
                  </a:solidFill>
                </a:endParaRPr>
              </a:p>
            </c:rich>
          </c:tx>
          <c:overlay val="0"/>
          <c:spPr>
            <a:noFill/>
            <a:ln>
              <a:noFill/>
            </a:ln>
            <a:effectLst/>
          </c:spPr>
          <c:txPr>
            <a:bodyPr rot="-5400000" spcFirstLastPara="1" vertOverflow="ellipsis" vert="horz" wrap="square" anchor="ctr" anchorCtr="1"/>
            <a:lstStyle/>
            <a:p>
              <a:pPr>
                <a:defRPr sz="1200" b="1" i="0" u="none" strike="noStrike" kern="1200" baseline="0">
                  <a:solidFill>
                    <a:schemeClr val="tx2">
                      <a:lumMod val="60000"/>
                      <a:lumOff val="40000"/>
                    </a:schemeClr>
                  </a:solidFill>
                  <a:latin typeface="+mn-lt"/>
                  <a:ea typeface="+mn-ea"/>
                  <a:cs typeface="+mn-cs"/>
                </a:defRPr>
              </a:pPr>
              <a:endParaRPr lang="pt-BR"/>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2082264960"/>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pt-BR"/>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7.png"/><Relationship Id="rId1" Type="http://schemas.openxmlformats.org/officeDocument/2006/relationships/image" Target="../media/image5.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chart" Target="../charts/chart2.xml"/></Relationships>
</file>

<file path=xl/drawings/_rels/drawing12.xml.rels><?xml version="1.0" encoding="UTF-8" standalone="yes"?>
<Relationships xmlns="http://schemas.openxmlformats.org/package/2006/relationships"><Relationship Id="rId8" Type="http://schemas.openxmlformats.org/officeDocument/2006/relationships/image" Target="../media/image14.jpeg"/><Relationship Id="rId3" Type="http://schemas.openxmlformats.org/officeDocument/2006/relationships/image" Target="../media/image9.png"/><Relationship Id="rId7" Type="http://schemas.openxmlformats.org/officeDocument/2006/relationships/image" Target="../media/image13.png"/><Relationship Id="rId2" Type="http://schemas.openxmlformats.org/officeDocument/2006/relationships/image" Target="../media/image8.png"/><Relationship Id="rId1" Type="http://schemas.openxmlformats.org/officeDocument/2006/relationships/image" Target="../media/image5.jpeg"/><Relationship Id="rId6" Type="http://schemas.openxmlformats.org/officeDocument/2006/relationships/image" Target="../media/image12.jpeg"/><Relationship Id="rId5" Type="http://schemas.openxmlformats.org/officeDocument/2006/relationships/image" Target="../media/image11.png"/><Relationship Id="rId4" Type="http://schemas.openxmlformats.org/officeDocument/2006/relationships/image" Target="../media/image10.png"/><Relationship Id="rId9" Type="http://schemas.openxmlformats.org/officeDocument/2006/relationships/image" Target="../media/image15.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8" Type="http://schemas.openxmlformats.org/officeDocument/2006/relationships/image" Target="../media/image23.png"/><Relationship Id="rId3" Type="http://schemas.openxmlformats.org/officeDocument/2006/relationships/image" Target="../media/image18.png"/><Relationship Id="rId7" Type="http://schemas.openxmlformats.org/officeDocument/2006/relationships/image" Target="../media/image22.png"/><Relationship Id="rId2" Type="http://schemas.openxmlformats.org/officeDocument/2006/relationships/image" Target="../media/image17.png"/><Relationship Id="rId1" Type="http://schemas.openxmlformats.org/officeDocument/2006/relationships/image" Target="../media/image16.jpeg"/><Relationship Id="rId6" Type="http://schemas.openxmlformats.org/officeDocument/2006/relationships/image" Target="../media/image21.png"/><Relationship Id="rId11" Type="http://schemas.openxmlformats.org/officeDocument/2006/relationships/image" Target="../media/image15.png"/><Relationship Id="rId5" Type="http://schemas.openxmlformats.org/officeDocument/2006/relationships/image" Target="../media/image20.png"/><Relationship Id="rId10" Type="http://schemas.openxmlformats.org/officeDocument/2006/relationships/image" Target="../media/image25.png"/><Relationship Id="rId4" Type="http://schemas.openxmlformats.org/officeDocument/2006/relationships/image" Target="../media/image19.png"/><Relationship Id="rId9" Type="http://schemas.openxmlformats.org/officeDocument/2006/relationships/image" Target="../media/image2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26.png"/><Relationship Id="rId1" Type="http://schemas.openxmlformats.org/officeDocument/2006/relationships/image" Target="../media/image5.jpeg"/><Relationship Id="rId4" Type="http://schemas.openxmlformats.org/officeDocument/2006/relationships/image" Target="../media/image15.png"/></Relationships>
</file>

<file path=xl/drawings/_rels/drawing16.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image" Target="../media/image29.png"/><Relationship Id="rId7" Type="http://schemas.openxmlformats.org/officeDocument/2006/relationships/image" Target="../media/image33.png"/><Relationship Id="rId2" Type="http://schemas.openxmlformats.org/officeDocument/2006/relationships/image" Target="../media/image28.png"/><Relationship Id="rId1" Type="http://schemas.openxmlformats.org/officeDocument/2006/relationships/image" Target="../media/image5.jpeg"/><Relationship Id="rId6" Type="http://schemas.openxmlformats.org/officeDocument/2006/relationships/image" Target="../media/image32.png"/><Relationship Id="rId5" Type="http://schemas.openxmlformats.org/officeDocument/2006/relationships/image" Target="../media/image31.png"/><Relationship Id="rId4" Type="http://schemas.openxmlformats.org/officeDocument/2006/relationships/image" Target="../media/image30.png"/></Relationships>
</file>

<file path=xl/drawings/_rels/drawing17.xml.rels><?xml version="1.0" encoding="UTF-8" standalone="yes"?>
<Relationships xmlns="http://schemas.openxmlformats.org/package/2006/relationships"><Relationship Id="rId8" Type="http://schemas.openxmlformats.org/officeDocument/2006/relationships/image" Target="../media/image40.png"/><Relationship Id="rId13" Type="http://schemas.openxmlformats.org/officeDocument/2006/relationships/image" Target="../media/image45.png"/><Relationship Id="rId18" Type="http://schemas.openxmlformats.org/officeDocument/2006/relationships/image" Target="../media/image50.png"/><Relationship Id="rId26" Type="http://schemas.openxmlformats.org/officeDocument/2006/relationships/image" Target="../media/image15.png"/><Relationship Id="rId3" Type="http://schemas.openxmlformats.org/officeDocument/2006/relationships/image" Target="../media/image35.png"/><Relationship Id="rId21" Type="http://schemas.openxmlformats.org/officeDocument/2006/relationships/image" Target="../media/image18.png"/><Relationship Id="rId7" Type="http://schemas.openxmlformats.org/officeDocument/2006/relationships/image" Target="../media/image39.png"/><Relationship Id="rId12" Type="http://schemas.openxmlformats.org/officeDocument/2006/relationships/image" Target="../media/image44.png"/><Relationship Id="rId17" Type="http://schemas.openxmlformats.org/officeDocument/2006/relationships/image" Target="../media/image49.png"/><Relationship Id="rId25" Type="http://schemas.openxmlformats.org/officeDocument/2006/relationships/image" Target="../media/image24.png"/><Relationship Id="rId2" Type="http://schemas.openxmlformats.org/officeDocument/2006/relationships/image" Target="../media/image34.png"/><Relationship Id="rId16" Type="http://schemas.openxmlformats.org/officeDocument/2006/relationships/image" Target="../media/image48.png"/><Relationship Id="rId20" Type="http://schemas.openxmlformats.org/officeDocument/2006/relationships/image" Target="../media/image17.png"/><Relationship Id="rId1" Type="http://schemas.openxmlformats.org/officeDocument/2006/relationships/image" Target="../media/image5.jpeg"/><Relationship Id="rId6" Type="http://schemas.openxmlformats.org/officeDocument/2006/relationships/image" Target="../media/image38.png"/><Relationship Id="rId11" Type="http://schemas.openxmlformats.org/officeDocument/2006/relationships/image" Target="../media/image43.png"/><Relationship Id="rId24" Type="http://schemas.openxmlformats.org/officeDocument/2006/relationships/image" Target="../media/image22.png"/><Relationship Id="rId5" Type="http://schemas.openxmlformats.org/officeDocument/2006/relationships/image" Target="../media/image37.png"/><Relationship Id="rId15" Type="http://schemas.openxmlformats.org/officeDocument/2006/relationships/image" Target="../media/image47.png"/><Relationship Id="rId23" Type="http://schemas.openxmlformats.org/officeDocument/2006/relationships/image" Target="../media/image21.png"/><Relationship Id="rId10" Type="http://schemas.openxmlformats.org/officeDocument/2006/relationships/image" Target="../media/image42.png"/><Relationship Id="rId19" Type="http://schemas.openxmlformats.org/officeDocument/2006/relationships/image" Target="../media/image51.png"/><Relationship Id="rId4" Type="http://schemas.openxmlformats.org/officeDocument/2006/relationships/image" Target="../media/image36.png"/><Relationship Id="rId9" Type="http://schemas.openxmlformats.org/officeDocument/2006/relationships/image" Target="../media/image41.png"/><Relationship Id="rId14" Type="http://schemas.openxmlformats.org/officeDocument/2006/relationships/image" Target="../media/image46.png"/><Relationship Id="rId22" Type="http://schemas.openxmlformats.org/officeDocument/2006/relationships/image" Target="../media/image20.png"/></Relationships>
</file>

<file path=xl/drawings/_rels/drawing18.xml.rels><?xml version="1.0" encoding="UTF-8" standalone="yes"?>
<Relationships xmlns="http://schemas.openxmlformats.org/package/2006/relationships"><Relationship Id="rId3" Type="http://schemas.openxmlformats.org/officeDocument/2006/relationships/image" Target="../media/image53.png"/><Relationship Id="rId2" Type="http://schemas.openxmlformats.org/officeDocument/2006/relationships/image" Target="../media/image52.png"/><Relationship Id="rId1" Type="http://schemas.openxmlformats.org/officeDocument/2006/relationships/image" Target="../media/image5.jpeg"/><Relationship Id="rId4" Type="http://schemas.openxmlformats.org/officeDocument/2006/relationships/image" Target="../media/image15.png"/></Relationships>
</file>

<file path=xl/drawings/_rels/drawing19.xml.rels><?xml version="1.0" encoding="UTF-8" standalone="yes"?>
<Relationships xmlns="http://schemas.openxmlformats.org/package/2006/relationships"><Relationship Id="rId8" Type="http://schemas.openxmlformats.org/officeDocument/2006/relationships/image" Target="../media/image60.png"/><Relationship Id="rId3" Type="http://schemas.openxmlformats.org/officeDocument/2006/relationships/image" Target="../media/image55.png"/><Relationship Id="rId7" Type="http://schemas.openxmlformats.org/officeDocument/2006/relationships/image" Target="../media/image59.png"/><Relationship Id="rId2" Type="http://schemas.openxmlformats.org/officeDocument/2006/relationships/image" Target="../media/image54.png"/><Relationship Id="rId1" Type="http://schemas.openxmlformats.org/officeDocument/2006/relationships/image" Target="../media/image5.jpeg"/><Relationship Id="rId6" Type="http://schemas.openxmlformats.org/officeDocument/2006/relationships/image" Target="../media/image58.png"/><Relationship Id="rId5" Type="http://schemas.openxmlformats.org/officeDocument/2006/relationships/image" Target="../media/image57.png"/><Relationship Id="rId4" Type="http://schemas.openxmlformats.org/officeDocument/2006/relationships/image" Target="../media/image56.png"/><Relationship Id="rId9" Type="http://schemas.openxmlformats.org/officeDocument/2006/relationships/image" Target="../media/image15.png"/></Relationships>
</file>

<file path=xl/drawings/_rels/drawing20.xml.rels><?xml version="1.0" encoding="UTF-8" standalone="yes"?>
<Relationships xmlns="http://schemas.openxmlformats.org/package/2006/relationships"><Relationship Id="rId3" Type="http://schemas.openxmlformats.org/officeDocument/2006/relationships/image" Target="../media/image62.png"/><Relationship Id="rId2" Type="http://schemas.openxmlformats.org/officeDocument/2006/relationships/image" Target="../media/image61.png"/><Relationship Id="rId1" Type="http://schemas.openxmlformats.org/officeDocument/2006/relationships/image" Target="../media/image5.jpeg"/><Relationship Id="rId6" Type="http://schemas.openxmlformats.org/officeDocument/2006/relationships/image" Target="../media/image15.png"/><Relationship Id="rId5" Type="http://schemas.openxmlformats.org/officeDocument/2006/relationships/image" Target="../media/image64.png"/><Relationship Id="rId4" Type="http://schemas.openxmlformats.org/officeDocument/2006/relationships/image" Target="../media/image63.png"/></Relationships>
</file>

<file path=xl/drawings/_rels/drawing21.xml.rels><?xml version="1.0" encoding="UTF-8" standalone="yes"?>
<Relationships xmlns="http://schemas.openxmlformats.org/package/2006/relationships"><Relationship Id="rId8" Type="http://schemas.openxmlformats.org/officeDocument/2006/relationships/image" Target="../media/image71.png"/><Relationship Id="rId13" Type="http://schemas.openxmlformats.org/officeDocument/2006/relationships/image" Target="../media/image75.png"/><Relationship Id="rId3" Type="http://schemas.openxmlformats.org/officeDocument/2006/relationships/image" Target="../media/image66.png"/><Relationship Id="rId7" Type="http://schemas.openxmlformats.org/officeDocument/2006/relationships/image" Target="../media/image70.png"/><Relationship Id="rId12" Type="http://schemas.openxmlformats.org/officeDocument/2006/relationships/image" Target="../media/image74.png"/><Relationship Id="rId2" Type="http://schemas.openxmlformats.org/officeDocument/2006/relationships/image" Target="../media/image65.png"/><Relationship Id="rId1" Type="http://schemas.openxmlformats.org/officeDocument/2006/relationships/image" Target="../media/image5.jpeg"/><Relationship Id="rId6" Type="http://schemas.openxmlformats.org/officeDocument/2006/relationships/image" Target="../media/image69.png"/><Relationship Id="rId11" Type="http://schemas.openxmlformats.org/officeDocument/2006/relationships/image" Target="../media/image73.png"/><Relationship Id="rId5" Type="http://schemas.openxmlformats.org/officeDocument/2006/relationships/image" Target="../media/image68.png"/><Relationship Id="rId10" Type="http://schemas.openxmlformats.org/officeDocument/2006/relationships/image" Target="../media/image15.png"/><Relationship Id="rId4" Type="http://schemas.openxmlformats.org/officeDocument/2006/relationships/image" Target="../media/image67.png"/><Relationship Id="rId9" Type="http://schemas.openxmlformats.org/officeDocument/2006/relationships/image" Target="../media/image72.png"/><Relationship Id="rId14" Type="http://schemas.openxmlformats.org/officeDocument/2006/relationships/image" Target="../media/image76.png"/></Relationships>
</file>

<file path=xl/drawings/_rels/drawing22.xml.rels><?xml version="1.0" encoding="UTF-8" standalone="yes"?>
<Relationships xmlns="http://schemas.openxmlformats.org/package/2006/relationships"><Relationship Id="rId8" Type="http://schemas.openxmlformats.org/officeDocument/2006/relationships/image" Target="../media/image83.png"/><Relationship Id="rId13" Type="http://schemas.openxmlformats.org/officeDocument/2006/relationships/image" Target="../media/image88.png"/><Relationship Id="rId18" Type="http://schemas.openxmlformats.org/officeDocument/2006/relationships/image" Target="../media/image93.png"/><Relationship Id="rId26" Type="http://schemas.openxmlformats.org/officeDocument/2006/relationships/image" Target="../media/image15.png"/><Relationship Id="rId3" Type="http://schemas.openxmlformats.org/officeDocument/2006/relationships/image" Target="../media/image78.png"/><Relationship Id="rId21" Type="http://schemas.openxmlformats.org/officeDocument/2006/relationships/image" Target="../media/image96.png"/><Relationship Id="rId7" Type="http://schemas.openxmlformats.org/officeDocument/2006/relationships/image" Target="../media/image82.png"/><Relationship Id="rId12" Type="http://schemas.openxmlformats.org/officeDocument/2006/relationships/image" Target="../media/image87.png"/><Relationship Id="rId17" Type="http://schemas.openxmlformats.org/officeDocument/2006/relationships/image" Target="../media/image92.png"/><Relationship Id="rId25" Type="http://schemas.openxmlformats.org/officeDocument/2006/relationships/image" Target="../media/image100.png"/><Relationship Id="rId2" Type="http://schemas.openxmlformats.org/officeDocument/2006/relationships/image" Target="../media/image77.png"/><Relationship Id="rId16" Type="http://schemas.openxmlformats.org/officeDocument/2006/relationships/image" Target="../media/image91.png"/><Relationship Id="rId20" Type="http://schemas.openxmlformats.org/officeDocument/2006/relationships/image" Target="../media/image95.png"/><Relationship Id="rId1" Type="http://schemas.openxmlformats.org/officeDocument/2006/relationships/image" Target="../media/image5.jpeg"/><Relationship Id="rId6" Type="http://schemas.openxmlformats.org/officeDocument/2006/relationships/image" Target="../media/image81.png"/><Relationship Id="rId11" Type="http://schemas.openxmlformats.org/officeDocument/2006/relationships/image" Target="../media/image86.png"/><Relationship Id="rId24" Type="http://schemas.openxmlformats.org/officeDocument/2006/relationships/image" Target="../media/image99.png"/><Relationship Id="rId5" Type="http://schemas.openxmlformats.org/officeDocument/2006/relationships/image" Target="../media/image80.png"/><Relationship Id="rId15" Type="http://schemas.openxmlformats.org/officeDocument/2006/relationships/image" Target="../media/image90.png"/><Relationship Id="rId23" Type="http://schemas.openxmlformats.org/officeDocument/2006/relationships/image" Target="../media/image98.png"/><Relationship Id="rId10" Type="http://schemas.openxmlformats.org/officeDocument/2006/relationships/image" Target="../media/image85.png"/><Relationship Id="rId19" Type="http://schemas.openxmlformats.org/officeDocument/2006/relationships/image" Target="../media/image94.png"/><Relationship Id="rId4" Type="http://schemas.openxmlformats.org/officeDocument/2006/relationships/image" Target="../media/image79.png"/><Relationship Id="rId9" Type="http://schemas.openxmlformats.org/officeDocument/2006/relationships/image" Target="../media/image84.png"/><Relationship Id="rId14" Type="http://schemas.openxmlformats.org/officeDocument/2006/relationships/image" Target="../media/image89.png"/><Relationship Id="rId22" Type="http://schemas.openxmlformats.org/officeDocument/2006/relationships/image" Target="../media/image97.png"/></Relationships>
</file>

<file path=xl/drawings/_rels/drawing23.xml.rels><?xml version="1.0" encoding="UTF-8" standalone="yes"?>
<Relationships xmlns="http://schemas.openxmlformats.org/package/2006/relationships"><Relationship Id="rId8" Type="http://schemas.openxmlformats.org/officeDocument/2006/relationships/image" Target="../media/image107.png"/><Relationship Id="rId13" Type="http://schemas.openxmlformats.org/officeDocument/2006/relationships/image" Target="../media/image112.png"/><Relationship Id="rId18" Type="http://schemas.openxmlformats.org/officeDocument/2006/relationships/image" Target="../media/image117.png"/><Relationship Id="rId26" Type="http://schemas.openxmlformats.org/officeDocument/2006/relationships/image" Target="../media/image125.png"/><Relationship Id="rId3" Type="http://schemas.openxmlformats.org/officeDocument/2006/relationships/image" Target="../media/image102.png"/><Relationship Id="rId21" Type="http://schemas.openxmlformats.org/officeDocument/2006/relationships/image" Target="../media/image120.png"/><Relationship Id="rId7" Type="http://schemas.openxmlformats.org/officeDocument/2006/relationships/image" Target="../media/image106.png"/><Relationship Id="rId12" Type="http://schemas.openxmlformats.org/officeDocument/2006/relationships/image" Target="../media/image111.png"/><Relationship Id="rId17" Type="http://schemas.openxmlformats.org/officeDocument/2006/relationships/image" Target="../media/image116.png"/><Relationship Id="rId25" Type="http://schemas.openxmlformats.org/officeDocument/2006/relationships/image" Target="../media/image124.png"/><Relationship Id="rId2" Type="http://schemas.openxmlformats.org/officeDocument/2006/relationships/image" Target="../media/image101.png"/><Relationship Id="rId16" Type="http://schemas.openxmlformats.org/officeDocument/2006/relationships/image" Target="../media/image115.png"/><Relationship Id="rId20" Type="http://schemas.openxmlformats.org/officeDocument/2006/relationships/image" Target="../media/image119.png"/><Relationship Id="rId29" Type="http://schemas.openxmlformats.org/officeDocument/2006/relationships/image" Target="../media/image128.png"/><Relationship Id="rId1" Type="http://schemas.openxmlformats.org/officeDocument/2006/relationships/image" Target="../media/image5.jpeg"/><Relationship Id="rId6" Type="http://schemas.openxmlformats.org/officeDocument/2006/relationships/image" Target="../media/image105.png"/><Relationship Id="rId11" Type="http://schemas.openxmlformats.org/officeDocument/2006/relationships/image" Target="../media/image110.png"/><Relationship Id="rId24" Type="http://schemas.openxmlformats.org/officeDocument/2006/relationships/image" Target="../media/image123.png"/><Relationship Id="rId32" Type="http://schemas.openxmlformats.org/officeDocument/2006/relationships/image" Target="../media/image130.png"/><Relationship Id="rId5" Type="http://schemas.openxmlformats.org/officeDocument/2006/relationships/image" Target="../media/image104.png"/><Relationship Id="rId15" Type="http://schemas.openxmlformats.org/officeDocument/2006/relationships/image" Target="../media/image114.png"/><Relationship Id="rId23" Type="http://schemas.openxmlformats.org/officeDocument/2006/relationships/image" Target="../media/image122.png"/><Relationship Id="rId28" Type="http://schemas.openxmlformats.org/officeDocument/2006/relationships/image" Target="../media/image127.png"/><Relationship Id="rId10" Type="http://schemas.openxmlformats.org/officeDocument/2006/relationships/image" Target="../media/image109.png"/><Relationship Id="rId19" Type="http://schemas.openxmlformats.org/officeDocument/2006/relationships/image" Target="../media/image118.png"/><Relationship Id="rId31" Type="http://schemas.openxmlformats.org/officeDocument/2006/relationships/image" Target="../media/image129.png"/><Relationship Id="rId4" Type="http://schemas.openxmlformats.org/officeDocument/2006/relationships/image" Target="../media/image103.png"/><Relationship Id="rId9" Type="http://schemas.openxmlformats.org/officeDocument/2006/relationships/image" Target="../media/image108.png"/><Relationship Id="rId14" Type="http://schemas.openxmlformats.org/officeDocument/2006/relationships/image" Target="../media/image113.png"/><Relationship Id="rId22" Type="http://schemas.openxmlformats.org/officeDocument/2006/relationships/image" Target="../media/image121.png"/><Relationship Id="rId27" Type="http://schemas.openxmlformats.org/officeDocument/2006/relationships/image" Target="../media/image126.png"/><Relationship Id="rId30" Type="http://schemas.openxmlformats.org/officeDocument/2006/relationships/image" Target="../media/image15.png"/></Relationships>
</file>

<file path=xl/drawings/_rels/drawing24.xml.rels><?xml version="1.0" encoding="UTF-8" standalone="yes"?>
<Relationships xmlns="http://schemas.openxmlformats.org/package/2006/relationships"><Relationship Id="rId8" Type="http://schemas.openxmlformats.org/officeDocument/2006/relationships/image" Target="../media/image137.png"/><Relationship Id="rId3" Type="http://schemas.openxmlformats.org/officeDocument/2006/relationships/image" Target="../media/image132.png"/><Relationship Id="rId7" Type="http://schemas.openxmlformats.org/officeDocument/2006/relationships/image" Target="../media/image136.png"/><Relationship Id="rId12" Type="http://schemas.openxmlformats.org/officeDocument/2006/relationships/image" Target="../media/image15.png"/><Relationship Id="rId2" Type="http://schemas.openxmlformats.org/officeDocument/2006/relationships/image" Target="../media/image131.png"/><Relationship Id="rId1" Type="http://schemas.openxmlformats.org/officeDocument/2006/relationships/image" Target="../media/image5.jpeg"/><Relationship Id="rId6" Type="http://schemas.openxmlformats.org/officeDocument/2006/relationships/image" Target="../media/image135.png"/><Relationship Id="rId11" Type="http://schemas.openxmlformats.org/officeDocument/2006/relationships/image" Target="../media/image140.png"/><Relationship Id="rId5" Type="http://schemas.openxmlformats.org/officeDocument/2006/relationships/image" Target="../media/image134.png"/><Relationship Id="rId10" Type="http://schemas.openxmlformats.org/officeDocument/2006/relationships/image" Target="../media/image139.png"/><Relationship Id="rId4" Type="http://schemas.openxmlformats.org/officeDocument/2006/relationships/image" Target="../media/image133.png"/><Relationship Id="rId9" Type="http://schemas.openxmlformats.org/officeDocument/2006/relationships/image" Target="../media/image138.png"/></Relationships>
</file>

<file path=xl/drawings/_rels/drawing25.xml.rels><?xml version="1.0" encoding="UTF-8" standalone="yes"?>
<Relationships xmlns="http://schemas.openxmlformats.org/package/2006/relationships"><Relationship Id="rId8" Type="http://schemas.openxmlformats.org/officeDocument/2006/relationships/image" Target="../media/image147.png"/><Relationship Id="rId3" Type="http://schemas.openxmlformats.org/officeDocument/2006/relationships/image" Target="../media/image142.png"/><Relationship Id="rId7" Type="http://schemas.openxmlformats.org/officeDocument/2006/relationships/image" Target="../media/image146.png"/><Relationship Id="rId12" Type="http://schemas.openxmlformats.org/officeDocument/2006/relationships/image" Target="../media/image15.png"/><Relationship Id="rId2" Type="http://schemas.openxmlformats.org/officeDocument/2006/relationships/image" Target="../media/image141.png"/><Relationship Id="rId1" Type="http://schemas.openxmlformats.org/officeDocument/2006/relationships/image" Target="../media/image5.jpeg"/><Relationship Id="rId6" Type="http://schemas.openxmlformats.org/officeDocument/2006/relationships/image" Target="../media/image145.png"/><Relationship Id="rId11" Type="http://schemas.openxmlformats.org/officeDocument/2006/relationships/image" Target="../media/image150.png"/><Relationship Id="rId5" Type="http://schemas.openxmlformats.org/officeDocument/2006/relationships/image" Target="../media/image144.png"/><Relationship Id="rId10" Type="http://schemas.openxmlformats.org/officeDocument/2006/relationships/image" Target="../media/image149.png"/><Relationship Id="rId4" Type="http://schemas.openxmlformats.org/officeDocument/2006/relationships/image" Target="../media/image143.png"/><Relationship Id="rId9" Type="http://schemas.openxmlformats.org/officeDocument/2006/relationships/image" Target="../media/image148.png"/></Relationships>
</file>

<file path=xl/drawings/_rels/drawing26.xml.rels><?xml version="1.0" encoding="UTF-8" standalone="yes"?>
<Relationships xmlns="http://schemas.openxmlformats.org/package/2006/relationships"><Relationship Id="rId2" Type="http://schemas.openxmlformats.org/officeDocument/2006/relationships/image" Target="../media/image151.png"/><Relationship Id="rId1"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8" Type="http://schemas.openxmlformats.org/officeDocument/2006/relationships/image" Target="../media/image158.png"/><Relationship Id="rId13" Type="http://schemas.openxmlformats.org/officeDocument/2006/relationships/image" Target="../media/image163.png"/><Relationship Id="rId18" Type="http://schemas.openxmlformats.org/officeDocument/2006/relationships/image" Target="../media/image15.png"/><Relationship Id="rId3" Type="http://schemas.openxmlformats.org/officeDocument/2006/relationships/image" Target="../media/image153.png"/><Relationship Id="rId7" Type="http://schemas.openxmlformats.org/officeDocument/2006/relationships/image" Target="../media/image157.jpeg"/><Relationship Id="rId12" Type="http://schemas.openxmlformats.org/officeDocument/2006/relationships/image" Target="../media/image162.png"/><Relationship Id="rId17" Type="http://schemas.openxmlformats.org/officeDocument/2006/relationships/image" Target="../media/image167.png"/><Relationship Id="rId2" Type="http://schemas.openxmlformats.org/officeDocument/2006/relationships/image" Target="../media/image152.png"/><Relationship Id="rId16" Type="http://schemas.openxmlformats.org/officeDocument/2006/relationships/image" Target="../media/image166.png"/><Relationship Id="rId1" Type="http://schemas.openxmlformats.org/officeDocument/2006/relationships/image" Target="../media/image5.jpeg"/><Relationship Id="rId6" Type="http://schemas.openxmlformats.org/officeDocument/2006/relationships/image" Target="../media/image156.png"/><Relationship Id="rId11" Type="http://schemas.openxmlformats.org/officeDocument/2006/relationships/image" Target="../media/image161.png"/><Relationship Id="rId5" Type="http://schemas.openxmlformats.org/officeDocument/2006/relationships/image" Target="../media/image155.png"/><Relationship Id="rId15" Type="http://schemas.openxmlformats.org/officeDocument/2006/relationships/image" Target="../media/image165.png"/><Relationship Id="rId10" Type="http://schemas.openxmlformats.org/officeDocument/2006/relationships/image" Target="../media/image160.png"/><Relationship Id="rId4" Type="http://schemas.openxmlformats.org/officeDocument/2006/relationships/image" Target="../media/image154.png"/><Relationship Id="rId9" Type="http://schemas.openxmlformats.org/officeDocument/2006/relationships/image" Target="../media/image159.png"/><Relationship Id="rId14" Type="http://schemas.openxmlformats.org/officeDocument/2006/relationships/image" Target="../media/image164.png"/></Relationships>
</file>

<file path=xl/drawings/_rels/drawing28.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68.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7</xdr:col>
      <xdr:colOff>594360</xdr:colOff>
      <xdr:row>39</xdr:row>
      <xdr:rowOff>175260</xdr:rowOff>
    </xdr:from>
    <xdr:to>
      <xdr:col>8</xdr:col>
      <xdr:colOff>291593</xdr:colOff>
      <xdr:row>42</xdr:row>
      <xdr:rowOff>166620</xdr:rowOff>
    </xdr:to>
    <xdr:pic>
      <xdr:nvPicPr>
        <xdr:cNvPr id="2" name="Imagem 1">
          <a:extLst>
            <a:ext uri="{FF2B5EF4-FFF2-40B4-BE49-F238E27FC236}">
              <a16:creationId xmlns:a16="http://schemas.microsoft.com/office/drawing/2014/main" id="{D3E57DCD-7634-4FFE-BFB3-D418666E1F5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498" t="837" r="19387" b="38925"/>
        <a:stretch>
          <a:fillRect/>
        </a:stretch>
      </xdr:blipFill>
      <xdr:spPr>
        <a:xfrm>
          <a:off x="13121640" y="8732520"/>
          <a:ext cx="824993" cy="54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618423</xdr:colOff>
      <xdr:row>377</xdr:row>
      <xdr:rowOff>120317</xdr:rowOff>
    </xdr:from>
    <xdr:to>
      <xdr:col>11</xdr:col>
      <xdr:colOff>368194</xdr:colOff>
      <xdr:row>380</xdr:row>
      <xdr:rowOff>106865</xdr:rowOff>
    </xdr:to>
    <xdr:pic>
      <xdr:nvPicPr>
        <xdr:cNvPr id="2" name="Imagem 1">
          <a:extLst>
            <a:ext uri="{FF2B5EF4-FFF2-40B4-BE49-F238E27FC236}">
              <a16:creationId xmlns:a16="http://schemas.microsoft.com/office/drawing/2014/main" id="{7E8912DB-1144-44DB-BFA2-F64A7D7B5F0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498" t="837" r="19387" b="38925"/>
        <a:stretch>
          <a:fillRect/>
        </a:stretch>
      </xdr:blipFill>
      <xdr:spPr>
        <a:xfrm>
          <a:off x="13115223" y="181011497"/>
          <a:ext cx="824191" cy="5351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7971</xdr:colOff>
      <xdr:row>103</xdr:row>
      <xdr:rowOff>120317</xdr:rowOff>
    </xdr:from>
    <xdr:to>
      <xdr:col>9</xdr:col>
      <xdr:colOff>840629</xdr:colOff>
      <xdr:row>106</xdr:row>
      <xdr:rowOff>106864</xdr:rowOff>
    </xdr:to>
    <xdr:pic>
      <xdr:nvPicPr>
        <xdr:cNvPr id="2" name="Imagem 1">
          <a:extLst>
            <a:ext uri="{FF2B5EF4-FFF2-40B4-BE49-F238E27FC236}">
              <a16:creationId xmlns:a16="http://schemas.microsoft.com/office/drawing/2014/main" id="{FC718DF4-37E8-4B4F-912A-7AE3DEFEF98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498" t="837" r="19387" b="38925"/>
        <a:stretch>
          <a:fillRect/>
        </a:stretch>
      </xdr:blipFill>
      <xdr:spPr>
        <a:xfrm>
          <a:off x="13241371" y="31413117"/>
          <a:ext cx="832658" cy="54534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19</xdr:col>
      <xdr:colOff>53340</xdr:colOff>
      <xdr:row>80</xdr:row>
      <xdr:rowOff>0</xdr:rowOff>
    </xdr:from>
    <xdr:to>
      <xdr:col>20</xdr:col>
      <xdr:colOff>65578</xdr:colOff>
      <xdr:row>82</xdr:row>
      <xdr:rowOff>179587</xdr:rowOff>
    </xdr:to>
    <xdr:pic>
      <xdr:nvPicPr>
        <xdr:cNvPr id="3" name="Imagem 2">
          <a:extLst>
            <a:ext uri="{FF2B5EF4-FFF2-40B4-BE49-F238E27FC236}">
              <a16:creationId xmlns:a16="http://schemas.microsoft.com/office/drawing/2014/main" id="{CB81D98D-777A-4A4B-8110-94C0350F978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498" t="837" r="19387" b="38925"/>
        <a:stretch>
          <a:fillRect/>
        </a:stretch>
      </xdr:blipFill>
      <xdr:spPr>
        <a:xfrm>
          <a:off x="11635740" y="18105120"/>
          <a:ext cx="827578" cy="54534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190500</xdr:colOff>
      <xdr:row>3</xdr:row>
      <xdr:rowOff>99060</xdr:rowOff>
    </xdr:from>
    <xdr:to>
      <xdr:col>8</xdr:col>
      <xdr:colOff>1176825</xdr:colOff>
      <xdr:row>8</xdr:row>
      <xdr:rowOff>122760</xdr:rowOff>
    </xdr:to>
    <xdr:pic>
      <xdr:nvPicPr>
        <xdr:cNvPr id="2" name="Imagem 1">
          <a:extLst>
            <a:ext uri="{FF2B5EF4-FFF2-40B4-BE49-F238E27FC236}">
              <a16:creationId xmlns:a16="http://schemas.microsoft.com/office/drawing/2014/main" id="{135BF347-5A71-4AC2-B4EA-B6DF8DA66C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85360" y="647700"/>
          <a:ext cx="1519725" cy="976200"/>
        </a:xfrm>
        <a:prstGeom prst="rect">
          <a:avLst/>
        </a:prstGeom>
      </xdr:spPr>
    </xdr:pic>
    <xdr:clientData/>
  </xdr:twoCellAnchor>
  <xdr:twoCellAnchor editAs="oneCell">
    <xdr:from>
      <xdr:col>1</xdr:col>
      <xdr:colOff>152400</xdr:colOff>
      <xdr:row>45</xdr:row>
      <xdr:rowOff>15240</xdr:rowOff>
    </xdr:from>
    <xdr:to>
      <xdr:col>5</xdr:col>
      <xdr:colOff>156780</xdr:colOff>
      <xdr:row>49</xdr:row>
      <xdr:rowOff>136857</xdr:rowOff>
    </xdr:to>
    <xdr:pic>
      <xdr:nvPicPr>
        <xdr:cNvPr id="4" name="Imagem 3">
          <a:extLst>
            <a:ext uri="{FF2B5EF4-FFF2-40B4-BE49-F238E27FC236}">
              <a16:creationId xmlns:a16="http://schemas.microsoft.com/office/drawing/2014/main" id="{CA5C6683-2B39-4AE7-A8C3-8AD67A5536DF}"/>
            </a:ext>
          </a:extLst>
        </xdr:cNvPr>
        <xdr:cNvPicPr>
          <a:picLocks noChangeAspect="1"/>
        </xdr:cNvPicPr>
      </xdr:nvPicPr>
      <xdr:blipFill>
        <a:blip xmlns:r="http://schemas.openxmlformats.org/officeDocument/2006/relationships" r:embed="rId2"/>
        <a:stretch>
          <a:fillRect/>
        </a:stretch>
      </xdr:blipFill>
      <xdr:spPr>
        <a:xfrm>
          <a:off x="1287780" y="7155180"/>
          <a:ext cx="3060000" cy="77693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6</xdr:col>
      <xdr:colOff>28575</xdr:colOff>
      <xdr:row>16</xdr:row>
      <xdr:rowOff>195260</xdr:rowOff>
    </xdr:from>
    <xdr:ext cx="3924300" cy="441211"/>
    <mc:AlternateContent xmlns:mc="http://schemas.openxmlformats.org/markup-compatibility/2006" xmlns:a14="http://schemas.microsoft.com/office/drawing/2010/main">
      <mc:Choice Requires="a14">
        <xdr:sp macro="" textlink="">
          <xdr:nvSpPr>
            <xdr:cNvPr id="2" name="CaixaDeTexto 1">
              <a:extLst>
                <a:ext uri="{FF2B5EF4-FFF2-40B4-BE49-F238E27FC236}">
                  <a16:creationId xmlns:a16="http://schemas.microsoft.com/office/drawing/2014/main" id="{DD0B7568-94F3-49DB-8D2F-0B59332F4DE2}"/>
                </a:ext>
              </a:extLst>
            </xdr:cNvPr>
            <xdr:cNvSpPr txBox="1"/>
          </xdr:nvSpPr>
          <xdr:spPr>
            <a:xfrm>
              <a:off x="2703195" y="4050980"/>
              <a:ext cx="3924300" cy="4412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r>
                    <a:rPr lang="pt-BR" sz="1800" b="1" i="1">
                      <a:latin typeface="Cambria Math" panose="02040503050406030204" pitchFamily="18" charset="0"/>
                    </a:rPr>
                    <m:t>𝑩𝑫𝑰</m:t>
                  </m:r>
                  <m:r>
                    <a:rPr lang="pt-BR" sz="1800" b="1" i="1">
                      <a:latin typeface="Cambria Math" panose="02040503050406030204" pitchFamily="18" charset="0"/>
                    </a:rPr>
                    <m:t>=</m:t>
                  </m:r>
                  <m:d>
                    <m:dPr>
                      <m:begChr m:val="⌊"/>
                      <m:endChr m:val="⌋"/>
                      <m:ctrlPr>
                        <a:rPr lang="pt-BR" sz="1800" b="1" i="1">
                          <a:latin typeface="Cambria Math" panose="02040503050406030204" pitchFamily="18" charset="0"/>
                        </a:rPr>
                      </m:ctrlPr>
                    </m:dPr>
                    <m:e>
                      <m:f>
                        <m:fPr>
                          <m:ctrlPr>
                            <a:rPr lang="pt-BR" sz="1800" b="1" i="1">
                              <a:solidFill>
                                <a:schemeClr val="tx1"/>
                              </a:solidFill>
                              <a:effectLst/>
                              <a:latin typeface="Cambria Math" panose="02040503050406030204" pitchFamily="18" charset="0"/>
                              <a:ea typeface="+mn-ea"/>
                              <a:cs typeface="+mn-cs"/>
                            </a:rPr>
                          </m:ctrlPr>
                        </m:fPr>
                        <m:num>
                          <m:d>
                            <m:dPr>
                              <m:ctrlPr>
                                <a:rPr lang="pt-BR" sz="1800" b="1" i="1">
                                  <a:solidFill>
                                    <a:schemeClr val="tx1"/>
                                  </a:solidFill>
                                  <a:effectLst/>
                                  <a:latin typeface="Cambria Math" panose="02040503050406030204" pitchFamily="18" charset="0"/>
                                  <a:ea typeface="+mn-ea"/>
                                  <a:cs typeface="+mn-cs"/>
                                </a:rPr>
                              </m:ctrlPr>
                            </m:dPr>
                            <m:e>
                              <m:r>
                                <a:rPr lang="pt-BR" sz="1800" b="1" i="1">
                                  <a:solidFill>
                                    <a:schemeClr val="tx1"/>
                                  </a:solidFill>
                                  <a:effectLst/>
                                  <a:latin typeface="Cambria Math" panose="02040503050406030204" pitchFamily="18" charset="0"/>
                                  <a:ea typeface="+mn-ea"/>
                                  <a:cs typeface="+mn-cs"/>
                                </a:rPr>
                                <m:t>𝟏</m:t>
                              </m:r>
                              <m:r>
                                <a:rPr lang="pt-BR" sz="1800" b="1" i="1">
                                  <a:solidFill>
                                    <a:schemeClr val="tx1"/>
                                  </a:solidFill>
                                  <a:effectLst/>
                                  <a:latin typeface="Cambria Math" panose="02040503050406030204" pitchFamily="18" charset="0"/>
                                  <a:ea typeface="+mn-ea"/>
                                  <a:cs typeface="+mn-cs"/>
                                </a:rPr>
                                <m:t>+</m:t>
                              </m:r>
                              <m:r>
                                <a:rPr lang="pt-BR" sz="1800" b="1" i="1">
                                  <a:solidFill>
                                    <a:schemeClr val="tx1"/>
                                  </a:solidFill>
                                  <a:effectLst/>
                                  <a:latin typeface="Cambria Math" panose="02040503050406030204" pitchFamily="18" charset="0"/>
                                  <a:ea typeface="+mn-ea"/>
                                  <a:cs typeface="+mn-cs"/>
                                </a:rPr>
                                <m:t>𝑨𝑪</m:t>
                              </m:r>
                              <m:r>
                                <a:rPr lang="pt-BR" sz="1800" b="1" i="1">
                                  <a:solidFill>
                                    <a:schemeClr val="tx1"/>
                                  </a:solidFill>
                                  <a:effectLst/>
                                  <a:latin typeface="Cambria Math" panose="02040503050406030204" pitchFamily="18" charset="0"/>
                                  <a:ea typeface="+mn-ea"/>
                                  <a:cs typeface="+mn-cs"/>
                                </a:rPr>
                                <m:t>+</m:t>
                              </m:r>
                              <m:r>
                                <a:rPr lang="pt-BR" sz="1800" b="1" i="1">
                                  <a:solidFill>
                                    <a:schemeClr val="tx1"/>
                                  </a:solidFill>
                                  <a:effectLst/>
                                  <a:latin typeface="Cambria Math" panose="02040503050406030204" pitchFamily="18" charset="0"/>
                                  <a:ea typeface="+mn-ea"/>
                                  <a:cs typeface="+mn-cs"/>
                                </a:rPr>
                                <m:t>𝑺</m:t>
                              </m:r>
                              <m:r>
                                <a:rPr lang="pt-BR" sz="1800" b="1" i="1">
                                  <a:solidFill>
                                    <a:schemeClr val="tx1"/>
                                  </a:solidFill>
                                  <a:effectLst/>
                                  <a:latin typeface="Cambria Math" panose="02040503050406030204" pitchFamily="18" charset="0"/>
                                  <a:ea typeface="+mn-ea"/>
                                  <a:cs typeface="+mn-cs"/>
                                </a:rPr>
                                <m:t>+</m:t>
                              </m:r>
                              <m:r>
                                <a:rPr lang="pt-BR" sz="1800" b="1" i="1">
                                  <a:solidFill>
                                    <a:schemeClr val="tx1"/>
                                  </a:solidFill>
                                  <a:effectLst/>
                                  <a:latin typeface="Cambria Math" panose="02040503050406030204" pitchFamily="18" charset="0"/>
                                  <a:ea typeface="+mn-ea"/>
                                  <a:cs typeface="+mn-cs"/>
                                </a:rPr>
                                <m:t>𝑹</m:t>
                              </m:r>
                              <m:r>
                                <a:rPr lang="pt-BR" sz="1800" b="1" i="1">
                                  <a:solidFill>
                                    <a:schemeClr val="tx1"/>
                                  </a:solidFill>
                                  <a:effectLst/>
                                  <a:latin typeface="Cambria Math" panose="02040503050406030204" pitchFamily="18" charset="0"/>
                                  <a:ea typeface="+mn-ea"/>
                                  <a:cs typeface="+mn-cs"/>
                                </a:rPr>
                                <m:t>+</m:t>
                              </m:r>
                              <m:r>
                                <a:rPr lang="pt-BR" sz="1800" b="1" i="1">
                                  <a:solidFill>
                                    <a:schemeClr val="tx1"/>
                                  </a:solidFill>
                                  <a:effectLst/>
                                  <a:latin typeface="Cambria Math" panose="02040503050406030204" pitchFamily="18" charset="0"/>
                                  <a:ea typeface="+mn-ea"/>
                                  <a:cs typeface="+mn-cs"/>
                                </a:rPr>
                                <m:t>𝑮</m:t>
                              </m:r>
                              <m:r>
                                <m:rPr>
                                  <m:nor/>
                                </m:rPr>
                                <a:rPr lang="pt-BR" sz="1800" b="1" i="1">
                                  <a:solidFill>
                                    <a:schemeClr val="tx1"/>
                                  </a:solidFill>
                                  <a:effectLst/>
                                  <a:latin typeface="+mn-lt"/>
                                  <a:ea typeface="+mn-ea"/>
                                  <a:cs typeface="+mn-cs"/>
                                </a:rPr>
                                <m:t> </m:t>
                              </m:r>
                            </m:e>
                          </m:d>
                          <m:d>
                            <m:dPr>
                              <m:ctrlPr>
                                <a:rPr lang="pt-BR" sz="1800" b="1" i="1">
                                  <a:solidFill>
                                    <a:schemeClr val="tx1"/>
                                  </a:solidFill>
                                  <a:effectLst/>
                                  <a:latin typeface="Cambria Math" panose="02040503050406030204" pitchFamily="18" charset="0"/>
                                  <a:ea typeface="+mn-ea"/>
                                  <a:cs typeface="+mn-cs"/>
                                </a:rPr>
                              </m:ctrlPr>
                            </m:dPr>
                            <m:e>
                              <m:r>
                                <a:rPr lang="pt-BR" sz="1800" b="1" i="1">
                                  <a:solidFill>
                                    <a:schemeClr val="tx1"/>
                                  </a:solidFill>
                                  <a:effectLst/>
                                  <a:latin typeface="Cambria Math" panose="02040503050406030204" pitchFamily="18" charset="0"/>
                                  <a:ea typeface="+mn-ea"/>
                                  <a:cs typeface="+mn-cs"/>
                                </a:rPr>
                                <m:t>𝟏</m:t>
                              </m:r>
                              <m:r>
                                <a:rPr lang="pt-BR" sz="1800" b="1" i="1">
                                  <a:solidFill>
                                    <a:schemeClr val="tx1"/>
                                  </a:solidFill>
                                  <a:effectLst/>
                                  <a:latin typeface="Cambria Math" panose="02040503050406030204" pitchFamily="18" charset="0"/>
                                  <a:ea typeface="+mn-ea"/>
                                  <a:cs typeface="+mn-cs"/>
                                </a:rPr>
                                <m:t>+</m:t>
                              </m:r>
                              <m:r>
                                <a:rPr lang="pt-BR" sz="1800" b="1" i="1">
                                  <a:solidFill>
                                    <a:schemeClr val="tx1"/>
                                  </a:solidFill>
                                  <a:effectLst/>
                                  <a:latin typeface="Cambria Math" panose="02040503050406030204" pitchFamily="18" charset="0"/>
                                  <a:ea typeface="+mn-ea"/>
                                  <a:cs typeface="+mn-cs"/>
                                </a:rPr>
                                <m:t>𝑫𝑭</m:t>
                              </m:r>
                              <m:r>
                                <a:rPr lang="pt-BR" sz="1800" b="1" i="1">
                                  <a:solidFill>
                                    <a:schemeClr val="tx1"/>
                                  </a:solidFill>
                                  <a:effectLst/>
                                  <a:latin typeface="Cambria Math" panose="02040503050406030204" pitchFamily="18" charset="0"/>
                                  <a:ea typeface="+mn-ea"/>
                                  <a:cs typeface="+mn-cs"/>
                                </a:rPr>
                                <m:t>)</m:t>
                              </m:r>
                            </m:e>
                          </m:d>
                          <m:d>
                            <m:dPr>
                              <m:ctrlPr>
                                <a:rPr lang="pt-BR" sz="1800" b="1" i="1">
                                  <a:solidFill>
                                    <a:schemeClr val="tx1"/>
                                  </a:solidFill>
                                  <a:effectLst/>
                                  <a:latin typeface="Cambria Math" panose="02040503050406030204" pitchFamily="18" charset="0"/>
                                  <a:ea typeface="+mn-ea"/>
                                  <a:cs typeface="+mn-cs"/>
                                </a:rPr>
                              </m:ctrlPr>
                            </m:dPr>
                            <m:e>
                              <m:r>
                                <a:rPr lang="pt-BR" sz="1800" b="1" i="1">
                                  <a:solidFill>
                                    <a:schemeClr val="tx1"/>
                                  </a:solidFill>
                                  <a:effectLst/>
                                  <a:latin typeface="Cambria Math" panose="02040503050406030204" pitchFamily="18" charset="0"/>
                                  <a:ea typeface="+mn-ea"/>
                                  <a:cs typeface="+mn-cs"/>
                                </a:rPr>
                                <m:t>𝟏</m:t>
                              </m:r>
                              <m:r>
                                <a:rPr lang="pt-BR" sz="1800" b="1" i="1">
                                  <a:solidFill>
                                    <a:schemeClr val="tx1"/>
                                  </a:solidFill>
                                  <a:effectLst/>
                                  <a:latin typeface="Cambria Math" panose="02040503050406030204" pitchFamily="18" charset="0"/>
                                  <a:ea typeface="+mn-ea"/>
                                  <a:cs typeface="+mn-cs"/>
                                </a:rPr>
                                <m:t>+</m:t>
                              </m:r>
                              <m:r>
                                <a:rPr lang="pt-BR" sz="1800" b="1" i="1">
                                  <a:solidFill>
                                    <a:schemeClr val="tx1"/>
                                  </a:solidFill>
                                  <a:effectLst/>
                                  <a:latin typeface="Cambria Math" panose="02040503050406030204" pitchFamily="18" charset="0"/>
                                  <a:ea typeface="+mn-ea"/>
                                  <a:cs typeface="+mn-cs"/>
                                </a:rPr>
                                <m:t>𝑳</m:t>
                              </m:r>
                            </m:e>
                          </m:d>
                          <m:r>
                            <m:rPr>
                              <m:nor/>
                            </m:rPr>
                            <a:rPr lang="pt-BR" sz="1800" b="1" i="1">
                              <a:solidFill>
                                <a:schemeClr val="tx1"/>
                              </a:solidFill>
                              <a:effectLst/>
                              <a:latin typeface="+mn-lt"/>
                              <a:ea typeface="+mn-ea"/>
                              <a:cs typeface="+mn-cs"/>
                            </a:rPr>
                            <m:t> </m:t>
                          </m:r>
                        </m:num>
                        <m:den>
                          <m:d>
                            <m:dPr>
                              <m:ctrlPr>
                                <a:rPr lang="pt-BR" sz="1800" b="1" i="1">
                                  <a:solidFill>
                                    <a:schemeClr val="tx1"/>
                                  </a:solidFill>
                                  <a:effectLst/>
                                  <a:latin typeface="Cambria Math" panose="02040503050406030204" pitchFamily="18" charset="0"/>
                                  <a:ea typeface="+mn-ea"/>
                                  <a:cs typeface="+mn-cs"/>
                                </a:rPr>
                              </m:ctrlPr>
                            </m:dPr>
                            <m:e>
                              <m:r>
                                <a:rPr lang="pt-BR" sz="1800" b="1" i="1">
                                  <a:solidFill>
                                    <a:schemeClr val="tx1"/>
                                  </a:solidFill>
                                  <a:effectLst/>
                                  <a:latin typeface="Cambria Math" panose="02040503050406030204" pitchFamily="18" charset="0"/>
                                  <a:ea typeface="+mn-ea"/>
                                  <a:cs typeface="+mn-cs"/>
                                </a:rPr>
                                <m:t>𝟏</m:t>
                              </m:r>
                              <m:r>
                                <a:rPr lang="pt-BR" sz="1800" b="1" i="1">
                                  <a:solidFill>
                                    <a:schemeClr val="tx1"/>
                                  </a:solidFill>
                                  <a:effectLst/>
                                  <a:latin typeface="Cambria Math" panose="02040503050406030204" pitchFamily="18" charset="0"/>
                                  <a:ea typeface="+mn-ea"/>
                                  <a:cs typeface="+mn-cs"/>
                                </a:rPr>
                                <m:t>−</m:t>
                              </m:r>
                              <m:r>
                                <a:rPr lang="pt-BR" sz="1800" b="1" i="1">
                                  <a:solidFill>
                                    <a:schemeClr val="tx1"/>
                                  </a:solidFill>
                                  <a:effectLst/>
                                  <a:latin typeface="Cambria Math" panose="02040503050406030204" pitchFamily="18" charset="0"/>
                                  <a:ea typeface="+mn-ea"/>
                                  <a:cs typeface="+mn-cs"/>
                                </a:rPr>
                                <m:t>𝑰</m:t>
                              </m:r>
                            </m:e>
                          </m:d>
                        </m:den>
                      </m:f>
                      <m:r>
                        <m:rPr>
                          <m:nor/>
                        </m:rPr>
                        <a:rPr lang="pt-BR" sz="1800" b="1" i="1">
                          <a:effectLst/>
                        </a:rPr>
                        <m:t> </m:t>
                      </m:r>
                    </m:e>
                  </m:d>
                </m:oMath>
              </a14:m>
              <a:r>
                <a:rPr lang="pt-BR" sz="1800" b="1" i="1"/>
                <a:t>-1</a:t>
              </a:r>
            </a:p>
          </xdr:txBody>
        </xdr:sp>
      </mc:Choice>
      <mc:Fallback xmlns="">
        <xdr:sp macro="" textlink="">
          <xdr:nvSpPr>
            <xdr:cNvPr id="2" name="CaixaDeTexto 1">
              <a:extLst>
                <a:ext uri="{FF2B5EF4-FFF2-40B4-BE49-F238E27FC236}">
                  <a16:creationId xmlns:a16="http://schemas.microsoft.com/office/drawing/2014/main" id="{DD0B7568-94F3-49DB-8D2F-0B59332F4DE2}"/>
                </a:ext>
              </a:extLst>
            </xdr:cNvPr>
            <xdr:cNvSpPr txBox="1"/>
          </xdr:nvSpPr>
          <xdr:spPr>
            <a:xfrm>
              <a:off x="2703195" y="4050980"/>
              <a:ext cx="3924300" cy="4412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pt-BR" sz="1800" b="1" i="0">
                  <a:latin typeface="Cambria Math" panose="02040503050406030204" pitchFamily="18" charset="0"/>
                </a:rPr>
                <a:t>𝑩𝑫𝑰=⌊</a:t>
              </a:r>
              <a:r>
                <a:rPr lang="pt-BR" sz="1800" b="1" i="0">
                  <a:solidFill>
                    <a:schemeClr val="tx1"/>
                  </a:solidFill>
                  <a:effectLst/>
                  <a:latin typeface="Cambria Math" panose="02040503050406030204" pitchFamily="18" charset="0"/>
                  <a:ea typeface="+mn-ea"/>
                  <a:cs typeface="+mn-cs"/>
                </a:rPr>
                <a:t>(𝟏+𝑨𝑪+𝑺+𝑹+𝑮</a:t>
              </a:r>
              <a:r>
                <a:rPr lang="pt-BR" sz="1800" b="1" i="0">
                  <a:solidFill>
                    <a:schemeClr val="tx1"/>
                  </a:solidFill>
                  <a:effectLst/>
                  <a:latin typeface="+mn-lt"/>
                  <a:ea typeface="+mn-ea"/>
                  <a:cs typeface="+mn-cs"/>
                </a:rPr>
                <a:t>" </a:t>
              </a:r>
              <a:r>
                <a:rPr lang="pt-BR" sz="1800" b="1" i="0">
                  <a:solidFill>
                    <a:schemeClr val="tx1"/>
                  </a:solidFill>
                  <a:effectLst/>
                  <a:latin typeface="Cambria Math" panose="02040503050406030204" pitchFamily="18" charset="0"/>
                  <a:ea typeface="+mn-ea"/>
                  <a:cs typeface="+mn-cs"/>
                </a:rPr>
                <a:t>" )(𝟏+𝑫𝑭))(𝟏+𝑳)</a:t>
              </a:r>
              <a:r>
                <a:rPr lang="pt-BR" sz="1800" b="1" i="0">
                  <a:solidFill>
                    <a:schemeClr val="tx1"/>
                  </a:solidFill>
                  <a:effectLst/>
                  <a:latin typeface="+mn-lt"/>
                  <a:ea typeface="+mn-ea"/>
                  <a:cs typeface="+mn-cs"/>
                </a:rPr>
                <a:t>" </a:t>
              </a:r>
              <a:r>
                <a:rPr lang="pt-BR" sz="1800" b="1" i="0">
                  <a:solidFill>
                    <a:schemeClr val="tx1"/>
                  </a:solidFill>
                  <a:effectLst/>
                  <a:latin typeface="Cambria Math" panose="02040503050406030204" pitchFamily="18" charset="0"/>
                  <a:ea typeface="+mn-ea"/>
                  <a:cs typeface="+mn-cs"/>
                </a:rPr>
                <a:t>" /((𝟏−𝑰) ) "</a:t>
              </a:r>
              <a:r>
                <a:rPr lang="pt-BR" sz="1800" b="1" i="0">
                  <a:effectLst/>
                </a:rPr>
                <a:t> </a:t>
              </a:r>
              <a:r>
                <a:rPr lang="pt-BR" sz="1800" b="1" i="0">
                  <a:effectLst/>
                  <a:latin typeface="Cambria Math" panose="02040503050406030204" pitchFamily="18" charset="0"/>
                </a:rPr>
                <a:t>" ⌋</a:t>
              </a:r>
              <a:r>
                <a:rPr lang="pt-BR" sz="1800" b="1" i="1"/>
                <a:t>-1</a:t>
              </a:r>
            </a:p>
          </xdr:txBody>
        </xdr:sp>
      </mc:Fallback>
    </mc:AlternateContent>
    <xdr:clientData/>
  </xdr:oneCellAnchor>
  <xdr:twoCellAnchor editAs="oneCell">
    <xdr:from>
      <xdr:col>0</xdr:col>
      <xdr:colOff>236220</xdr:colOff>
      <xdr:row>30</xdr:row>
      <xdr:rowOff>76200</xdr:rowOff>
    </xdr:from>
    <xdr:to>
      <xdr:col>7</xdr:col>
      <xdr:colOff>65340</xdr:colOff>
      <xdr:row>32</xdr:row>
      <xdr:rowOff>197817</xdr:rowOff>
    </xdr:to>
    <xdr:pic>
      <xdr:nvPicPr>
        <xdr:cNvPr id="3" name="Imagem 2">
          <a:extLst>
            <a:ext uri="{FF2B5EF4-FFF2-40B4-BE49-F238E27FC236}">
              <a16:creationId xmlns:a16="http://schemas.microsoft.com/office/drawing/2014/main" id="{C1361570-0459-4E02-A638-2DDC4D3C797A}"/>
            </a:ext>
          </a:extLst>
        </xdr:cNvPr>
        <xdr:cNvPicPr>
          <a:picLocks noChangeAspect="1"/>
        </xdr:cNvPicPr>
      </xdr:nvPicPr>
      <xdr:blipFill>
        <a:blip xmlns:r="http://schemas.openxmlformats.org/officeDocument/2006/relationships" r:embed="rId1"/>
        <a:stretch>
          <a:fillRect/>
        </a:stretch>
      </xdr:blipFill>
      <xdr:spPr>
        <a:xfrm>
          <a:off x="236220" y="6850380"/>
          <a:ext cx="3060000" cy="776937"/>
        </a:xfrm>
        <a:prstGeom prst="rect">
          <a:avLst/>
        </a:prstGeom>
      </xdr:spPr>
    </xdr:pic>
    <xdr:clientData/>
  </xdr:twoCellAnchor>
  <xdr:twoCellAnchor editAs="oneCell">
    <xdr:from>
      <xdr:col>23</xdr:col>
      <xdr:colOff>60960</xdr:colOff>
      <xdr:row>30</xdr:row>
      <xdr:rowOff>190500</xdr:rowOff>
    </xdr:from>
    <xdr:to>
      <xdr:col>26</xdr:col>
      <xdr:colOff>80818</xdr:colOff>
      <xdr:row>32</xdr:row>
      <xdr:rowOff>80527</xdr:rowOff>
    </xdr:to>
    <xdr:pic>
      <xdr:nvPicPr>
        <xdr:cNvPr id="4" name="Imagem 3">
          <a:extLst>
            <a:ext uri="{FF2B5EF4-FFF2-40B4-BE49-F238E27FC236}">
              <a16:creationId xmlns:a16="http://schemas.microsoft.com/office/drawing/2014/main" id="{DBEE8A18-F6D2-47DD-9CBE-0A6D2FADC9E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1498" t="837" r="19387" b="38925"/>
        <a:stretch>
          <a:fillRect/>
        </a:stretch>
      </xdr:blipFill>
      <xdr:spPr>
        <a:xfrm>
          <a:off x="7467600" y="6964680"/>
          <a:ext cx="827578" cy="54534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340659</xdr:colOff>
      <xdr:row>3</xdr:row>
      <xdr:rowOff>107575</xdr:rowOff>
    </xdr:from>
    <xdr:to>
      <xdr:col>6</xdr:col>
      <xdr:colOff>838408</xdr:colOff>
      <xdr:row>8</xdr:row>
      <xdr:rowOff>66281</xdr:rowOff>
    </xdr:to>
    <xdr:pic>
      <xdr:nvPicPr>
        <xdr:cNvPr id="3" name="Imagem 2">
          <a:extLst>
            <a:ext uri="{FF2B5EF4-FFF2-40B4-BE49-F238E27FC236}">
              <a16:creationId xmlns:a16="http://schemas.microsoft.com/office/drawing/2014/main" id="{9EF5C34A-D1A3-410A-A6F6-35C4E6A8F6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81239" y="671455"/>
          <a:ext cx="1518829" cy="911206"/>
        </a:xfrm>
        <a:prstGeom prst="rect">
          <a:avLst/>
        </a:prstGeom>
      </xdr:spPr>
    </xdr:pic>
    <xdr:clientData/>
  </xdr:twoCellAnchor>
  <xdr:twoCellAnchor editAs="oneCell">
    <xdr:from>
      <xdr:col>9</xdr:col>
      <xdr:colOff>539227</xdr:colOff>
      <xdr:row>0</xdr:row>
      <xdr:rowOff>0</xdr:rowOff>
    </xdr:from>
    <xdr:to>
      <xdr:col>20</xdr:col>
      <xdr:colOff>611959</xdr:colOff>
      <xdr:row>47</xdr:row>
      <xdr:rowOff>36213</xdr:rowOff>
    </xdr:to>
    <xdr:pic>
      <xdr:nvPicPr>
        <xdr:cNvPr id="5" name="Imagem 4">
          <a:extLst>
            <a:ext uri="{FF2B5EF4-FFF2-40B4-BE49-F238E27FC236}">
              <a16:creationId xmlns:a16="http://schemas.microsoft.com/office/drawing/2014/main" id="{E9E91613-26AE-8FB9-DAA7-9176C067EF2A}"/>
            </a:ext>
          </a:extLst>
        </xdr:cNvPr>
        <xdr:cNvPicPr>
          <a:picLocks noChangeAspect="1"/>
        </xdr:cNvPicPr>
      </xdr:nvPicPr>
      <xdr:blipFill>
        <a:blip xmlns:r="http://schemas.openxmlformats.org/officeDocument/2006/relationships" r:embed="rId2"/>
        <a:stretch>
          <a:fillRect/>
        </a:stretch>
      </xdr:blipFill>
      <xdr:spPr>
        <a:xfrm>
          <a:off x="8616427" y="0"/>
          <a:ext cx="7001852" cy="9231013"/>
        </a:xfrm>
        <a:prstGeom prst="rect">
          <a:avLst/>
        </a:prstGeom>
      </xdr:spPr>
    </xdr:pic>
    <xdr:clientData/>
  </xdr:twoCellAnchor>
  <xdr:twoCellAnchor editAs="oneCell">
    <xdr:from>
      <xdr:col>1</xdr:col>
      <xdr:colOff>60960</xdr:colOff>
      <xdr:row>50</xdr:row>
      <xdr:rowOff>0</xdr:rowOff>
    </xdr:from>
    <xdr:to>
      <xdr:col>4</xdr:col>
      <xdr:colOff>123760</xdr:colOff>
      <xdr:row>54</xdr:row>
      <xdr:rowOff>65737</xdr:rowOff>
    </xdr:to>
    <xdr:pic>
      <xdr:nvPicPr>
        <xdr:cNvPr id="4" name="Imagem 3">
          <a:extLst>
            <a:ext uri="{FF2B5EF4-FFF2-40B4-BE49-F238E27FC236}">
              <a16:creationId xmlns:a16="http://schemas.microsoft.com/office/drawing/2014/main" id="{041FA1ED-CE98-4ADA-A18B-90EAD6A538A1}"/>
            </a:ext>
          </a:extLst>
        </xdr:cNvPr>
        <xdr:cNvPicPr>
          <a:picLocks noChangeAspect="1"/>
        </xdr:cNvPicPr>
      </xdr:nvPicPr>
      <xdr:blipFill>
        <a:blip xmlns:r="http://schemas.openxmlformats.org/officeDocument/2006/relationships" r:embed="rId3"/>
        <a:stretch>
          <a:fillRect/>
        </a:stretch>
      </xdr:blipFill>
      <xdr:spPr>
        <a:xfrm>
          <a:off x="172720" y="10434320"/>
          <a:ext cx="3060000" cy="77693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17</xdr:col>
      <xdr:colOff>0</xdr:colOff>
      <xdr:row>61</xdr:row>
      <xdr:rowOff>13865</xdr:rowOff>
    </xdr:from>
    <xdr:to>
      <xdr:col>17</xdr:col>
      <xdr:colOff>824993</xdr:colOff>
      <xdr:row>64</xdr:row>
      <xdr:rowOff>13538</xdr:rowOff>
    </xdr:to>
    <xdr:pic>
      <xdr:nvPicPr>
        <xdr:cNvPr id="2" name="Imagem 1">
          <a:extLst>
            <a:ext uri="{FF2B5EF4-FFF2-40B4-BE49-F238E27FC236}">
              <a16:creationId xmlns:a16="http://schemas.microsoft.com/office/drawing/2014/main" id="{0B7018B2-DE6D-4BF2-94DB-58091311A57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498" t="837" r="19387" b="38925"/>
        <a:stretch>
          <a:fillRect/>
        </a:stretch>
      </xdr:blipFill>
      <xdr:spPr>
        <a:xfrm>
          <a:off x="27819927" y="17013392"/>
          <a:ext cx="824993" cy="5400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10</xdr:col>
      <xdr:colOff>769620</xdr:colOff>
      <xdr:row>286</xdr:row>
      <xdr:rowOff>7620</xdr:rowOff>
    </xdr:from>
    <xdr:to>
      <xdr:col>11</xdr:col>
      <xdr:colOff>520193</xdr:colOff>
      <xdr:row>288</xdr:row>
      <xdr:rowOff>181860</xdr:rowOff>
    </xdr:to>
    <xdr:pic>
      <xdr:nvPicPr>
        <xdr:cNvPr id="2" name="Imagem 1">
          <a:extLst>
            <a:ext uri="{FF2B5EF4-FFF2-40B4-BE49-F238E27FC236}">
              <a16:creationId xmlns:a16="http://schemas.microsoft.com/office/drawing/2014/main" id="{907F6925-285F-47B7-8C84-367CD20A96A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498" t="837" r="19387" b="38925"/>
        <a:stretch>
          <a:fillRect/>
        </a:stretch>
      </xdr:blipFill>
      <xdr:spPr>
        <a:xfrm>
          <a:off x="12573000" y="101460300"/>
          <a:ext cx="824993" cy="5400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22</xdr:col>
      <xdr:colOff>1</xdr:colOff>
      <xdr:row>44</xdr:row>
      <xdr:rowOff>59265</xdr:rowOff>
    </xdr:from>
    <xdr:to>
      <xdr:col>23</xdr:col>
      <xdr:colOff>201848</xdr:colOff>
      <xdr:row>47</xdr:row>
      <xdr:rowOff>40465</xdr:rowOff>
    </xdr:to>
    <xdr:pic>
      <xdr:nvPicPr>
        <xdr:cNvPr id="2" name="Imagem 1">
          <a:extLst>
            <a:ext uri="{FF2B5EF4-FFF2-40B4-BE49-F238E27FC236}">
              <a16:creationId xmlns:a16="http://schemas.microsoft.com/office/drawing/2014/main" id="{0F3F4522-4655-46EE-9DA8-9DF1E7B0D19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498" t="837" r="19387" b="38925"/>
        <a:stretch>
          <a:fillRect/>
        </a:stretch>
      </xdr:blipFill>
      <xdr:spPr>
        <a:xfrm>
          <a:off x="11247121" y="8342205"/>
          <a:ext cx="826686" cy="529840"/>
        </a:xfrm>
        <a:prstGeom prst="rect">
          <a:avLst/>
        </a:prstGeom>
      </xdr:spPr>
    </xdr:pic>
    <xdr:clientData/>
  </xdr:twoCellAnchor>
  <xdr:twoCellAnchor>
    <xdr:from>
      <xdr:col>6</xdr:col>
      <xdr:colOff>76201</xdr:colOff>
      <xdr:row>7</xdr:row>
      <xdr:rowOff>152400</xdr:rowOff>
    </xdr:from>
    <xdr:to>
      <xdr:col>23</xdr:col>
      <xdr:colOff>685799</xdr:colOff>
      <xdr:row>37</xdr:row>
      <xdr:rowOff>169334</xdr:rowOff>
    </xdr:to>
    <xdr:graphicFrame macro="">
      <xdr:nvGraphicFramePr>
        <xdr:cNvPr id="3" name="Gráfico 2">
          <a:extLst>
            <a:ext uri="{FF2B5EF4-FFF2-40B4-BE49-F238E27FC236}">
              <a16:creationId xmlns:a16="http://schemas.microsoft.com/office/drawing/2014/main" id="{66E6A77E-D971-40A2-8151-99BA7284CB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20</xdr:col>
      <xdr:colOff>338667</xdr:colOff>
      <xdr:row>22</xdr:row>
      <xdr:rowOff>118534</xdr:rowOff>
    </xdr:from>
    <xdr:to>
      <xdr:col>23</xdr:col>
      <xdr:colOff>423333</xdr:colOff>
      <xdr:row>24</xdr:row>
      <xdr:rowOff>192224</xdr:rowOff>
    </xdr:to>
    <xdr:sp macro="" textlink="">
      <xdr:nvSpPr>
        <xdr:cNvPr id="4" name="CaixaDeTexto 1">
          <a:extLst>
            <a:ext uri="{FF2B5EF4-FFF2-40B4-BE49-F238E27FC236}">
              <a16:creationId xmlns:a16="http://schemas.microsoft.com/office/drawing/2014/main" id="{DA24833E-E45C-44C2-B72A-477A002CC868}"/>
            </a:ext>
          </a:extLst>
        </xdr:cNvPr>
        <xdr:cNvSpPr txBox="1"/>
      </xdr:nvSpPr>
      <xdr:spPr>
        <a:xfrm>
          <a:off x="13673667" y="4572001"/>
          <a:ext cx="1964266" cy="5308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algn="ctr"/>
          <a:r>
            <a:rPr lang="pt-BR" sz="1200" b="1">
              <a:solidFill>
                <a:schemeClr val="tx1">
                  <a:lumMod val="65000"/>
                  <a:lumOff val="35000"/>
                </a:schemeClr>
              </a:solidFill>
            </a:rPr>
            <a:t>CURVA</a:t>
          </a:r>
          <a:r>
            <a:rPr lang="pt-BR" sz="1200" b="1" baseline="0">
              <a:solidFill>
                <a:schemeClr val="tx1">
                  <a:lumMod val="65000"/>
                  <a:lumOff val="35000"/>
                </a:schemeClr>
              </a:solidFill>
            </a:rPr>
            <a:t> S CONFORME CRONOGRAMA PROPOSTO</a:t>
          </a:r>
          <a:endParaRPr lang="pt-BR" sz="1200" b="1">
            <a:solidFill>
              <a:schemeClr val="tx1">
                <a:lumMod val="65000"/>
                <a:lumOff val="35000"/>
              </a:schemeClr>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9</xdr:col>
      <xdr:colOff>22860</xdr:colOff>
      <xdr:row>0</xdr:row>
      <xdr:rowOff>1</xdr:rowOff>
    </xdr:from>
    <xdr:to>
      <xdr:col>23</xdr:col>
      <xdr:colOff>662940</xdr:colOff>
      <xdr:row>24</xdr:row>
      <xdr:rowOff>32658</xdr:rowOff>
    </xdr:to>
    <xdr:graphicFrame macro="">
      <xdr:nvGraphicFramePr>
        <xdr:cNvPr id="2" name="Gráfico 1">
          <a:extLst>
            <a:ext uri="{FF2B5EF4-FFF2-40B4-BE49-F238E27FC236}">
              <a16:creationId xmlns:a16="http://schemas.microsoft.com/office/drawing/2014/main" id="{1586C0DB-F6C5-445C-ACA8-C23C52D5BCE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CD4D602E-1714-4883-91FB-D55BCD1BB4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8266FFAE-9875-4494-92F4-6B5C59F697BF}"/>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51D46C4A-EC02-4AD5-8861-E1C7B5A283AF}"/>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B9B9AB52-FFD1-4995-902C-42BEE976D111}"/>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 name="Imagem 1">
          <a:extLst>
            <a:ext uri="{FF2B5EF4-FFF2-40B4-BE49-F238E27FC236}">
              <a16:creationId xmlns:a16="http://schemas.microsoft.com/office/drawing/2014/main" id="{89978C0E-E4F9-4269-8AA1-A8255EE4396C}"/>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7" name="Imagem 1">
          <a:extLst>
            <a:ext uri="{FF2B5EF4-FFF2-40B4-BE49-F238E27FC236}">
              <a16:creationId xmlns:a16="http://schemas.microsoft.com/office/drawing/2014/main" id="{0D6C467E-6262-4632-8341-258D62F497EB}"/>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33CF5C91-C1BE-44C6-8489-4075E5DC0BEE}"/>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2B23E79F-6711-4AE3-ACF7-20736FC2A3D8}"/>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0</xdr:col>
      <xdr:colOff>1352550</xdr:colOff>
      <xdr:row>11</xdr:row>
      <xdr:rowOff>146050</xdr:rowOff>
    </xdr:from>
    <xdr:to>
      <xdr:col>2</xdr:col>
      <xdr:colOff>465622</xdr:colOff>
      <xdr:row>28</xdr:row>
      <xdr:rowOff>152400</xdr:rowOff>
    </xdr:to>
    <xdr:pic>
      <xdr:nvPicPr>
        <xdr:cNvPr id="11" name="Imagem 10">
          <a:extLst>
            <a:ext uri="{FF2B5EF4-FFF2-40B4-BE49-F238E27FC236}">
              <a16:creationId xmlns:a16="http://schemas.microsoft.com/office/drawing/2014/main" id="{3570E016-BF98-DE8B-CAC2-F1ED8A9D18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52550" y="2190750"/>
          <a:ext cx="2675422" cy="3136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999490</xdr:colOff>
      <xdr:row>18</xdr:row>
      <xdr:rowOff>105410</xdr:rowOff>
    </xdr:from>
    <xdr:to>
      <xdr:col>4</xdr:col>
      <xdr:colOff>993140</xdr:colOff>
      <xdr:row>22</xdr:row>
      <xdr:rowOff>8890</xdr:rowOff>
    </xdr:to>
    <xdr:pic>
      <xdr:nvPicPr>
        <xdr:cNvPr id="12" name="Imagem 11">
          <a:extLst>
            <a:ext uri="{FF2B5EF4-FFF2-40B4-BE49-F238E27FC236}">
              <a16:creationId xmlns:a16="http://schemas.microsoft.com/office/drawing/2014/main" id="{90FD2658-B3DD-D9E9-7ABC-64E1FBA1F96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rot="5400000">
          <a:off x="5721350" y="2108200"/>
          <a:ext cx="640080" cy="330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48186</xdr:colOff>
      <xdr:row>40</xdr:row>
      <xdr:rowOff>63501</xdr:rowOff>
    </xdr:from>
    <xdr:to>
      <xdr:col>4</xdr:col>
      <xdr:colOff>184150</xdr:colOff>
      <xdr:row>57</xdr:row>
      <xdr:rowOff>168059</xdr:rowOff>
    </xdr:to>
    <xdr:pic>
      <xdr:nvPicPr>
        <xdr:cNvPr id="13" name="Imagem 12">
          <a:extLst>
            <a:ext uri="{FF2B5EF4-FFF2-40B4-BE49-F238E27FC236}">
              <a16:creationId xmlns:a16="http://schemas.microsoft.com/office/drawing/2014/main" id="{B4D6F373-4B09-919C-6864-B9B396D5411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7186" y="7658101"/>
          <a:ext cx="4847664" cy="3235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300882</xdr:colOff>
      <xdr:row>67</xdr:row>
      <xdr:rowOff>95250</xdr:rowOff>
    </xdr:from>
    <xdr:to>
      <xdr:col>3</xdr:col>
      <xdr:colOff>615950</xdr:colOff>
      <xdr:row>82</xdr:row>
      <xdr:rowOff>156834</xdr:rowOff>
    </xdr:to>
    <xdr:pic>
      <xdr:nvPicPr>
        <xdr:cNvPr id="14" name="Imagem 13">
          <a:extLst>
            <a:ext uri="{FF2B5EF4-FFF2-40B4-BE49-F238E27FC236}">
              <a16:creationId xmlns:a16="http://schemas.microsoft.com/office/drawing/2014/main" id="{565EDB3E-3B75-E65C-B151-8CE3A063405E}"/>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0882" y="12661900"/>
          <a:ext cx="5160118" cy="28238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406400</xdr:colOff>
      <xdr:row>76</xdr:row>
      <xdr:rowOff>157537</xdr:rowOff>
    </xdr:from>
    <xdr:to>
      <xdr:col>4</xdr:col>
      <xdr:colOff>1371600</xdr:colOff>
      <xdr:row>82</xdr:row>
      <xdr:rowOff>94525</xdr:rowOff>
    </xdr:to>
    <xdr:pic>
      <xdr:nvPicPr>
        <xdr:cNvPr id="15" name="Imagem 14">
          <a:extLst>
            <a:ext uri="{FF2B5EF4-FFF2-40B4-BE49-F238E27FC236}">
              <a16:creationId xmlns:a16="http://schemas.microsoft.com/office/drawing/2014/main" id="{AA1A9E1F-843E-EAC6-4AAA-DBC09A23212D}"/>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968750" y="14381537"/>
          <a:ext cx="4273550" cy="104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673100</xdr:colOff>
      <xdr:row>83</xdr:row>
      <xdr:rowOff>80381</xdr:rowOff>
    </xdr:from>
    <xdr:to>
      <xdr:col>4</xdr:col>
      <xdr:colOff>1479550</xdr:colOff>
      <xdr:row>88</xdr:row>
      <xdr:rowOff>59871</xdr:rowOff>
    </xdr:to>
    <xdr:pic>
      <xdr:nvPicPr>
        <xdr:cNvPr id="16" name="Imagem 15">
          <a:extLst>
            <a:ext uri="{FF2B5EF4-FFF2-40B4-BE49-F238E27FC236}">
              <a16:creationId xmlns:a16="http://schemas.microsoft.com/office/drawing/2014/main" id="{D486CE72-BF26-43C9-130F-757ECBBBC65F}"/>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832100" y="15593431"/>
          <a:ext cx="5518150" cy="900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300882</xdr:colOff>
      <xdr:row>112</xdr:row>
      <xdr:rowOff>95250</xdr:rowOff>
    </xdr:from>
    <xdr:ext cx="5160118" cy="2823834"/>
    <xdr:pic>
      <xdr:nvPicPr>
        <xdr:cNvPr id="17" name="Imagem 16">
          <a:extLst>
            <a:ext uri="{FF2B5EF4-FFF2-40B4-BE49-F238E27FC236}">
              <a16:creationId xmlns:a16="http://schemas.microsoft.com/office/drawing/2014/main" id="{7D3CF15A-6DAD-4349-BB61-AFB388243CCD}"/>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0882" y="12661900"/>
          <a:ext cx="5160118" cy="282383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406400</xdr:colOff>
      <xdr:row>121</xdr:row>
      <xdr:rowOff>157537</xdr:rowOff>
    </xdr:from>
    <xdr:ext cx="4273550" cy="1041888"/>
    <xdr:pic>
      <xdr:nvPicPr>
        <xdr:cNvPr id="18" name="Imagem 17">
          <a:extLst>
            <a:ext uri="{FF2B5EF4-FFF2-40B4-BE49-F238E27FC236}">
              <a16:creationId xmlns:a16="http://schemas.microsoft.com/office/drawing/2014/main" id="{80F8D930-F380-45E5-A5B0-AC06BD8B344D}"/>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3968750" y="14381537"/>
          <a:ext cx="4273550" cy="10418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673100</xdr:colOff>
      <xdr:row>128</xdr:row>
      <xdr:rowOff>80381</xdr:rowOff>
    </xdr:from>
    <xdr:ext cx="5518150" cy="900240"/>
    <xdr:pic>
      <xdr:nvPicPr>
        <xdr:cNvPr id="19" name="Imagem 18">
          <a:extLst>
            <a:ext uri="{FF2B5EF4-FFF2-40B4-BE49-F238E27FC236}">
              <a16:creationId xmlns:a16="http://schemas.microsoft.com/office/drawing/2014/main" id="{74BE2D5F-8F07-4C46-98F6-A6CEDF6F96F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832100" y="15593431"/>
          <a:ext cx="5518150" cy="9002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300882</xdr:colOff>
      <xdr:row>144</xdr:row>
      <xdr:rowOff>95250</xdr:rowOff>
    </xdr:from>
    <xdr:ext cx="5160118" cy="2823834"/>
    <xdr:pic>
      <xdr:nvPicPr>
        <xdr:cNvPr id="20" name="Imagem 19">
          <a:extLst>
            <a:ext uri="{FF2B5EF4-FFF2-40B4-BE49-F238E27FC236}">
              <a16:creationId xmlns:a16="http://schemas.microsoft.com/office/drawing/2014/main" id="{C1ECD54F-1CF7-4A52-AFF6-F4A1046CEC2C}"/>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0882" y="20948650"/>
          <a:ext cx="5160118" cy="282383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406400</xdr:colOff>
      <xdr:row>153</xdr:row>
      <xdr:rowOff>157537</xdr:rowOff>
    </xdr:from>
    <xdr:ext cx="4273550" cy="1041888"/>
    <xdr:pic>
      <xdr:nvPicPr>
        <xdr:cNvPr id="21" name="Imagem 20">
          <a:extLst>
            <a:ext uri="{FF2B5EF4-FFF2-40B4-BE49-F238E27FC236}">
              <a16:creationId xmlns:a16="http://schemas.microsoft.com/office/drawing/2014/main" id="{DFD0EA50-9589-4309-9CC9-ED13AE5CE1B2}"/>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3968750" y="22668287"/>
          <a:ext cx="4273550" cy="10418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673100</xdr:colOff>
      <xdr:row>160</xdr:row>
      <xdr:rowOff>80381</xdr:rowOff>
    </xdr:from>
    <xdr:ext cx="5518150" cy="900240"/>
    <xdr:pic>
      <xdr:nvPicPr>
        <xdr:cNvPr id="22" name="Imagem 21">
          <a:extLst>
            <a:ext uri="{FF2B5EF4-FFF2-40B4-BE49-F238E27FC236}">
              <a16:creationId xmlns:a16="http://schemas.microsoft.com/office/drawing/2014/main" id="{68FC6429-4DA5-4D6B-B807-10231D971C5C}"/>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832100" y="23880181"/>
          <a:ext cx="5518150" cy="9002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0</xdr:col>
      <xdr:colOff>1362075</xdr:colOff>
      <xdr:row>174</xdr:row>
      <xdr:rowOff>114300</xdr:rowOff>
    </xdr:from>
    <xdr:to>
      <xdr:col>4</xdr:col>
      <xdr:colOff>219833</xdr:colOff>
      <xdr:row>183</xdr:row>
      <xdr:rowOff>102645</xdr:rowOff>
    </xdr:to>
    <xdr:pic>
      <xdr:nvPicPr>
        <xdr:cNvPr id="10" name="Imagem 9">
          <a:extLst>
            <a:ext uri="{FF2B5EF4-FFF2-40B4-BE49-F238E27FC236}">
              <a16:creationId xmlns:a16="http://schemas.microsoft.com/office/drawing/2014/main" id="{97C487A9-8EAB-4213-900E-01D9F0A71BB3}"/>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362075" y="121531380"/>
          <a:ext cx="5723378" cy="163426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23DC5353-DCCA-4D47-B403-335D884898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74A8E39E-B915-439F-8A71-D639F8999B6F}"/>
            </a:ext>
            <a:ext uri="{147F2762-F138-4A5C-976F-8EAC2B608ADB}">
              <a16:predDERef xmlns:a16="http://schemas.microsoft.com/office/drawing/2014/main" pred="{23DC5353-DCCA-4D47-B403-335D884898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6049FC53-FADB-4B02-A0F4-12C075926D1C}"/>
            </a:ext>
            <a:ext uri="{147F2762-F138-4A5C-976F-8EAC2B608ADB}">
              <a16:predDERef xmlns:a16="http://schemas.microsoft.com/office/drawing/2014/main" pred="{74A8E39E-B915-439F-8A71-D639F8999B6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C6E024DA-F8E5-4108-B6D9-1188DBF2D2B4}"/>
            </a:ext>
            <a:ext uri="{147F2762-F138-4A5C-976F-8EAC2B608ADB}">
              <a16:predDERef xmlns:a16="http://schemas.microsoft.com/office/drawing/2014/main" pred="{6049FC53-FADB-4B02-A0F4-12C075926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 name="Imagem 1">
          <a:extLst>
            <a:ext uri="{FF2B5EF4-FFF2-40B4-BE49-F238E27FC236}">
              <a16:creationId xmlns:a16="http://schemas.microsoft.com/office/drawing/2014/main" id="{9FA61141-1A7C-419D-8418-79BD42E0F916}"/>
            </a:ext>
            <a:ext uri="{147F2762-F138-4A5C-976F-8EAC2B608ADB}">
              <a16:predDERef xmlns:a16="http://schemas.microsoft.com/office/drawing/2014/main" pred="{C6E024DA-F8E5-4108-B6D9-1188DBF2D2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7" name="Imagem 1">
          <a:extLst>
            <a:ext uri="{FF2B5EF4-FFF2-40B4-BE49-F238E27FC236}">
              <a16:creationId xmlns:a16="http://schemas.microsoft.com/office/drawing/2014/main" id="{1E7F1A87-B925-485C-99AB-C5C43896460D}"/>
            </a:ext>
            <a:ext uri="{147F2762-F138-4A5C-976F-8EAC2B608ADB}">
              <a16:predDERef xmlns:a16="http://schemas.microsoft.com/office/drawing/2014/main" pred="{9FA61141-1A7C-419D-8418-79BD42E0F9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1332BB6A-EC40-4FA6-8A46-BFAA7EB7DDA5}"/>
            </a:ext>
            <a:ext uri="{147F2762-F138-4A5C-976F-8EAC2B608ADB}">
              <a16:predDERef xmlns:a16="http://schemas.microsoft.com/office/drawing/2014/main" pred="{1E7F1A87-B925-485C-99AB-C5C4389646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B2EA0732-DB09-4E7E-87D1-E7A19E5032D7}"/>
            </a:ext>
            <a:ext uri="{147F2762-F138-4A5C-976F-8EAC2B608ADB}">
              <a16:predDERef xmlns:a16="http://schemas.microsoft.com/office/drawing/2014/main" pred="{1332BB6A-EC40-4FA6-8A46-BFAA7EB7DD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0</xdr:col>
      <xdr:colOff>1114425</xdr:colOff>
      <xdr:row>123</xdr:row>
      <xdr:rowOff>38100</xdr:rowOff>
    </xdr:from>
    <xdr:to>
      <xdr:col>2</xdr:col>
      <xdr:colOff>525780</xdr:colOff>
      <xdr:row>132</xdr:row>
      <xdr:rowOff>26445</xdr:rowOff>
    </xdr:to>
    <xdr:pic>
      <xdr:nvPicPr>
        <xdr:cNvPr id="16" name="Imagem 9">
          <a:extLst>
            <a:ext uri="{FF2B5EF4-FFF2-40B4-BE49-F238E27FC236}">
              <a16:creationId xmlns:a16="http://schemas.microsoft.com/office/drawing/2014/main" id="{16EFC54F-68A7-4640-8667-6F83CD68AE3D}"/>
            </a:ext>
            <a:ext uri="{147F2762-F138-4A5C-976F-8EAC2B608ADB}">
              <a16:predDERef xmlns:a16="http://schemas.microsoft.com/office/drawing/2014/main" pred="{B2EA0732-DB09-4E7E-87D1-E7A19E5032D7}"/>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51038"/>
        <a:stretch>
          <a:fillRect/>
        </a:stretch>
      </xdr:blipFill>
      <xdr:spPr>
        <a:xfrm>
          <a:off x="1114425" y="46474380"/>
          <a:ext cx="2802255" cy="163426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1217295</xdr:colOff>
      <xdr:row>2</xdr:row>
      <xdr:rowOff>173355</xdr:rowOff>
    </xdr:from>
    <xdr:to>
      <xdr:col>5</xdr:col>
      <xdr:colOff>710100</xdr:colOff>
      <xdr:row>7</xdr:row>
      <xdr:rowOff>50370</xdr:rowOff>
    </xdr:to>
    <xdr:pic>
      <xdr:nvPicPr>
        <xdr:cNvPr id="2" name="Imagem 1">
          <a:extLst>
            <a:ext uri="{FF2B5EF4-FFF2-40B4-BE49-F238E27FC236}">
              <a16:creationId xmlns:a16="http://schemas.microsoft.com/office/drawing/2014/main" id="{A0DA2725-4CB1-4DF7-933D-2BF8D746E3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88355" y="546735"/>
          <a:ext cx="1519725" cy="799035"/>
        </a:xfrm>
        <a:prstGeom prst="rect">
          <a:avLst/>
        </a:prstGeom>
      </xdr:spPr>
    </xdr:pic>
    <xdr:clientData/>
  </xdr:twoCellAnchor>
  <xdr:twoCellAnchor editAs="oneCell">
    <xdr:from>
      <xdr:col>0</xdr:col>
      <xdr:colOff>389467</xdr:colOff>
      <xdr:row>12</xdr:row>
      <xdr:rowOff>42334</xdr:rowOff>
    </xdr:from>
    <xdr:to>
      <xdr:col>1</xdr:col>
      <xdr:colOff>939800</xdr:colOff>
      <xdr:row>17</xdr:row>
      <xdr:rowOff>22899</xdr:rowOff>
    </xdr:to>
    <xdr:pic>
      <xdr:nvPicPr>
        <xdr:cNvPr id="17" name="Imagem 16">
          <a:extLst>
            <a:ext uri="{FF2B5EF4-FFF2-40B4-BE49-F238E27FC236}">
              <a16:creationId xmlns:a16="http://schemas.microsoft.com/office/drawing/2014/main" id="{183705FE-436A-4F4A-0E25-BF7D834014E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9467" y="2302934"/>
          <a:ext cx="2709333" cy="9118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364065</xdr:colOff>
      <xdr:row>13</xdr:row>
      <xdr:rowOff>67734</xdr:rowOff>
    </xdr:from>
    <xdr:to>
      <xdr:col>6</xdr:col>
      <xdr:colOff>1430866</xdr:colOff>
      <xdr:row>18</xdr:row>
      <xdr:rowOff>150440</xdr:rowOff>
    </xdr:to>
    <xdr:pic>
      <xdr:nvPicPr>
        <xdr:cNvPr id="18" name="Imagem 17">
          <a:extLst>
            <a:ext uri="{FF2B5EF4-FFF2-40B4-BE49-F238E27FC236}">
              <a16:creationId xmlns:a16="http://schemas.microsoft.com/office/drawing/2014/main" id="{629F45D4-8581-CB52-EDF6-135ADD7E7D6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243732" y="2514601"/>
          <a:ext cx="1066801" cy="10140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1422400</xdr:colOff>
      <xdr:row>23</xdr:row>
      <xdr:rowOff>59267</xdr:rowOff>
    </xdr:from>
    <xdr:to>
      <xdr:col>6</xdr:col>
      <xdr:colOff>1448715</xdr:colOff>
      <xdr:row>31</xdr:row>
      <xdr:rowOff>16932</xdr:rowOff>
    </xdr:to>
    <xdr:pic>
      <xdr:nvPicPr>
        <xdr:cNvPr id="19" name="Imagem 18">
          <a:extLst>
            <a:ext uri="{FF2B5EF4-FFF2-40B4-BE49-F238E27FC236}">
              <a16:creationId xmlns:a16="http://schemas.microsoft.com/office/drawing/2014/main" id="{C99089E8-2871-9F16-CD2E-26F6DEA38DB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278533" y="4368800"/>
          <a:ext cx="2049849" cy="1447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626532</xdr:colOff>
      <xdr:row>18</xdr:row>
      <xdr:rowOff>118533</xdr:rowOff>
    </xdr:from>
    <xdr:to>
      <xdr:col>1</xdr:col>
      <xdr:colOff>357292</xdr:colOff>
      <xdr:row>23</xdr:row>
      <xdr:rowOff>93980</xdr:rowOff>
    </xdr:to>
    <xdr:pic>
      <xdr:nvPicPr>
        <xdr:cNvPr id="20" name="Imagem 19">
          <a:extLst>
            <a:ext uri="{FF2B5EF4-FFF2-40B4-BE49-F238E27FC236}">
              <a16:creationId xmlns:a16="http://schemas.microsoft.com/office/drawing/2014/main" id="{F43C8911-1C93-1950-CB8A-C89B90229C2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26532" y="3496733"/>
          <a:ext cx="1889760" cy="9067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1507066</xdr:colOff>
      <xdr:row>12</xdr:row>
      <xdr:rowOff>1</xdr:rowOff>
    </xdr:from>
    <xdr:to>
      <xdr:col>4</xdr:col>
      <xdr:colOff>787399</xdr:colOff>
      <xdr:row>18</xdr:row>
      <xdr:rowOff>112463</xdr:rowOff>
    </xdr:to>
    <xdr:pic>
      <xdr:nvPicPr>
        <xdr:cNvPr id="21" name="Imagem 20">
          <a:extLst>
            <a:ext uri="{FF2B5EF4-FFF2-40B4-BE49-F238E27FC236}">
              <a16:creationId xmlns:a16="http://schemas.microsoft.com/office/drawing/2014/main" id="{ED6E7C19-9F15-2727-07C5-F4F31C92E9EE}"/>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666066" y="2260601"/>
          <a:ext cx="3953933" cy="12300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1320799</xdr:colOff>
      <xdr:row>11</xdr:row>
      <xdr:rowOff>143934</xdr:rowOff>
    </xdr:from>
    <xdr:to>
      <xdr:col>6</xdr:col>
      <xdr:colOff>1058</xdr:colOff>
      <xdr:row>18</xdr:row>
      <xdr:rowOff>113268</xdr:rowOff>
    </xdr:to>
    <xdr:pic>
      <xdr:nvPicPr>
        <xdr:cNvPr id="22" name="Imagem 21">
          <a:extLst>
            <a:ext uri="{FF2B5EF4-FFF2-40B4-BE49-F238E27FC236}">
              <a16:creationId xmlns:a16="http://schemas.microsoft.com/office/drawing/2014/main" id="{8EBD954F-64E6-AC9D-4209-EFB389BF6B2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8153399" y="2218267"/>
          <a:ext cx="2675467" cy="12732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287869</xdr:colOff>
      <xdr:row>25</xdr:row>
      <xdr:rowOff>25400</xdr:rowOff>
    </xdr:from>
    <xdr:to>
      <xdr:col>1</xdr:col>
      <xdr:colOff>965201</xdr:colOff>
      <xdr:row>31</xdr:row>
      <xdr:rowOff>302</xdr:rowOff>
    </xdr:to>
    <xdr:pic>
      <xdr:nvPicPr>
        <xdr:cNvPr id="23" name="Imagem 22">
          <a:extLst>
            <a:ext uri="{FF2B5EF4-FFF2-40B4-BE49-F238E27FC236}">
              <a16:creationId xmlns:a16="http://schemas.microsoft.com/office/drawing/2014/main" id="{E5B97A3A-3251-4C94-9AD5-48B472B11AED}"/>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87869" y="4707467"/>
          <a:ext cx="2836332" cy="10855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1354667</xdr:colOff>
      <xdr:row>21</xdr:row>
      <xdr:rowOff>84667</xdr:rowOff>
    </xdr:from>
    <xdr:to>
      <xdr:col>5</xdr:col>
      <xdr:colOff>694267</xdr:colOff>
      <xdr:row>31</xdr:row>
      <xdr:rowOff>57085</xdr:rowOff>
    </xdr:to>
    <xdr:pic>
      <xdr:nvPicPr>
        <xdr:cNvPr id="24" name="Imagem 23">
          <a:extLst>
            <a:ext uri="{FF2B5EF4-FFF2-40B4-BE49-F238E27FC236}">
              <a16:creationId xmlns:a16="http://schemas.microsoft.com/office/drawing/2014/main" id="{74A7B8D0-827B-9951-7CF1-D990C6E1D1D2}"/>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513667" y="4021667"/>
          <a:ext cx="6036733" cy="18350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1398496</xdr:colOff>
      <xdr:row>55</xdr:row>
      <xdr:rowOff>123770</xdr:rowOff>
    </xdr:from>
    <xdr:to>
      <xdr:col>5</xdr:col>
      <xdr:colOff>259978</xdr:colOff>
      <xdr:row>73</xdr:row>
      <xdr:rowOff>173504</xdr:rowOff>
    </xdr:to>
    <xdr:pic>
      <xdr:nvPicPr>
        <xdr:cNvPr id="25" name="Imagem 24">
          <a:extLst>
            <a:ext uri="{FF2B5EF4-FFF2-40B4-BE49-F238E27FC236}">
              <a16:creationId xmlns:a16="http://schemas.microsoft.com/office/drawing/2014/main" id="{1ACC8D7C-50FF-9474-09F8-6C640474FD9B}"/>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3558990" y="13122594"/>
          <a:ext cx="5567082" cy="32770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574675</xdr:colOff>
      <xdr:row>125</xdr:row>
      <xdr:rowOff>114300</xdr:rowOff>
    </xdr:from>
    <xdr:to>
      <xdr:col>6</xdr:col>
      <xdr:colOff>956433</xdr:colOff>
      <xdr:row>134</xdr:row>
      <xdr:rowOff>102645</xdr:rowOff>
    </xdr:to>
    <xdr:pic>
      <xdr:nvPicPr>
        <xdr:cNvPr id="3" name="Imagem 2">
          <a:extLst>
            <a:ext uri="{FF2B5EF4-FFF2-40B4-BE49-F238E27FC236}">
              <a16:creationId xmlns:a16="http://schemas.microsoft.com/office/drawing/2014/main" id="{A4685301-8B46-444C-BBF2-7E628CA18DF9}"/>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6124575" y="29743400"/>
          <a:ext cx="5728458" cy="158854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C44A7C32-F12C-4AA7-82B0-05A6001E3B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192E8A82-C9CD-4D0F-8EE7-68A29E6ABA55}"/>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FBFB3D08-A921-4FBD-AB64-2F9B4E08EBA8}"/>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A155187A-CFAB-4257-A99F-58F3CD8A986F}"/>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 name="Imagem 1">
          <a:extLst>
            <a:ext uri="{FF2B5EF4-FFF2-40B4-BE49-F238E27FC236}">
              <a16:creationId xmlns:a16="http://schemas.microsoft.com/office/drawing/2014/main" id="{D74E0C44-EFF5-4696-A65C-8B89BA7B47A2}"/>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7" name="Imagem 1">
          <a:extLst>
            <a:ext uri="{FF2B5EF4-FFF2-40B4-BE49-F238E27FC236}">
              <a16:creationId xmlns:a16="http://schemas.microsoft.com/office/drawing/2014/main" id="{4204C2DE-0985-468C-BAE9-3E02C14C40D9}"/>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D5AE64DB-ABA8-42B4-999B-012476681C56}"/>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7CEF8020-0BC6-4F45-8FB7-E78BC68AC434}"/>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2</xdr:col>
      <xdr:colOff>948621</xdr:colOff>
      <xdr:row>13</xdr:row>
      <xdr:rowOff>53010</xdr:rowOff>
    </xdr:from>
    <xdr:to>
      <xdr:col>4</xdr:col>
      <xdr:colOff>1734460</xdr:colOff>
      <xdr:row>23</xdr:row>
      <xdr:rowOff>0</xdr:rowOff>
    </xdr:to>
    <xdr:pic>
      <xdr:nvPicPr>
        <xdr:cNvPr id="11" name="Imagem 10">
          <a:extLst>
            <a:ext uri="{FF2B5EF4-FFF2-40B4-BE49-F238E27FC236}">
              <a16:creationId xmlns:a16="http://schemas.microsoft.com/office/drawing/2014/main" id="{9C276E11-0292-4E6F-BC11-89086A2B8C0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34551" y="3041375"/>
          <a:ext cx="4092257" cy="18022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245164</xdr:colOff>
      <xdr:row>11</xdr:row>
      <xdr:rowOff>0</xdr:rowOff>
    </xdr:from>
    <xdr:to>
      <xdr:col>2</xdr:col>
      <xdr:colOff>585689</xdr:colOff>
      <xdr:row>24</xdr:row>
      <xdr:rowOff>178608</xdr:rowOff>
    </xdr:to>
    <xdr:pic>
      <xdr:nvPicPr>
        <xdr:cNvPr id="12" name="Imagem 11">
          <a:extLst>
            <a:ext uri="{FF2B5EF4-FFF2-40B4-BE49-F238E27FC236}">
              <a16:creationId xmlns:a16="http://schemas.microsoft.com/office/drawing/2014/main" id="{1753A91C-D60F-DA92-4B3D-9EC6BC9A5C7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45164" y="2575194"/>
          <a:ext cx="3726455" cy="25931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948621</xdr:colOff>
      <xdr:row>73</xdr:row>
      <xdr:rowOff>53010</xdr:rowOff>
    </xdr:from>
    <xdr:ext cx="4092257" cy="1802295"/>
    <xdr:pic>
      <xdr:nvPicPr>
        <xdr:cNvPr id="13" name="Imagem 12">
          <a:extLst>
            <a:ext uri="{FF2B5EF4-FFF2-40B4-BE49-F238E27FC236}">
              <a16:creationId xmlns:a16="http://schemas.microsoft.com/office/drawing/2014/main" id="{6878604E-FCBB-4000-9D9B-A8E953902EA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34551" y="3041375"/>
          <a:ext cx="4092257" cy="180229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245164</xdr:colOff>
      <xdr:row>71</xdr:row>
      <xdr:rowOff>0</xdr:rowOff>
    </xdr:from>
    <xdr:ext cx="3726455" cy="2593154"/>
    <xdr:pic>
      <xdr:nvPicPr>
        <xdr:cNvPr id="14" name="Imagem 13">
          <a:extLst>
            <a:ext uri="{FF2B5EF4-FFF2-40B4-BE49-F238E27FC236}">
              <a16:creationId xmlns:a16="http://schemas.microsoft.com/office/drawing/2014/main" id="{CF406C11-83DD-4947-9A48-7434DCE96DD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45164" y="2575194"/>
          <a:ext cx="3726455" cy="259315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0</xdr:col>
      <xdr:colOff>1362075</xdr:colOff>
      <xdr:row>113</xdr:row>
      <xdr:rowOff>114300</xdr:rowOff>
    </xdr:from>
    <xdr:to>
      <xdr:col>4</xdr:col>
      <xdr:colOff>387473</xdr:colOff>
      <xdr:row>122</xdr:row>
      <xdr:rowOff>102645</xdr:rowOff>
    </xdr:to>
    <xdr:pic>
      <xdr:nvPicPr>
        <xdr:cNvPr id="10" name="Imagem 9">
          <a:extLst>
            <a:ext uri="{FF2B5EF4-FFF2-40B4-BE49-F238E27FC236}">
              <a16:creationId xmlns:a16="http://schemas.microsoft.com/office/drawing/2014/main" id="{4A4A76F3-5CDE-4DDF-AE0A-BE8F574D5E76}"/>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362075" y="32171640"/>
          <a:ext cx="5723378" cy="163426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B0F42F47-658C-4795-9A7E-0C6060364C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435AAF8C-CB26-4345-BC2D-E6F8CFD72314}"/>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3F4B903A-B9AA-488A-8C41-03D3C37AB680}"/>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9E424FD9-774E-464F-970C-587446E3C5F7}"/>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 name="Imagem 1">
          <a:extLst>
            <a:ext uri="{FF2B5EF4-FFF2-40B4-BE49-F238E27FC236}">
              <a16:creationId xmlns:a16="http://schemas.microsoft.com/office/drawing/2014/main" id="{FE1EFA19-23DF-4C0F-9547-6963FDE56B78}"/>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7" name="Imagem 1">
          <a:extLst>
            <a:ext uri="{FF2B5EF4-FFF2-40B4-BE49-F238E27FC236}">
              <a16:creationId xmlns:a16="http://schemas.microsoft.com/office/drawing/2014/main" id="{C38ED7EB-4328-4CC0-81CB-780877610942}"/>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7EB77B85-273D-46AA-9095-14AB02024BA7}"/>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0A8931F9-8455-40E0-8197-FAE31214A711}"/>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0</xdr:col>
      <xdr:colOff>270935</xdr:colOff>
      <xdr:row>11</xdr:row>
      <xdr:rowOff>169334</xdr:rowOff>
    </xdr:from>
    <xdr:to>
      <xdr:col>1</xdr:col>
      <xdr:colOff>755203</xdr:colOff>
      <xdr:row>22</xdr:row>
      <xdr:rowOff>59267</xdr:rowOff>
    </xdr:to>
    <xdr:pic>
      <xdr:nvPicPr>
        <xdr:cNvPr id="27" name="Imagem 26">
          <a:extLst>
            <a:ext uri="{FF2B5EF4-FFF2-40B4-BE49-F238E27FC236}">
              <a16:creationId xmlns:a16="http://schemas.microsoft.com/office/drawing/2014/main" id="{356C47D0-AA80-DAB2-6F72-2876B6EBD8D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0935" y="2616201"/>
          <a:ext cx="2643268" cy="19388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1119780</xdr:colOff>
      <xdr:row>11</xdr:row>
      <xdr:rowOff>0</xdr:rowOff>
    </xdr:from>
    <xdr:to>
      <xdr:col>2</xdr:col>
      <xdr:colOff>1016118</xdr:colOff>
      <xdr:row>25</xdr:row>
      <xdr:rowOff>165947</xdr:rowOff>
    </xdr:to>
    <xdr:pic>
      <xdr:nvPicPr>
        <xdr:cNvPr id="28" name="Imagem 27">
          <a:extLst>
            <a:ext uri="{FF2B5EF4-FFF2-40B4-BE49-F238E27FC236}">
              <a16:creationId xmlns:a16="http://schemas.microsoft.com/office/drawing/2014/main" id="{AF7B5CDE-A589-E13E-E7D9-64C96038276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278780" y="2328333"/>
          <a:ext cx="1132471" cy="27770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259638</xdr:colOff>
      <xdr:row>11</xdr:row>
      <xdr:rowOff>0</xdr:rowOff>
    </xdr:from>
    <xdr:to>
      <xdr:col>3</xdr:col>
      <xdr:colOff>1507067</xdr:colOff>
      <xdr:row>25</xdr:row>
      <xdr:rowOff>168380</xdr:rowOff>
    </xdr:to>
    <xdr:pic>
      <xdr:nvPicPr>
        <xdr:cNvPr id="29" name="Imagem 28">
          <a:extLst>
            <a:ext uri="{FF2B5EF4-FFF2-40B4-BE49-F238E27FC236}">
              <a16:creationId xmlns:a16="http://schemas.microsoft.com/office/drawing/2014/main" id="{7000E516-F266-D9EA-4667-E9F6A6819A5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933238" y="2342835"/>
          <a:ext cx="1247429" cy="2779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1972732</xdr:colOff>
      <xdr:row>11</xdr:row>
      <xdr:rowOff>1</xdr:rowOff>
    </xdr:from>
    <xdr:to>
      <xdr:col>4</xdr:col>
      <xdr:colOff>1150920</xdr:colOff>
      <xdr:row>26</xdr:row>
      <xdr:rowOff>175261</xdr:rowOff>
    </xdr:to>
    <xdr:pic>
      <xdr:nvPicPr>
        <xdr:cNvPr id="30" name="Imagem 29">
          <a:extLst>
            <a:ext uri="{FF2B5EF4-FFF2-40B4-BE49-F238E27FC236}">
              <a16:creationId xmlns:a16="http://schemas.microsoft.com/office/drawing/2014/main" id="{D1A168F4-BFDA-B1FB-85B2-8B9986CED11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643792" y="2034541"/>
          <a:ext cx="1205108" cy="2918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304802</xdr:colOff>
      <xdr:row>39</xdr:row>
      <xdr:rowOff>83127</xdr:rowOff>
    </xdr:from>
    <xdr:to>
      <xdr:col>4</xdr:col>
      <xdr:colOff>1510148</xdr:colOff>
      <xdr:row>45</xdr:row>
      <xdr:rowOff>28077</xdr:rowOff>
    </xdr:to>
    <xdr:pic>
      <xdr:nvPicPr>
        <xdr:cNvPr id="35" name="Imagem 34">
          <a:extLst>
            <a:ext uri="{FF2B5EF4-FFF2-40B4-BE49-F238E27FC236}">
              <a16:creationId xmlns:a16="http://schemas.microsoft.com/office/drawing/2014/main" id="{33D562C7-320B-832A-A160-8564A49E8887}"/>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04802" y="8894618"/>
          <a:ext cx="7897091" cy="10256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471055</xdr:colOff>
      <xdr:row>46</xdr:row>
      <xdr:rowOff>55417</xdr:rowOff>
    </xdr:from>
    <xdr:to>
      <xdr:col>3</xdr:col>
      <xdr:colOff>1163782</xdr:colOff>
      <xdr:row>56</xdr:row>
      <xdr:rowOff>81851</xdr:rowOff>
    </xdr:to>
    <xdr:pic>
      <xdr:nvPicPr>
        <xdr:cNvPr id="36" name="Imagem 35">
          <a:extLst>
            <a:ext uri="{FF2B5EF4-FFF2-40B4-BE49-F238E27FC236}">
              <a16:creationId xmlns:a16="http://schemas.microsoft.com/office/drawing/2014/main" id="{60A5AA9D-9918-D776-A6F4-6B32A60B86E4}"/>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632364" y="10127672"/>
          <a:ext cx="3200400" cy="18275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1362075</xdr:colOff>
      <xdr:row>62</xdr:row>
      <xdr:rowOff>114300</xdr:rowOff>
    </xdr:from>
    <xdr:to>
      <xdr:col>4</xdr:col>
      <xdr:colOff>387473</xdr:colOff>
      <xdr:row>71</xdr:row>
      <xdr:rowOff>102645</xdr:rowOff>
    </xdr:to>
    <xdr:pic>
      <xdr:nvPicPr>
        <xdr:cNvPr id="10" name="Imagem 9">
          <a:extLst>
            <a:ext uri="{FF2B5EF4-FFF2-40B4-BE49-F238E27FC236}">
              <a16:creationId xmlns:a16="http://schemas.microsoft.com/office/drawing/2014/main" id="{95931FEE-5AE1-4FD6-B6E0-6CE555FA3867}"/>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362075" y="32171640"/>
          <a:ext cx="5723378" cy="163426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CF404B15-814A-4846-A608-7C27EFBE7D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9127E1D4-4953-4F08-95B8-78BF92486BAC}"/>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98EB1FE5-B24D-47CD-BEB0-D43D8C745B6E}"/>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6945865D-E7C0-4A9B-9866-A4F7722A7130}"/>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 name="Imagem 1">
          <a:extLst>
            <a:ext uri="{FF2B5EF4-FFF2-40B4-BE49-F238E27FC236}">
              <a16:creationId xmlns:a16="http://schemas.microsoft.com/office/drawing/2014/main" id="{7EB9F1AA-7DE0-4761-874E-787FB757953C}"/>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7" name="Imagem 1">
          <a:extLst>
            <a:ext uri="{FF2B5EF4-FFF2-40B4-BE49-F238E27FC236}">
              <a16:creationId xmlns:a16="http://schemas.microsoft.com/office/drawing/2014/main" id="{45668812-1F14-48E0-B671-83C193FF7BC9}"/>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DBA293ED-6DDE-4208-ADC3-027ECAA62AB9}"/>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32A74352-4142-4CDC-819B-E7CA672323D7}"/>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0</xdr:col>
      <xdr:colOff>698501</xdr:colOff>
      <xdr:row>15</xdr:row>
      <xdr:rowOff>82550</xdr:rowOff>
    </xdr:from>
    <xdr:to>
      <xdr:col>1</xdr:col>
      <xdr:colOff>574679</xdr:colOff>
      <xdr:row>25</xdr:row>
      <xdr:rowOff>25400</xdr:rowOff>
    </xdr:to>
    <xdr:pic>
      <xdr:nvPicPr>
        <xdr:cNvPr id="11" name="Imagem 10">
          <a:extLst>
            <a:ext uri="{FF2B5EF4-FFF2-40B4-BE49-F238E27FC236}">
              <a16:creationId xmlns:a16="http://schemas.microsoft.com/office/drawing/2014/main" id="{BB920B54-6505-32D1-D379-B4F1E0502E1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8501" y="2863850"/>
          <a:ext cx="2035178" cy="178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1144318</xdr:colOff>
      <xdr:row>15</xdr:row>
      <xdr:rowOff>38100</xdr:rowOff>
    </xdr:from>
    <xdr:to>
      <xdr:col>3</xdr:col>
      <xdr:colOff>1028700</xdr:colOff>
      <xdr:row>24</xdr:row>
      <xdr:rowOff>173193</xdr:rowOff>
    </xdr:to>
    <xdr:pic>
      <xdr:nvPicPr>
        <xdr:cNvPr id="12" name="Imagem 11">
          <a:extLst>
            <a:ext uri="{FF2B5EF4-FFF2-40B4-BE49-F238E27FC236}">
              <a16:creationId xmlns:a16="http://schemas.microsoft.com/office/drawing/2014/main" id="{05C6CCC7-5F65-F14C-138F-1D24C07C94C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303318" y="2819400"/>
          <a:ext cx="2398982" cy="17924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1558036</xdr:colOff>
      <xdr:row>12</xdr:row>
      <xdr:rowOff>6350</xdr:rowOff>
    </xdr:from>
    <xdr:to>
      <xdr:col>4</xdr:col>
      <xdr:colOff>1090806</xdr:colOff>
      <xdr:row>27</xdr:row>
      <xdr:rowOff>76200</xdr:rowOff>
    </xdr:to>
    <xdr:pic>
      <xdr:nvPicPr>
        <xdr:cNvPr id="13" name="Imagem 12">
          <a:extLst>
            <a:ext uri="{FF2B5EF4-FFF2-40B4-BE49-F238E27FC236}">
              <a16:creationId xmlns:a16="http://schemas.microsoft.com/office/drawing/2014/main" id="{E4C28135-A3A0-3EE3-F907-6FFD7324AAE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231636" y="2235200"/>
          <a:ext cx="1558420" cy="2832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1032164</xdr:colOff>
      <xdr:row>44</xdr:row>
      <xdr:rowOff>27708</xdr:rowOff>
    </xdr:from>
    <xdr:to>
      <xdr:col>3</xdr:col>
      <xdr:colOff>1129146</xdr:colOff>
      <xdr:row>61</xdr:row>
      <xdr:rowOff>26323</xdr:rowOff>
    </xdr:to>
    <xdr:pic>
      <xdr:nvPicPr>
        <xdr:cNvPr id="14" name="Imagem 13">
          <a:extLst>
            <a:ext uri="{FF2B5EF4-FFF2-40B4-BE49-F238E27FC236}">
              <a16:creationId xmlns:a16="http://schemas.microsoft.com/office/drawing/2014/main" id="{A9B1D80C-3859-042C-8D14-2D0C9CA8D8B7}"/>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186546" y="8839199"/>
          <a:ext cx="2611582" cy="30604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54545</xdr:colOff>
      <xdr:row>72</xdr:row>
      <xdr:rowOff>80358</xdr:rowOff>
    </xdr:from>
    <xdr:to>
      <xdr:col>3</xdr:col>
      <xdr:colOff>907472</xdr:colOff>
      <xdr:row>90</xdr:row>
      <xdr:rowOff>16626</xdr:rowOff>
    </xdr:to>
    <xdr:pic>
      <xdr:nvPicPr>
        <xdr:cNvPr id="19" name="Imagem 18">
          <a:extLst>
            <a:ext uri="{FF2B5EF4-FFF2-40B4-BE49-F238E27FC236}">
              <a16:creationId xmlns:a16="http://schemas.microsoft.com/office/drawing/2014/main" id="{A1534B38-E110-068F-2A03-686F8217915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445445" y="14101158"/>
          <a:ext cx="2133087" cy="3228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364067</xdr:colOff>
      <xdr:row>101</xdr:row>
      <xdr:rowOff>125405</xdr:rowOff>
    </xdr:from>
    <xdr:to>
      <xdr:col>1</xdr:col>
      <xdr:colOff>352212</xdr:colOff>
      <xdr:row>119</xdr:row>
      <xdr:rowOff>53340</xdr:rowOff>
    </xdr:to>
    <xdr:pic>
      <xdr:nvPicPr>
        <xdr:cNvPr id="20" name="Imagem 19">
          <a:extLst>
            <a:ext uri="{FF2B5EF4-FFF2-40B4-BE49-F238E27FC236}">
              <a16:creationId xmlns:a16="http://schemas.microsoft.com/office/drawing/2014/main" id="{C2A666D7-5F11-C804-ED39-05C785AC836F}"/>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364067" y="19785005"/>
          <a:ext cx="2147145" cy="32807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866987</xdr:colOff>
      <xdr:row>105</xdr:row>
      <xdr:rowOff>109508</xdr:rowOff>
    </xdr:from>
    <xdr:to>
      <xdr:col>3</xdr:col>
      <xdr:colOff>736600</xdr:colOff>
      <xdr:row>115</xdr:row>
      <xdr:rowOff>47571</xdr:rowOff>
    </xdr:to>
    <xdr:pic>
      <xdr:nvPicPr>
        <xdr:cNvPr id="22" name="Imagem 21">
          <a:extLst>
            <a:ext uri="{FF2B5EF4-FFF2-40B4-BE49-F238E27FC236}">
              <a16:creationId xmlns:a16="http://schemas.microsoft.com/office/drawing/2014/main" id="{934ABE49-E25F-12DF-7D45-149ED72440B8}"/>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025987" y="20514175"/>
          <a:ext cx="2384213" cy="18007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620416</xdr:colOff>
      <xdr:row>131</xdr:row>
      <xdr:rowOff>138430</xdr:rowOff>
    </xdr:from>
    <xdr:to>
      <xdr:col>1</xdr:col>
      <xdr:colOff>297180</xdr:colOff>
      <xdr:row>141</xdr:row>
      <xdr:rowOff>83683</xdr:rowOff>
    </xdr:to>
    <xdr:pic>
      <xdr:nvPicPr>
        <xdr:cNvPr id="25" name="Imagem 24">
          <a:extLst>
            <a:ext uri="{FF2B5EF4-FFF2-40B4-BE49-F238E27FC236}">
              <a16:creationId xmlns:a16="http://schemas.microsoft.com/office/drawing/2014/main" id="{E354C1EC-06EE-6DDB-A0B1-A1FED802D22E}"/>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620416" y="24541480"/>
          <a:ext cx="1829414" cy="17550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678181</xdr:colOff>
      <xdr:row>143</xdr:row>
      <xdr:rowOff>9525</xdr:rowOff>
    </xdr:from>
    <xdr:to>
      <xdr:col>1</xdr:col>
      <xdr:colOff>304801</xdr:colOff>
      <xdr:row>151</xdr:row>
      <xdr:rowOff>138643</xdr:rowOff>
    </xdr:to>
    <xdr:pic>
      <xdr:nvPicPr>
        <xdr:cNvPr id="26" name="Imagem 25">
          <a:extLst>
            <a:ext uri="{FF2B5EF4-FFF2-40B4-BE49-F238E27FC236}">
              <a16:creationId xmlns:a16="http://schemas.microsoft.com/office/drawing/2014/main" id="{6FF79113-C108-7250-67B0-F3EB63C4051B}"/>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678181" y="26584275"/>
          <a:ext cx="1779270" cy="1576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1003935</xdr:colOff>
      <xdr:row>132</xdr:row>
      <xdr:rowOff>120245</xdr:rowOff>
    </xdr:from>
    <xdr:to>
      <xdr:col>3</xdr:col>
      <xdr:colOff>979170</xdr:colOff>
      <xdr:row>141</xdr:row>
      <xdr:rowOff>1528</xdr:rowOff>
    </xdr:to>
    <xdr:pic>
      <xdr:nvPicPr>
        <xdr:cNvPr id="27" name="Imagem 26">
          <a:extLst>
            <a:ext uri="{FF2B5EF4-FFF2-40B4-BE49-F238E27FC236}">
              <a16:creationId xmlns:a16="http://schemas.microsoft.com/office/drawing/2014/main" id="{B30087CB-97D0-D832-F14B-E6DD285ED49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3156585" y="24704270"/>
          <a:ext cx="2489835" cy="15100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1390651</xdr:colOff>
      <xdr:row>132</xdr:row>
      <xdr:rowOff>123825</xdr:rowOff>
    </xdr:from>
    <xdr:to>
      <xdr:col>4</xdr:col>
      <xdr:colOff>1410708</xdr:colOff>
      <xdr:row>151</xdr:row>
      <xdr:rowOff>176042</xdr:rowOff>
    </xdr:to>
    <xdr:pic>
      <xdr:nvPicPr>
        <xdr:cNvPr id="28" name="Imagem 27">
          <a:extLst>
            <a:ext uri="{FF2B5EF4-FFF2-40B4-BE49-F238E27FC236}">
              <a16:creationId xmlns:a16="http://schemas.microsoft.com/office/drawing/2014/main" id="{9D5BA1CA-AF2B-FB19-E15C-904796BC942A}"/>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057901" y="24707850"/>
          <a:ext cx="2048882" cy="349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1698008</xdr:colOff>
      <xdr:row>166</xdr:row>
      <xdr:rowOff>91017</xdr:rowOff>
    </xdr:from>
    <xdr:to>
      <xdr:col>4</xdr:col>
      <xdr:colOff>254000</xdr:colOff>
      <xdr:row>176</xdr:row>
      <xdr:rowOff>81097</xdr:rowOff>
    </xdr:to>
    <xdr:pic>
      <xdr:nvPicPr>
        <xdr:cNvPr id="29" name="Imagem 28">
          <a:extLst>
            <a:ext uri="{FF2B5EF4-FFF2-40B4-BE49-F238E27FC236}">
              <a16:creationId xmlns:a16="http://schemas.microsoft.com/office/drawing/2014/main" id="{6DC719D8-81F7-075A-1433-FF2C51BA3221}"/>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698008" y="30342417"/>
          <a:ext cx="5261592" cy="17680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1409700</xdr:colOff>
      <xdr:row>199</xdr:row>
      <xdr:rowOff>32809</xdr:rowOff>
    </xdr:from>
    <xdr:to>
      <xdr:col>2</xdr:col>
      <xdr:colOff>445770</xdr:colOff>
      <xdr:row>212</xdr:row>
      <xdr:rowOff>112394</xdr:rowOff>
    </xdr:to>
    <xdr:pic>
      <xdr:nvPicPr>
        <xdr:cNvPr id="30" name="Imagem 29">
          <a:extLst>
            <a:ext uri="{FF2B5EF4-FFF2-40B4-BE49-F238E27FC236}">
              <a16:creationId xmlns:a16="http://schemas.microsoft.com/office/drawing/2014/main" id="{EAD71B97-5511-BCAE-5B05-3E36BB1128CB}"/>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409700" y="37574009"/>
          <a:ext cx="2431203" cy="25010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975360</xdr:colOff>
      <xdr:row>203</xdr:row>
      <xdr:rowOff>120226</xdr:rowOff>
    </xdr:from>
    <xdr:to>
      <xdr:col>4</xdr:col>
      <xdr:colOff>1211196</xdr:colOff>
      <xdr:row>212</xdr:row>
      <xdr:rowOff>104986</xdr:rowOff>
    </xdr:to>
    <xdr:pic>
      <xdr:nvPicPr>
        <xdr:cNvPr id="31" name="Imagem 30">
          <a:extLst>
            <a:ext uri="{FF2B5EF4-FFF2-40B4-BE49-F238E27FC236}">
              <a16:creationId xmlns:a16="http://schemas.microsoft.com/office/drawing/2014/main" id="{D04E6A6E-9D46-756D-9870-06A06E54C1CD}"/>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4370493" y="38406493"/>
          <a:ext cx="3537836" cy="1661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838200</xdr:colOff>
      <xdr:row>178</xdr:row>
      <xdr:rowOff>9013</xdr:rowOff>
    </xdr:from>
    <xdr:to>
      <xdr:col>3</xdr:col>
      <xdr:colOff>850900</xdr:colOff>
      <xdr:row>185</xdr:row>
      <xdr:rowOff>139699</xdr:rowOff>
    </xdr:to>
    <xdr:pic>
      <xdr:nvPicPr>
        <xdr:cNvPr id="32" name="Imagem 31">
          <a:extLst>
            <a:ext uri="{FF2B5EF4-FFF2-40B4-BE49-F238E27FC236}">
              <a16:creationId xmlns:a16="http://schemas.microsoft.com/office/drawing/2014/main" id="{ED051BBC-6971-096E-D5E4-68B5D2872FA1}"/>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997200" y="32394013"/>
          <a:ext cx="2527300" cy="1375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939800</xdr:colOff>
      <xdr:row>226</xdr:row>
      <xdr:rowOff>150990</xdr:rowOff>
    </xdr:from>
    <xdr:to>
      <xdr:col>3</xdr:col>
      <xdr:colOff>1054100</xdr:colOff>
      <xdr:row>244</xdr:row>
      <xdr:rowOff>127000</xdr:rowOff>
    </xdr:to>
    <xdr:pic>
      <xdr:nvPicPr>
        <xdr:cNvPr id="35" name="Imagem 34">
          <a:extLst>
            <a:ext uri="{FF2B5EF4-FFF2-40B4-BE49-F238E27FC236}">
              <a16:creationId xmlns:a16="http://schemas.microsoft.com/office/drawing/2014/main" id="{B1B2CAAB-E24F-21E7-A61D-2B2972F5D335}"/>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3098800" y="41070390"/>
          <a:ext cx="2628900" cy="31764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1227667</xdr:colOff>
      <xdr:row>101</xdr:row>
      <xdr:rowOff>162166</xdr:rowOff>
    </xdr:from>
    <xdr:to>
      <xdr:col>4</xdr:col>
      <xdr:colOff>1587694</xdr:colOff>
      <xdr:row>119</xdr:row>
      <xdr:rowOff>84668</xdr:rowOff>
    </xdr:to>
    <xdr:pic>
      <xdr:nvPicPr>
        <xdr:cNvPr id="36" name="Imagem 35">
          <a:extLst>
            <a:ext uri="{FF2B5EF4-FFF2-40B4-BE49-F238E27FC236}">
              <a16:creationId xmlns:a16="http://schemas.microsoft.com/office/drawing/2014/main" id="{C9FE2F08-95BB-F490-0BC2-EAFF534B114A}"/>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5901267" y="19821766"/>
          <a:ext cx="2383560" cy="32753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2015064</xdr:colOff>
      <xdr:row>260</xdr:row>
      <xdr:rowOff>118534</xdr:rowOff>
    </xdr:from>
    <xdr:to>
      <xdr:col>4</xdr:col>
      <xdr:colOff>311323</xdr:colOff>
      <xdr:row>277</xdr:row>
      <xdr:rowOff>16934</xdr:rowOff>
    </xdr:to>
    <xdr:pic>
      <xdr:nvPicPr>
        <xdr:cNvPr id="21" name="Imagem 20">
          <a:extLst>
            <a:ext uri="{FF2B5EF4-FFF2-40B4-BE49-F238E27FC236}">
              <a16:creationId xmlns:a16="http://schemas.microsoft.com/office/drawing/2014/main" id="{7CFE3A8C-7FF5-8CDA-0612-D62439856E1D}"/>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2015064" y="49394534"/>
          <a:ext cx="4993392" cy="30649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635000</xdr:colOff>
      <xdr:row>289</xdr:row>
      <xdr:rowOff>60762</xdr:rowOff>
    </xdr:from>
    <xdr:to>
      <xdr:col>1</xdr:col>
      <xdr:colOff>1186827</xdr:colOff>
      <xdr:row>294</xdr:row>
      <xdr:rowOff>6463</xdr:rowOff>
    </xdr:to>
    <xdr:pic>
      <xdr:nvPicPr>
        <xdr:cNvPr id="40" name="Imagem 39">
          <a:extLst>
            <a:ext uri="{FF2B5EF4-FFF2-40B4-BE49-F238E27FC236}">
              <a16:creationId xmlns:a16="http://schemas.microsoft.com/office/drawing/2014/main" id="{729B10BE-7D60-4DDA-8475-A12DCC13D182}"/>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635000" y="54738495"/>
          <a:ext cx="2710827" cy="8770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63249</xdr:colOff>
      <xdr:row>296</xdr:row>
      <xdr:rowOff>110067</xdr:rowOff>
    </xdr:from>
    <xdr:to>
      <xdr:col>4</xdr:col>
      <xdr:colOff>1124047</xdr:colOff>
      <xdr:row>301</xdr:row>
      <xdr:rowOff>152400</xdr:rowOff>
    </xdr:to>
    <xdr:pic>
      <xdr:nvPicPr>
        <xdr:cNvPr id="41" name="Imagem 40">
          <a:extLst>
            <a:ext uri="{FF2B5EF4-FFF2-40B4-BE49-F238E27FC236}">
              <a16:creationId xmlns:a16="http://schemas.microsoft.com/office/drawing/2014/main" id="{17691D91-76EB-470C-9FCA-DCC07A5843FC}"/>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6760382" y="56091667"/>
          <a:ext cx="1060798" cy="9736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1058331</xdr:colOff>
      <xdr:row>294</xdr:row>
      <xdr:rowOff>112058</xdr:rowOff>
    </xdr:from>
    <xdr:to>
      <xdr:col>1</xdr:col>
      <xdr:colOff>790585</xdr:colOff>
      <xdr:row>299</xdr:row>
      <xdr:rowOff>52643</xdr:rowOff>
    </xdr:to>
    <xdr:pic>
      <xdr:nvPicPr>
        <xdr:cNvPr id="42" name="Imagem 41">
          <a:extLst>
            <a:ext uri="{FF2B5EF4-FFF2-40B4-BE49-F238E27FC236}">
              <a16:creationId xmlns:a16="http://schemas.microsoft.com/office/drawing/2014/main" id="{8E044116-52FF-4030-B0B0-FEE5D798623F}"/>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1058331" y="55721125"/>
          <a:ext cx="1891254" cy="8719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499534</xdr:colOff>
      <xdr:row>289</xdr:row>
      <xdr:rowOff>75548</xdr:rowOff>
    </xdr:from>
    <xdr:to>
      <xdr:col>4</xdr:col>
      <xdr:colOff>855134</xdr:colOff>
      <xdr:row>295</xdr:row>
      <xdr:rowOff>55461</xdr:rowOff>
    </xdr:to>
    <xdr:pic>
      <xdr:nvPicPr>
        <xdr:cNvPr id="43" name="Imagem 42">
          <a:extLst>
            <a:ext uri="{FF2B5EF4-FFF2-40B4-BE49-F238E27FC236}">
              <a16:creationId xmlns:a16="http://schemas.microsoft.com/office/drawing/2014/main" id="{F443ACF5-619F-4E74-855F-4033B4061711}"/>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3894667" y="54753281"/>
          <a:ext cx="3657600" cy="10975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1375316</xdr:colOff>
      <xdr:row>302</xdr:row>
      <xdr:rowOff>127000</xdr:rowOff>
    </xdr:from>
    <xdr:to>
      <xdr:col>4</xdr:col>
      <xdr:colOff>1792221</xdr:colOff>
      <xdr:row>308</xdr:row>
      <xdr:rowOff>125197</xdr:rowOff>
    </xdr:to>
    <xdr:pic>
      <xdr:nvPicPr>
        <xdr:cNvPr id="44" name="Imagem 43">
          <a:extLst>
            <a:ext uri="{FF2B5EF4-FFF2-40B4-BE49-F238E27FC236}">
              <a16:creationId xmlns:a16="http://schemas.microsoft.com/office/drawing/2014/main" id="{A6E1D605-3EB5-45C0-AF9A-ED805FD275E7}"/>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6048916" y="57226200"/>
          <a:ext cx="2440438" cy="11157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69228</xdr:colOff>
      <xdr:row>299</xdr:row>
      <xdr:rowOff>74208</xdr:rowOff>
    </xdr:from>
    <xdr:to>
      <xdr:col>3</xdr:col>
      <xdr:colOff>1278467</xdr:colOff>
      <xdr:row>308</xdr:row>
      <xdr:rowOff>115753</xdr:rowOff>
    </xdr:to>
    <xdr:pic>
      <xdr:nvPicPr>
        <xdr:cNvPr id="45" name="Imagem 44">
          <a:extLst>
            <a:ext uri="{FF2B5EF4-FFF2-40B4-BE49-F238E27FC236}">
              <a16:creationId xmlns:a16="http://schemas.microsoft.com/office/drawing/2014/main" id="{6D555B45-3264-4B58-8725-B70138D3E181}"/>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69228" y="56614608"/>
          <a:ext cx="5882839" cy="17179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1362075</xdr:colOff>
      <xdr:row>327</xdr:row>
      <xdr:rowOff>114300</xdr:rowOff>
    </xdr:from>
    <xdr:to>
      <xdr:col>4</xdr:col>
      <xdr:colOff>387473</xdr:colOff>
      <xdr:row>336</xdr:row>
      <xdr:rowOff>102645</xdr:rowOff>
    </xdr:to>
    <xdr:pic>
      <xdr:nvPicPr>
        <xdr:cNvPr id="10" name="Imagem 9">
          <a:extLst>
            <a:ext uri="{FF2B5EF4-FFF2-40B4-BE49-F238E27FC236}">
              <a16:creationId xmlns:a16="http://schemas.microsoft.com/office/drawing/2014/main" id="{CC0D1380-35DF-46F1-8B8D-C1AF0D79D51F}"/>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1362075" y="12306300"/>
          <a:ext cx="5723378" cy="163426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D80C2050-A1CF-4ECF-91FB-04ADE63C4DD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8139F7B2-31D8-40C3-A6DC-142820FFE3EC}"/>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21E918F7-03C1-46B4-995A-AA9CC43AB426}"/>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4ADC5F26-1448-4857-AFE5-DE7B781B5064}"/>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 name="Imagem 1">
          <a:extLst>
            <a:ext uri="{FF2B5EF4-FFF2-40B4-BE49-F238E27FC236}">
              <a16:creationId xmlns:a16="http://schemas.microsoft.com/office/drawing/2014/main" id="{898A6465-3417-453E-8327-19A878FA6CD5}"/>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7" name="Imagem 1">
          <a:extLst>
            <a:ext uri="{FF2B5EF4-FFF2-40B4-BE49-F238E27FC236}">
              <a16:creationId xmlns:a16="http://schemas.microsoft.com/office/drawing/2014/main" id="{0F6EBAA1-59A4-497F-BD2C-ABD013359048}"/>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0D0D0803-4122-4D21-9E50-9CAE6E1F2CE9}"/>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91E59AC2-B824-40E6-A5AB-76D83AD7DA43}"/>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0</xdr:col>
      <xdr:colOff>1802295</xdr:colOff>
      <xdr:row>11</xdr:row>
      <xdr:rowOff>19878</xdr:rowOff>
    </xdr:from>
    <xdr:to>
      <xdr:col>3</xdr:col>
      <xdr:colOff>1847035</xdr:colOff>
      <xdr:row>30</xdr:row>
      <xdr:rowOff>79513</xdr:rowOff>
    </xdr:to>
    <xdr:pic>
      <xdr:nvPicPr>
        <xdr:cNvPr id="10" name="Imagem 9">
          <a:extLst>
            <a:ext uri="{FF2B5EF4-FFF2-40B4-BE49-F238E27FC236}">
              <a16:creationId xmlns:a16="http://schemas.microsoft.com/office/drawing/2014/main" id="{DF782634-CC76-1FB8-6AA6-56C0C1E864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2295" y="2080591"/>
          <a:ext cx="4709505" cy="358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490332</xdr:colOff>
      <xdr:row>46</xdr:row>
      <xdr:rowOff>39756</xdr:rowOff>
    </xdr:from>
    <xdr:to>
      <xdr:col>4</xdr:col>
      <xdr:colOff>1380696</xdr:colOff>
      <xdr:row>64</xdr:row>
      <xdr:rowOff>39756</xdr:rowOff>
    </xdr:to>
    <xdr:pic>
      <xdr:nvPicPr>
        <xdr:cNvPr id="11" name="Imagem 10">
          <a:extLst>
            <a:ext uri="{FF2B5EF4-FFF2-40B4-BE49-F238E27FC236}">
              <a16:creationId xmlns:a16="http://schemas.microsoft.com/office/drawing/2014/main" id="{CB5F63F0-370E-A9C5-5946-687A9F064AF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90332" y="9647582"/>
          <a:ext cx="7582712" cy="33395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1362075</xdr:colOff>
      <xdr:row>84</xdr:row>
      <xdr:rowOff>114300</xdr:rowOff>
    </xdr:from>
    <xdr:to>
      <xdr:col>4</xdr:col>
      <xdr:colOff>387473</xdr:colOff>
      <xdr:row>93</xdr:row>
      <xdr:rowOff>102645</xdr:rowOff>
    </xdr:to>
    <xdr:pic>
      <xdr:nvPicPr>
        <xdr:cNvPr id="12" name="Imagem 11">
          <a:extLst>
            <a:ext uri="{FF2B5EF4-FFF2-40B4-BE49-F238E27FC236}">
              <a16:creationId xmlns:a16="http://schemas.microsoft.com/office/drawing/2014/main" id="{610D3680-D947-4B16-B1D9-1480901B0512}"/>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362075" y="60769500"/>
          <a:ext cx="5723378" cy="163426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464950C2-A811-4A26-9031-C35F6CB2E2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B3A08D66-B925-490C-A351-1DDB6AFE1D06}"/>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562E26A1-9481-438C-9773-F9AC8D041C98}"/>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CE0E2BF4-F07D-4727-8902-71FDE43B5D49}"/>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 name="Imagem 1">
          <a:extLst>
            <a:ext uri="{FF2B5EF4-FFF2-40B4-BE49-F238E27FC236}">
              <a16:creationId xmlns:a16="http://schemas.microsoft.com/office/drawing/2014/main" id="{BB522F8F-C045-4C24-8A26-360B1C3705AE}"/>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7" name="Imagem 1">
          <a:extLst>
            <a:ext uri="{FF2B5EF4-FFF2-40B4-BE49-F238E27FC236}">
              <a16:creationId xmlns:a16="http://schemas.microsoft.com/office/drawing/2014/main" id="{A31689C7-8FB2-485A-8AC5-9527BB15AA17}"/>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79A3F195-1208-4CF6-A9EC-BC528F92C48C}"/>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0FB6401C-A980-4E0A-A7DC-A527C4BDF31C}"/>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1</xdr:col>
      <xdr:colOff>387351</xdr:colOff>
      <xdr:row>10</xdr:row>
      <xdr:rowOff>63499</xdr:rowOff>
    </xdr:from>
    <xdr:to>
      <xdr:col>3</xdr:col>
      <xdr:colOff>1111251</xdr:colOff>
      <xdr:row>23</xdr:row>
      <xdr:rowOff>17574</xdr:rowOff>
    </xdr:to>
    <xdr:pic>
      <xdr:nvPicPr>
        <xdr:cNvPr id="10" name="Imagem 9">
          <a:extLst>
            <a:ext uri="{FF2B5EF4-FFF2-40B4-BE49-F238E27FC236}">
              <a16:creationId xmlns:a16="http://schemas.microsoft.com/office/drawing/2014/main" id="{AA713359-8132-4937-A4C9-9D757F60C59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46351" y="1924049"/>
          <a:ext cx="3238500" cy="23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546101</xdr:colOff>
      <xdr:row>24</xdr:row>
      <xdr:rowOff>69849</xdr:rowOff>
    </xdr:from>
    <xdr:to>
      <xdr:col>3</xdr:col>
      <xdr:colOff>990601</xdr:colOff>
      <xdr:row>31</xdr:row>
      <xdr:rowOff>1878</xdr:rowOff>
    </xdr:to>
    <xdr:pic>
      <xdr:nvPicPr>
        <xdr:cNvPr id="11" name="Imagem 10">
          <a:extLst>
            <a:ext uri="{FF2B5EF4-FFF2-40B4-BE49-F238E27FC236}">
              <a16:creationId xmlns:a16="http://schemas.microsoft.com/office/drawing/2014/main" id="{4C085814-3907-BCF6-B683-B04DADF6A9A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05101" y="4508499"/>
          <a:ext cx="2959100" cy="12210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1943100</xdr:colOff>
      <xdr:row>45</xdr:row>
      <xdr:rowOff>0</xdr:rowOff>
    </xdr:from>
    <xdr:to>
      <xdr:col>4</xdr:col>
      <xdr:colOff>247650</xdr:colOff>
      <xdr:row>63</xdr:row>
      <xdr:rowOff>27092</xdr:rowOff>
    </xdr:to>
    <xdr:pic>
      <xdr:nvPicPr>
        <xdr:cNvPr id="14" name="Imagem 13">
          <a:extLst>
            <a:ext uri="{FF2B5EF4-FFF2-40B4-BE49-F238E27FC236}">
              <a16:creationId xmlns:a16="http://schemas.microsoft.com/office/drawing/2014/main" id="{CA311CB8-7986-1CA7-B43B-0B8C2484520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943100" y="8515350"/>
          <a:ext cx="5003800" cy="33417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262466</xdr:colOff>
      <xdr:row>77</xdr:row>
      <xdr:rowOff>40961</xdr:rowOff>
    </xdr:from>
    <xdr:to>
      <xdr:col>4</xdr:col>
      <xdr:colOff>1642534</xdr:colOff>
      <xdr:row>87</xdr:row>
      <xdr:rowOff>131242</xdr:rowOff>
    </xdr:to>
    <xdr:pic>
      <xdr:nvPicPr>
        <xdr:cNvPr id="16" name="Imagem 15">
          <a:extLst>
            <a:ext uri="{FF2B5EF4-FFF2-40B4-BE49-F238E27FC236}">
              <a16:creationId xmlns:a16="http://schemas.microsoft.com/office/drawing/2014/main" id="{434F7938-2991-82CC-A8E8-0B8DC191C4FB}"/>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62466" y="14620561"/>
          <a:ext cx="8077201" cy="19529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1464734</xdr:colOff>
      <xdr:row>102</xdr:row>
      <xdr:rowOff>177801</xdr:rowOff>
    </xdr:from>
    <xdr:to>
      <xdr:col>2</xdr:col>
      <xdr:colOff>516468</xdr:colOff>
      <xdr:row>115</xdr:row>
      <xdr:rowOff>65466</xdr:rowOff>
    </xdr:to>
    <xdr:pic>
      <xdr:nvPicPr>
        <xdr:cNvPr id="18" name="Imagem 17">
          <a:extLst>
            <a:ext uri="{FF2B5EF4-FFF2-40B4-BE49-F238E27FC236}">
              <a16:creationId xmlns:a16="http://schemas.microsoft.com/office/drawing/2014/main" id="{4EF97D87-DDFF-799B-762C-EAE0B4F02481}"/>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464734" y="19778134"/>
          <a:ext cx="2446867" cy="23091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1049868</xdr:colOff>
      <xdr:row>103</xdr:row>
      <xdr:rowOff>33867</xdr:rowOff>
    </xdr:from>
    <xdr:to>
      <xdr:col>4</xdr:col>
      <xdr:colOff>228599</xdr:colOff>
      <xdr:row>115</xdr:row>
      <xdr:rowOff>138924</xdr:rowOff>
    </xdr:to>
    <xdr:pic>
      <xdr:nvPicPr>
        <xdr:cNvPr id="19" name="Imagem 18">
          <a:extLst>
            <a:ext uri="{FF2B5EF4-FFF2-40B4-BE49-F238E27FC236}">
              <a16:creationId xmlns:a16="http://schemas.microsoft.com/office/drawing/2014/main" id="{2947B883-4A56-25DE-F103-96E96EC42AF3}"/>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445001" y="19820467"/>
          <a:ext cx="2480731" cy="2340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516467</xdr:colOff>
      <xdr:row>117</xdr:row>
      <xdr:rowOff>50800</xdr:rowOff>
    </xdr:from>
    <xdr:to>
      <xdr:col>4</xdr:col>
      <xdr:colOff>1024468</xdr:colOff>
      <xdr:row>123</xdr:row>
      <xdr:rowOff>87632</xdr:rowOff>
    </xdr:to>
    <xdr:pic>
      <xdr:nvPicPr>
        <xdr:cNvPr id="20" name="Imagem 19">
          <a:extLst>
            <a:ext uri="{FF2B5EF4-FFF2-40B4-BE49-F238E27FC236}">
              <a16:creationId xmlns:a16="http://schemas.microsoft.com/office/drawing/2014/main" id="{E751E75F-46A7-6251-D9F8-56523FED4B1F}"/>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16467" y="22445133"/>
          <a:ext cx="7205134" cy="11544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1362075</xdr:colOff>
      <xdr:row>151</xdr:row>
      <xdr:rowOff>114300</xdr:rowOff>
    </xdr:from>
    <xdr:to>
      <xdr:col>4</xdr:col>
      <xdr:colOff>387473</xdr:colOff>
      <xdr:row>160</xdr:row>
      <xdr:rowOff>102645</xdr:rowOff>
    </xdr:to>
    <xdr:pic>
      <xdr:nvPicPr>
        <xdr:cNvPr id="12" name="Imagem 11">
          <a:extLst>
            <a:ext uri="{FF2B5EF4-FFF2-40B4-BE49-F238E27FC236}">
              <a16:creationId xmlns:a16="http://schemas.microsoft.com/office/drawing/2014/main" id="{BF2ECC01-BD03-48E8-AC57-CF7CFD00EC1E}"/>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362075" y="18387060"/>
          <a:ext cx="5723378" cy="163426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B78FB10F-1097-4E20-A5F5-5A0734C557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F4CB6AA5-22C0-4A18-8574-10975F45DFDA}"/>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0ECC7139-8110-47E5-A90D-CC6FF908C147}"/>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AD0F44DC-0BE1-4388-AB31-4DBD1F0E95CD}"/>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 name="Imagem 1">
          <a:extLst>
            <a:ext uri="{FF2B5EF4-FFF2-40B4-BE49-F238E27FC236}">
              <a16:creationId xmlns:a16="http://schemas.microsoft.com/office/drawing/2014/main" id="{6B378A14-3A06-4589-9128-CE49252FBAD2}"/>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7" name="Imagem 1">
          <a:extLst>
            <a:ext uri="{FF2B5EF4-FFF2-40B4-BE49-F238E27FC236}">
              <a16:creationId xmlns:a16="http://schemas.microsoft.com/office/drawing/2014/main" id="{7911EBFF-222F-452A-A455-7342174F449D}"/>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F3137BC8-59A2-4B1B-8FCA-6342D8F29B77}"/>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106F8A4D-45EA-490B-9752-E217A35C8220}"/>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0</xdr:col>
      <xdr:colOff>438151</xdr:colOff>
      <xdr:row>11</xdr:row>
      <xdr:rowOff>161925</xdr:rowOff>
    </xdr:from>
    <xdr:to>
      <xdr:col>4</xdr:col>
      <xdr:colOff>1419226</xdr:colOff>
      <xdr:row>19</xdr:row>
      <xdr:rowOff>133644</xdr:rowOff>
    </xdr:to>
    <xdr:pic>
      <xdr:nvPicPr>
        <xdr:cNvPr id="18" name="Imagem 17">
          <a:extLst>
            <a:ext uri="{FF2B5EF4-FFF2-40B4-BE49-F238E27FC236}">
              <a16:creationId xmlns:a16="http://schemas.microsoft.com/office/drawing/2014/main" id="{5BFA9D8F-4510-5A7E-E80A-9FF72E8AA9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8151" y="3086100"/>
          <a:ext cx="7677150" cy="14195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847726</xdr:colOff>
      <xdr:row>51</xdr:row>
      <xdr:rowOff>25889</xdr:rowOff>
    </xdr:from>
    <xdr:to>
      <xdr:col>4</xdr:col>
      <xdr:colOff>1186529</xdr:colOff>
      <xdr:row>69</xdr:row>
      <xdr:rowOff>76201</xdr:rowOff>
    </xdr:to>
    <xdr:pic>
      <xdr:nvPicPr>
        <xdr:cNvPr id="20" name="Imagem 19">
          <a:extLst>
            <a:ext uri="{FF2B5EF4-FFF2-40B4-BE49-F238E27FC236}">
              <a16:creationId xmlns:a16="http://schemas.microsoft.com/office/drawing/2014/main" id="{0B39F1C0-ADEF-AB63-16D7-FC6E95AD219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47726" y="11112989"/>
          <a:ext cx="7034878" cy="33078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847726</xdr:colOff>
      <xdr:row>92</xdr:row>
      <xdr:rowOff>25889</xdr:rowOff>
    </xdr:from>
    <xdr:ext cx="7034878" cy="3307862"/>
    <xdr:pic>
      <xdr:nvPicPr>
        <xdr:cNvPr id="21" name="Imagem 20">
          <a:extLst>
            <a:ext uri="{FF2B5EF4-FFF2-40B4-BE49-F238E27FC236}">
              <a16:creationId xmlns:a16="http://schemas.microsoft.com/office/drawing/2014/main" id="{17137B0C-200A-4E1F-8FC1-C7637B5767B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47726" y="11112989"/>
          <a:ext cx="7034878" cy="33078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847726</xdr:colOff>
      <xdr:row>132</xdr:row>
      <xdr:rowOff>25889</xdr:rowOff>
    </xdr:from>
    <xdr:ext cx="7034878" cy="3307862"/>
    <xdr:pic>
      <xdr:nvPicPr>
        <xdr:cNvPr id="23" name="Imagem 22">
          <a:extLst>
            <a:ext uri="{FF2B5EF4-FFF2-40B4-BE49-F238E27FC236}">
              <a16:creationId xmlns:a16="http://schemas.microsoft.com/office/drawing/2014/main" id="{4BD6BB76-C944-4A05-9D04-12290CC19B9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47726" y="18532964"/>
          <a:ext cx="7034878" cy="33078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0</xdr:col>
      <xdr:colOff>2038350</xdr:colOff>
      <xdr:row>181</xdr:row>
      <xdr:rowOff>142876</xdr:rowOff>
    </xdr:from>
    <xdr:to>
      <xdr:col>2</xdr:col>
      <xdr:colOff>496960</xdr:colOff>
      <xdr:row>199</xdr:row>
      <xdr:rowOff>28576</xdr:rowOff>
    </xdr:to>
    <xdr:pic>
      <xdr:nvPicPr>
        <xdr:cNvPr id="10" name="Imagem 9">
          <a:extLst>
            <a:ext uri="{FF2B5EF4-FFF2-40B4-BE49-F238E27FC236}">
              <a16:creationId xmlns:a16="http://schemas.microsoft.com/office/drawing/2014/main" id="{894A26CE-5B5C-65C6-6AF5-F06DCC1D6974}"/>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038350" y="34756726"/>
          <a:ext cx="1849510" cy="3143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38100</xdr:colOff>
      <xdr:row>180</xdr:row>
      <xdr:rowOff>161925</xdr:rowOff>
    </xdr:from>
    <xdr:to>
      <xdr:col>3</xdr:col>
      <xdr:colOff>1183725</xdr:colOff>
      <xdr:row>200</xdr:row>
      <xdr:rowOff>28575</xdr:rowOff>
    </xdr:to>
    <xdr:pic>
      <xdr:nvPicPr>
        <xdr:cNvPr id="12" name="Imagem 11">
          <a:extLst>
            <a:ext uri="{FF2B5EF4-FFF2-40B4-BE49-F238E27FC236}">
              <a16:creationId xmlns:a16="http://schemas.microsoft.com/office/drawing/2014/main" id="{DE3F00B5-643B-979A-0C1A-3032F6E6F02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705350" y="34594800"/>
          <a:ext cx="1145625" cy="3486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1362075</xdr:colOff>
      <xdr:row>208</xdr:row>
      <xdr:rowOff>114300</xdr:rowOff>
    </xdr:from>
    <xdr:to>
      <xdr:col>4</xdr:col>
      <xdr:colOff>387473</xdr:colOff>
      <xdr:row>217</xdr:row>
      <xdr:rowOff>102645</xdr:rowOff>
    </xdr:to>
    <xdr:pic>
      <xdr:nvPicPr>
        <xdr:cNvPr id="11" name="Imagem 10">
          <a:extLst>
            <a:ext uri="{FF2B5EF4-FFF2-40B4-BE49-F238E27FC236}">
              <a16:creationId xmlns:a16="http://schemas.microsoft.com/office/drawing/2014/main" id="{441DC107-E34E-4F6F-B87E-7A9E150EE1C8}"/>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362075" y="28514040"/>
          <a:ext cx="5723378" cy="1634265"/>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FF74DFBC-F996-4D86-8143-925EEA0D29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F8356C2B-BB36-49D5-A647-C17FE8DACE97}"/>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E72043F1-2B51-46E5-986F-8A0A1F3EABA9}"/>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ACFE66F1-96C7-4680-9011-FF11D2F44E10}"/>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 name="Imagem 1">
          <a:extLst>
            <a:ext uri="{FF2B5EF4-FFF2-40B4-BE49-F238E27FC236}">
              <a16:creationId xmlns:a16="http://schemas.microsoft.com/office/drawing/2014/main" id="{F6C3415F-2A60-4B03-87E3-F658B31B967A}"/>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7" name="Imagem 1">
          <a:extLst>
            <a:ext uri="{FF2B5EF4-FFF2-40B4-BE49-F238E27FC236}">
              <a16:creationId xmlns:a16="http://schemas.microsoft.com/office/drawing/2014/main" id="{62906406-1BE0-4EE0-B289-27970434393A}"/>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BCD59801-6ED3-4D92-9F26-7345A2FE2585}"/>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356B93FA-D34B-4FA7-8306-F750A6776DF6}"/>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0</xdr:col>
      <xdr:colOff>255506</xdr:colOff>
      <xdr:row>11</xdr:row>
      <xdr:rowOff>179852</xdr:rowOff>
    </xdr:from>
    <xdr:to>
      <xdr:col>2</xdr:col>
      <xdr:colOff>1237501</xdr:colOff>
      <xdr:row>29</xdr:row>
      <xdr:rowOff>132521</xdr:rowOff>
    </xdr:to>
    <xdr:pic>
      <xdr:nvPicPr>
        <xdr:cNvPr id="10" name="Imagem 9">
          <a:extLst>
            <a:ext uri="{FF2B5EF4-FFF2-40B4-BE49-F238E27FC236}">
              <a16:creationId xmlns:a16="http://schemas.microsoft.com/office/drawing/2014/main" id="{92EC4983-8170-3A0B-EB3C-AE995AD53E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5506" y="2240565"/>
          <a:ext cx="4367925" cy="329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1122218</xdr:colOff>
      <xdr:row>52</xdr:row>
      <xdr:rowOff>119645</xdr:rowOff>
    </xdr:from>
    <xdr:to>
      <xdr:col>4</xdr:col>
      <xdr:colOff>706582</xdr:colOff>
      <xdr:row>69</xdr:row>
      <xdr:rowOff>10663</xdr:rowOff>
    </xdr:to>
    <xdr:pic>
      <xdr:nvPicPr>
        <xdr:cNvPr id="11" name="Imagem 10">
          <a:extLst>
            <a:ext uri="{FF2B5EF4-FFF2-40B4-BE49-F238E27FC236}">
              <a16:creationId xmlns:a16="http://schemas.microsoft.com/office/drawing/2014/main" id="{4D57B0D9-65E5-6640-672E-2EB75F30B4C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22218" y="10094918"/>
          <a:ext cx="6283037" cy="2952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331619</xdr:colOff>
      <xdr:row>82</xdr:row>
      <xdr:rowOff>10886</xdr:rowOff>
    </xdr:from>
    <xdr:to>
      <xdr:col>2</xdr:col>
      <xdr:colOff>659967</xdr:colOff>
      <xdr:row>99</xdr:row>
      <xdr:rowOff>21772</xdr:rowOff>
    </xdr:to>
    <xdr:pic>
      <xdr:nvPicPr>
        <xdr:cNvPr id="15" name="Imagem 14">
          <a:extLst>
            <a:ext uri="{FF2B5EF4-FFF2-40B4-BE49-F238E27FC236}">
              <a16:creationId xmlns:a16="http://schemas.microsoft.com/office/drawing/2014/main" id="{EAFA56ED-9D19-C76C-A170-60E1F4ED236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1619" y="15566572"/>
          <a:ext cx="3713805" cy="31568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15240</xdr:colOff>
      <xdr:row>79</xdr:row>
      <xdr:rowOff>140970</xdr:rowOff>
    </xdr:from>
    <xdr:to>
      <xdr:col>4</xdr:col>
      <xdr:colOff>1372950</xdr:colOff>
      <xdr:row>89</xdr:row>
      <xdr:rowOff>158116</xdr:rowOff>
    </xdr:to>
    <xdr:pic>
      <xdr:nvPicPr>
        <xdr:cNvPr id="16" name="Imagem 15">
          <a:extLst>
            <a:ext uri="{FF2B5EF4-FFF2-40B4-BE49-F238E27FC236}">
              <a16:creationId xmlns:a16="http://schemas.microsoft.com/office/drawing/2014/main" id="{9207A22B-6AFF-D757-FF52-9A62045A60A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693920" y="15228570"/>
          <a:ext cx="3384630" cy="18459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1251857</xdr:colOff>
      <xdr:row>91</xdr:row>
      <xdr:rowOff>106679</xdr:rowOff>
    </xdr:from>
    <xdr:to>
      <xdr:col>4</xdr:col>
      <xdr:colOff>1369143</xdr:colOff>
      <xdr:row>101</xdr:row>
      <xdr:rowOff>25553</xdr:rowOff>
    </xdr:to>
    <xdr:pic>
      <xdr:nvPicPr>
        <xdr:cNvPr id="17" name="Imagem 16">
          <a:extLst>
            <a:ext uri="{FF2B5EF4-FFF2-40B4-BE49-F238E27FC236}">
              <a16:creationId xmlns:a16="http://schemas.microsoft.com/office/drawing/2014/main" id="{8C4839C1-0242-4C2A-9990-EDA1C9C204C6}"/>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642757" y="16994504"/>
          <a:ext cx="3422461" cy="17286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558801</xdr:colOff>
      <xdr:row>114</xdr:row>
      <xdr:rowOff>76200</xdr:rowOff>
    </xdr:from>
    <xdr:to>
      <xdr:col>2</xdr:col>
      <xdr:colOff>691511</xdr:colOff>
      <xdr:row>133</xdr:row>
      <xdr:rowOff>114299</xdr:rowOff>
    </xdr:to>
    <xdr:pic>
      <xdr:nvPicPr>
        <xdr:cNvPr id="21" name="Imagem 20">
          <a:extLst>
            <a:ext uri="{FF2B5EF4-FFF2-40B4-BE49-F238E27FC236}">
              <a16:creationId xmlns:a16="http://schemas.microsoft.com/office/drawing/2014/main" id="{74D8A7F7-05B2-E4D3-3D58-81DA185CF1D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58801" y="20662900"/>
          <a:ext cx="3523610" cy="341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1130300</xdr:colOff>
      <xdr:row>114</xdr:row>
      <xdr:rowOff>132768</xdr:rowOff>
    </xdr:from>
    <xdr:to>
      <xdr:col>4</xdr:col>
      <xdr:colOff>1511300</xdr:colOff>
      <xdr:row>133</xdr:row>
      <xdr:rowOff>152399</xdr:rowOff>
    </xdr:to>
    <xdr:pic>
      <xdr:nvPicPr>
        <xdr:cNvPr id="22" name="Imagem 21">
          <a:extLst>
            <a:ext uri="{FF2B5EF4-FFF2-40B4-BE49-F238E27FC236}">
              <a16:creationId xmlns:a16="http://schemas.microsoft.com/office/drawing/2014/main" id="{8785C454-3B5D-8810-768D-26A3A1746ADA}"/>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4521200" y="20719468"/>
          <a:ext cx="3695700" cy="33978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606688</xdr:colOff>
      <xdr:row>150</xdr:row>
      <xdr:rowOff>80462</xdr:rowOff>
    </xdr:from>
    <xdr:ext cx="4460035" cy="3277771"/>
    <xdr:pic>
      <xdr:nvPicPr>
        <xdr:cNvPr id="12" name="Imagem 11">
          <a:extLst>
            <a:ext uri="{FF2B5EF4-FFF2-40B4-BE49-F238E27FC236}">
              <a16:creationId xmlns:a16="http://schemas.microsoft.com/office/drawing/2014/main" id="{D5CF08AE-82BC-49B8-9BB2-5E92C92434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6688" y="2099762"/>
          <a:ext cx="4460035" cy="32777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1193800</xdr:colOff>
      <xdr:row>150</xdr:row>
      <xdr:rowOff>38100</xdr:rowOff>
    </xdr:from>
    <xdr:ext cx="1955165" cy="3387090"/>
    <xdr:pic>
      <xdr:nvPicPr>
        <xdr:cNvPr id="13" name="Imagem 12">
          <a:extLst>
            <a:ext uri="{FF2B5EF4-FFF2-40B4-BE49-F238E27FC236}">
              <a16:creationId xmlns:a16="http://schemas.microsoft.com/office/drawing/2014/main" id="{113FBF39-77E6-4FBD-9C36-2A803FE7CF23}"/>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861050" y="2057400"/>
          <a:ext cx="1955165" cy="3387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331619</xdr:colOff>
      <xdr:row>188</xdr:row>
      <xdr:rowOff>10886</xdr:rowOff>
    </xdr:from>
    <xdr:ext cx="3719248" cy="3087461"/>
    <xdr:pic>
      <xdr:nvPicPr>
        <xdr:cNvPr id="14" name="Imagem 13">
          <a:extLst>
            <a:ext uri="{FF2B5EF4-FFF2-40B4-BE49-F238E27FC236}">
              <a16:creationId xmlns:a16="http://schemas.microsoft.com/office/drawing/2014/main" id="{678A79AC-0012-4FA2-89C3-A90B69DEDEE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31619" y="15660461"/>
          <a:ext cx="3719248" cy="308746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15240</xdr:colOff>
      <xdr:row>186</xdr:row>
      <xdr:rowOff>95250</xdr:rowOff>
    </xdr:from>
    <xdr:ext cx="3386535" cy="1826895"/>
    <xdr:pic>
      <xdr:nvPicPr>
        <xdr:cNvPr id="18" name="Imagem 17">
          <a:extLst>
            <a:ext uri="{FF2B5EF4-FFF2-40B4-BE49-F238E27FC236}">
              <a16:creationId xmlns:a16="http://schemas.microsoft.com/office/drawing/2014/main" id="{179C6F5E-039A-4721-B62F-7D023A4FEC6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686300" y="35421570"/>
          <a:ext cx="3386535" cy="182689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1251857</xdr:colOff>
      <xdr:row>197</xdr:row>
      <xdr:rowOff>106679</xdr:rowOff>
    </xdr:from>
    <xdr:ext cx="3422461" cy="1728624"/>
    <xdr:pic>
      <xdr:nvPicPr>
        <xdr:cNvPr id="19" name="Imagem 18">
          <a:extLst>
            <a:ext uri="{FF2B5EF4-FFF2-40B4-BE49-F238E27FC236}">
              <a16:creationId xmlns:a16="http://schemas.microsoft.com/office/drawing/2014/main" id="{E22747D4-81EE-4648-87CE-E781E11730B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642757" y="17385029"/>
          <a:ext cx="3422461" cy="172862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0</xdr:col>
      <xdr:colOff>1362075</xdr:colOff>
      <xdr:row>220</xdr:row>
      <xdr:rowOff>114300</xdr:rowOff>
    </xdr:from>
    <xdr:to>
      <xdr:col>4</xdr:col>
      <xdr:colOff>387473</xdr:colOff>
      <xdr:row>229</xdr:row>
      <xdr:rowOff>102644</xdr:rowOff>
    </xdr:to>
    <xdr:pic>
      <xdr:nvPicPr>
        <xdr:cNvPr id="20" name="Imagem 19">
          <a:extLst>
            <a:ext uri="{FF2B5EF4-FFF2-40B4-BE49-F238E27FC236}">
              <a16:creationId xmlns:a16="http://schemas.microsoft.com/office/drawing/2014/main" id="{C4680ABC-0534-423A-B241-F8FAEF46F32A}"/>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1362075" y="8282940"/>
          <a:ext cx="5723378" cy="1634265"/>
        </a:xfrm>
        <a:prstGeom prst="rect">
          <a:avLst/>
        </a:prstGeom>
      </xdr:spPr>
    </xdr:pic>
    <xdr:clientData/>
  </xdr:twoCellAnchor>
  <xdr:twoCellAnchor editAs="oneCell">
    <xdr:from>
      <xdr:col>3</xdr:col>
      <xdr:colOff>337931</xdr:colOff>
      <xdr:row>23</xdr:row>
      <xdr:rowOff>184453</xdr:rowOff>
    </xdr:from>
    <xdr:to>
      <xdr:col>3</xdr:col>
      <xdr:colOff>1305588</xdr:colOff>
      <xdr:row>29</xdr:row>
      <xdr:rowOff>106017</xdr:rowOff>
    </xdr:to>
    <xdr:pic>
      <xdr:nvPicPr>
        <xdr:cNvPr id="27" name="Imagem 26">
          <a:extLst>
            <a:ext uri="{FF2B5EF4-FFF2-40B4-BE49-F238E27FC236}">
              <a16:creationId xmlns:a16="http://schemas.microsoft.com/office/drawing/2014/main" id="{7755B547-9525-ED48-5AE1-0EE358261CF7}"/>
            </a:ext>
          </a:extLst>
        </xdr:cNvPr>
        <xdr:cNvPicPr>
          <a:picLocks noChangeAspect="1"/>
        </xdr:cNvPicPr>
      </xdr:nvPicPr>
      <xdr:blipFill>
        <a:blip xmlns:r="http://schemas.openxmlformats.org/officeDocument/2006/relationships" r:embed="rId11"/>
        <a:stretch>
          <a:fillRect/>
        </a:stretch>
      </xdr:blipFill>
      <xdr:spPr>
        <a:xfrm>
          <a:off x="5002696" y="4471531"/>
          <a:ext cx="967657" cy="1034747"/>
        </a:xfrm>
        <a:prstGeom prst="rect">
          <a:avLst/>
        </a:prstGeom>
      </xdr:spPr>
    </xdr:pic>
    <xdr:clientData/>
  </xdr:twoCellAnchor>
  <xdr:twoCellAnchor editAs="oneCell">
    <xdr:from>
      <xdr:col>3</xdr:col>
      <xdr:colOff>377688</xdr:colOff>
      <xdr:row>12</xdr:row>
      <xdr:rowOff>44866</xdr:rowOff>
    </xdr:from>
    <xdr:to>
      <xdr:col>3</xdr:col>
      <xdr:colOff>1279232</xdr:colOff>
      <xdr:row>20</xdr:row>
      <xdr:rowOff>46383</xdr:rowOff>
    </xdr:to>
    <xdr:pic>
      <xdr:nvPicPr>
        <xdr:cNvPr id="29" name="Imagem 28">
          <a:extLst>
            <a:ext uri="{FF2B5EF4-FFF2-40B4-BE49-F238E27FC236}">
              <a16:creationId xmlns:a16="http://schemas.microsoft.com/office/drawing/2014/main" id="{3F4B7034-482A-49CD-5E42-0D55ACC24121}"/>
            </a:ext>
          </a:extLst>
        </xdr:cNvPr>
        <xdr:cNvPicPr>
          <a:picLocks noChangeAspect="1"/>
        </xdr:cNvPicPr>
      </xdr:nvPicPr>
      <xdr:blipFill>
        <a:blip xmlns:r="http://schemas.openxmlformats.org/officeDocument/2006/relationships" r:embed="rId12"/>
        <a:stretch>
          <a:fillRect/>
        </a:stretch>
      </xdr:blipFill>
      <xdr:spPr>
        <a:xfrm>
          <a:off x="5042453" y="2291109"/>
          <a:ext cx="901544" cy="1485761"/>
        </a:xfrm>
        <a:prstGeom prst="rect">
          <a:avLst/>
        </a:prstGeom>
      </xdr:spPr>
    </xdr:pic>
    <xdr:clientData/>
  </xdr:twoCellAnchor>
  <xdr:twoCellAnchor editAs="oneCell">
    <xdr:from>
      <xdr:col>3</xdr:col>
      <xdr:colOff>1964758</xdr:colOff>
      <xdr:row>11</xdr:row>
      <xdr:rowOff>26506</xdr:rowOff>
    </xdr:from>
    <xdr:to>
      <xdr:col>4</xdr:col>
      <xdr:colOff>1198872</xdr:colOff>
      <xdr:row>20</xdr:row>
      <xdr:rowOff>59636</xdr:rowOff>
    </xdr:to>
    <xdr:pic>
      <xdr:nvPicPr>
        <xdr:cNvPr id="30" name="Imagem 29">
          <a:extLst>
            <a:ext uri="{FF2B5EF4-FFF2-40B4-BE49-F238E27FC236}">
              <a16:creationId xmlns:a16="http://schemas.microsoft.com/office/drawing/2014/main" id="{9D6BDB1A-BED4-B5FC-2729-880A3E58AF6F}"/>
            </a:ext>
          </a:extLst>
        </xdr:cNvPr>
        <xdr:cNvPicPr>
          <a:picLocks noChangeAspect="1"/>
        </xdr:cNvPicPr>
      </xdr:nvPicPr>
      <xdr:blipFill>
        <a:blip xmlns:r="http://schemas.openxmlformats.org/officeDocument/2006/relationships" r:embed="rId13"/>
        <a:stretch>
          <a:fillRect/>
        </a:stretch>
      </xdr:blipFill>
      <xdr:spPr>
        <a:xfrm>
          <a:off x="6629523" y="2087219"/>
          <a:ext cx="1261697" cy="1702904"/>
        </a:xfrm>
        <a:prstGeom prst="rect">
          <a:avLst/>
        </a:prstGeom>
      </xdr:spPr>
    </xdr:pic>
    <xdr:clientData/>
  </xdr:twoCellAnchor>
  <xdr:twoCellAnchor editAs="oneCell">
    <xdr:from>
      <xdr:col>4</xdr:col>
      <xdr:colOff>25145</xdr:colOff>
      <xdr:row>24</xdr:row>
      <xdr:rowOff>66260</xdr:rowOff>
    </xdr:from>
    <xdr:to>
      <xdr:col>4</xdr:col>
      <xdr:colOff>1031323</xdr:colOff>
      <xdr:row>30</xdr:row>
      <xdr:rowOff>54670</xdr:rowOff>
    </xdr:to>
    <xdr:pic>
      <xdr:nvPicPr>
        <xdr:cNvPr id="31" name="Imagem 30">
          <a:extLst>
            <a:ext uri="{FF2B5EF4-FFF2-40B4-BE49-F238E27FC236}">
              <a16:creationId xmlns:a16="http://schemas.microsoft.com/office/drawing/2014/main" id="{7E2E61F8-D546-E3B3-ECD8-D6D6BE87D1DA}"/>
            </a:ext>
          </a:extLst>
        </xdr:cNvPr>
        <xdr:cNvPicPr>
          <a:picLocks noChangeAspect="1"/>
        </xdr:cNvPicPr>
      </xdr:nvPicPr>
      <xdr:blipFill>
        <a:blip xmlns:r="http://schemas.openxmlformats.org/officeDocument/2006/relationships" r:embed="rId14"/>
        <a:stretch>
          <a:fillRect/>
        </a:stretch>
      </xdr:blipFill>
      <xdr:spPr>
        <a:xfrm>
          <a:off x="6717493" y="4538869"/>
          <a:ext cx="1006178" cy="110159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3</xdr:col>
      <xdr:colOff>440055</xdr:colOff>
      <xdr:row>2</xdr:row>
      <xdr:rowOff>173355</xdr:rowOff>
    </xdr:from>
    <xdr:to>
      <xdr:col>3</xdr:col>
      <xdr:colOff>1959780</xdr:colOff>
      <xdr:row>7</xdr:row>
      <xdr:rowOff>50370</xdr:rowOff>
    </xdr:to>
    <xdr:pic>
      <xdr:nvPicPr>
        <xdr:cNvPr id="2" name="Imagem 1">
          <a:extLst>
            <a:ext uri="{FF2B5EF4-FFF2-40B4-BE49-F238E27FC236}">
              <a16:creationId xmlns:a16="http://schemas.microsoft.com/office/drawing/2014/main" id="{9EDE0F35-E814-48CE-BD0E-BF1C019F3F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11115" y="546735"/>
          <a:ext cx="1519725" cy="799035"/>
        </a:xfrm>
        <a:prstGeom prst="rect">
          <a:avLst/>
        </a:prstGeom>
      </xdr:spPr>
    </xdr:pic>
    <xdr:clientData/>
  </xdr:twoCellAnchor>
  <xdr:twoCellAnchor editAs="oneCell">
    <xdr:from>
      <xdr:col>0</xdr:col>
      <xdr:colOff>1695354</xdr:colOff>
      <xdr:row>10</xdr:row>
      <xdr:rowOff>129540</xdr:rowOff>
    </xdr:from>
    <xdr:to>
      <xdr:col>3</xdr:col>
      <xdr:colOff>1739941</xdr:colOff>
      <xdr:row>31</xdr:row>
      <xdr:rowOff>45720</xdr:rowOff>
    </xdr:to>
    <xdr:pic>
      <xdr:nvPicPr>
        <xdr:cNvPr id="13" name="Imagem 12">
          <a:extLst>
            <a:ext uri="{FF2B5EF4-FFF2-40B4-BE49-F238E27FC236}">
              <a16:creationId xmlns:a16="http://schemas.microsoft.com/office/drawing/2014/main" id="{71F4E538-C2C1-44D0-5900-11333398BCE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95354" y="1981200"/>
          <a:ext cx="4715647" cy="3756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731521</xdr:colOff>
      <xdr:row>41</xdr:row>
      <xdr:rowOff>15240</xdr:rowOff>
    </xdr:from>
    <xdr:to>
      <xdr:col>3</xdr:col>
      <xdr:colOff>1013461</xdr:colOff>
      <xdr:row>61</xdr:row>
      <xdr:rowOff>2514</xdr:rowOff>
    </xdr:to>
    <xdr:pic>
      <xdr:nvPicPr>
        <xdr:cNvPr id="15" name="Imagem 14">
          <a:extLst>
            <a:ext uri="{FF2B5EF4-FFF2-40B4-BE49-F238E27FC236}">
              <a16:creationId xmlns:a16="http://schemas.microsoft.com/office/drawing/2014/main" id="{8EB56DC7-DE41-CF96-B464-2FC6A9E28B8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87981" y="7955280"/>
          <a:ext cx="2796540" cy="3644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1744980</xdr:colOff>
      <xdr:row>70</xdr:row>
      <xdr:rowOff>63700</xdr:rowOff>
    </xdr:from>
    <xdr:to>
      <xdr:col>4</xdr:col>
      <xdr:colOff>175260</xdr:colOff>
      <xdr:row>81</xdr:row>
      <xdr:rowOff>140173</xdr:rowOff>
    </xdr:to>
    <xdr:pic>
      <xdr:nvPicPr>
        <xdr:cNvPr id="18" name="Imagem 17">
          <a:extLst>
            <a:ext uri="{FF2B5EF4-FFF2-40B4-BE49-F238E27FC236}">
              <a16:creationId xmlns:a16="http://schemas.microsoft.com/office/drawing/2014/main" id="{56B02DB1-0F29-95E5-953C-31F7E40EB91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744980" y="13307260"/>
          <a:ext cx="5532120" cy="20881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1461205</xdr:colOff>
      <xdr:row>82</xdr:row>
      <xdr:rowOff>68580</xdr:rowOff>
    </xdr:from>
    <xdr:to>
      <xdr:col>2</xdr:col>
      <xdr:colOff>967741</xdr:colOff>
      <xdr:row>91</xdr:row>
      <xdr:rowOff>83534</xdr:rowOff>
    </xdr:to>
    <xdr:pic>
      <xdr:nvPicPr>
        <xdr:cNvPr id="19" name="Imagem 18">
          <a:extLst>
            <a:ext uri="{FF2B5EF4-FFF2-40B4-BE49-F238E27FC236}">
              <a16:creationId xmlns:a16="http://schemas.microsoft.com/office/drawing/2014/main" id="{2FAB6589-0D54-8B4E-C035-859F2582EBD8}"/>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461205" y="15506700"/>
          <a:ext cx="2897436" cy="1660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82</xdr:row>
      <xdr:rowOff>126538</xdr:rowOff>
    </xdr:from>
    <xdr:to>
      <xdr:col>3</xdr:col>
      <xdr:colOff>1744998</xdr:colOff>
      <xdr:row>91</xdr:row>
      <xdr:rowOff>0</xdr:rowOff>
    </xdr:to>
    <xdr:pic>
      <xdr:nvPicPr>
        <xdr:cNvPr id="20" name="Imagem 19">
          <a:extLst>
            <a:ext uri="{FF2B5EF4-FFF2-40B4-BE49-F238E27FC236}">
              <a16:creationId xmlns:a16="http://schemas.microsoft.com/office/drawing/2014/main" id="{6789DE13-0887-E853-1A17-F7D2A8905409}"/>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671060" y="15564658"/>
          <a:ext cx="1744998" cy="15193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2240280</xdr:colOff>
      <xdr:row>16</xdr:row>
      <xdr:rowOff>99060</xdr:rowOff>
    </xdr:from>
    <xdr:to>
      <xdr:col>4</xdr:col>
      <xdr:colOff>1143000</xdr:colOff>
      <xdr:row>24</xdr:row>
      <xdr:rowOff>59217</xdr:rowOff>
    </xdr:to>
    <xdr:pic>
      <xdr:nvPicPr>
        <xdr:cNvPr id="21" name="Imagem 20">
          <a:extLst>
            <a:ext uri="{FF2B5EF4-FFF2-40B4-BE49-F238E27FC236}">
              <a16:creationId xmlns:a16="http://schemas.microsoft.com/office/drawing/2014/main" id="{11EB546C-1E72-2E3F-2BAB-C568FDDA2564}"/>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911340" y="3048000"/>
          <a:ext cx="1333500" cy="14231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2042160</xdr:colOff>
      <xdr:row>83</xdr:row>
      <xdr:rowOff>30480</xdr:rowOff>
    </xdr:from>
    <xdr:to>
      <xdr:col>4</xdr:col>
      <xdr:colOff>944880</xdr:colOff>
      <xdr:row>90</xdr:row>
      <xdr:rowOff>173517</xdr:rowOff>
    </xdr:to>
    <xdr:pic>
      <xdr:nvPicPr>
        <xdr:cNvPr id="22" name="Imagem 21">
          <a:extLst>
            <a:ext uri="{FF2B5EF4-FFF2-40B4-BE49-F238E27FC236}">
              <a16:creationId xmlns:a16="http://schemas.microsoft.com/office/drawing/2014/main" id="{BE0DC527-D98B-44E7-8095-F9D9378134EF}"/>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713220" y="15651480"/>
          <a:ext cx="1333500" cy="14231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331173</xdr:colOff>
      <xdr:row>107</xdr:row>
      <xdr:rowOff>38100</xdr:rowOff>
    </xdr:from>
    <xdr:to>
      <xdr:col>4</xdr:col>
      <xdr:colOff>1562100</xdr:colOff>
      <xdr:row>126</xdr:row>
      <xdr:rowOff>90111</xdr:rowOff>
    </xdr:to>
    <xdr:pic>
      <xdr:nvPicPr>
        <xdr:cNvPr id="27" name="Imagem 26">
          <a:extLst>
            <a:ext uri="{FF2B5EF4-FFF2-40B4-BE49-F238E27FC236}">
              <a16:creationId xmlns:a16="http://schemas.microsoft.com/office/drawing/2014/main" id="{8074AFCF-1AA1-8DBD-8EDB-24E928AE1DCC}"/>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31173" y="20048220"/>
          <a:ext cx="8332767" cy="35267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731521</xdr:colOff>
      <xdr:row>150</xdr:row>
      <xdr:rowOff>15240</xdr:rowOff>
    </xdr:from>
    <xdr:ext cx="2796540" cy="3644874"/>
    <xdr:pic>
      <xdr:nvPicPr>
        <xdr:cNvPr id="3" name="Imagem 2">
          <a:extLst>
            <a:ext uri="{FF2B5EF4-FFF2-40B4-BE49-F238E27FC236}">
              <a16:creationId xmlns:a16="http://schemas.microsoft.com/office/drawing/2014/main" id="{BBA12114-04EB-4A18-9C5C-E0D48B20C6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87981" y="7955280"/>
          <a:ext cx="2796540" cy="364487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0</xdr:col>
      <xdr:colOff>1866901</xdr:colOff>
      <xdr:row>183</xdr:row>
      <xdr:rowOff>68581</xdr:rowOff>
    </xdr:from>
    <xdr:to>
      <xdr:col>3</xdr:col>
      <xdr:colOff>1709058</xdr:colOff>
      <xdr:row>193</xdr:row>
      <xdr:rowOff>151608</xdr:rowOff>
    </xdr:to>
    <xdr:pic>
      <xdr:nvPicPr>
        <xdr:cNvPr id="5" name="Imagem 4">
          <a:extLst>
            <a:ext uri="{FF2B5EF4-FFF2-40B4-BE49-F238E27FC236}">
              <a16:creationId xmlns:a16="http://schemas.microsoft.com/office/drawing/2014/main" id="{175F5591-4795-40CE-AF76-919FAEBCB3EE}"/>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866901" y="34391238"/>
          <a:ext cx="4512128" cy="19335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219529</xdr:colOff>
      <xdr:row>195</xdr:row>
      <xdr:rowOff>123825</xdr:rowOff>
    </xdr:from>
    <xdr:to>
      <xdr:col>1</xdr:col>
      <xdr:colOff>1132115</xdr:colOff>
      <xdr:row>203</xdr:row>
      <xdr:rowOff>119320</xdr:rowOff>
    </xdr:to>
    <xdr:pic>
      <xdr:nvPicPr>
        <xdr:cNvPr id="6" name="Imagem 5">
          <a:extLst>
            <a:ext uri="{FF2B5EF4-FFF2-40B4-BE49-F238E27FC236}">
              <a16:creationId xmlns:a16="http://schemas.microsoft.com/office/drawing/2014/main" id="{1F4DDB6E-A520-B6D8-A36D-60804794BB5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219529" y="36667168"/>
          <a:ext cx="3067957" cy="14759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238277</xdr:colOff>
      <xdr:row>195</xdr:row>
      <xdr:rowOff>125120</xdr:rowOff>
    </xdr:from>
    <xdr:to>
      <xdr:col>3</xdr:col>
      <xdr:colOff>1719943</xdr:colOff>
      <xdr:row>203</xdr:row>
      <xdr:rowOff>144569</xdr:rowOff>
    </xdr:to>
    <xdr:pic>
      <xdr:nvPicPr>
        <xdr:cNvPr id="7" name="Imagem 6">
          <a:extLst>
            <a:ext uri="{FF2B5EF4-FFF2-40B4-BE49-F238E27FC236}">
              <a16:creationId xmlns:a16="http://schemas.microsoft.com/office/drawing/2014/main" id="{B0B3E908-3680-1668-DBAB-2A78A6DB169A}"/>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623734" y="36668463"/>
          <a:ext cx="2766180" cy="14999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2220686</xdr:colOff>
      <xdr:row>195</xdr:row>
      <xdr:rowOff>139022</xdr:rowOff>
    </xdr:from>
    <xdr:to>
      <xdr:col>4</xdr:col>
      <xdr:colOff>1510599</xdr:colOff>
      <xdr:row>203</xdr:row>
      <xdr:rowOff>141514</xdr:rowOff>
    </xdr:to>
    <xdr:pic>
      <xdr:nvPicPr>
        <xdr:cNvPr id="8" name="Imagem 7">
          <a:extLst>
            <a:ext uri="{FF2B5EF4-FFF2-40B4-BE49-F238E27FC236}">
              <a16:creationId xmlns:a16="http://schemas.microsoft.com/office/drawing/2014/main" id="{1719466F-594C-E0F3-1179-B34E32F3427B}"/>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890657" y="36682365"/>
          <a:ext cx="1717428" cy="14829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911013</xdr:colOff>
      <xdr:row>227</xdr:row>
      <xdr:rowOff>167641</xdr:rowOff>
    </xdr:from>
    <xdr:to>
      <xdr:col>4</xdr:col>
      <xdr:colOff>771676</xdr:colOff>
      <xdr:row>234</xdr:row>
      <xdr:rowOff>124446</xdr:rowOff>
    </xdr:to>
    <xdr:pic>
      <xdr:nvPicPr>
        <xdr:cNvPr id="9" name="Imagem 8">
          <a:extLst>
            <a:ext uri="{FF2B5EF4-FFF2-40B4-BE49-F238E27FC236}">
              <a16:creationId xmlns:a16="http://schemas.microsoft.com/office/drawing/2014/main" id="{C562E09E-09A2-C5EE-FC82-FB65504F6FE1}"/>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911013" y="42632812"/>
          <a:ext cx="6958149" cy="12522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1485901</xdr:colOff>
      <xdr:row>236</xdr:row>
      <xdr:rowOff>97973</xdr:rowOff>
    </xdr:from>
    <xdr:to>
      <xdr:col>4</xdr:col>
      <xdr:colOff>304800</xdr:colOff>
      <xdr:row>246</xdr:row>
      <xdr:rowOff>139066</xdr:rowOff>
    </xdr:to>
    <xdr:pic>
      <xdr:nvPicPr>
        <xdr:cNvPr id="10" name="Imagem 9">
          <a:extLst>
            <a:ext uri="{FF2B5EF4-FFF2-40B4-BE49-F238E27FC236}">
              <a16:creationId xmlns:a16="http://schemas.microsoft.com/office/drawing/2014/main" id="{549BD0A4-D1EE-D9E5-4765-979D15268EC6}"/>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485901" y="44228659"/>
          <a:ext cx="5916385" cy="1891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1712525</xdr:colOff>
      <xdr:row>267</xdr:row>
      <xdr:rowOff>28575</xdr:rowOff>
    </xdr:from>
    <xdr:to>
      <xdr:col>4</xdr:col>
      <xdr:colOff>142805</xdr:colOff>
      <xdr:row>278</xdr:row>
      <xdr:rowOff>105048</xdr:rowOff>
    </xdr:to>
    <xdr:pic>
      <xdr:nvPicPr>
        <xdr:cNvPr id="14" name="Imagem 13">
          <a:extLst>
            <a:ext uri="{FF2B5EF4-FFF2-40B4-BE49-F238E27FC236}">
              <a16:creationId xmlns:a16="http://schemas.microsoft.com/office/drawing/2014/main" id="{D1CD6F7F-4D99-4904-9440-9B3994DF837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712525" y="48806100"/>
          <a:ext cx="5526405" cy="20671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857250</xdr:colOff>
      <xdr:row>278</xdr:row>
      <xdr:rowOff>157280</xdr:rowOff>
    </xdr:from>
    <xdr:to>
      <xdr:col>3</xdr:col>
      <xdr:colOff>1240086</xdr:colOff>
      <xdr:row>287</xdr:row>
      <xdr:rowOff>172234</xdr:rowOff>
    </xdr:to>
    <xdr:pic>
      <xdr:nvPicPr>
        <xdr:cNvPr id="16" name="Imagem 15">
          <a:extLst>
            <a:ext uri="{FF2B5EF4-FFF2-40B4-BE49-F238E27FC236}">
              <a16:creationId xmlns:a16="http://schemas.microsoft.com/office/drawing/2014/main" id="{DFBE6FF7-338E-4E93-9F03-13724612C6A8}"/>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09900" y="50925530"/>
          <a:ext cx="2897436" cy="16437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1646467</xdr:colOff>
      <xdr:row>301</xdr:row>
      <xdr:rowOff>149680</xdr:rowOff>
    </xdr:from>
    <xdr:to>
      <xdr:col>3</xdr:col>
      <xdr:colOff>359229</xdr:colOff>
      <xdr:row>311</xdr:row>
      <xdr:rowOff>133585</xdr:rowOff>
    </xdr:to>
    <xdr:pic>
      <xdr:nvPicPr>
        <xdr:cNvPr id="24" name="Imagem 23">
          <a:extLst>
            <a:ext uri="{FF2B5EF4-FFF2-40B4-BE49-F238E27FC236}">
              <a16:creationId xmlns:a16="http://schemas.microsoft.com/office/drawing/2014/main" id="{A02501B2-6574-8279-5522-0149621D2C25}"/>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1646467" y="55080355"/>
          <a:ext cx="3380012" cy="17936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834117</xdr:colOff>
      <xdr:row>313</xdr:row>
      <xdr:rowOff>6803</xdr:rowOff>
    </xdr:from>
    <xdr:to>
      <xdr:col>1</xdr:col>
      <xdr:colOff>542997</xdr:colOff>
      <xdr:row>321</xdr:row>
      <xdr:rowOff>176892</xdr:rowOff>
    </xdr:to>
    <xdr:pic>
      <xdr:nvPicPr>
        <xdr:cNvPr id="25" name="Imagem 24">
          <a:extLst>
            <a:ext uri="{FF2B5EF4-FFF2-40B4-BE49-F238E27FC236}">
              <a16:creationId xmlns:a16="http://schemas.microsoft.com/office/drawing/2014/main" id="{F5839464-9D0F-0AFF-8CD8-60C3A036D008}"/>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834117" y="57109178"/>
          <a:ext cx="1861530" cy="16178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1417320</xdr:colOff>
      <xdr:row>304</xdr:row>
      <xdr:rowOff>60960</xdr:rowOff>
    </xdr:from>
    <xdr:to>
      <xdr:col>4</xdr:col>
      <xdr:colOff>932793</xdr:colOff>
      <xdr:row>319</xdr:row>
      <xdr:rowOff>0</xdr:rowOff>
    </xdr:to>
    <xdr:pic>
      <xdr:nvPicPr>
        <xdr:cNvPr id="26" name="Imagem 25">
          <a:extLst>
            <a:ext uri="{FF2B5EF4-FFF2-40B4-BE49-F238E27FC236}">
              <a16:creationId xmlns:a16="http://schemas.microsoft.com/office/drawing/2014/main" id="{61BB6EEE-A6B3-71A0-838C-646ADAD369BA}"/>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6084570" y="55534560"/>
          <a:ext cx="1944348" cy="2653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922020</xdr:colOff>
      <xdr:row>313</xdr:row>
      <xdr:rowOff>139065</xdr:rowOff>
    </xdr:from>
    <xdr:to>
      <xdr:col>3</xdr:col>
      <xdr:colOff>425450</xdr:colOff>
      <xdr:row>321</xdr:row>
      <xdr:rowOff>19050</xdr:rowOff>
    </xdr:to>
    <xdr:pic>
      <xdr:nvPicPr>
        <xdr:cNvPr id="28" name="Imagem 27">
          <a:extLst>
            <a:ext uri="{FF2B5EF4-FFF2-40B4-BE49-F238E27FC236}">
              <a16:creationId xmlns:a16="http://schemas.microsoft.com/office/drawing/2014/main" id="{78AE19E9-0C2C-9B1A-5FB2-1CE60357CECB}"/>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3074670" y="57241440"/>
          <a:ext cx="2018030" cy="13277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57150</xdr:colOff>
      <xdr:row>342</xdr:row>
      <xdr:rowOff>163371</xdr:rowOff>
    </xdr:from>
    <xdr:to>
      <xdr:col>3</xdr:col>
      <xdr:colOff>1750839</xdr:colOff>
      <xdr:row>358</xdr:row>
      <xdr:rowOff>133350</xdr:rowOff>
    </xdr:to>
    <xdr:pic>
      <xdr:nvPicPr>
        <xdr:cNvPr id="33" name="Imagem 32">
          <a:extLst>
            <a:ext uri="{FF2B5EF4-FFF2-40B4-BE49-F238E27FC236}">
              <a16:creationId xmlns:a16="http://schemas.microsoft.com/office/drawing/2014/main" id="{BECD446D-C9D6-30FA-4D04-8D9CA24BBCC6}"/>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2209800" y="62514021"/>
          <a:ext cx="4208289" cy="2865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438150</xdr:colOff>
      <xdr:row>375</xdr:row>
      <xdr:rowOff>20496</xdr:rowOff>
    </xdr:from>
    <xdr:ext cx="3634776" cy="2475053"/>
    <xdr:pic>
      <xdr:nvPicPr>
        <xdr:cNvPr id="34" name="Imagem 33">
          <a:extLst>
            <a:ext uri="{FF2B5EF4-FFF2-40B4-BE49-F238E27FC236}">
              <a16:creationId xmlns:a16="http://schemas.microsoft.com/office/drawing/2014/main" id="{9E61F608-84F3-4CBF-BA2A-88116DDFAADB}"/>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438150" y="68343321"/>
          <a:ext cx="3634776" cy="247505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152400</xdr:colOff>
      <xdr:row>374</xdr:row>
      <xdr:rowOff>106680</xdr:rowOff>
    </xdr:from>
    <xdr:to>
      <xdr:col>4</xdr:col>
      <xdr:colOff>1013712</xdr:colOff>
      <xdr:row>388</xdr:row>
      <xdr:rowOff>69178</xdr:rowOff>
    </xdr:to>
    <xdr:pic>
      <xdr:nvPicPr>
        <xdr:cNvPr id="35" name="Imagem 34">
          <a:extLst>
            <a:ext uri="{FF2B5EF4-FFF2-40B4-BE49-F238E27FC236}">
              <a16:creationId xmlns:a16="http://schemas.microsoft.com/office/drawing/2014/main" id="{4192C61C-A659-6885-A484-2410E76E8709}"/>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4831080" y="68991480"/>
          <a:ext cx="3299712" cy="25228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206828</xdr:colOff>
      <xdr:row>407</xdr:row>
      <xdr:rowOff>1636</xdr:rowOff>
    </xdr:from>
    <xdr:to>
      <xdr:col>4</xdr:col>
      <xdr:colOff>1469571</xdr:colOff>
      <xdr:row>413</xdr:row>
      <xdr:rowOff>106154</xdr:rowOff>
    </xdr:to>
    <xdr:pic>
      <xdr:nvPicPr>
        <xdr:cNvPr id="38" name="Imagem 37">
          <a:extLst>
            <a:ext uri="{FF2B5EF4-FFF2-40B4-BE49-F238E27FC236}">
              <a16:creationId xmlns:a16="http://schemas.microsoft.com/office/drawing/2014/main" id="{92B2C2EC-48F6-28F9-9A77-9A9533C205E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rot="5400000">
          <a:off x="3779512" y="72204409"/>
          <a:ext cx="1214861" cy="8360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257002</xdr:colOff>
      <xdr:row>437</xdr:row>
      <xdr:rowOff>107372</xdr:rowOff>
    </xdr:from>
    <xdr:to>
      <xdr:col>4</xdr:col>
      <xdr:colOff>1591216</xdr:colOff>
      <xdr:row>445</xdr:row>
      <xdr:rowOff>15239</xdr:rowOff>
    </xdr:to>
    <xdr:pic>
      <xdr:nvPicPr>
        <xdr:cNvPr id="11" name="Imagem 10">
          <a:extLst>
            <a:ext uri="{FF2B5EF4-FFF2-40B4-BE49-F238E27FC236}">
              <a16:creationId xmlns:a16="http://schemas.microsoft.com/office/drawing/2014/main" id="{4B455E9C-9D14-8432-6A98-4A2C6A9A092E}"/>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257002" y="80467892"/>
          <a:ext cx="8436054" cy="13709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631376</xdr:colOff>
      <xdr:row>468</xdr:row>
      <xdr:rowOff>29177</xdr:rowOff>
    </xdr:from>
    <xdr:to>
      <xdr:col>1</xdr:col>
      <xdr:colOff>246473</xdr:colOff>
      <xdr:row>476</xdr:row>
      <xdr:rowOff>141515</xdr:rowOff>
    </xdr:to>
    <xdr:pic>
      <xdr:nvPicPr>
        <xdr:cNvPr id="17" name="Imagem 16">
          <a:extLst>
            <a:ext uri="{FF2B5EF4-FFF2-40B4-BE49-F238E27FC236}">
              <a16:creationId xmlns:a16="http://schemas.microsoft.com/office/drawing/2014/main" id="{DD84B110-D109-F296-B171-29E51F975EAD}"/>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631376" y="87093120"/>
          <a:ext cx="1770468" cy="15927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699778</xdr:colOff>
      <xdr:row>462</xdr:row>
      <xdr:rowOff>97972</xdr:rowOff>
    </xdr:from>
    <xdr:to>
      <xdr:col>4</xdr:col>
      <xdr:colOff>1034143</xdr:colOff>
      <xdr:row>481</xdr:row>
      <xdr:rowOff>83275</xdr:rowOff>
    </xdr:to>
    <xdr:pic>
      <xdr:nvPicPr>
        <xdr:cNvPr id="23" name="Imagem 22">
          <a:extLst>
            <a:ext uri="{FF2B5EF4-FFF2-40B4-BE49-F238E27FC236}">
              <a16:creationId xmlns:a16="http://schemas.microsoft.com/office/drawing/2014/main" id="{C982A70C-7B29-4FE9-C04E-6C955BC5E522}"/>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5369749" y="86051572"/>
          <a:ext cx="2761880" cy="35013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631370</xdr:colOff>
      <xdr:row>465</xdr:row>
      <xdr:rowOff>93912</xdr:rowOff>
    </xdr:from>
    <xdr:to>
      <xdr:col>3</xdr:col>
      <xdr:colOff>315685</xdr:colOff>
      <xdr:row>478</xdr:row>
      <xdr:rowOff>152402</xdr:rowOff>
    </xdr:to>
    <xdr:pic>
      <xdr:nvPicPr>
        <xdr:cNvPr id="29" name="Imagem 28">
          <a:extLst>
            <a:ext uri="{FF2B5EF4-FFF2-40B4-BE49-F238E27FC236}">
              <a16:creationId xmlns:a16="http://schemas.microsoft.com/office/drawing/2014/main" id="{CF7021E1-F484-42CA-07A5-550E553BEC9B}"/>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2786741" y="86602683"/>
          <a:ext cx="2198915" cy="24642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1362075</xdr:colOff>
      <xdr:row>501</xdr:row>
      <xdr:rowOff>114300</xdr:rowOff>
    </xdr:from>
    <xdr:to>
      <xdr:col>4</xdr:col>
      <xdr:colOff>4568</xdr:colOff>
      <xdr:row>510</xdr:row>
      <xdr:rowOff>102645</xdr:rowOff>
    </xdr:to>
    <xdr:pic>
      <xdr:nvPicPr>
        <xdr:cNvPr id="4" name="Imagem 3">
          <a:extLst>
            <a:ext uri="{FF2B5EF4-FFF2-40B4-BE49-F238E27FC236}">
              <a16:creationId xmlns:a16="http://schemas.microsoft.com/office/drawing/2014/main" id="{30F35D03-B0A9-4BBE-BE22-A03B51F8BD73}"/>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1362075" y="40020240"/>
          <a:ext cx="5723378" cy="163426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57990</xdr:rowOff>
    </xdr:to>
    <xdr:pic>
      <xdr:nvPicPr>
        <xdr:cNvPr id="2" name="Imagem 1">
          <a:extLst>
            <a:ext uri="{FF2B5EF4-FFF2-40B4-BE49-F238E27FC236}">
              <a16:creationId xmlns:a16="http://schemas.microsoft.com/office/drawing/2014/main" id="{1B23389F-849D-406B-B416-3506246654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04825"/>
          <a:ext cx="1519725" cy="8676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57990</xdr:rowOff>
    </xdr:to>
    <xdr:pic>
      <xdr:nvPicPr>
        <xdr:cNvPr id="3" name="Imagem 1">
          <a:extLst>
            <a:ext uri="{FF2B5EF4-FFF2-40B4-BE49-F238E27FC236}">
              <a16:creationId xmlns:a16="http://schemas.microsoft.com/office/drawing/2014/main" id="{70A07BDA-9A41-4949-97B7-C5367F7C08AA}"/>
            </a:ext>
            <a:ext uri="{147F2762-F138-4A5C-976F-8EAC2B608ADB}">
              <a16:predDERef xmlns:a16="http://schemas.microsoft.com/office/drawing/2014/main" pred="{1B23389F-849D-406B-B416-3506246654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04825"/>
          <a:ext cx="1519725" cy="867615"/>
        </a:xfrm>
        <a:prstGeom prst="rect">
          <a:avLst/>
        </a:prstGeom>
      </xdr:spPr>
    </xdr:pic>
    <xdr:clientData/>
  </xdr:twoCellAnchor>
  <xdr:twoCellAnchor editAs="oneCell">
    <xdr:from>
      <xdr:col>0</xdr:col>
      <xdr:colOff>971550</xdr:colOff>
      <xdr:row>45</xdr:row>
      <xdr:rowOff>66675</xdr:rowOff>
    </xdr:from>
    <xdr:to>
      <xdr:col>2</xdr:col>
      <xdr:colOff>295275</xdr:colOff>
      <xdr:row>50</xdr:row>
      <xdr:rowOff>85725</xdr:rowOff>
    </xdr:to>
    <xdr:pic>
      <xdr:nvPicPr>
        <xdr:cNvPr id="6" name="Imagem 5">
          <a:extLst>
            <a:ext uri="{FF2B5EF4-FFF2-40B4-BE49-F238E27FC236}">
              <a16:creationId xmlns:a16="http://schemas.microsoft.com/office/drawing/2014/main" id="{28D38DFB-AD7B-228D-3640-34A5CF6EC302}"/>
            </a:ext>
            <a:ext uri="{147F2762-F138-4A5C-976F-8EAC2B608ADB}">
              <a16:predDERef xmlns:a16="http://schemas.microsoft.com/office/drawing/2014/main" pred="{C6543F83-EF3A-60A2-A714-CA0B7ACE9D22}"/>
            </a:ext>
          </a:extLst>
        </xdr:cNvPr>
        <xdr:cNvPicPr>
          <a:picLocks noChangeAspect="1"/>
        </xdr:cNvPicPr>
      </xdr:nvPicPr>
      <xdr:blipFill>
        <a:blip xmlns:r="http://schemas.openxmlformats.org/officeDocument/2006/relationships" r:embed="rId2"/>
        <a:stretch>
          <a:fillRect/>
        </a:stretch>
      </xdr:blipFill>
      <xdr:spPr>
        <a:xfrm>
          <a:off x="971550" y="8391525"/>
          <a:ext cx="2619375" cy="971550"/>
        </a:xfrm>
        <a:prstGeom prst="rect">
          <a:avLst/>
        </a:prstGeom>
      </xdr:spPr>
    </xdr:pic>
    <xdr:clientData/>
  </xdr:twoCellAnchor>
  <xdr:twoCellAnchor editAs="oneCell">
    <xdr:from>
      <xdr:col>0</xdr:col>
      <xdr:colOff>981075</xdr:colOff>
      <xdr:row>52</xdr:row>
      <xdr:rowOff>95250</xdr:rowOff>
    </xdr:from>
    <xdr:to>
      <xdr:col>2</xdr:col>
      <xdr:colOff>314325</xdr:colOff>
      <xdr:row>57</xdr:row>
      <xdr:rowOff>142875</xdr:rowOff>
    </xdr:to>
    <xdr:pic>
      <xdr:nvPicPr>
        <xdr:cNvPr id="7" name="Imagem 6">
          <a:extLst>
            <a:ext uri="{FF2B5EF4-FFF2-40B4-BE49-F238E27FC236}">
              <a16:creationId xmlns:a16="http://schemas.microsoft.com/office/drawing/2014/main" id="{462A3DA2-9B16-B8BD-4D3B-CA4E352ACC6A}"/>
            </a:ext>
            <a:ext uri="{147F2762-F138-4A5C-976F-8EAC2B608ADB}">
              <a16:predDERef xmlns:a16="http://schemas.microsoft.com/office/drawing/2014/main" pred="{28D38DFB-AD7B-228D-3640-34A5CF6EC302}"/>
            </a:ext>
          </a:extLst>
        </xdr:cNvPr>
        <xdr:cNvPicPr>
          <a:picLocks noChangeAspect="1"/>
        </xdr:cNvPicPr>
      </xdr:nvPicPr>
      <xdr:blipFill>
        <a:blip xmlns:r="http://schemas.openxmlformats.org/officeDocument/2006/relationships" r:embed="rId3"/>
        <a:stretch>
          <a:fillRect/>
        </a:stretch>
      </xdr:blipFill>
      <xdr:spPr>
        <a:xfrm>
          <a:off x="981075" y="9753600"/>
          <a:ext cx="2628900" cy="1000125"/>
        </a:xfrm>
        <a:prstGeom prst="rect">
          <a:avLst/>
        </a:prstGeom>
      </xdr:spPr>
    </xdr:pic>
    <xdr:clientData/>
  </xdr:twoCellAnchor>
  <xdr:twoCellAnchor editAs="oneCell">
    <xdr:from>
      <xdr:col>2</xdr:col>
      <xdr:colOff>1209675</xdr:colOff>
      <xdr:row>45</xdr:row>
      <xdr:rowOff>66675</xdr:rowOff>
    </xdr:from>
    <xdr:to>
      <xdr:col>4</xdr:col>
      <xdr:colOff>561975</xdr:colOff>
      <xdr:row>50</xdr:row>
      <xdr:rowOff>66675</xdr:rowOff>
    </xdr:to>
    <xdr:pic>
      <xdr:nvPicPr>
        <xdr:cNvPr id="8" name="Imagem 7">
          <a:extLst>
            <a:ext uri="{FF2B5EF4-FFF2-40B4-BE49-F238E27FC236}">
              <a16:creationId xmlns:a16="http://schemas.microsoft.com/office/drawing/2014/main" id="{954380EC-FEDF-0273-9AFD-A656E658657F}"/>
            </a:ext>
            <a:ext uri="{147F2762-F138-4A5C-976F-8EAC2B608ADB}">
              <a16:predDERef xmlns:a16="http://schemas.microsoft.com/office/drawing/2014/main" pred="{462A3DA2-9B16-B8BD-4D3B-CA4E352ACC6A}"/>
            </a:ext>
          </a:extLst>
        </xdr:cNvPr>
        <xdr:cNvPicPr>
          <a:picLocks noChangeAspect="1"/>
        </xdr:cNvPicPr>
      </xdr:nvPicPr>
      <xdr:blipFill>
        <a:blip xmlns:r="http://schemas.openxmlformats.org/officeDocument/2006/relationships" r:embed="rId4"/>
        <a:stretch>
          <a:fillRect/>
        </a:stretch>
      </xdr:blipFill>
      <xdr:spPr>
        <a:xfrm>
          <a:off x="4505325" y="8391525"/>
          <a:ext cx="2552700" cy="952500"/>
        </a:xfrm>
        <a:prstGeom prst="rect">
          <a:avLst/>
        </a:prstGeom>
      </xdr:spPr>
    </xdr:pic>
    <xdr:clientData/>
  </xdr:twoCellAnchor>
  <xdr:twoCellAnchor editAs="oneCell">
    <xdr:from>
      <xdr:col>2</xdr:col>
      <xdr:colOff>1171575</xdr:colOff>
      <xdr:row>52</xdr:row>
      <xdr:rowOff>123825</xdr:rowOff>
    </xdr:from>
    <xdr:to>
      <xdr:col>4</xdr:col>
      <xdr:colOff>561975</xdr:colOff>
      <xdr:row>57</xdr:row>
      <xdr:rowOff>161925</xdr:rowOff>
    </xdr:to>
    <xdr:pic>
      <xdr:nvPicPr>
        <xdr:cNvPr id="9" name="Imagem 8">
          <a:extLst>
            <a:ext uri="{FF2B5EF4-FFF2-40B4-BE49-F238E27FC236}">
              <a16:creationId xmlns:a16="http://schemas.microsoft.com/office/drawing/2014/main" id="{C7F28C32-54F7-5B36-7A41-36F64F45E9E1}"/>
            </a:ext>
            <a:ext uri="{147F2762-F138-4A5C-976F-8EAC2B608ADB}">
              <a16:predDERef xmlns:a16="http://schemas.microsoft.com/office/drawing/2014/main" pred="{954380EC-FEDF-0273-9AFD-A656E658657F}"/>
            </a:ext>
          </a:extLst>
        </xdr:cNvPr>
        <xdr:cNvPicPr>
          <a:picLocks noChangeAspect="1"/>
        </xdr:cNvPicPr>
      </xdr:nvPicPr>
      <xdr:blipFill>
        <a:blip xmlns:r="http://schemas.openxmlformats.org/officeDocument/2006/relationships" r:embed="rId5"/>
        <a:stretch>
          <a:fillRect/>
        </a:stretch>
      </xdr:blipFill>
      <xdr:spPr>
        <a:xfrm>
          <a:off x="4467225" y="9782175"/>
          <a:ext cx="2590800" cy="990600"/>
        </a:xfrm>
        <a:prstGeom prst="rect">
          <a:avLst/>
        </a:prstGeom>
      </xdr:spPr>
    </xdr:pic>
    <xdr:clientData/>
  </xdr:twoCellAnchor>
  <xdr:twoCellAnchor editAs="oneCell">
    <xdr:from>
      <xdr:col>0</xdr:col>
      <xdr:colOff>28575</xdr:colOff>
      <xdr:row>162</xdr:row>
      <xdr:rowOff>0</xdr:rowOff>
    </xdr:from>
    <xdr:to>
      <xdr:col>1</xdr:col>
      <xdr:colOff>0</xdr:colOff>
      <xdr:row>173</xdr:row>
      <xdr:rowOff>19050</xdr:rowOff>
    </xdr:to>
    <xdr:pic>
      <xdr:nvPicPr>
        <xdr:cNvPr id="21" name="Imagem 20">
          <a:extLst>
            <a:ext uri="{FF2B5EF4-FFF2-40B4-BE49-F238E27FC236}">
              <a16:creationId xmlns:a16="http://schemas.microsoft.com/office/drawing/2014/main" id="{281C2134-675A-3E9F-8A9D-7A8608267D8C}"/>
            </a:ext>
            <a:ext uri="{147F2762-F138-4A5C-976F-8EAC2B608ADB}">
              <a16:predDERef xmlns:a16="http://schemas.microsoft.com/office/drawing/2014/main" pred="{B8A92CD6-EC47-498C-8A38-74F921B7E5B8}"/>
            </a:ext>
          </a:extLst>
        </xdr:cNvPr>
        <xdr:cNvPicPr>
          <a:picLocks noChangeAspect="1"/>
        </xdr:cNvPicPr>
      </xdr:nvPicPr>
      <xdr:blipFill>
        <a:blip xmlns:r="http://schemas.openxmlformats.org/officeDocument/2006/relationships" r:embed="rId6"/>
        <a:stretch>
          <a:fillRect/>
        </a:stretch>
      </xdr:blipFill>
      <xdr:spPr>
        <a:xfrm>
          <a:off x="28575" y="23774400"/>
          <a:ext cx="2066925" cy="2114550"/>
        </a:xfrm>
        <a:prstGeom prst="rect">
          <a:avLst/>
        </a:prstGeom>
      </xdr:spPr>
    </xdr:pic>
    <xdr:clientData/>
  </xdr:twoCellAnchor>
  <xdr:twoCellAnchor editAs="oneCell">
    <xdr:from>
      <xdr:col>0</xdr:col>
      <xdr:colOff>19050</xdr:colOff>
      <xdr:row>149</xdr:row>
      <xdr:rowOff>9525</xdr:rowOff>
    </xdr:from>
    <xdr:to>
      <xdr:col>0</xdr:col>
      <xdr:colOff>2076450</xdr:colOff>
      <xdr:row>160</xdr:row>
      <xdr:rowOff>0</xdr:rowOff>
    </xdr:to>
    <xdr:pic>
      <xdr:nvPicPr>
        <xdr:cNvPr id="22" name="Imagem 21">
          <a:extLst>
            <a:ext uri="{FF2B5EF4-FFF2-40B4-BE49-F238E27FC236}">
              <a16:creationId xmlns:a16="http://schemas.microsoft.com/office/drawing/2014/main" id="{23229FE5-2919-856E-C0FE-FD634A514591}"/>
            </a:ext>
            <a:ext uri="{147F2762-F138-4A5C-976F-8EAC2B608ADB}">
              <a16:predDERef xmlns:a16="http://schemas.microsoft.com/office/drawing/2014/main" pred="{281C2134-675A-3E9F-8A9D-7A8608267D8C}"/>
            </a:ext>
          </a:extLst>
        </xdr:cNvPr>
        <xdr:cNvPicPr>
          <a:picLocks noChangeAspect="1"/>
        </xdr:cNvPicPr>
      </xdr:nvPicPr>
      <xdr:blipFill>
        <a:blip xmlns:r="http://schemas.openxmlformats.org/officeDocument/2006/relationships" r:embed="rId7"/>
        <a:stretch>
          <a:fillRect/>
        </a:stretch>
      </xdr:blipFill>
      <xdr:spPr>
        <a:xfrm>
          <a:off x="19050" y="21497925"/>
          <a:ext cx="2057400" cy="2076450"/>
        </a:xfrm>
        <a:prstGeom prst="rect">
          <a:avLst/>
        </a:prstGeom>
      </xdr:spPr>
    </xdr:pic>
    <xdr:clientData/>
  </xdr:twoCellAnchor>
  <xdr:twoCellAnchor editAs="oneCell">
    <xdr:from>
      <xdr:col>1</xdr:col>
      <xdr:colOff>0</xdr:colOff>
      <xdr:row>148</xdr:row>
      <xdr:rowOff>180975</xdr:rowOff>
    </xdr:from>
    <xdr:to>
      <xdr:col>2</xdr:col>
      <xdr:colOff>904875</xdr:colOff>
      <xdr:row>160</xdr:row>
      <xdr:rowOff>0</xdr:rowOff>
    </xdr:to>
    <xdr:pic>
      <xdr:nvPicPr>
        <xdr:cNvPr id="23" name="Imagem 22">
          <a:extLst>
            <a:ext uri="{FF2B5EF4-FFF2-40B4-BE49-F238E27FC236}">
              <a16:creationId xmlns:a16="http://schemas.microsoft.com/office/drawing/2014/main" id="{7AE0BA03-6BCC-9BB9-F1DD-8A7F8F03CCAD}"/>
            </a:ext>
            <a:ext uri="{147F2762-F138-4A5C-976F-8EAC2B608ADB}">
              <a16:predDERef xmlns:a16="http://schemas.microsoft.com/office/drawing/2014/main" pred="{23229FE5-2919-856E-C0FE-FD634A514591}"/>
            </a:ext>
          </a:extLst>
        </xdr:cNvPr>
        <xdr:cNvPicPr>
          <a:picLocks noChangeAspect="1"/>
        </xdr:cNvPicPr>
      </xdr:nvPicPr>
      <xdr:blipFill>
        <a:blip xmlns:r="http://schemas.openxmlformats.org/officeDocument/2006/relationships" r:embed="rId8"/>
        <a:stretch>
          <a:fillRect/>
        </a:stretch>
      </xdr:blipFill>
      <xdr:spPr>
        <a:xfrm>
          <a:off x="2095500" y="21478875"/>
          <a:ext cx="2105025" cy="2105025"/>
        </a:xfrm>
        <a:prstGeom prst="rect">
          <a:avLst/>
        </a:prstGeom>
      </xdr:spPr>
    </xdr:pic>
    <xdr:clientData/>
  </xdr:twoCellAnchor>
  <xdr:twoCellAnchor editAs="oneCell">
    <xdr:from>
      <xdr:col>1</xdr:col>
      <xdr:colOff>9525</xdr:colOff>
      <xdr:row>161</xdr:row>
      <xdr:rowOff>171450</xdr:rowOff>
    </xdr:from>
    <xdr:to>
      <xdr:col>2</xdr:col>
      <xdr:colOff>962025</xdr:colOff>
      <xdr:row>173</xdr:row>
      <xdr:rowOff>19050</xdr:rowOff>
    </xdr:to>
    <xdr:pic>
      <xdr:nvPicPr>
        <xdr:cNvPr id="24" name="Imagem 23">
          <a:extLst>
            <a:ext uri="{FF2B5EF4-FFF2-40B4-BE49-F238E27FC236}">
              <a16:creationId xmlns:a16="http://schemas.microsoft.com/office/drawing/2014/main" id="{C61276DD-D1A7-85F6-4467-89FB52E837FF}"/>
            </a:ext>
            <a:ext uri="{147F2762-F138-4A5C-976F-8EAC2B608ADB}">
              <a16:predDERef xmlns:a16="http://schemas.microsoft.com/office/drawing/2014/main" pred="{7AE0BA03-6BCC-9BB9-F1DD-8A7F8F03CCAD}"/>
            </a:ext>
          </a:extLst>
        </xdr:cNvPr>
        <xdr:cNvPicPr>
          <a:picLocks noChangeAspect="1"/>
        </xdr:cNvPicPr>
      </xdr:nvPicPr>
      <xdr:blipFill>
        <a:blip xmlns:r="http://schemas.openxmlformats.org/officeDocument/2006/relationships" r:embed="rId9"/>
        <a:stretch>
          <a:fillRect/>
        </a:stretch>
      </xdr:blipFill>
      <xdr:spPr>
        <a:xfrm>
          <a:off x="2105025" y="23755350"/>
          <a:ext cx="2152650" cy="2133600"/>
        </a:xfrm>
        <a:prstGeom prst="rect">
          <a:avLst/>
        </a:prstGeom>
      </xdr:spPr>
    </xdr:pic>
    <xdr:clientData/>
  </xdr:twoCellAnchor>
  <xdr:twoCellAnchor editAs="oneCell">
    <xdr:from>
      <xdr:col>2</xdr:col>
      <xdr:colOff>914400</xdr:colOff>
      <xdr:row>148</xdr:row>
      <xdr:rowOff>95250</xdr:rowOff>
    </xdr:from>
    <xdr:to>
      <xdr:col>3</xdr:col>
      <xdr:colOff>1724025</xdr:colOff>
      <xdr:row>159</xdr:row>
      <xdr:rowOff>133350</xdr:rowOff>
    </xdr:to>
    <xdr:pic>
      <xdr:nvPicPr>
        <xdr:cNvPr id="25" name="Imagem 24">
          <a:extLst>
            <a:ext uri="{FF2B5EF4-FFF2-40B4-BE49-F238E27FC236}">
              <a16:creationId xmlns:a16="http://schemas.microsoft.com/office/drawing/2014/main" id="{2D2A77D4-B7A8-A3E5-A649-F497BE4973CA}"/>
            </a:ext>
            <a:ext uri="{147F2762-F138-4A5C-976F-8EAC2B608ADB}">
              <a16:predDERef xmlns:a16="http://schemas.microsoft.com/office/drawing/2014/main" pred="{C61276DD-D1A7-85F6-4467-89FB52E837FF}"/>
            </a:ext>
          </a:extLst>
        </xdr:cNvPr>
        <xdr:cNvPicPr>
          <a:picLocks noChangeAspect="1"/>
        </xdr:cNvPicPr>
      </xdr:nvPicPr>
      <xdr:blipFill>
        <a:blip xmlns:r="http://schemas.openxmlformats.org/officeDocument/2006/relationships" r:embed="rId10"/>
        <a:stretch>
          <a:fillRect/>
        </a:stretch>
      </xdr:blipFill>
      <xdr:spPr>
        <a:xfrm>
          <a:off x="4210050" y="21393150"/>
          <a:ext cx="2057400" cy="2133600"/>
        </a:xfrm>
        <a:prstGeom prst="rect">
          <a:avLst/>
        </a:prstGeom>
      </xdr:spPr>
    </xdr:pic>
    <xdr:clientData/>
  </xdr:twoCellAnchor>
  <xdr:twoCellAnchor editAs="oneCell">
    <xdr:from>
      <xdr:col>2</xdr:col>
      <xdr:colOff>981075</xdr:colOff>
      <xdr:row>161</xdr:row>
      <xdr:rowOff>171450</xdr:rowOff>
    </xdr:from>
    <xdr:to>
      <xdr:col>3</xdr:col>
      <xdr:colOff>1771650</xdr:colOff>
      <xdr:row>173</xdr:row>
      <xdr:rowOff>19050</xdr:rowOff>
    </xdr:to>
    <xdr:pic>
      <xdr:nvPicPr>
        <xdr:cNvPr id="26" name="Imagem 25">
          <a:extLst>
            <a:ext uri="{FF2B5EF4-FFF2-40B4-BE49-F238E27FC236}">
              <a16:creationId xmlns:a16="http://schemas.microsoft.com/office/drawing/2014/main" id="{A91F19A1-4D13-AACA-494C-B1A26F4D85C2}"/>
            </a:ext>
            <a:ext uri="{147F2762-F138-4A5C-976F-8EAC2B608ADB}">
              <a16:predDERef xmlns:a16="http://schemas.microsoft.com/office/drawing/2014/main" pred="{2D2A77D4-B7A8-A3E5-A649-F497BE4973CA}"/>
            </a:ext>
          </a:extLst>
        </xdr:cNvPr>
        <xdr:cNvPicPr>
          <a:picLocks noChangeAspect="1"/>
        </xdr:cNvPicPr>
      </xdr:nvPicPr>
      <xdr:blipFill>
        <a:blip xmlns:r="http://schemas.openxmlformats.org/officeDocument/2006/relationships" r:embed="rId11"/>
        <a:stretch>
          <a:fillRect/>
        </a:stretch>
      </xdr:blipFill>
      <xdr:spPr>
        <a:xfrm>
          <a:off x="4276725" y="23755350"/>
          <a:ext cx="2038350" cy="2133600"/>
        </a:xfrm>
        <a:prstGeom prst="rect">
          <a:avLst/>
        </a:prstGeom>
      </xdr:spPr>
    </xdr:pic>
    <xdr:clientData/>
  </xdr:twoCellAnchor>
  <xdr:twoCellAnchor editAs="oneCell">
    <xdr:from>
      <xdr:col>3</xdr:col>
      <xdr:colOff>1733550</xdr:colOff>
      <xdr:row>148</xdr:row>
      <xdr:rowOff>152400</xdr:rowOff>
    </xdr:from>
    <xdr:to>
      <xdr:col>4</xdr:col>
      <xdr:colOff>1828800</xdr:colOff>
      <xdr:row>160</xdr:row>
      <xdr:rowOff>0</xdr:rowOff>
    </xdr:to>
    <xdr:pic>
      <xdr:nvPicPr>
        <xdr:cNvPr id="27" name="Imagem 26">
          <a:extLst>
            <a:ext uri="{FF2B5EF4-FFF2-40B4-BE49-F238E27FC236}">
              <a16:creationId xmlns:a16="http://schemas.microsoft.com/office/drawing/2014/main" id="{754A187D-1130-18EB-063A-F3D29FD81E82}"/>
            </a:ext>
            <a:ext uri="{147F2762-F138-4A5C-976F-8EAC2B608ADB}">
              <a16:predDERef xmlns:a16="http://schemas.microsoft.com/office/drawing/2014/main" pred="{A91F19A1-4D13-AACA-494C-B1A26F4D85C2}"/>
            </a:ext>
          </a:extLst>
        </xdr:cNvPr>
        <xdr:cNvPicPr>
          <a:picLocks noChangeAspect="1"/>
        </xdr:cNvPicPr>
      </xdr:nvPicPr>
      <xdr:blipFill>
        <a:blip xmlns:r="http://schemas.openxmlformats.org/officeDocument/2006/relationships" r:embed="rId12"/>
        <a:stretch>
          <a:fillRect/>
        </a:stretch>
      </xdr:blipFill>
      <xdr:spPr>
        <a:xfrm>
          <a:off x="6276975" y="21450300"/>
          <a:ext cx="2047875" cy="2133600"/>
        </a:xfrm>
        <a:prstGeom prst="rect">
          <a:avLst/>
        </a:prstGeom>
      </xdr:spPr>
    </xdr:pic>
    <xdr:clientData/>
  </xdr:twoCellAnchor>
  <xdr:twoCellAnchor editAs="oneCell">
    <xdr:from>
      <xdr:col>3</xdr:col>
      <xdr:colOff>1790700</xdr:colOff>
      <xdr:row>161</xdr:row>
      <xdr:rowOff>161925</xdr:rowOff>
    </xdr:from>
    <xdr:to>
      <xdr:col>4</xdr:col>
      <xdr:colOff>1809750</xdr:colOff>
      <xdr:row>172</xdr:row>
      <xdr:rowOff>123825</xdr:rowOff>
    </xdr:to>
    <xdr:pic>
      <xdr:nvPicPr>
        <xdr:cNvPr id="28" name="Imagem 27">
          <a:extLst>
            <a:ext uri="{FF2B5EF4-FFF2-40B4-BE49-F238E27FC236}">
              <a16:creationId xmlns:a16="http://schemas.microsoft.com/office/drawing/2014/main" id="{A4E69588-6B90-B118-40B2-46F323B96609}"/>
            </a:ext>
            <a:ext uri="{147F2762-F138-4A5C-976F-8EAC2B608ADB}">
              <a16:predDERef xmlns:a16="http://schemas.microsoft.com/office/drawing/2014/main" pred="{754A187D-1130-18EB-063A-F3D29FD81E82}"/>
            </a:ext>
          </a:extLst>
        </xdr:cNvPr>
        <xdr:cNvPicPr>
          <a:picLocks noChangeAspect="1"/>
        </xdr:cNvPicPr>
      </xdr:nvPicPr>
      <xdr:blipFill>
        <a:blip xmlns:r="http://schemas.openxmlformats.org/officeDocument/2006/relationships" r:embed="rId13"/>
        <a:stretch>
          <a:fillRect/>
        </a:stretch>
      </xdr:blipFill>
      <xdr:spPr>
        <a:xfrm>
          <a:off x="6334125" y="24126825"/>
          <a:ext cx="1971675" cy="2057400"/>
        </a:xfrm>
        <a:prstGeom prst="rect">
          <a:avLst/>
        </a:prstGeom>
      </xdr:spPr>
    </xdr:pic>
    <xdr:clientData/>
  </xdr:twoCellAnchor>
  <xdr:twoCellAnchor editAs="oneCell">
    <xdr:from>
      <xdr:col>0</xdr:col>
      <xdr:colOff>180975</xdr:colOff>
      <xdr:row>12</xdr:row>
      <xdr:rowOff>133350</xdr:rowOff>
    </xdr:from>
    <xdr:to>
      <xdr:col>2</xdr:col>
      <xdr:colOff>828675</xdr:colOff>
      <xdr:row>19</xdr:row>
      <xdr:rowOff>85725</xdr:rowOff>
    </xdr:to>
    <xdr:pic>
      <xdr:nvPicPr>
        <xdr:cNvPr id="35" name="Imagem 34">
          <a:extLst>
            <a:ext uri="{FF2B5EF4-FFF2-40B4-BE49-F238E27FC236}">
              <a16:creationId xmlns:a16="http://schemas.microsoft.com/office/drawing/2014/main" id="{F31231E7-4793-43E7-5D39-BBEAA64BD5C9}"/>
            </a:ext>
            <a:ext uri="{147F2762-F138-4A5C-976F-8EAC2B608ADB}">
              <a16:predDERef xmlns:a16="http://schemas.microsoft.com/office/drawing/2014/main" pred="{9341FE5D-70CA-D934-7631-F112FABE11FF}"/>
            </a:ext>
          </a:extLst>
        </xdr:cNvPr>
        <xdr:cNvPicPr>
          <a:picLocks noChangeAspect="1"/>
        </xdr:cNvPicPr>
      </xdr:nvPicPr>
      <xdr:blipFill>
        <a:blip xmlns:r="http://schemas.openxmlformats.org/officeDocument/2006/relationships" r:embed="rId14"/>
        <a:stretch>
          <a:fillRect/>
        </a:stretch>
      </xdr:blipFill>
      <xdr:spPr>
        <a:xfrm>
          <a:off x="180975" y="2371725"/>
          <a:ext cx="3943350" cy="1285875"/>
        </a:xfrm>
        <a:prstGeom prst="rect">
          <a:avLst/>
        </a:prstGeom>
      </xdr:spPr>
    </xdr:pic>
    <xdr:clientData/>
  </xdr:twoCellAnchor>
  <xdr:twoCellAnchor editAs="oneCell">
    <xdr:from>
      <xdr:col>0</xdr:col>
      <xdr:colOff>266700</xdr:colOff>
      <xdr:row>20</xdr:row>
      <xdr:rowOff>76200</xdr:rowOff>
    </xdr:from>
    <xdr:to>
      <xdr:col>2</xdr:col>
      <xdr:colOff>828675</xdr:colOff>
      <xdr:row>27</xdr:row>
      <xdr:rowOff>47625</xdr:rowOff>
    </xdr:to>
    <xdr:pic>
      <xdr:nvPicPr>
        <xdr:cNvPr id="36" name="Imagem 35">
          <a:extLst>
            <a:ext uri="{FF2B5EF4-FFF2-40B4-BE49-F238E27FC236}">
              <a16:creationId xmlns:a16="http://schemas.microsoft.com/office/drawing/2014/main" id="{E0860B0D-B70A-8269-0DB2-22971C31F8BF}"/>
            </a:ext>
            <a:ext uri="{147F2762-F138-4A5C-976F-8EAC2B608ADB}">
              <a16:predDERef xmlns:a16="http://schemas.microsoft.com/office/drawing/2014/main" pred="{F31231E7-4793-43E7-5D39-BBEAA64BD5C9}"/>
            </a:ext>
          </a:extLst>
        </xdr:cNvPr>
        <xdr:cNvPicPr>
          <a:picLocks noChangeAspect="1"/>
        </xdr:cNvPicPr>
      </xdr:nvPicPr>
      <xdr:blipFill>
        <a:blip xmlns:r="http://schemas.openxmlformats.org/officeDocument/2006/relationships" r:embed="rId15"/>
        <a:stretch>
          <a:fillRect/>
        </a:stretch>
      </xdr:blipFill>
      <xdr:spPr>
        <a:xfrm>
          <a:off x="266700" y="3838575"/>
          <a:ext cx="3857625" cy="1304925"/>
        </a:xfrm>
        <a:prstGeom prst="rect">
          <a:avLst/>
        </a:prstGeom>
      </xdr:spPr>
    </xdr:pic>
    <xdr:clientData/>
  </xdr:twoCellAnchor>
  <xdr:twoCellAnchor editAs="oneCell">
    <xdr:from>
      <xdr:col>3</xdr:col>
      <xdr:colOff>85725</xdr:colOff>
      <xdr:row>12</xdr:row>
      <xdr:rowOff>104775</xdr:rowOff>
    </xdr:from>
    <xdr:to>
      <xdr:col>4</xdr:col>
      <xdr:colOff>1181100</xdr:colOff>
      <xdr:row>20</xdr:row>
      <xdr:rowOff>114300</xdr:rowOff>
    </xdr:to>
    <xdr:pic>
      <xdr:nvPicPr>
        <xdr:cNvPr id="37" name="Imagem 36">
          <a:extLst>
            <a:ext uri="{FF2B5EF4-FFF2-40B4-BE49-F238E27FC236}">
              <a16:creationId xmlns:a16="http://schemas.microsoft.com/office/drawing/2014/main" id="{E538E20D-E6C7-7BAD-5FB2-DBD00E9F77CE}"/>
            </a:ext>
            <a:ext uri="{147F2762-F138-4A5C-976F-8EAC2B608ADB}">
              <a16:predDERef xmlns:a16="http://schemas.microsoft.com/office/drawing/2014/main" pred="{E0860B0D-B70A-8269-0DB2-22971C31F8BF}"/>
            </a:ext>
          </a:extLst>
        </xdr:cNvPr>
        <xdr:cNvPicPr>
          <a:picLocks noChangeAspect="1"/>
        </xdr:cNvPicPr>
      </xdr:nvPicPr>
      <xdr:blipFill>
        <a:blip xmlns:r="http://schemas.openxmlformats.org/officeDocument/2006/relationships" r:embed="rId16"/>
        <a:stretch>
          <a:fillRect/>
        </a:stretch>
      </xdr:blipFill>
      <xdr:spPr>
        <a:xfrm>
          <a:off x="4629150" y="2343150"/>
          <a:ext cx="3048000" cy="1533525"/>
        </a:xfrm>
        <a:prstGeom prst="rect">
          <a:avLst/>
        </a:prstGeom>
      </xdr:spPr>
    </xdr:pic>
    <xdr:clientData/>
  </xdr:twoCellAnchor>
  <xdr:twoCellAnchor editAs="oneCell">
    <xdr:from>
      <xdr:col>2</xdr:col>
      <xdr:colOff>1114425</xdr:colOff>
      <xdr:row>21</xdr:row>
      <xdr:rowOff>76200</xdr:rowOff>
    </xdr:from>
    <xdr:to>
      <xdr:col>4</xdr:col>
      <xdr:colOff>1476375</xdr:colOff>
      <xdr:row>27</xdr:row>
      <xdr:rowOff>104775</xdr:rowOff>
    </xdr:to>
    <xdr:pic>
      <xdr:nvPicPr>
        <xdr:cNvPr id="38" name="Imagem 37">
          <a:extLst>
            <a:ext uri="{FF2B5EF4-FFF2-40B4-BE49-F238E27FC236}">
              <a16:creationId xmlns:a16="http://schemas.microsoft.com/office/drawing/2014/main" id="{3273CEAB-9F37-15CB-A213-33E101C5897D}"/>
            </a:ext>
            <a:ext uri="{147F2762-F138-4A5C-976F-8EAC2B608ADB}">
              <a16:predDERef xmlns:a16="http://schemas.microsoft.com/office/drawing/2014/main" pred="{E538E20D-E6C7-7BAD-5FB2-DBD00E9F77CE}"/>
            </a:ext>
          </a:extLst>
        </xdr:cNvPr>
        <xdr:cNvPicPr>
          <a:picLocks noChangeAspect="1"/>
        </xdr:cNvPicPr>
      </xdr:nvPicPr>
      <xdr:blipFill>
        <a:blip xmlns:r="http://schemas.openxmlformats.org/officeDocument/2006/relationships" r:embed="rId17"/>
        <a:stretch>
          <a:fillRect/>
        </a:stretch>
      </xdr:blipFill>
      <xdr:spPr>
        <a:xfrm>
          <a:off x="4410075" y="4029075"/>
          <a:ext cx="3562350" cy="1171575"/>
        </a:xfrm>
        <a:prstGeom prst="rect">
          <a:avLst/>
        </a:prstGeom>
      </xdr:spPr>
    </xdr:pic>
    <xdr:clientData/>
  </xdr:twoCellAnchor>
  <xdr:twoCellAnchor editAs="oneCell">
    <xdr:from>
      <xdr:col>0</xdr:col>
      <xdr:colOff>180975</xdr:colOff>
      <xdr:row>84</xdr:row>
      <xdr:rowOff>142875</xdr:rowOff>
    </xdr:from>
    <xdr:to>
      <xdr:col>2</xdr:col>
      <xdr:colOff>828675</xdr:colOff>
      <xdr:row>91</xdr:row>
      <xdr:rowOff>95250</xdr:rowOff>
    </xdr:to>
    <xdr:pic>
      <xdr:nvPicPr>
        <xdr:cNvPr id="40" name="Imagem 39">
          <a:extLst>
            <a:ext uri="{FF2B5EF4-FFF2-40B4-BE49-F238E27FC236}">
              <a16:creationId xmlns:a16="http://schemas.microsoft.com/office/drawing/2014/main" id="{0E0F830C-E065-4AD1-A346-E87138C49E76}"/>
            </a:ext>
            <a:ext uri="{147F2762-F138-4A5C-976F-8EAC2B608ADB}">
              <a16:predDERef xmlns:a16="http://schemas.microsoft.com/office/drawing/2014/main" pred="{3273CEAB-9F37-15CB-A213-33E101C5897D}"/>
            </a:ext>
          </a:extLst>
        </xdr:cNvPr>
        <xdr:cNvPicPr>
          <a:picLocks noChangeAspect="1"/>
        </xdr:cNvPicPr>
      </xdr:nvPicPr>
      <xdr:blipFill>
        <a:blip xmlns:r="http://schemas.openxmlformats.org/officeDocument/2006/relationships" r:embed="rId14"/>
        <a:stretch>
          <a:fillRect/>
        </a:stretch>
      </xdr:blipFill>
      <xdr:spPr>
        <a:xfrm>
          <a:off x="180975" y="15716250"/>
          <a:ext cx="3943350" cy="1285875"/>
        </a:xfrm>
        <a:prstGeom prst="rect">
          <a:avLst/>
        </a:prstGeom>
      </xdr:spPr>
    </xdr:pic>
    <xdr:clientData/>
  </xdr:twoCellAnchor>
  <xdr:twoCellAnchor editAs="oneCell">
    <xdr:from>
      <xdr:col>0</xdr:col>
      <xdr:colOff>152400</xdr:colOff>
      <xdr:row>93</xdr:row>
      <xdr:rowOff>28575</xdr:rowOff>
    </xdr:from>
    <xdr:to>
      <xdr:col>2</xdr:col>
      <xdr:colOff>714375</xdr:colOff>
      <xdr:row>100</xdr:row>
      <xdr:rowOff>0</xdr:rowOff>
    </xdr:to>
    <xdr:pic>
      <xdr:nvPicPr>
        <xdr:cNvPr id="41" name="Imagem 40">
          <a:extLst>
            <a:ext uri="{FF2B5EF4-FFF2-40B4-BE49-F238E27FC236}">
              <a16:creationId xmlns:a16="http://schemas.microsoft.com/office/drawing/2014/main" id="{6FD9B347-F008-4E0E-AD34-5E5A3D8FF639}"/>
            </a:ext>
            <a:ext uri="{147F2762-F138-4A5C-976F-8EAC2B608ADB}">
              <a16:predDERef xmlns:a16="http://schemas.microsoft.com/office/drawing/2014/main" pred="{0E0F830C-E065-4AD1-A346-E87138C49E76}"/>
            </a:ext>
          </a:extLst>
        </xdr:cNvPr>
        <xdr:cNvPicPr>
          <a:picLocks noChangeAspect="1"/>
        </xdr:cNvPicPr>
      </xdr:nvPicPr>
      <xdr:blipFill>
        <a:blip xmlns:r="http://schemas.openxmlformats.org/officeDocument/2006/relationships" r:embed="rId15"/>
        <a:stretch>
          <a:fillRect/>
        </a:stretch>
      </xdr:blipFill>
      <xdr:spPr>
        <a:xfrm>
          <a:off x="152400" y="17316450"/>
          <a:ext cx="3857625" cy="1304925"/>
        </a:xfrm>
        <a:prstGeom prst="rect">
          <a:avLst/>
        </a:prstGeom>
      </xdr:spPr>
    </xdr:pic>
    <xdr:clientData/>
  </xdr:twoCellAnchor>
  <xdr:twoCellAnchor editAs="oneCell">
    <xdr:from>
      <xdr:col>3</xdr:col>
      <xdr:colOff>266700</xdr:colOff>
      <xdr:row>83</xdr:row>
      <xdr:rowOff>133350</xdr:rowOff>
    </xdr:from>
    <xdr:to>
      <xdr:col>4</xdr:col>
      <xdr:colOff>1362075</xdr:colOff>
      <xdr:row>91</xdr:row>
      <xdr:rowOff>152400</xdr:rowOff>
    </xdr:to>
    <xdr:pic>
      <xdr:nvPicPr>
        <xdr:cNvPr id="42" name="Imagem 41">
          <a:extLst>
            <a:ext uri="{FF2B5EF4-FFF2-40B4-BE49-F238E27FC236}">
              <a16:creationId xmlns:a16="http://schemas.microsoft.com/office/drawing/2014/main" id="{1001AE6D-F835-47AC-B97A-08318F336CA9}"/>
            </a:ext>
            <a:ext uri="{147F2762-F138-4A5C-976F-8EAC2B608ADB}">
              <a16:predDERef xmlns:a16="http://schemas.microsoft.com/office/drawing/2014/main" pred="{6FD9B347-F008-4E0E-AD34-5E5A3D8FF639}"/>
            </a:ext>
          </a:extLst>
        </xdr:cNvPr>
        <xdr:cNvPicPr>
          <a:picLocks noChangeAspect="1"/>
        </xdr:cNvPicPr>
      </xdr:nvPicPr>
      <xdr:blipFill>
        <a:blip xmlns:r="http://schemas.openxmlformats.org/officeDocument/2006/relationships" r:embed="rId16"/>
        <a:stretch>
          <a:fillRect/>
        </a:stretch>
      </xdr:blipFill>
      <xdr:spPr>
        <a:xfrm>
          <a:off x="4810125" y="15525750"/>
          <a:ext cx="3048000" cy="1533525"/>
        </a:xfrm>
        <a:prstGeom prst="rect">
          <a:avLst/>
        </a:prstGeom>
      </xdr:spPr>
    </xdr:pic>
    <xdr:clientData/>
  </xdr:twoCellAnchor>
  <xdr:twoCellAnchor editAs="oneCell">
    <xdr:from>
      <xdr:col>2</xdr:col>
      <xdr:colOff>1057275</xdr:colOff>
      <xdr:row>94</xdr:row>
      <xdr:rowOff>28575</xdr:rowOff>
    </xdr:from>
    <xdr:to>
      <xdr:col>4</xdr:col>
      <xdr:colOff>1419225</xdr:colOff>
      <xdr:row>100</xdr:row>
      <xdr:rowOff>57150</xdr:rowOff>
    </xdr:to>
    <xdr:pic>
      <xdr:nvPicPr>
        <xdr:cNvPr id="43" name="Imagem 42">
          <a:extLst>
            <a:ext uri="{FF2B5EF4-FFF2-40B4-BE49-F238E27FC236}">
              <a16:creationId xmlns:a16="http://schemas.microsoft.com/office/drawing/2014/main" id="{E7221F03-FB2F-4121-B3CB-202D80C9D50C}"/>
            </a:ext>
            <a:ext uri="{147F2762-F138-4A5C-976F-8EAC2B608ADB}">
              <a16:predDERef xmlns:a16="http://schemas.microsoft.com/office/drawing/2014/main" pred="{1001AE6D-F835-47AC-B97A-08318F336CA9}"/>
            </a:ext>
          </a:extLst>
        </xdr:cNvPr>
        <xdr:cNvPicPr>
          <a:picLocks noChangeAspect="1"/>
        </xdr:cNvPicPr>
      </xdr:nvPicPr>
      <xdr:blipFill>
        <a:blip xmlns:r="http://schemas.openxmlformats.org/officeDocument/2006/relationships" r:embed="rId17"/>
        <a:stretch>
          <a:fillRect/>
        </a:stretch>
      </xdr:blipFill>
      <xdr:spPr>
        <a:xfrm>
          <a:off x="4352925" y="17506950"/>
          <a:ext cx="3562350" cy="1171575"/>
        </a:xfrm>
        <a:prstGeom prst="rect">
          <a:avLst/>
        </a:prstGeom>
      </xdr:spPr>
    </xdr:pic>
    <xdr:clientData/>
  </xdr:twoCellAnchor>
  <xdr:twoCellAnchor editAs="oneCell">
    <xdr:from>
      <xdr:col>0</xdr:col>
      <xdr:colOff>180975</xdr:colOff>
      <xdr:row>116</xdr:row>
      <xdr:rowOff>142875</xdr:rowOff>
    </xdr:from>
    <xdr:to>
      <xdr:col>2</xdr:col>
      <xdr:colOff>828675</xdr:colOff>
      <xdr:row>123</xdr:row>
      <xdr:rowOff>95250</xdr:rowOff>
    </xdr:to>
    <xdr:pic>
      <xdr:nvPicPr>
        <xdr:cNvPr id="44" name="Imagem 39">
          <a:extLst>
            <a:ext uri="{FF2B5EF4-FFF2-40B4-BE49-F238E27FC236}">
              <a16:creationId xmlns:a16="http://schemas.microsoft.com/office/drawing/2014/main" id="{F49EF5D8-A634-49BB-A9BB-000573946B99}"/>
            </a:ext>
            <a:ext uri="{147F2762-F138-4A5C-976F-8EAC2B608ADB}">
              <a16:predDERef xmlns:a16="http://schemas.microsoft.com/office/drawing/2014/main" pred="{E7221F03-FB2F-4121-B3CB-202D80C9D50C}"/>
            </a:ext>
          </a:extLst>
        </xdr:cNvPr>
        <xdr:cNvPicPr>
          <a:picLocks noChangeAspect="1"/>
        </xdr:cNvPicPr>
      </xdr:nvPicPr>
      <xdr:blipFill>
        <a:blip xmlns:r="http://schemas.openxmlformats.org/officeDocument/2006/relationships" r:embed="rId14"/>
        <a:stretch>
          <a:fillRect/>
        </a:stretch>
      </xdr:blipFill>
      <xdr:spPr>
        <a:xfrm>
          <a:off x="180975" y="15716250"/>
          <a:ext cx="3943350" cy="1285875"/>
        </a:xfrm>
        <a:prstGeom prst="rect">
          <a:avLst/>
        </a:prstGeom>
      </xdr:spPr>
    </xdr:pic>
    <xdr:clientData/>
  </xdr:twoCellAnchor>
  <xdr:twoCellAnchor editAs="oneCell">
    <xdr:from>
      <xdr:col>3</xdr:col>
      <xdr:colOff>266700</xdr:colOff>
      <xdr:row>115</xdr:row>
      <xdr:rowOff>133350</xdr:rowOff>
    </xdr:from>
    <xdr:to>
      <xdr:col>4</xdr:col>
      <xdr:colOff>1362075</xdr:colOff>
      <xdr:row>123</xdr:row>
      <xdr:rowOff>142875</xdr:rowOff>
    </xdr:to>
    <xdr:pic>
      <xdr:nvPicPr>
        <xdr:cNvPr id="46" name="Imagem 41">
          <a:extLst>
            <a:ext uri="{FF2B5EF4-FFF2-40B4-BE49-F238E27FC236}">
              <a16:creationId xmlns:a16="http://schemas.microsoft.com/office/drawing/2014/main" id="{C5549A0A-B3A9-47AF-80E7-2A5F5D86ED85}"/>
            </a:ext>
            <a:ext uri="{147F2762-F138-4A5C-976F-8EAC2B608ADB}">
              <a16:predDERef xmlns:a16="http://schemas.microsoft.com/office/drawing/2014/main" pred="{C4BF062D-8436-46C8-B919-331A04473919}"/>
            </a:ext>
          </a:extLst>
        </xdr:cNvPr>
        <xdr:cNvPicPr>
          <a:picLocks noChangeAspect="1"/>
        </xdr:cNvPicPr>
      </xdr:nvPicPr>
      <xdr:blipFill>
        <a:blip xmlns:r="http://schemas.openxmlformats.org/officeDocument/2006/relationships" r:embed="rId16"/>
        <a:stretch>
          <a:fillRect/>
        </a:stretch>
      </xdr:blipFill>
      <xdr:spPr>
        <a:xfrm>
          <a:off x="4810125" y="15525750"/>
          <a:ext cx="3048000" cy="1533525"/>
        </a:xfrm>
        <a:prstGeom prst="rect">
          <a:avLst/>
        </a:prstGeom>
      </xdr:spPr>
    </xdr:pic>
    <xdr:clientData/>
  </xdr:twoCellAnchor>
  <xdr:twoCellAnchor editAs="oneCell">
    <xdr:from>
      <xdr:col>2</xdr:col>
      <xdr:colOff>1076325</xdr:colOff>
      <xdr:row>127</xdr:row>
      <xdr:rowOff>9525</xdr:rowOff>
    </xdr:from>
    <xdr:to>
      <xdr:col>4</xdr:col>
      <xdr:colOff>1666875</xdr:colOff>
      <xdr:row>133</xdr:row>
      <xdr:rowOff>114300</xdr:rowOff>
    </xdr:to>
    <xdr:pic>
      <xdr:nvPicPr>
        <xdr:cNvPr id="47" name="Imagem 42">
          <a:extLst>
            <a:ext uri="{FF2B5EF4-FFF2-40B4-BE49-F238E27FC236}">
              <a16:creationId xmlns:a16="http://schemas.microsoft.com/office/drawing/2014/main" id="{C9CD0C46-20BA-4123-B42A-E2ED45615501}"/>
            </a:ext>
            <a:ext uri="{147F2762-F138-4A5C-976F-8EAC2B608ADB}">
              <a16:predDERef xmlns:a16="http://schemas.microsoft.com/office/drawing/2014/main" pred="{C5549A0A-B3A9-47AF-80E7-2A5F5D86ED85}"/>
            </a:ext>
          </a:extLst>
        </xdr:cNvPr>
        <xdr:cNvPicPr>
          <a:picLocks noChangeAspect="1"/>
        </xdr:cNvPicPr>
      </xdr:nvPicPr>
      <xdr:blipFill>
        <a:blip xmlns:r="http://schemas.openxmlformats.org/officeDocument/2006/relationships" r:embed="rId17"/>
        <a:stretch>
          <a:fillRect/>
        </a:stretch>
      </xdr:blipFill>
      <xdr:spPr>
        <a:xfrm>
          <a:off x="4371975" y="23774400"/>
          <a:ext cx="3790950" cy="1247775"/>
        </a:xfrm>
        <a:prstGeom prst="rect">
          <a:avLst/>
        </a:prstGeom>
      </xdr:spPr>
    </xdr:pic>
    <xdr:clientData/>
  </xdr:twoCellAnchor>
  <xdr:twoCellAnchor editAs="oneCell">
    <xdr:from>
      <xdr:col>0</xdr:col>
      <xdr:colOff>180975</xdr:colOff>
      <xdr:row>209</xdr:row>
      <xdr:rowOff>142875</xdr:rowOff>
    </xdr:from>
    <xdr:to>
      <xdr:col>2</xdr:col>
      <xdr:colOff>828675</xdr:colOff>
      <xdr:row>216</xdr:row>
      <xdr:rowOff>95250</xdr:rowOff>
    </xdr:to>
    <xdr:pic>
      <xdr:nvPicPr>
        <xdr:cNvPr id="48" name="Imagem 39">
          <a:extLst>
            <a:ext uri="{FF2B5EF4-FFF2-40B4-BE49-F238E27FC236}">
              <a16:creationId xmlns:a16="http://schemas.microsoft.com/office/drawing/2014/main" id="{2DD8D3E2-FF8F-4832-8581-D18D5B09EBB0}"/>
            </a:ext>
            <a:ext uri="{147F2762-F138-4A5C-976F-8EAC2B608ADB}">
              <a16:predDERef xmlns:a16="http://schemas.microsoft.com/office/drawing/2014/main" pred="{C9CD0C46-20BA-4123-B42A-E2ED45615501}"/>
            </a:ext>
          </a:extLst>
        </xdr:cNvPr>
        <xdr:cNvPicPr>
          <a:picLocks noChangeAspect="1"/>
        </xdr:cNvPicPr>
      </xdr:nvPicPr>
      <xdr:blipFill>
        <a:blip xmlns:r="http://schemas.openxmlformats.org/officeDocument/2006/relationships" r:embed="rId14"/>
        <a:stretch>
          <a:fillRect/>
        </a:stretch>
      </xdr:blipFill>
      <xdr:spPr>
        <a:xfrm>
          <a:off x="180975" y="21812250"/>
          <a:ext cx="3943350" cy="1285875"/>
        </a:xfrm>
        <a:prstGeom prst="rect">
          <a:avLst/>
        </a:prstGeom>
      </xdr:spPr>
    </xdr:pic>
    <xdr:clientData/>
  </xdr:twoCellAnchor>
  <xdr:twoCellAnchor editAs="oneCell">
    <xdr:from>
      <xdr:col>3</xdr:col>
      <xdr:colOff>266700</xdr:colOff>
      <xdr:row>208</xdr:row>
      <xdr:rowOff>133350</xdr:rowOff>
    </xdr:from>
    <xdr:to>
      <xdr:col>4</xdr:col>
      <xdr:colOff>1362075</xdr:colOff>
      <xdr:row>216</xdr:row>
      <xdr:rowOff>142875</xdr:rowOff>
    </xdr:to>
    <xdr:pic>
      <xdr:nvPicPr>
        <xdr:cNvPr id="50" name="Imagem 41">
          <a:extLst>
            <a:ext uri="{FF2B5EF4-FFF2-40B4-BE49-F238E27FC236}">
              <a16:creationId xmlns:a16="http://schemas.microsoft.com/office/drawing/2014/main" id="{98140882-B229-4146-81C5-6F6DC9308ABA}"/>
            </a:ext>
            <a:ext uri="{147F2762-F138-4A5C-976F-8EAC2B608ADB}">
              <a16:predDERef xmlns:a16="http://schemas.microsoft.com/office/drawing/2014/main" pred="{B061270A-1113-4973-816E-9DA9FCDE04C7}"/>
            </a:ext>
          </a:extLst>
        </xdr:cNvPr>
        <xdr:cNvPicPr>
          <a:picLocks noChangeAspect="1"/>
        </xdr:cNvPicPr>
      </xdr:nvPicPr>
      <xdr:blipFill>
        <a:blip xmlns:r="http://schemas.openxmlformats.org/officeDocument/2006/relationships" r:embed="rId16"/>
        <a:stretch>
          <a:fillRect/>
        </a:stretch>
      </xdr:blipFill>
      <xdr:spPr>
        <a:xfrm>
          <a:off x="4810125" y="21612225"/>
          <a:ext cx="3048000" cy="1533525"/>
        </a:xfrm>
        <a:prstGeom prst="rect">
          <a:avLst/>
        </a:prstGeom>
      </xdr:spPr>
    </xdr:pic>
    <xdr:clientData/>
  </xdr:twoCellAnchor>
  <xdr:twoCellAnchor editAs="oneCell">
    <xdr:from>
      <xdr:col>2</xdr:col>
      <xdr:colOff>1095375</xdr:colOff>
      <xdr:row>220</xdr:row>
      <xdr:rowOff>47625</xdr:rowOff>
    </xdr:from>
    <xdr:to>
      <xdr:col>4</xdr:col>
      <xdr:colOff>1457325</xdr:colOff>
      <xdr:row>226</xdr:row>
      <xdr:rowOff>76200</xdr:rowOff>
    </xdr:to>
    <xdr:pic>
      <xdr:nvPicPr>
        <xdr:cNvPr id="51" name="Imagem 42">
          <a:extLst>
            <a:ext uri="{FF2B5EF4-FFF2-40B4-BE49-F238E27FC236}">
              <a16:creationId xmlns:a16="http://schemas.microsoft.com/office/drawing/2014/main" id="{DD32AAD5-67BA-404F-96E1-F05A54F8B9D5}"/>
            </a:ext>
            <a:ext uri="{147F2762-F138-4A5C-976F-8EAC2B608ADB}">
              <a16:predDERef xmlns:a16="http://schemas.microsoft.com/office/drawing/2014/main" pred="{98140882-B229-4146-81C5-6F6DC9308ABA}"/>
            </a:ext>
          </a:extLst>
        </xdr:cNvPr>
        <xdr:cNvPicPr>
          <a:picLocks noChangeAspect="1"/>
        </xdr:cNvPicPr>
      </xdr:nvPicPr>
      <xdr:blipFill>
        <a:blip xmlns:r="http://schemas.openxmlformats.org/officeDocument/2006/relationships" r:embed="rId17"/>
        <a:stretch>
          <a:fillRect/>
        </a:stretch>
      </xdr:blipFill>
      <xdr:spPr>
        <a:xfrm>
          <a:off x="4391025" y="39624000"/>
          <a:ext cx="3562350" cy="1171575"/>
        </a:xfrm>
        <a:prstGeom prst="rect">
          <a:avLst/>
        </a:prstGeom>
      </xdr:spPr>
    </xdr:pic>
    <xdr:clientData/>
  </xdr:twoCellAnchor>
  <xdr:twoCellAnchor editAs="oneCell">
    <xdr:from>
      <xdr:col>1</xdr:col>
      <xdr:colOff>676275</xdr:colOff>
      <xdr:row>253</xdr:row>
      <xdr:rowOff>9525</xdr:rowOff>
    </xdr:from>
    <xdr:to>
      <xdr:col>3</xdr:col>
      <xdr:colOff>1438275</xdr:colOff>
      <xdr:row>261</xdr:row>
      <xdr:rowOff>104775</xdr:rowOff>
    </xdr:to>
    <xdr:pic>
      <xdr:nvPicPr>
        <xdr:cNvPr id="10" name="Imagem 41">
          <a:extLst>
            <a:ext uri="{FF2B5EF4-FFF2-40B4-BE49-F238E27FC236}">
              <a16:creationId xmlns:a16="http://schemas.microsoft.com/office/drawing/2014/main" id="{EA65B99E-614D-4CAB-8E74-3925D7A39C2A}"/>
            </a:ext>
            <a:ext uri="{147F2762-F138-4A5C-976F-8EAC2B608ADB}">
              <a16:predDERef xmlns:a16="http://schemas.microsoft.com/office/drawing/2014/main" pred="{DD32AAD5-67BA-404F-96E1-F05A54F8B9D5}"/>
            </a:ext>
          </a:extLst>
        </xdr:cNvPr>
        <xdr:cNvPicPr>
          <a:picLocks noChangeAspect="1"/>
        </xdr:cNvPicPr>
      </xdr:nvPicPr>
      <xdr:blipFill>
        <a:blip xmlns:r="http://schemas.openxmlformats.org/officeDocument/2006/relationships" r:embed="rId16"/>
        <a:stretch>
          <a:fillRect/>
        </a:stretch>
      </xdr:blipFill>
      <xdr:spPr>
        <a:xfrm>
          <a:off x="2771775" y="45491400"/>
          <a:ext cx="3209925" cy="1619250"/>
        </a:xfrm>
        <a:prstGeom prst="rect">
          <a:avLst/>
        </a:prstGeom>
      </xdr:spPr>
    </xdr:pic>
    <xdr:clientData/>
  </xdr:twoCellAnchor>
  <xdr:twoCellAnchor editAs="oneCell">
    <xdr:from>
      <xdr:col>1</xdr:col>
      <xdr:colOff>590550</xdr:colOff>
      <xdr:row>243</xdr:row>
      <xdr:rowOff>66675</xdr:rowOff>
    </xdr:from>
    <xdr:to>
      <xdr:col>3</xdr:col>
      <xdr:colOff>1485900</xdr:colOff>
      <xdr:row>251</xdr:row>
      <xdr:rowOff>161925</xdr:rowOff>
    </xdr:to>
    <xdr:pic>
      <xdr:nvPicPr>
        <xdr:cNvPr id="12" name="Imagem 11">
          <a:extLst>
            <a:ext uri="{FF2B5EF4-FFF2-40B4-BE49-F238E27FC236}">
              <a16:creationId xmlns:a16="http://schemas.microsoft.com/office/drawing/2014/main" id="{E7BFA9DF-D9AE-FFC5-21BC-93E44CDE69F7}"/>
            </a:ext>
            <a:ext uri="{147F2762-F138-4A5C-976F-8EAC2B608ADB}">
              <a16:predDERef xmlns:a16="http://schemas.microsoft.com/office/drawing/2014/main" pred="{EA65B99E-614D-4CAB-8E74-3925D7A39C2A}"/>
            </a:ext>
          </a:extLst>
        </xdr:cNvPr>
        <xdr:cNvPicPr>
          <a:picLocks noChangeAspect="1"/>
        </xdr:cNvPicPr>
      </xdr:nvPicPr>
      <xdr:blipFill>
        <a:blip xmlns:r="http://schemas.openxmlformats.org/officeDocument/2006/relationships" r:embed="rId18"/>
        <a:stretch>
          <a:fillRect/>
        </a:stretch>
      </xdr:blipFill>
      <xdr:spPr>
        <a:xfrm>
          <a:off x="2686050" y="43643550"/>
          <a:ext cx="3343275" cy="1619250"/>
        </a:xfrm>
        <a:prstGeom prst="rect">
          <a:avLst/>
        </a:prstGeom>
      </xdr:spPr>
    </xdr:pic>
    <xdr:clientData/>
  </xdr:twoCellAnchor>
  <xdr:twoCellAnchor editAs="oneCell">
    <xdr:from>
      <xdr:col>1</xdr:col>
      <xdr:colOff>495300</xdr:colOff>
      <xdr:row>275</xdr:row>
      <xdr:rowOff>123825</xdr:rowOff>
    </xdr:from>
    <xdr:to>
      <xdr:col>3</xdr:col>
      <xdr:colOff>1190625</xdr:colOff>
      <xdr:row>283</xdr:row>
      <xdr:rowOff>9525</xdr:rowOff>
    </xdr:to>
    <xdr:pic>
      <xdr:nvPicPr>
        <xdr:cNvPr id="15" name="Imagem 14">
          <a:extLst>
            <a:ext uri="{FF2B5EF4-FFF2-40B4-BE49-F238E27FC236}">
              <a16:creationId xmlns:a16="http://schemas.microsoft.com/office/drawing/2014/main" id="{DCE8D9CA-D0FF-3A53-EA97-5D75B0D45AE4}"/>
            </a:ext>
            <a:ext uri="{147F2762-F138-4A5C-976F-8EAC2B608ADB}">
              <a16:predDERef xmlns:a16="http://schemas.microsoft.com/office/drawing/2014/main" pred="{E7BFA9DF-D9AE-FFC5-21BC-93E44CDE69F7}"/>
            </a:ext>
          </a:extLst>
        </xdr:cNvPr>
        <xdr:cNvPicPr>
          <a:picLocks noChangeAspect="1"/>
        </xdr:cNvPicPr>
      </xdr:nvPicPr>
      <xdr:blipFill>
        <a:blip xmlns:r="http://schemas.openxmlformats.org/officeDocument/2006/relationships" r:embed="rId19"/>
        <a:stretch>
          <a:fillRect/>
        </a:stretch>
      </xdr:blipFill>
      <xdr:spPr>
        <a:xfrm>
          <a:off x="2590800" y="49796700"/>
          <a:ext cx="3143250" cy="1409700"/>
        </a:xfrm>
        <a:prstGeom prst="rect">
          <a:avLst/>
        </a:prstGeom>
      </xdr:spPr>
    </xdr:pic>
    <xdr:clientData/>
  </xdr:twoCellAnchor>
  <xdr:twoCellAnchor editAs="oneCell">
    <xdr:from>
      <xdr:col>0</xdr:col>
      <xdr:colOff>180975</xdr:colOff>
      <xdr:row>283</xdr:row>
      <xdr:rowOff>57150</xdr:rowOff>
    </xdr:from>
    <xdr:to>
      <xdr:col>2</xdr:col>
      <xdr:colOff>695325</xdr:colOff>
      <xdr:row>296</xdr:row>
      <xdr:rowOff>47625</xdr:rowOff>
    </xdr:to>
    <xdr:pic>
      <xdr:nvPicPr>
        <xdr:cNvPr id="16" name="Imagem 15">
          <a:extLst>
            <a:ext uri="{FF2B5EF4-FFF2-40B4-BE49-F238E27FC236}">
              <a16:creationId xmlns:a16="http://schemas.microsoft.com/office/drawing/2014/main" id="{F3D69AB1-0BA5-38CB-C8BE-E3BB0C61F0B2}"/>
            </a:ext>
            <a:ext uri="{147F2762-F138-4A5C-976F-8EAC2B608ADB}">
              <a16:predDERef xmlns:a16="http://schemas.microsoft.com/office/drawing/2014/main" pred="{DCE8D9CA-D0FF-3A53-EA97-5D75B0D45AE4}"/>
            </a:ext>
          </a:extLst>
        </xdr:cNvPr>
        <xdr:cNvPicPr>
          <a:picLocks noChangeAspect="1"/>
        </xdr:cNvPicPr>
      </xdr:nvPicPr>
      <xdr:blipFill>
        <a:blip xmlns:r="http://schemas.openxmlformats.org/officeDocument/2006/relationships" r:embed="rId20"/>
        <a:stretch>
          <a:fillRect/>
        </a:stretch>
      </xdr:blipFill>
      <xdr:spPr>
        <a:xfrm>
          <a:off x="180975" y="51254025"/>
          <a:ext cx="3810000" cy="2466975"/>
        </a:xfrm>
        <a:prstGeom prst="rect">
          <a:avLst/>
        </a:prstGeom>
      </xdr:spPr>
    </xdr:pic>
    <xdr:clientData/>
  </xdr:twoCellAnchor>
  <xdr:twoCellAnchor editAs="oneCell">
    <xdr:from>
      <xdr:col>3</xdr:col>
      <xdr:colOff>66675</xdr:colOff>
      <xdr:row>322</xdr:row>
      <xdr:rowOff>47625</xdr:rowOff>
    </xdr:from>
    <xdr:to>
      <xdr:col>4</xdr:col>
      <xdr:colOff>1162050</xdr:colOff>
      <xdr:row>330</xdr:row>
      <xdr:rowOff>57150</xdr:rowOff>
    </xdr:to>
    <xdr:pic>
      <xdr:nvPicPr>
        <xdr:cNvPr id="19" name="Imagem 41">
          <a:extLst>
            <a:ext uri="{FF2B5EF4-FFF2-40B4-BE49-F238E27FC236}">
              <a16:creationId xmlns:a16="http://schemas.microsoft.com/office/drawing/2014/main" id="{F65E130F-3ACC-43CE-8A84-3974DC377310}"/>
            </a:ext>
            <a:ext uri="{147F2762-F138-4A5C-976F-8EAC2B608ADB}">
              <a16:predDERef xmlns:a16="http://schemas.microsoft.com/office/drawing/2014/main" pred="{F3D69AB1-0BA5-38CB-C8BE-E3BB0C61F0B2}"/>
            </a:ext>
          </a:extLst>
        </xdr:cNvPr>
        <xdr:cNvPicPr>
          <a:picLocks noChangeAspect="1"/>
        </xdr:cNvPicPr>
      </xdr:nvPicPr>
      <xdr:blipFill>
        <a:blip xmlns:r="http://schemas.openxmlformats.org/officeDocument/2006/relationships" r:embed="rId16"/>
        <a:stretch>
          <a:fillRect/>
        </a:stretch>
      </xdr:blipFill>
      <xdr:spPr>
        <a:xfrm>
          <a:off x="4610100" y="59893200"/>
          <a:ext cx="3048000" cy="1533525"/>
        </a:xfrm>
        <a:prstGeom prst="rect">
          <a:avLst/>
        </a:prstGeom>
      </xdr:spPr>
    </xdr:pic>
    <xdr:clientData/>
  </xdr:twoCellAnchor>
  <xdr:twoCellAnchor editAs="oneCell">
    <xdr:from>
      <xdr:col>0</xdr:col>
      <xdr:colOff>714375</xdr:colOff>
      <xdr:row>322</xdr:row>
      <xdr:rowOff>28575</xdr:rowOff>
    </xdr:from>
    <xdr:to>
      <xdr:col>2</xdr:col>
      <xdr:colOff>762000</xdr:colOff>
      <xdr:row>330</xdr:row>
      <xdr:rowOff>123825</xdr:rowOff>
    </xdr:to>
    <xdr:pic>
      <xdr:nvPicPr>
        <xdr:cNvPr id="29" name="Imagem 28">
          <a:extLst>
            <a:ext uri="{FF2B5EF4-FFF2-40B4-BE49-F238E27FC236}">
              <a16:creationId xmlns:a16="http://schemas.microsoft.com/office/drawing/2014/main" id="{99AD0138-1FBA-4B6F-8642-4EA86F22EA62}"/>
            </a:ext>
            <a:ext uri="{147F2762-F138-4A5C-976F-8EAC2B608ADB}">
              <a16:predDERef xmlns:a16="http://schemas.microsoft.com/office/drawing/2014/main" pred="{F65E130F-3ACC-43CE-8A84-3974DC377310}"/>
            </a:ext>
          </a:extLst>
        </xdr:cNvPr>
        <xdr:cNvPicPr>
          <a:picLocks noChangeAspect="1"/>
        </xdr:cNvPicPr>
      </xdr:nvPicPr>
      <xdr:blipFill>
        <a:blip xmlns:r="http://schemas.openxmlformats.org/officeDocument/2006/relationships" r:embed="rId18"/>
        <a:stretch>
          <a:fillRect/>
        </a:stretch>
      </xdr:blipFill>
      <xdr:spPr>
        <a:xfrm>
          <a:off x="714375" y="59874150"/>
          <a:ext cx="3343275" cy="1619250"/>
        </a:xfrm>
        <a:prstGeom prst="rect">
          <a:avLst/>
        </a:prstGeom>
      </xdr:spPr>
    </xdr:pic>
    <xdr:clientData/>
  </xdr:twoCellAnchor>
  <xdr:twoCellAnchor editAs="oneCell">
    <xdr:from>
      <xdr:col>0</xdr:col>
      <xdr:colOff>409575</xdr:colOff>
      <xdr:row>349</xdr:row>
      <xdr:rowOff>142875</xdr:rowOff>
    </xdr:from>
    <xdr:to>
      <xdr:col>2</xdr:col>
      <xdr:colOff>571500</xdr:colOff>
      <xdr:row>370</xdr:row>
      <xdr:rowOff>38100</xdr:rowOff>
    </xdr:to>
    <xdr:pic>
      <xdr:nvPicPr>
        <xdr:cNvPr id="33" name="Imagem 32">
          <a:extLst>
            <a:ext uri="{FF2B5EF4-FFF2-40B4-BE49-F238E27FC236}">
              <a16:creationId xmlns:a16="http://schemas.microsoft.com/office/drawing/2014/main" id="{F57933E3-D0E1-8F1B-BDBA-0EC2ED8EB2E3}"/>
            </a:ext>
            <a:ext uri="{147F2762-F138-4A5C-976F-8EAC2B608ADB}">
              <a16:predDERef xmlns:a16="http://schemas.microsoft.com/office/drawing/2014/main" pred="{EA42040C-3828-4CC5-AE77-412FB678D291}"/>
            </a:ext>
          </a:extLst>
        </xdr:cNvPr>
        <xdr:cNvPicPr>
          <a:picLocks noChangeAspect="1"/>
        </xdr:cNvPicPr>
      </xdr:nvPicPr>
      <xdr:blipFill>
        <a:blip xmlns:r="http://schemas.openxmlformats.org/officeDocument/2006/relationships" r:embed="rId21"/>
        <a:stretch>
          <a:fillRect/>
        </a:stretch>
      </xdr:blipFill>
      <xdr:spPr>
        <a:xfrm>
          <a:off x="409575" y="65131950"/>
          <a:ext cx="3457575" cy="3895725"/>
        </a:xfrm>
        <a:prstGeom prst="rect">
          <a:avLst/>
        </a:prstGeom>
      </xdr:spPr>
    </xdr:pic>
    <xdr:clientData/>
  </xdr:twoCellAnchor>
  <xdr:twoCellAnchor editAs="oneCell">
    <xdr:from>
      <xdr:col>3</xdr:col>
      <xdr:colOff>219075</xdr:colOff>
      <xdr:row>350</xdr:row>
      <xdr:rowOff>28575</xdr:rowOff>
    </xdr:from>
    <xdr:to>
      <xdr:col>4</xdr:col>
      <xdr:colOff>1323975</xdr:colOff>
      <xdr:row>369</xdr:row>
      <xdr:rowOff>47625</xdr:rowOff>
    </xdr:to>
    <xdr:pic>
      <xdr:nvPicPr>
        <xdr:cNvPr id="34" name="Imagem 33">
          <a:extLst>
            <a:ext uri="{FF2B5EF4-FFF2-40B4-BE49-F238E27FC236}">
              <a16:creationId xmlns:a16="http://schemas.microsoft.com/office/drawing/2014/main" id="{E4CF62CE-5B6D-71E9-ACED-19DC77BC504B}"/>
            </a:ext>
            <a:ext uri="{147F2762-F138-4A5C-976F-8EAC2B608ADB}">
              <a16:predDERef xmlns:a16="http://schemas.microsoft.com/office/drawing/2014/main" pred="{F57933E3-D0E1-8F1B-BDBA-0EC2ED8EB2E3}"/>
            </a:ext>
          </a:extLst>
        </xdr:cNvPr>
        <xdr:cNvPicPr>
          <a:picLocks noChangeAspect="1"/>
        </xdr:cNvPicPr>
      </xdr:nvPicPr>
      <xdr:blipFill>
        <a:blip xmlns:r="http://schemas.openxmlformats.org/officeDocument/2006/relationships" r:embed="rId22"/>
        <a:stretch>
          <a:fillRect/>
        </a:stretch>
      </xdr:blipFill>
      <xdr:spPr>
        <a:xfrm>
          <a:off x="4762500" y="65208150"/>
          <a:ext cx="3057525" cy="3638550"/>
        </a:xfrm>
        <a:prstGeom prst="rect">
          <a:avLst/>
        </a:prstGeom>
      </xdr:spPr>
    </xdr:pic>
    <xdr:clientData/>
  </xdr:twoCellAnchor>
  <xdr:twoCellAnchor editAs="oneCell">
    <xdr:from>
      <xdr:col>2</xdr:col>
      <xdr:colOff>962025</xdr:colOff>
      <xdr:row>283</xdr:row>
      <xdr:rowOff>104775</xdr:rowOff>
    </xdr:from>
    <xdr:to>
      <xdr:col>4</xdr:col>
      <xdr:colOff>1304925</xdr:colOff>
      <xdr:row>296</xdr:row>
      <xdr:rowOff>95250</xdr:rowOff>
    </xdr:to>
    <xdr:pic>
      <xdr:nvPicPr>
        <xdr:cNvPr id="39" name="Imagem 38">
          <a:extLst>
            <a:ext uri="{FF2B5EF4-FFF2-40B4-BE49-F238E27FC236}">
              <a16:creationId xmlns:a16="http://schemas.microsoft.com/office/drawing/2014/main" id="{000CB5F6-C505-36A9-8102-D04DD708A4C7}"/>
            </a:ext>
            <a:ext uri="{147F2762-F138-4A5C-976F-8EAC2B608ADB}">
              <a16:predDERef xmlns:a16="http://schemas.microsoft.com/office/drawing/2014/main" pred="{E4CF62CE-5B6D-71E9-ACED-19DC77BC504B}"/>
            </a:ext>
          </a:extLst>
        </xdr:cNvPr>
        <xdr:cNvPicPr>
          <a:picLocks noChangeAspect="1"/>
        </xdr:cNvPicPr>
      </xdr:nvPicPr>
      <xdr:blipFill>
        <a:blip xmlns:r="http://schemas.openxmlformats.org/officeDocument/2006/relationships" r:embed="rId23"/>
        <a:stretch>
          <a:fillRect/>
        </a:stretch>
      </xdr:blipFill>
      <xdr:spPr>
        <a:xfrm>
          <a:off x="4257675" y="51301650"/>
          <a:ext cx="3543300" cy="2466975"/>
        </a:xfrm>
        <a:prstGeom prst="rect">
          <a:avLst/>
        </a:prstGeom>
      </xdr:spPr>
    </xdr:pic>
    <xdr:clientData/>
  </xdr:twoCellAnchor>
  <xdr:twoCellAnchor editAs="oneCell">
    <xdr:from>
      <xdr:col>1</xdr:col>
      <xdr:colOff>200025</xdr:colOff>
      <xdr:row>385</xdr:row>
      <xdr:rowOff>161925</xdr:rowOff>
    </xdr:from>
    <xdr:to>
      <xdr:col>3</xdr:col>
      <xdr:colOff>1095375</xdr:colOff>
      <xdr:row>394</xdr:row>
      <xdr:rowOff>66675</xdr:rowOff>
    </xdr:to>
    <xdr:pic>
      <xdr:nvPicPr>
        <xdr:cNvPr id="53" name="Imagem 28">
          <a:extLst>
            <a:ext uri="{FF2B5EF4-FFF2-40B4-BE49-F238E27FC236}">
              <a16:creationId xmlns:a16="http://schemas.microsoft.com/office/drawing/2014/main" id="{63C57D0D-E4F0-4025-9610-0AB4E6809FD1}"/>
            </a:ext>
            <a:ext uri="{147F2762-F138-4A5C-976F-8EAC2B608ADB}">
              <a16:predDERef xmlns:a16="http://schemas.microsoft.com/office/drawing/2014/main" pred="{000CB5F6-C505-36A9-8102-D04DD708A4C7}"/>
            </a:ext>
          </a:extLst>
        </xdr:cNvPr>
        <xdr:cNvPicPr>
          <a:picLocks noChangeAspect="1"/>
        </xdr:cNvPicPr>
      </xdr:nvPicPr>
      <xdr:blipFill>
        <a:blip xmlns:r="http://schemas.openxmlformats.org/officeDocument/2006/relationships" r:embed="rId18"/>
        <a:stretch>
          <a:fillRect/>
        </a:stretch>
      </xdr:blipFill>
      <xdr:spPr>
        <a:xfrm>
          <a:off x="2295525" y="73761600"/>
          <a:ext cx="3343275" cy="1619250"/>
        </a:xfrm>
        <a:prstGeom prst="rect">
          <a:avLst/>
        </a:prstGeom>
      </xdr:spPr>
    </xdr:pic>
    <xdr:clientData/>
  </xdr:twoCellAnchor>
  <xdr:twoCellAnchor editAs="oneCell">
    <xdr:from>
      <xdr:col>0</xdr:col>
      <xdr:colOff>1790700</xdr:colOff>
      <xdr:row>395</xdr:row>
      <xdr:rowOff>66675</xdr:rowOff>
    </xdr:from>
    <xdr:to>
      <xdr:col>3</xdr:col>
      <xdr:colOff>1809750</xdr:colOff>
      <xdr:row>404</xdr:row>
      <xdr:rowOff>171450</xdr:rowOff>
    </xdr:to>
    <xdr:pic>
      <xdr:nvPicPr>
        <xdr:cNvPr id="54" name="Imagem 53">
          <a:extLst>
            <a:ext uri="{FF2B5EF4-FFF2-40B4-BE49-F238E27FC236}">
              <a16:creationId xmlns:a16="http://schemas.microsoft.com/office/drawing/2014/main" id="{D8955696-C90E-7736-A7F8-BFEF005FC6F7}"/>
            </a:ext>
            <a:ext uri="{147F2762-F138-4A5C-976F-8EAC2B608ADB}">
              <a16:predDERef xmlns:a16="http://schemas.microsoft.com/office/drawing/2014/main" pred="{63C57D0D-E4F0-4025-9610-0AB4E6809FD1}"/>
            </a:ext>
          </a:extLst>
        </xdr:cNvPr>
        <xdr:cNvPicPr>
          <a:picLocks noChangeAspect="1"/>
        </xdr:cNvPicPr>
      </xdr:nvPicPr>
      <xdr:blipFill>
        <a:blip xmlns:r="http://schemas.openxmlformats.org/officeDocument/2006/relationships" r:embed="rId24"/>
        <a:stretch>
          <a:fillRect/>
        </a:stretch>
      </xdr:blipFill>
      <xdr:spPr>
        <a:xfrm>
          <a:off x="1790700" y="75571350"/>
          <a:ext cx="4562475" cy="1819275"/>
        </a:xfrm>
        <a:prstGeom prst="rect">
          <a:avLst/>
        </a:prstGeom>
      </xdr:spPr>
    </xdr:pic>
    <xdr:clientData/>
  </xdr:twoCellAnchor>
  <xdr:twoCellAnchor editAs="oneCell">
    <xdr:from>
      <xdr:col>0</xdr:col>
      <xdr:colOff>228600</xdr:colOff>
      <xdr:row>125</xdr:row>
      <xdr:rowOff>95250</xdr:rowOff>
    </xdr:from>
    <xdr:to>
      <xdr:col>2</xdr:col>
      <xdr:colOff>304800</xdr:colOff>
      <xdr:row>133</xdr:row>
      <xdr:rowOff>161925</xdr:rowOff>
    </xdr:to>
    <xdr:pic>
      <xdr:nvPicPr>
        <xdr:cNvPr id="55" name="Imagem 54">
          <a:extLst>
            <a:ext uri="{FF2B5EF4-FFF2-40B4-BE49-F238E27FC236}">
              <a16:creationId xmlns:a16="http://schemas.microsoft.com/office/drawing/2014/main" id="{EC487E89-9067-D8C2-556C-2B22EEAFF1E0}"/>
            </a:ext>
            <a:ext uri="{147F2762-F138-4A5C-976F-8EAC2B608ADB}">
              <a16:predDERef xmlns:a16="http://schemas.microsoft.com/office/drawing/2014/main" pred="{D8955696-C90E-7736-A7F8-BFEF005FC6F7}"/>
            </a:ext>
          </a:extLst>
        </xdr:cNvPr>
        <xdr:cNvPicPr>
          <a:picLocks noChangeAspect="1"/>
        </xdr:cNvPicPr>
      </xdr:nvPicPr>
      <xdr:blipFill>
        <a:blip xmlns:r="http://schemas.openxmlformats.org/officeDocument/2006/relationships" r:embed="rId25"/>
        <a:stretch>
          <a:fillRect/>
        </a:stretch>
      </xdr:blipFill>
      <xdr:spPr>
        <a:xfrm>
          <a:off x="228600" y="23479125"/>
          <a:ext cx="3371850" cy="1590675"/>
        </a:xfrm>
        <a:prstGeom prst="rect">
          <a:avLst/>
        </a:prstGeom>
      </xdr:spPr>
    </xdr:pic>
    <xdr:clientData/>
  </xdr:twoCellAnchor>
  <xdr:twoCellAnchor editAs="oneCell">
    <xdr:from>
      <xdr:col>0</xdr:col>
      <xdr:colOff>228600</xdr:colOff>
      <xdr:row>217</xdr:row>
      <xdr:rowOff>180975</xdr:rowOff>
    </xdr:from>
    <xdr:to>
      <xdr:col>2</xdr:col>
      <xdr:colOff>304800</xdr:colOff>
      <xdr:row>226</xdr:row>
      <xdr:rowOff>57150</xdr:rowOff>
    </xdr:to>
    <xdr:pic>
      <xdr:nvPicPr>
        <xdr:cNvPr id="56" name="Imagem 55">
          <a:extLst>
            <a:ext uri="{FF2B5EF4-FFF2-40B4-BE49-F238E27FC236}">
              <a16:creationId xmlns:a16="http://schemas.microsoft.com/office/drawing/2014/main" id="{97D92836-40DF-4240-91EC-1543CCB64B46}"/>
            </a:ext>
            <a:ext uri="{147F2762-F138-4A5C-976F-8EAC2B608ADB}">
              <a16:predDERef xmlns:a16="http://schemas.microsoft.com/office/drawing/2014/main" pred="{EC487E89-9067-D8C2-556C-2B22EEAFF1E0}"/>
            </a:ext>
          </a:extLst>
        </xdr:cNvPr>
        <xdr:cNvPicPr>
          <a:picLocks noChangeAspect="1"/>
        </xdr:cNvPicPr>
      </xdr:nvPicPr>
      <xdr:blipFill>
        <a:blip xmlns:r="http://schemas.openxmlformats.org/officeDocument/2006/relationships" r:embed="rId25"/>
        <a:stretch>
          <a:fillRect/>
        </a:stretch>
      </xdr:blipFill>
      <xdr:spPr>
        <a:xfrm>
          <a:off x="228600" y="39185850"/>
          <a:ext cx="3371850" cy="1590675"/>
        </a:xfrm>
        <a:prstGeom prst="rect">
          <a:avLst/>
        </a:prstGeom>
      </xdr:spPr>
    </xdr:pic>
    <xdr:clientData/>
  </xdr:twoCellAnchor>
  <xdr:twoCellAnchor editAs="oneCell">
    <xdr:from>
      <xdr:col>1</xdr:col>
      <xdr:colOff>47625</xdr:colOff>
      <xdr:row>173</xdr:row>
      <xdr:rowOff>133350</xdr:rowOff>
    </xdr:from>
    <xdr:to>
      <xdr:col>4</xdr:col>
      <xdr:colOff>76200</xdr:colOff>
      <xdr:row>180</xdr:row>
      <xdr:rowOff>161925</xdr:rowOff>
    </xdr:to>
    <xdr:pic>
      <xdr:nvPicPr>
        <xdr:cNvPr id="57" name="Imagem 56">
          <a:extLst>
            <a:ext uri="{FF2B5EF4-FFF2-40B4-BE49-F238E27FC236}">
              <a16:creationId xmlns:a16="http://schemas.microsoft.com/office/drawing/2014/main" id="{0542A4C6-188E-0083-9542-4A75275DB7A6}"/>
            </a:ext>
            <a:ext uri="{147F2762-F138-4A5C-976F-8EAC2B608ADB}">
              <a16:predDERef xmlns:a16="http://schemas.microsoft.com/office/drawing/2014/main" pred="{97D92836-40DF-4240-91EC-1543CCB64B46}"/>
            </a:ext>
          </a:extLst>
        </xdr:cNvPr>
        <xdr:cNvPicPr>
          <a:picLocks noChangeAspect="1"/>
        </xdr:cNvPicPr>
      </xdr:nvPicPr>
      <xdr:blipFill>
        <a:blip xmlns:r="http://schemas.openxmlformats.org/officeDocument/2006/relationships" r:embed="rId26"/>
        <a:stretch>
          <a:fillRect/>
        </a:stretch>
      </xdr:blipFill>
      <xdr:spPr>
        <a:xfrm>
          <a:off x="2143125" y="32661225"/>
          <a:ext cx="4429125" cy="1362075"/>
        </a:xfrm>
        <a:prstGeom prst="rect">
          <a:avLst/>
        </a:prstGeom>
      </xdr:spPr>
    </xdr:pic>
    <xdr:clientData/>
  </xdr:twoCellAnchor>
  <xdr:twoCellAnchor editAs="oneCell">
    <xdr:from>
      <xdr:col>1</xdr:col>
      <xdr:colOff>533400</xdr:colOff>
      <xdr:row>421</xdr:row>
      <xdr:rowOff>104775</xdr:rowOff>
    </xdr:from>
    <xdr:to>
      <xdr:col>3</xdr:col>
      <xdr:colOff>1295400</xdr:colOff>
      <xdr:row>430</xdr:row>
      <xdr:rowOff>9525</xdr:rowOff>
    </xdr:to>
    <xdr:pic>
      <xdr:nvPicPr>
        <xdr:cNvPr id="58" name="Imagem 41">
          <a:extLst>
            <a:ext uri="{FF2B5EF4-FFF2-40B4-BE49-F238E27FC236}">
              <a16:creationId xmlns:a16="http://schemas.microsoft.com/office/drawing/2014/main" id="{2A032490-6A29-40AF-B602-CFE048A7F68B}"/>
            </a:ext>
            <a:ext uri="{147F2762-F138-4A5C-976F-8EAC2B608ADB}">
              <a16:predDERef xmlns:a16="http://schemas.microsoft.com/office/drawing/2014/main" pred="{0542A4C6-188E-0083-9542-4A75275DB7A6}"/>
            </a:ext>
          </a:extLst>
        </xdr:cNvPr>
        <xdr:cNvPicPr>
          <a:picLocks noChangeAspect="1"/>
        </xdr:cNvPicPr>
      </xdr:nvPicPr>
      <xdr:blipFill>
        <a:blip xmlns:r="http://schemas.openxmlformats.org/officeDocument/2006/relationships" r:embed="rId16"/>
        <a:stretch>
          <a:fillRect/>
        </a:stretch>
      </xdr:blipFill>
      <xdr:spPr>
        <a:xfrm>
          <a:off x="2628900" y="82848450"/>
          <a:ext cx="3209925" cy="1619250"/>
        </a:xfrm>
        <a:prstGeom prst="rect">
          <a:avLst/>
        </a:prstGeom>
      </xdr:spPr>
    </xdr:pic>
    <xdr:clientData/>
  </xdr:twoCellAnchor>
  <xdr:twoCellAnchor editAs="oneCell">
    <xdr:from>
      <xdr:col>0</xdr:col>
      <xdr:colOff>1533525</xdr:colOff>
      <xdr:row>452</xdr:row>
      <xdr:rowOff>123825</xdr:rowOff>
    </xdr:from>
    <xdr:to>
      <xdr:col>4</xdr:col>
      <xdr:colOff>695325</xdr:colOff>
      <xdr:row>460</xdr:row>
      <xdr:rowOff>133350</xdr:rowOff>
    </xdr:to>
    <xdr:pic>
      <xdr:nvPicPr>
        <xdr:cNvPr id="61" name="Imagem 60">
          <a:extLst>
            <a:ext uri="{FF2B5EF4-FFF2-40B4-BE49-F238E27FC236}">
              <a16:creationId xmlns:a16="http://schemas.microsoft.com/office/drawing/2014/main" id="{0EC7430E-502B-363B-3075-F7D55A32693D}"/>
            </a:ext>
            <a:ext uri="{147F2762-F138-4A5C-976F-8EAC2B608ADB}">
              <a16:predDERef xmlns:a16="http://schemas.microsoft.com/office/drawing/2014/main" pred="{2A032490-6A29-40AF-B602-CFE048A7F68B}"/>
            </a:ext>
          </a:extLst>
        </xdr:cNvPr>
        <xdr:cNvPicPr>
          <a:picLocks noChangeAspect="1"/>
        </xdr:cNvPicPr>
      </xdr:nvPicPr>
      <xdr:blipFill>
        <a:blip xmlns:r="http://schemas.openxmlformats.org/officeDocument/2006/relationships" r:embed="rId27"/>
        <a:stretch>
          <a:fillRect/>
        </a:stretch>
      </xdr:blipFill>
      <xdr:spPr>
        <a:xfrm>
          <a:off x="1533525" y="88773000"/>
          <a:ext cx="5657850" cy="1533525"/>
        </a:xfrm>
        <a:prstGeom prst="rect">
          <a:avLst/>
        </a:prstGeom>
      </xdr:spPr>
    </xdr:pic>
    <xdr:clientData/>
  </xdr:twoCellAnchor>
  <xdr:twoCellAnchor editAs="oneCell">
    <xdr:from>
      <xdr:col>1</xdr:col>
      <xdr:colOff>533400</xdr:colOff>
      <xdr:row>487</xdr:row>
      <xdr:rowOff>104775</xdr:rowOff>
    </xdr:from>
    <xdr:to>
      <xdr:col>3</xdr:col>
      <xdr:colOff>1295400</xdr:colOff>
      <xdr:row>496</xdr:row>
      <xdr:rowOff>9525</xdr:rowOff>
    </xdr:to>
    <xdr:pic>
      <xdr:nvPicPr>
        <xdr:cNvPr id="62" name="Imagem 41">
          <a:extLst>
            <a:ext uri="{FF2B5EF4-FFF2-40B4-BE49-F238E27FC236}">
              <a16:creationId xmlns:a16="http://schemas.microsoft.com/office/drawing/2014/main" id="{AFD7128B-37B5-48AD-AD14-DB820DDECF47}"/>
            </a:ext>
            <a:ext uri="{147F2762-F138-4A5C-976F-8EAC2B608ADB}">
              <a16:predDERef xmlns:a16="http://schemas.microsoft.com/office/drawing/2014/main" pred="{0EC7430E-502B-363B-3075-F7D55A32693D}"/>
            </a:ext>
          </a:extLst>
        </xdr:cNvPr>
        <xdr:cNvPicPr>
          <a:picLocks noChangeAspect="1"/>
        </xdr:cNvPicPr>
      </xdr:nvPicPr>
      <xdr:blipFill>
        <a:blip xmlns:r="http://schemas.openxmlformats.org/officeDocument/2006/relationships" r:embed="rId16"/>
        <a:stretch>
          <a:fillRect/>
        </a:stretch>
      </xdr:blipFill>
      <xdr:spPr>
        <a:xfrm>
          <a:off x="2628900" y="82848450"/>
          <a:ext cx="3209925" cy="1619250"/>
        </a:xfrm>
        <a:prstGeom prst="rect">
          <a:avLst/>
        </a:prstGeom>
      </xdr:spPr>
    </xdr:pic>
    <xdr:clientData/>
  </xdr:twoCellAnchor>
  <xdr:twoCellAnchor editAs="oneCell">
    <xdr:from>
      <xdr:col>0</xdr:col>
      <xdr:colOff>1952625</xdr:colOff>
      <xdr:row>514</xdr:row>
      <xdr:rowOff>95250</xdr:rowOff>
    </xdr:from>
    <xdr:to>
      <xdr:col>4</xdr:col>
      <xdr:colOff>257175</xdr:colOff>
      <xdr:row>523</xdr:row>
      <xdr:rowOff>133350</xdr:rowOff>
    </xdr:to>
    <xdr:pic>
      <xdr:nvPicPr>
        <xdr:cNvPr id="64" name="Imagem 63">
          <a:extLst>
            <a:ext uri="{FF2B5EF4-FFF2-40B4-BE49-F238E27FC236}">
              <a16:creationId xmlns:a16="http://schemas.microsoft.com/office/drawing/2014/main" id="{E3C18095-B02B-DBC4-DFBD-82EA3BA7B00C}"/>
            </a:ext>
            <a:ext uri="{147F2762-F138-4A5C-976F-8EAC2B608ADB}">
              <a16:predDERef xmlns:a16="http://schemas.microsoft.com/office/drawing/2014/main" pred="{AFD7128B-37B5-48AD-AD14-DB820DDECF47}"/>
            </a:ext>
          </a:extLst>
        </xdr:cNvPr>
        <xdr:cNvPicPr>
          <a:picLocks noChangeAspect="1"/>
        </xdr:cNvPicPr>
      </xdr:nvPicPr>
      <xdr:blipFill>
        <a:blip xmlns:r="http://schemas.openxmlformats.org/officeDocument/2006/relationships" r:embed="rId28"/>
        <a:stretch>
          <a:fillRect/>
        </a:stretch>
      </xdr:blipFill>
      <xdr:spPr>
        <a:xfrm>
          <a:off x="1952625" y="100945950"/>
          <a:ext cx="4800600" cy="1752600"/>
        </a:xfrm>
        <a:prstGeom prst="rect">
          <a:avLst/>
        </a:prstGeom>
      </xdr:spPr>
    </xdr:pic>
    <xdr:clientData/>
  </xdr:twoCellAnchor>
  <xdr:twoCellAnchor editAs="oneCell">
    <xdr:from>
      <xdr:col>1</xdr:col>
      <xdr:colOff>257175</xdr:colOff>
      <xdr:row>524</xdr:row>
      <xdr:rowOff>76200</xdr:rowOff>
    </xdr:from>
    <xdr:to>
      <xdr:col>3</xdr:col>
      <xdr:colOff>1905000</xdr:colOff>
      <xdr:row>535</xdr:row>
      <xdr:rowOff>95250</xdr:rowOff>
    </xdr:to>
    <xdr:pic>
      <xdr:nvPicPr>
        <xdr:cNvPr id="65" name="Imagem 64">
          <a:extLst>
            <a:ext uri="{FF2B5EF4-FFF2-40B4-BE49-F238E27FC236}">
              <a16:creationId xmlns:a16="http://schemas.microsoft.com/office/drawing/2014/main" id="{BF237360-D75A-9258-DC6F-F44CC7B4122F}"/>
            </a:ext>
            <a:ext uri="{147F2762-F138-4A5C-976F-8EAC2B608ADB}">
              <a16:predDERef xmlns:a16="http://schemas.microsoft.com/office/drawing/2014/main" pred="{E3C18095-B02B-DBC4-DFBD-82EA3BA7B00C}"/>
            </a:ext>
          </a:extLst>
        </xdr:cNvPr>
        <xdr:cNvPicPr>
          <a:picLocks noChangeAspect="1"/>
        </xdr:cNvPicPr>
      </xdr:nvPicPr>
      <xdr:blipFill>
        <a:blip xmlns:r="http://schemas.openxmlformats.org/officeDocument/2006/relationships" r:embed="rId29"/>
        <a:stretch>
          <a:fillRect/>
        </a:stretch>
      </xdr:blipFill>
      <xdr:spPr>
        <a:xfrm>
          <a:off x="2352675" y="102641400"/>
          <a:ext cx="4095750" cy="2114550"/>
        </a:xfrm>
        <a:prstGeom prst="rect">
          <a:avLst/>
        </a:prstGeom>
      </xdr:spPr>
    </xdr:pic>
    <xdr:clientData/>
  </xdr:twoCellAnchor>
  <xdr:twoCellAnchor editAs="oneCell">
    <xdr:from>
      <xdr:col>1</xdr:col>
      <xdr:colOff>438150</xdr:colOff>
      <xdr:row>550</xdr:row>
      <xdr:rowOff>76200</xdr:rowOff>
    </xdr:from>
    <xdr:to>
      <xdr:col>3</xdr:col>
      <xdr:colOff>1333500</xdr:colOff>
      <xdr:row>558</xdr:row>
      <xdr:rowOff>171450</xdr:rowOff>
    </xdr:to>
    <xdr:pic>
      <xdr:nvPicPr>
        <xdr:cNvPr id="67" name="Imagem 66">
          <a:extLst>
            <a:ext uri="{FF2B5EF4-FFF2-40B4-BE49-F238E27FC236}">
              <a16:creationId xmlns:a16="http://schemas.microsoft.com/office/drawing/2014/main" id="{DCC1936E-FF12-48E8-AC3B-01FB0A8D39C6}"/>
            </a:ext>
            <a:ext uri="{147F2762-F138-4A5C-976F-8EAC2B608ADB}">
              <a16:predDERef xmlns:a16="http://schemas.microsoft.com/office/drawing/2014/main" pred="{BF237360-D75A-9258-DC6F-F44CC7B4122F}"/>
            </a:ext>
          </a:extLst>
        </xdr:cNvPr>
        <xdr:cNvPicPr>
          <a:picLocks noChangeAspect="1"/>
        </xdr:cNvPicPr>
      </xdr:nvPicPr>
      <xdr:blipFill>
        <a:blip xmlns:r="http://schemas.openxmlformats.org/officeDocument/2006/relationships" r:embed="rId18"/>
        <a:stretch>
          <a:fillRect/>
        </a:stretch>
      </xdr:blipFill>
      <xdr:spPr>
        <a:xfrm>
          <a:off x="2533650" y="108394500"/>
          <a:ext cx="3343275" cy="1619250"/>
        </a:xfrm>
        <a:prstGeom prst="rect">
          <a:avLst/>
        </a:prstGeom>
      </xdr:spPr>
    </xdr:pic>
    <xdr:clientData/>
  </xdr:twoCellAnchor>
  <xdr:twoCellAnchor editAs="oneCell">
    <xdr:from>
      <xdr:col>0</xdr:col>
      <xdr:colOff>1876425</xdr:colOff>
      <xdr:row>560</xdr:row>
      <xdr:rowOff>38100</xdr:rowOff>
    </xdr:from>
    <xdr:to>
      <xdr:col>3</xdr:col>
      <xdr:colOff>1895475</xdr:colOff>
      <xdr:row>569</xdr:row>
      <xdr:rowOff>142875</xdr:rowOff>
    </xdr:to>
    <xdr:pic>
      <xdr:nvPicPr>
        <xdr:cNvPr id="68" name="Imagem 67">
          <a:extLst>
            <a:ext uri="{FF2B5EF4-FFF2-40B4-BE49-F238E27FC236}">
              <a16:creationId xmlns:a16="http://schemas.microsoft.com/office/drawing/2014/main" id="{6D32BCAE-C064-4688-A69C-0F4FDCF59E16}"/>
            </a:ext>
            <a:ext uri="{147F2762-F138-4A5C-976F-8EAC2B608ADB}">
              <a16:predDERef xmlns:a16="http://schemas.microsoft.com/office/drawing/2014/main" pred="{DCC1936E-FF12-48E8-AC3B-01FB0A8D39C6}"/>
            </a:ext>
          </a:extLst>
        </xdr:cNvPr>
        <xdr:cNvPicPr>
          <a:picLocks noChangeAspect="1"/>
        </xdr:cNvPicPr>
      </xdr:nvPicPr>
      <xdr:blipFill>
        <a:blip xmlns:r="http://schemas.openxmlformats.org/officeDocument/2006/relationships" r:embed="rId24"/>
        <a:stretch>
          <a:fillRect/>
        </a:stretch>
      </xdr:blipFill>
      <xdr:spPr>
        <a:xfrm>
          <a:off x="1876425" y="110261400"/>
          <a:ext cx="4562475" cy="1819275"/>
        </a:xfrm>
        <a:prstGeom prst="rect">
          <a:avLst/>
        </a:prstGeom>
      </xdr:spPr>
    </xdr:pic>
    <xdr:clientData/>
  </xdr:twoCellAnchor>
  <xdr:twoCellAnchor editAs="oneCell">
    <xdr:from>
      <xdr:col>0</xdr:col>
      <xdr:colOff>1362075</xdr:colOff>
      <xdr:row>643</xdr:row>
      <xdr:rowOff>114300</xdr:rowOff>
    </xdr:from>
    <xdr:to>
      <xdr:col>4</xdr:col>
      <xdr:colOff>402713</xdr:colOff>
      <xdr:row>652</xdr:row>
      <xdr:rowOff>102645</xdr:rowOff>
    </xdr:to>
    <xdr:pic>
      <xdr:nvPicPr>
        <xdr:cNvPr id="69" name="Imagem 68">
          <a:extLst>
            <a:ext uri="{FF2B5EF4-FFF2-40B4-BE49-F238E27FC236}">
              <a16:creationId xmlns:a16="http://schemas.microsoft.com/office/drawing/2014/main" id="{29828DD4-75A3-479D-BE6B-872E48501F45}"/>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1362075" y="134912100"/>
          <a:ext cx="5536688" cy="1702845"/>
        </a:xfrm>
        <a:prstGeom prst="rect">
          <a:avLst/>
        </a:prstGeom>
      </xdr:spPr>
    </xdr:pic>
    <xdr:clientData/>
  </xdr:twoCellAnchor>
  <xdr:twoCellAnchor editAs="oneCell">
    <xdr:from>
      <xdr:col>0</xdr:col>
      <xdr:colOff>1781175</xdr:colOff>
      <xdr:row>613</xdr:row>
      <xdr:rowOff>104775</xdr:rowOff>
    </xdr:from>
    <xdr:to>
      <xdr:col>3</xdr:col>
      <xdr:colOff>1809750</xdr:colOff>
      <xdr:row>623</xdr:row>
      <xdr:rowOff>152400</xdr:rowOff>
    </xdr:to>
    <xdr:pic>
      <xdr:nvPicPr>
        <xdr:cNvPr id="5" name="Imagem 4">
          <a:extLst>
            <a:ext uri="{FF2B5EF4-FFF2-40B4-BE49-F238E27FC236}">
              <a16:creationId xmlns:a16="http://schemas.microsoft.com/office/drawing/2014/main" id="{DB64371A-410E-E859-C53C-D23CFCECCC0B}"/>
            </a:ext>
            <a:ext uri="{147F2762-F138-4A5C-976F-8EAC2B608ADB}">
              <a16:predDERef xmlns:a16="http://schemas.microsoft.com/office/drawing/2014/main" pred="{29828DD4-75A3-479D-BE6B-872E48501F45}"/>
            </a:ext>
          </a:extLst>
        </xdr:cNvPr>
        <xdr:cNvPicPr>
          <a:picLocks noChangeAspect="1"/>
        </xdr:cNvPicPr>
      </xdr:nvPicPr>
      <xdr:blipFill>
        <a:blip xmlns:r="http://schemas.openxmlformats.org/officeDocument/2006/relationships" r:embed="rId31"/>
        <a:stretch>
          <a:fillRect/>
        </a:stretch>
      </xdr:blipFill>
      <xdr:spPr>
        <a:xfrm>
          <a:off x="1781175" y="114519075"/>
          <a:ext cx="4572000" cy="1952625"/>
        </a:xfrm>
        <a:prstGeom prst="rect">
          <a:avLst/>
        </a:prstGeom>
      </xdr:spPr>
    </xdr:pic>
    <xdr:clientData/>
  </xdr:twoCellAnchor>
  <xdr:twoCellAnchor editAs="oneCell">
    <xdr:from>
      <xdr:col>1</xdr:col>
      <xdr:colOff>428625</xdr:colOff>
      <xdr:row>624</xdr:row>
      <xdr:rowOff>28575</xdr:rowOff>
    </xdr:from>
    <xdr:to>
      <xdr:col>3</xdr:col>
      <xdr:colOff>819150</xdr:colOff>
      <xdr:row>634</xdr:row>
      <xdr:rowOff>85725</xdr:rowOff>
    </xdr:to>
    <xdr:pic>
      <xdr:nvPicPr>
        <xdr:cNvPr id="11" name="Imagem 10">
          <a:extLst>
            <a:ext uri="{FF2B5EF4-FFF2-40B4-BE49-F238E27FC236}">
              <a16:creationId xmlns:a16="http://schemas.microsoft.com/office/drawing/2014/main" id="{45A11A35-2B55-6B12-47D1-7EC4E282D24A}"/>
            </a:ext>
            <a:ext uri="{147F2762-F138-4A5C-976F-8EAC2B608ADB}">
              <a16:predDERef xmlns:a16="http://schemas.microsoft.com/office/drawing/2014/main" pred="{DB64371A-410E-E859-C53C-D23CFCECCC0B}"/>
            </a:ext>
          </a:extLst>
        </xdr:cNvPr>
        <xdr:cNvPicPr>
          <a:picLocks noChangeAspect="1"/>
        </xdr:cNvPicPr>
      </xdr:nvPicPr>
      <xdr:blipFill>
        <a:blip xmlns:r="http://schemas.openxmlformats.org/officeDocument/2006/relationships" r:embed="rId32"/>
        <a:stretch>
          <a:fillRect/>
        </a:stretch>
      </xdr:blipFill>
      <xdr:spPr>
        <a:xfrm>
          <a:off x="2524125" y="116538375"/>
          <a:ext cx="2838450" cy="1962150"/>
        </a:xfrm>
        <a:prstGeom prst="rect">
          <a:avLst/>
        </a:prstGeom>
      </xdr:spPr>
    </xdr:pic>
    <xdr:clientData/>
  </xdr:twoCellAnchor>
  <xdr:twoCellAnchor editAs="oneCell">
    <xdr:from>
      <xdr:col>0</xdr:col>
      <xdr:colOff>1905000</xdr:colOff>
      <xdr:row>593</xdr:row>
      <xdr:rowOff>57150</xdr:rowOff>
    </xdr:from>
    <xdr:to>
      <xdr:col>4</xdr:col>
      <xdr:colOff>209550</xdr:colOff>
      <xdr:row>602</xdr:row>
      <xdr:rowOff>95250</xdr:rowOff>
    </xdr:to>
    <xdr:pic>
      <xdr:nvPicPr>
        <xdr:cNvPr id="17" name="Imagem 16">
          <a:extLst>
            <a:ext uri="{FF2B5EF4-FFF2-40B4-BE49-F238E27FC236}">
              <a16:creationId xmlns:a16="http://schemas.microsoft.com/office/drawing/2014/main" id="{7CFA3AE2-9130-4B87-A8A7-CF06A3C5969A}"/>
            </a:ext>
            <a:ext uri="{147F2762-F138-4A5C-976F-8EAC2B608ADB}">
              <a16:predDERef xmlns:a16="http://schemas.microsoft.com/office/drawing/2014/main" pred="{45A11A35-2B55-6B12-47D1-7EC4E282D24A}"/>
            </a:ext>
          </a:extLst>
        </xdr:cNvPr>
        <xdr:cNvPicPr>
          <a:picLocks noChangeAspect="1"/>
        </xdr:cNvPicPr>
      </xdr:nvPicPr>
      <xdr:blipFill>
        <a:blip xmlns:r="http://schemas.openxmlformats.org/officeDocument/2006/relationships" r:embed="rId28"/>
        <a:stretch>
          <a:fillRect/>
        </a:stretch>
      </xdr:blipFill>
      <xdr:spPr>
        <a:xfrm>
          <a:off x="1905000" y="116757450"/>
          <a:ext cx="4800600" cy="1752600"/>
        </a:xfrm>
        <a:prstGeom prst="rect">
          <a:avLst/>
        </a:prstGeom>
      </xdr:spPr>
    </xdr:pic>
    <xdr:clientData/>
  </xdr:twoCellAnchor>
  <xdr:twoCellAnchor editAs="oneCell">
    <xdr:from>
      <xdr:col>1</xdr:col>
      <xdr:colOff>190500</xdr:colOff>
      <xdr:row>581</xdr:row>
      <xdr:rowOff>161925</xdr:rowOff>
    </xdr:from>
    <xdr:to>
      <xdr:col>3</xdr:col>
      <xdr:colOff>1838325</xdr:colOff>
      <xdr:row>593</xdr:row>
      <xdr:rowOff>0</xdr:rowOff>
    </xdr:to>
    <xdr:pic>
      <xdr:nvPicPr>
        <xdr:cNvPr id="18" name="Imagem 17">
          <a:extLst>
            <a:ext uri="{FF2B5EF4-FFF2-40B4-BE49-F238E27FC236}">
              <a16:creationId xmlns:a16="http://schemas.microsoft.com/office/drawing/2014/main" id="{52123001-2859-49FC-8FC1-9493373967D6}"/>
            </a:ext>
            <a:ext uri="{147F2762-F138-4A5C-976F-8EAC2B608ADB}">
              <a16:predDERef xmlns:a16="http://schemas.microsoft.com/office/drawing/2014/main" pred="{7CFA3AE2-9130-4B87-A8A7-CF06A3C5969A}"/>
            </a:ext>
          </a:extLst>
        </xdr:cNvPr>
        <xdr:cNvPicPr>
          <a:picLocks noChangeAspect="1"/>
        </xdr:cNvPicPr>
      </xdr:nvPicPr>
      <xdr:blipFill>
        <a:blip xmlns:r="http://schemas.openxmlformats.org/officeDocument/2006/relationships" r:embed="rId29"/>
        <a:stretch>
          <a:fillRect/>
        </a:stretch>
      </xdr:blipFill>
      <xdr:spPr>
        <a:xfrm>
          <a:off x="2286000" y="114576225"/>
          <a:ext cx="4095750" cy="211455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8295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8BBEBE3E-A035-4083-B55B-48A66BA27294}"/>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8295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815DE804-6C68-4A9D-A31B-65694FDD34AD}"/>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8295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7C356485-60EA-4A23-8789-7E61A32092E2}"/>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8295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2" name="Imagem 1">
          <a:extLst>
            <a:ext uri="{FF2B5EF4-FFF2-40B4-BE49-F238E27FC236}">
              <a16:creationId xmlns:a16="http://schemas.microsoft.com/office/drawing/2014/main" id="{759A649E-851D-4B24-BC3B-B3B56C64A624}"/>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8295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3" name="Imagem 1">
          <a:extLst>
            <a:ext uri="{FF2B5EF4-FFF2-40B4-BE49-F238E27FC236}">
              <a16:creationId xmlns:a16="http://schemas.microsoft.com/office/drawing/2014/main" id="{690FBE63-085D-48BB-9518-D052F473947A}"/>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8295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116" name="Imagem 1">
          <a:extLst>
            <a:ext uri="{FF2B5EF4-FFF2-40B4-BE49-F238E27FC236}">
              <a16:creationId xmlns:a16="http://schemas.microsoft.com/office/drawing/2014/main" id="{BD110D97-4D10-48A1-B526-50580AC5B2B5}"/>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8295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117" name="Imagem 1">
          <a:extLst>
            <a:ext uri="{FF2B5EF4-FFF2-40B4-BE49-F238E27FC236}">
              <a16:creationId xmlns:a16="http://schemas.microsoft.com/office/drawing/2014/main" id="{6A881B4A-0F38-42F5-BA14-12CE1240681C}"/>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829515"/>
        </a:xfrm>
        <a:prstGeom prst="rect">
          <a:avLst/>
        </a:prstGeom>
      </xdr:spPr>
    </xdr:pic>
    <xdr:clientData/>
  </xdr:twoCellAnchor>
  <xdr:twoCellAnchor editAs="oneCell">
    <xdr:from>
      <xdr:col>1</xdr:col>
      <xdr:colOff>495300</xdr:colOff>
      <xdr:row>10</xdr:row>
      <xdr:rowOff>121920</xdr:rowOff>
    </xdr:from>
    <xdr:to>
      <xdr:col>3</xdr:col>
      <xdr:colOff>1489399</xdr:colOff>
      <xdr:row>30</xdr:row>
      <xdr:rowOff>152400</xdr:rowOff>
    </xdr:to>
    <xdr:pic>
      <xdr:nvPicPr>
        <xdr:cNvPr id="4" name="Imagem 3">
          <a:extLst>
            <a:ext uri="{FF2B5EF4-FFF2-40B4-BE49-F238E27FC236}">
              <a16:creationId xmlns:a16="http://schemas.microsoft.com/office/drawing/2014/main" id="{4FA63E95-B57E-C76C-8A07-940DD3D3BA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51760" y="1973580"/>
          <a:ext cx="3508699" cy="3688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1847851</xdr:colOff>
      <xdr:row>44</xdr:row>
      <xdr:rowOff>103374</xdr:rowOff>
    </xdr:from>
    <xdr:to>
      <xdr:col>4</xdr:col>
      <xdr:colOff>247901</xdr:colOff>
      <xdr:row>60</xdr:row>
      <xdr:rowOff>48260</xdr:rowOff>
    </xdr:to>
    <xdr:pic>
      <xdr:nvPicPr>
        <xdr:cNvPr id="79" name="Imagem 78">
          <a:extLst>
            <a:ext uri="{FF2B5EF4-FFF2-40B4-BE49-F238E27FC236}">
              <a16:creationId xmlns:a16="http://schemas.microsoft.com/office/drawing/2014/main" id="{D952D730-2E5E-F49A-1DE0-38169859727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47851" y="8644124"/>
          <a:ext cx="5099300" cy="2891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1778000</xdr:colOff>
      <xdr:row>73</xdr:row>
      <xdr:rowOff>146050</xdr:rowOff>
    </xdr:from>
    <xdr:to>
      <xdr:col>4</xdr:col>
      <xdr:colOff>178050</xdr:colOff>
      <xdr:row>89</xdr:row>
      <xdr:rowOff>90936</xdr:rowOff>
    </xdr:to>
    <xdr:pic>
      <xdr:nvPicPr>
        <xdr:cNvPr id="96" name="Imagem 95">
          <a:extLst>
            <a:ext uri="{FF2B5EF4-FFF2-40B4-BE49-F238E27FC236}">
              <a16:creationId xmlns:a16="http://schemas.microsoft.com/office/drawing/2014/main" id="{7BB21365-976E-4BEB-847C-9CB7E27748D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78000" y="14027150"/>
          <a:ext cx="5099300" cy="2891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1657350</xdr:colOff>
      <xdr:row>100</xdr:row>
      <xdr:rowOff>152400</xdr:rowOff>
    </xdr:from>
    <xdr:to>
      <xdr:col>4</xdr:col>
      <xdr:colOff>540928</xdr:colOff>
      <xdr:row>121</xdr:row>
      <xdr:rowOff>12700</xdr:rowOff>
    </xdr:to>
    <xdr:pic>
      <xdr:nvPicPr>
        <xdr:cNvPr id="110" name="Imagem 109">
          <a:extLst>
            <a:ext uri="{FF2B5EF4-FFF2-40B4-BE49-F238E27FC236}">
              <a16:creationId xmlns:a16="http://schemas.microsoft.com/office/drawing/2014/main" id="{350194E7-E253-0319-F976-02CA5B1D9C7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657350" y="19005550"/>
          <a:ext cx="5582828" cy="3727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625187</xdr:colOff>
      <xdr:row>134</xdr:row>
      <xdr:rowOff>32905</xdr:rowOff>
    </xdr:from>
    <xdr:to>
      <xdr:col>3</xdr:col>
      <xdr:colOff>1126837</xdr:colOff>
      <xdr:row>144</xdr:row>
      <xdr:rowOff>32682</xdr:rowOff>
    </xdr:to>
    <xdr:pic>
      <xdr:nvPicPr>
        <xdr:cNvPr id="112" name="Imagem 111">
          <a:extLst>
            <a:ext uri="{FF2B5EF4-FFF2-40B4-BE49-F238E27FC236}">
              <a16:creationId xmlns:a16="http://schemas.microsoft.com/office/drawing/2014/main" id="{D2C0001B-3D9E-8816-505E-5150ED49596B}"/>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779569" y="25372869"/>
          <a:ext cx="3016250" cy="18008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1514186</xdr:colOff>
      <xdr:row>161</xdr:row>
      <xdr:rowOff>115777</xdr:rowOff>
    </xdr:from>
    <xdr:to>
      <xdr:col>4</xdr:col>
      <xdr:colOff>594706</xdr:colOff>
      <xdr:row>174</xdr:row>
      <xdr:rowOff>61999</xdr:rowOff>
    </xdr:to>
    <xdr:pic>
      <xdr:nvPicPr>
        <xdr:cNvPr id="114" name="Imagem 113">
          <a:extLst>
            <a:ext uri="{FF2B5EF4-FFF2-40B4-BE49-F238E27FC236}">
              <a16:creationId xmlns:a16="http://schemas.microsoft.com/office/drawing/2014/main" id="{AF1042BE-F5D0-1390-7A61-8991258D5FF6}"/>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514186" y="30318686"/>
          <a:ext cx="5779193" cy="22876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1953087</xdr:colOff>
      <xdr:row>193</xdr:row>
      <xdr:rowOff>48491</xdr:rowOff>
    </xdr:from>
    <xdr:to>
      <xdr:col>4</xdr:col>
      <xdr:colOff>175122</xdr:colOff>
      <xdr:row>205</xdr:row>
      <xdr:rowOff>37408</xdr:rowOff>
    </xdr:to>
    <xdr:pic>
      <xdr:nvPicPr>
        <xdr:cNvPr id="118" name="Imagem 117">
          <a:extLst>
            <a:ext uri="{FF2B5EF4-FFF2-40B4-BE49-F238E27FC236}">
              <a16:creationId xmlns:a16="http://schemas.microsoft.com/office/drawing/2014/main" id="{97396478-F629-87EE-C790-47356291913C}"/>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953087" y="36014891"/>
          <a:ext cx="4920708" cy="21502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1953087</xdr:colOff>
      <xdr:row>222</xdr:row>
      <xdr:rowOff>48491</xdr:rowOff>
    </xdr:from>
    <xdr:ext cx="4920708" cy="2150226"/>
    <xdr:pic>
      <xdr:nvPicPr>
        <xdr:cNvPr id="119" name="Imagem 118">
          <a:extLst>
            <a:ext uri="{FF2B5EF4-FFF2-40B4-BE49-F238E27FC236}">
              <a16:creationId xmlns:a16="http://schemas.microsoft.com/office/drawing/2014/main" id="{82057CED-F28E-4833-945E-4F9A05C7FD7F}"/>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953087" y="36014891"/>
          <a:ext cx="4920708" cy="215022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554180</xdr:colOff>
      <xdr:row>247</xdr:row>
      <xdr:rowOff>111698</xdr:rowOff>
    </xdr:from>
    <xdr:to>
      <xdr:col>3</xdr:col>
      <xdr:colOff>1205345</xdr:colOff>
      <xdr:row>268</xdr:row>
      <xdr:rowOff>47178</xdr:rowOff>
    </xdr:to>
    <xdr:pic>
      <xdr:nvPicPr>
        <xdr:cNvPr id="121" name="Imagem 120">
          <a:extLst>
            <a:ext uri="{FF2B5EF4-FFF2-40B4-BE49-F238E27FC236}">
              <a16:creationId xmlns:a16="http://schemas.microsoft.com/office/drawing/2014/main" id="{AF32B8C1-F1CC-6099-0D36-7B9034E02BE9}"/>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08562" y="45803989"/>
          <a:ext cx="3165765" cy="37177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1709057</xdr:colOff>
      <xdr:row>281</xdr:row>
      <xdr:rowOff>0</xdr:rowOff>
    </xdr:from>
    <xdr:to>
      <xdr:col>4</xdr:col>
      <xdr:colOff>451339</xdr:colOff>
      <xdr:row>287</xdr:row>
      <xdr:rowOff>164319</xdr:rowOff>
    </xdr:to>
    <xdr:pic>
      <xdr:nvPicPr>
        <xdr:cNvPr id="124" name="Imagem 123">
          <a:extLst>
            <a:ext uri="{FF2B5EF4-FFF2-40B4-BE49-F238E27FC236}">
              <a16:creationId xmlns:a16="http://schemas.microsoft.com/office/drawing/2014/main" id="{47F790A7-A859-7323-F1C9-496C573907EF}"/>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709057" y="53977233"/>
          <a:ext cx="5436996" cy="12819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1562100</xdr:colOff>
      <xdr:row>300</xdr:row>
      <xdr:rowOff>0</xdr:rowOff>
    </xdr:from>
    <xdr:to>
      <xdr:col>4</xdr:col>
      <xdr:colOff>304382</xdr:colOff>
      <xdr:row>306</xdr:row>
      <xdr:rowOff>164319</xdr:rowOff>
    </xdr:to>
    <xdr:pic>
      <xdr:nvPicPr>
        <xdr:cNvPr id="125" name="Imagem 124">
          <a:extLst>
            <a:ext uri="{FF2B5EF4-FFF2-40B4-BE49-F238E27FC236}">
              <a16:creationId xmlns:a16="http://schemas.microsoft.com/office/drawing/2014/main" id="{7970FF21-0540-4C6C-BEAA-EE8C236C832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562100" y="58780680"/>
          <a:ext cx="5440262" cy="12666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195942</xdr:colOff>
      <xdr:row>319</xdr:row>
      <xdr:rowOff>91919</xdr:rowOff>
    </xdr:from>
    <xdr:to>
      <xdr:col>3</xdr:col>
      <xdr:colOff>1611085</xdr:colOff>
      <xdr:row>333</xdr:row>
      <xdr:rowOff>53447</xdr:rowOff>
    </xdr:to>
    <xdr:pic>
      <xdr:nvPicPr>
        <xdr:cNvPr id="6" name="Imagem 5">
          <a:extLst>
            <a:ext uri="{FF2B5EF4-FFF2-40B4-BE49-F238E27FC236}">
              <a16:creationId xmlns:a16="http://schemas.microsoft.com/office/drawing/2014/main" id="{1DB37A42-6953-5205-BDA9-3055CB10785B}"/>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354942" y="64057586"/>
          <a:ext cx="3929743" cy="2569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84667</xdr:colOff>
      <xdr:row>333</xdr:row>
      <xdr:rowOff>52942</xdr:rowOff>
    </xdr:from>
    <xdr:to>
      <xdr:col>3</xdr:col>
      <xdr:colOff>1693334</xdr:colOff>
      <xdr:row>340</xdr:row>
      <xdr:rowOff>113972</xdr:rowOff>
    </xdr:to>
    <xdr:pic>
      <xdr:nvPicPr>
        <xdr:cNvPr id="7" name="Imagem 6">
          <a:extLst>
            <a:ext uri="{FF2B5EF4-FFF2-40B4-BE49-F238E27FC236}">
              <a16:creationId xmlns:a16="http://schemas.microsoft.com/office/drawing/2014/main" id="{A1E5DA4E-A8AF-B5F7-17BE-15F817F50FD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243667" y="66626342"/>
          <a:ext cx="4123267" cy="13648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1362075</xdr:colOff>
      <xdr:row>346</xdr:row>
      <xdr:rowOff>114300</xdr:rowOff>
    </xdr:from>
    <xdr:to>
      <xdr:col>4</xdr:col>
      <xdr:colOff>387473</xdr:colOff>
      <xdr:row>355</xdr:row>
      <xdr:rowOff>102645</xdr:rowOff>
    </xdr:to>
    <xdr:pic>
      <xdr:nvPicPr>
        <xdr:cNvPr id="5" name="Imagem 4">
          <a:extLst>
            <a:ext uri="{FF2B5EF4-FFF2-40B4-BE49-F238E27FC236}">
              <a16:creationId xmlns:a16="http://schemas.microsoft.com/office/drawing/2014/main" id="{B8DF6912-B1C1-4E0B-882B-59EB7637C50E}"/>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1362075" y="92179140"/>
          <a:ext cx="5723378" cy="1634265"/>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92E66889-EB0D-4C41-A7F5-F07177BBEE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B87258DA-DBBA-4F9A-87F2-9844A21E9409}"/>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B2EBBE85-F47A-4A0A-A737-F7BCC3885AEE}"/>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F021EBC5-E1F0-4700-B672-D82B78323574}"/>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9" name="Imagem 1">
          <a:extLst>
            <a:ext uri="{FF2B5EF4-FFF2-40B4-BE49-F238E27FC236}">
              <a16:creationId xmlns:a16="http://schemas.microsoft.com/office/drawing/2014/main" id="{1D08ACFB-5C39-4F59-9BCD-7E4E1D480F6A}"/>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0" name="Imagem 1">
          <a:extLst>
            <a:ext uri="{FF2B5EF4-FFF2-40B4-BE49-F238E27FC236}">
              <a16:creationId xmlns:a16="http://schemas.microsoft.com/office/drawing/2014/main" id="{3567D5D4-281E-4772-8D22-6759AF6B6DC2}"/>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7" name="Imagem 1">
          <a:extLst>
            <a:ext uri="{FF2B5EF4-FFF2-40B4-BE49-F238E27FC236}">
              <a16:creationId xmlns:a16="http://schemas.microsoft.com/office/drawing/2014/main" id="{09783E50-6F84-4F19-A5FB-12296115578D}"/>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8" name="Imagem 1">
          <a:extLst>
            <a:ext uri="{FF2B5EF4-FFF2-40B4-BE49-F238E27FC236}">
              <a16:creationId xmlns:a16="http://schemas.microsoft.com/office/drawing/2014/main" id="{A0618175-0F69-4BDD-A42F-6E7D82866021}"/>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0</xdr:col>
      <xdr:colOff>246612</xdr:colOff>
      <xdr:row>11</xdr:row>
      <xdr:rowOff>0</xdr:rowOff>
    </xdr:from>
    <xdr:to>
      <xdr:col>3</xdr:col>
      <xdr:colOff>31866</xdr:colOff>
      <xdr:row>28</xdr:row>
      <xdr:rowOff>93151</xdr:rowOff>
    </xdr:to>
    <xdr:pic>
      <xdr:nvPicPr>
        <xdr:cNvPr id="6" name="Imagem 5">
          <a:extLst>
            <a:ext uri="{FF2B5EF4-FFF2-40B4-BE49-F238E27FC236}">
              <a16:creationId xmlns:a16="http://schemas.microsoft.com/office/drawing/2014/main" id="{FB8393EE-6C75-C518-A06B-BC8F248D43F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6612" y="2179319"/>
          <a:ext cx="4456314" cy="32021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465511</xdr:colOff>
      <xdr:row>38</xdr:row>
      <xdr:rowOff>88837</xdr:rowOff>
    </xdr:from>
    <xdr:to>
      <xdr:col>2</xdr:col>
      <xdr:colOff>485596</xdr:colOff>
      <xdr:row>57</xdr:row>
      <xdr:rowOff>31864</xdr:rowOff>
    </xdr:to>
    <xdr:pic>
      <xdr:nvPicPr>
        <xdr:cNvPr id="8" name="Imagem 7">
          <a:extLst>
            <a:ext uri="{FF2B5EF4-FFF2-40B4-BE49-F238E27FC236}">
              <a16:creationId xmlns:a16="http://schemas.microsoft.com/office/drawing/2014/main" id="{15875CB5-5EB9-E394-0E2A-60F600C8C7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65511" y="7640257"/>
          <a:ext cx="3410985" cy="34177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68</xdr:row>
      <xdr:rowOff>15239</xdr:rowOff>
    </xdr:from>
    <xdr:ext cx="4454236" cy="3155005"/>
    <xdr:pic>
      <xdr:nvPicPr>
        <xdr:cNvPr id="9" name="Imagem 8">
          <a:extLst>
            <a:ext uri="{FF2B5EF4-FFF2-40B4-BE49-F238E27FC236}">
              <a16:creationId xmlns:a16="http://schemas.microsoft.com/office/drawing/2014/main" id="{AECAA754-227B-471B-A176-3A68C79065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235939"/>
          <a:ext cx="4454236" cy="31550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0</xdr:colOff>
      <xdr:row>94</xdr:row>
      <xdr:rowOff>0</xdr:rowOff>
    </xdr:from>
    <xdr:ext cx="4454236" cy="3155005"/>
    <xdr:pic>
      <xdr:nvPicPr>
        <xdr:cNvPr id="10" name="Imagem 9">
          <a:extLst>
            <a:ext uri="{FF2B5EF4-FFF2-40B4-BE49-F238E27FC236}">
              <a16:creationId xmlns:a16="http://schemas.microsoft.com/office/drawing/2014/main" id="{031F7899-0297-4C2E-B17D-3EDEDBAE2DB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8516599"/>
          <a:ext cx="4454236" cy="31550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327487</xdr:colOff>
      <xdr:row>120</xdr:row>
      <xdr:rowOff>150669</xdr:rowOff>
    </xdr:from>
    <xdr:to>
      <xdr:col>3</xdr:col>
      <xdr:colOff>1645920</xdr:colOff>
      <xdr:row>129</xdr:row>
      <xdr:rowOff>57092</xdr:rowOff>
    </xdr:to>
    <xdr:pic>
      <xdr:nvPicPr>
        <xdr:cNvPr id="12" name="Imagem 11">
          <a:extLst>
            <a:ext uri="{FF2B5EF4-FFF2-40B4-BE49-F238E27FC236}">
              <a16:creationId xmlns:a16="http://schemas.microsoft.com/office/drawing/2014/main" id="{78C1D7F6-D749-1414-F692-5F93669595E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83947" y="23612649"/>
          <a:ext cx="3833033" cy="1552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22860</xdr:colOff>
      <xdr:row>151</xdr:row>
      <xdr:rowOff>0</xdr:rowOff>
    </xdr:from>
    <xdr:ext cx="4454236" cy="3155005"/>
    <xdr:pic>
      <xdr:nvPicPr>
        <xdr:cNvPr id="13" name="Imagem 12">
          <a:extLst>
            <a:ext uri="{FF2B5EF4-FFF2-40B4-BE49-F238E27FC236}">
              <a16:creationId xmlns:a16="http://schemas.microsoft.com/office/drawing/2014/main" id="{D2F3C247-6DB0-442F-A92C-760340A0079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 y="29359859"/>
          <a:ext cx="4454236" cy="31550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342900</xdr:colOff>
      <xdr:row>11</xdr:row>
      <xdr:rowOff>0</xdr:rowOff>
    </xdr:from>
    <xdr:to>
      <xdr:col>4</xdr:col>
      <xdr:colOff>1285754</xdr:colOff>
      <xdr:row>27</xdr:row>
      <xdr:rowOff>47418</xdr:rowOff>
    </xdr:to>
    <xdr:pic>
      <xdr:nvPicPr>
        <xdr:cNvPr id="16" name="Imagem 15">
          <a:extLst>
            <a:ext uri="{FF2B5EF4-FFF2-40B4-BE49-F238E27FC236}">
              <a16:creationId xmlns:a16="http://schemas.microsoft.com/office/drawing/2014/main" id="{574A6184-6F66-5F28-FCFF-4D0383FC6712}"/>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1266"/>
        <a:stretch>
          <a:fillRect/>
        </a:stretch>
      </xdr:blipFill>
      <xdr:spPr bwMode="auto">
        <a:xfrm>
          <a:off x="5013960" y="2034540"/>
          <a:ext cx="2969774" cy="2973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220980</xdr:colOff>
      <xdr:row>39</xdr:row>
      <xdr:rowOff>167640</xdr:rowOff>
    </xdr:from>
    <xdr:to>
      <xdr:col>4</xdr:col>
      <xdr:colOff>1148594</xdr:colOff>
      <xdr:row>56</xdr:row>
      <xdr:rowOff>32178</xdr:rowOff>
    </xdr:to>
    <xdr:pic>
      <xdr:nvPicPr>
        <xdr:cNvPr id="17" name="Imagem 16">
          <a:extLst>
            <a:ext uri="{FF2B5EF4-FFF2-40B4-BE49-F238E27FC236}">
              <a16:creationId xmlns:a16="http://schemas.microsoft.com/office/drawing/2014/main" id="{850AD066-7DE4-451D-ADA7-3EF7DC8DD998}"/>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1773"/>
        <a:stretch>
          <a:fillRect/>
        </a:stretch>
      </xdr:blipFill>
      <xdr:spPr bwMode="auto">
        <a:xfrm>
          <a:off x="4892040" y="7536180"/>
          <a:ext cx="2954534" cy="2973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68</xdr:row>
      <xdr:rowOff>60960</xdr:rowOff>
    </xdr:from>
    <xdr:to>
      <xdr:col>4</xdr:col>
      <xdr:colOff>1255274</xdr:colOff>
      <xdr:row>84</xdr:row>
      <xdr:rowOff>108378</xdr:rowOff>
    </xdr:to>
    <xdr:pic>
      <xdr:nvPicPr>
        <xdr:cNvPr id="18" name="Imagem 17">
          <a:extLst>
            <a:ext uri="{FF2B5EF4-FFF2-40B4-BE49-F238E27FC236}">
              <a16:creationId xmlns:a16="http://schemas.microsoft.com/office/drawing/2014/main" id="{95367A53-0CF2-4F0E-A5F8-A2954D9292FA}"/>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1014"/>
        <a:stretch>
          <a:fillRect/>
        </a:stretch>
      </xdr:blipFill>
      <xdr:spPr bwMode="auto">
        <a:xfrm>
          <a:off x="4975860" y="12733020"/>
          <a:ext cx="2977394" cy="2973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312420</xdr:colOff>
      <xdr:row>94</xdr:row>
      <xdr:rowOff>0</xdr:rowOff>
    </xdr:from>
    <xdr:to>
      <xdr:col>4</xdr:col>
      <xdr:colOff>1293374</xdr:colOff>
      <xdr:row>110</xdr:row>
      <xdr:rowOff>47418</xdr:rowOff>
    </xdr:to>
    <xdr:pic>
      <xdr:nvPicPr>
        <xdr:cNvPr id="19" name="Imagem 18">
          <a:extLst>
            <a:ext uri="{FF2B5EF4-FFF2-40B4-BE49-F238E27FC236}">
              <a16:creationId xmlns:a16="http://schemas.microsoft.com/office/drawing/2014/main" id="{8898D476-AEF5-426D-BBC7-F915CE9D3BE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983480" y="18653760"/>
          <a:ext cx="3007874" cy="2973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1195062</xdr:colOff>
      <xdr:row>129</xdr:row>
      <xdr:rowOff>142472</xdr:rowOff>
    </xdr:from>
    <xdr:to>
      <xdr:col>3</xdr:col>
      <xdr:colOff>754380</xdr:colOff>
      <xdr:row>141</xdr:row>
      <xdr:rowOff>33</xdr:rowOff>
    </xdr:to>
    <xdr:pic>
      <xdr:nvPicPr>
        <xdr:cNvPr id="20" name="Imagem 19">
          <a:extLst>
            <a:ext uri="{FF2B5EF4-FFF2-40B4-BE49-F238E27FC236}">
              <a16:creationId xmlns:a16="http://schemas.microsoft.com/office/drawing/2014/main" id="{C610D15D-76C0-49E1-AE7E-B6D15B9B0C0D}"/>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351522" y="25250372"/>
          <a:ext cx="2073918" cy="2050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274320</xdr:colOff>
      <xdr:row>151</xdr:row>
      <xdr:rowOff>0</xdr:rowOff>
    </xdr:from>
    <xdr:to>
      <xdr:col>4</xdr:col>
      <xdr:colOff>1171454</xdr:colOff>
      <xdr:row>166</xdr:row>
      <xdr:rowOff>147436</xdr:rowOff>
    </xdr:to>
    <xdr:pic>
      <xdr:nvPicPr>
        <xdr:cNvPr id="21" name="Imagem 20">
          <a:extLst>
            <a:ext uri="{FF2B5EF4-FFF2-40B4-BE49-F238E27FC236}">
              <a16:creationId xmlns:a16="http://schemas.microsoft.com/office/drawing/2014/main" id="{C2F5FBC0-BD77-426D-81B1-E15E8CA8DB9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945380" y="29579882"/>
          <a:ext cx="2924054" cy="28906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914400</xdr:colOff>
      <xdr:row>176</xdr:row>
      <xdr:rowOff>0</xdr:rowOff>
    </xdr:from>
    <xdr:to>
      <xdr:col>3</xdr:col>
      <xdr:colOff>1020552</xdr:colOff>
      <xdr:row>190</xdr:row>
      <xdr:rowOff>30480</xdr:rowOff>
    </xdr:to>
    <xdr:pic>
      <xdr:nvPicPr>
        <xdr:cNvPr id="22" name="Imagem 21">
          <a:extLst>
            <a:ext uri="{FF2B5EF4-FFF2-40B4-BE49-F238E27FC236}">
              <a16:creationId xmlns:a16="http://schemas.microsoft.com/office/drawing/2014/main" id="{DD63B7E4-8B0C-43E2-8460-41310BD44FA4}"/>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70860" y="34930080"/>
          <a:ext cx="2620752" cy="2590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180975</xdr:colOff>
      <xdr:row>200</xdr:row>
      <xdr:rowOff>142875</xdr:rowOff>
    </xdr:from>
    <xdr:ext cx="1519725" cy="799035"/>
    <xdr:pic>
      <xdr:nvPicPr>
        <xdr:cNvPr id="23" name="Imagem 22">
          <a:extLst>
            <a:ext uri="{FF2B5EF4-FFF2-40B4-BE49-F238E27FC236}">
              <a16:creationId xmlns:a16="http://schemas.microsoft.com/office/drawing/2014/main" id="{6F588F93-DF07-4ADB-9812-C21CBB3B17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oneCellAnchor>
  <xdr:oneCellAnchor>
    <xdr:from>
      <xdr:col>3</xdr:col>
      <xdr:colOff>180975</xdr:colOff>
      <xdr:row>200</xdr:row>
      <xdr:rowOff>142875</xdr:rowOff>
    </xdr:from>
    <xdr:ext cx="1519725" cy="799035"/>
    <xdr:pic>
      <xdr:nvPicPr>
        <xdr:cNvPr id="24" name="Imagem 1">
          <a:extLst>
            <a:ext uri="{FF2B5EF4-FFF2-40B4-BE49-F238E27FC236}">
              <a16:creationId xmlns:a16="http://schemas.microsoft.com/office/drawing/2014/main" id="{94228CFB-11F1-44E4-89C0-98E4FE711002}"/>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oneCellAnchor>
  <xdr:oneCellAnchor>
    <xdr:from>
      <xdr:col>3</xdr:col>
      <xdr:colOff>180975</xdr:colOff>
      <xdr:row>200</xdr:row>
      <xdr:rowOff>142875</xdr:rowOff>
    </xdr:from>
    <xdr:ext cx="1519725" cy="799035"/>
    <xdr:pic>
      <xdr:nvPicPr>
        <xdr:cNvPr id="25" name="Imagem 1">
          <a:extLst>
            <a:ext uri="{FF2B5EF4-FFF2-40B4-BE49-F238E27FC236}">
              <a16:creationId xmlns:a16="http://schemas.microsoft.com/office/drawing/2014/main" id="{F668E5B9-A93E-45CB-B718-F75FF6E81CEA}"/>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oneCellAnchor>
  <xdr:oneCellAnchor>
    <xdr:from>
      <xdr:col>3</xdr:col>
      <xdr:colOff>180975</xdr:colOff>
      <xdr:row>200</xdr:row>
      <xdr:rowOff>142875</xdr:rowOff>
    </xdr:from>
    <xdr:ext cx="1519725" cy="799035"/>
    <xdr:pic>
      <xdr:nvPicPr>
        <xdr:cNvPr id="26" name="Imagem 1">
          <a:extLst>
            <a:ext uri="{FF2B5EF4-FFF2-40B4-BE49-F238E27FC236}">
              <a16:creationId xmlns:a16="http://schemas.microsoft.com/office/drawing/2014/main" id="{EBCB6B73-A67A-473B-8D6F-C95DF79E1D95}"/>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oneCellAnchor>
  <xdr:oneCellAnchor>
    <xdr:from>
      <xdr:col>3</xdr:col>
      <xdr:colOff>180975</xdr:colOff>
      <xdr:row>200</xdr:row>
      <xdr:rowOff>142875</xdr:rowOff>
    </xdr:from>
    <xdr:ext cx="1519725" cy="799035"/>
    <xdr:pic>
      <xdr:nvPicPr>
        <xdr:cNvPr id="27" name="Imagem 1">
          <a:extLst>
            <a:ext uri="{FF2B5EF4-FFF2-40B4-BE49-F238E27FC236}">
              <a16:creationId xmlns:a16="http://schemas.microsoft.com/office/drawing/2014/main" id="{4ED89F51-0D39-480F-987D-9AEDB8871238}"/>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oneCellAnchor>
  <xdr:oneCellAnchor>
    <xdr:from>
      <xdr:col>3</xdr:col>
      <xdr:colOff>180975</xdr:colOff>
      <xdr:row>200</xdr:row>
      <xdr:rowOff>142875</xdr:rowOff>
    </xdr:from>
    <xdr:ext cx="1519725" cy="799035"/>
    <xdr:pic>
      <xdr:nvPicPr>
        <xdr:cNvPr id="28" name="Imagem 1">
          <a:extLst>
            <a:ext uri="{FF2B5EF4-FFF2-40B4-BE49-F238E27FC236}">
              <a16:creationId xmlns:a16="http://schemas.microsoft.com/office/drawing/2014/main" id="{4C2A1FE6-F135-4566-B712-584E4FC4420A}"/>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oneCellAnchor>
  <xdr:oneCellAnchor>
    <xdr:from>
      <xdr:col>3</xdr:col>
      <xdr:colOff>180975</xdr:colOff>
      <xdr:row>200</xdr:row>
      <xdr:rowOff>142875</xdr:rowOff>
    </xdr:from>
    <xdr:ext cx="1519725" cy="799035"/>
    <xdr:pic>
      <xdr:nvPicPr>
        <xdr:cNvPr id="29" name="Imagem 1">
          <a:extLst>
            <a:ext uri="{FF2B5EF4-FFF2-40B4-BE49-F238E27FC236}">
              <a16:creationId xmlns:a16="http://schemas.microsoft.com/office/drawing/2014/main" id="{74651A8B-53E8-4AAF-8CE0-E47FAC84E9FE}"/>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oneCellAnchor>
  <xdr:oneCellAnchor>
    <xdr:from>
      <xdr:col>3</xdr:col>
      <xdr:colOff>180975</xdr:colOff>
      <xdr:row>200</xdr:row>
      <xdr:rowOff>142875</xdr:rowOff>
    </xdr:from>
    <xdr:ext cx="1519725" cy="799035"/>
    <xdr:pic>
      <xdr:nvPicPr>
        <xdr:cNvPr id="30" name="Imagem 1">
          <a:extLst>
            <a:ext uri="{FF2B5EF4-FFF2-40B4-BE49-F238E27FC236}">
              <a16:creationId xmlns:a16="http://schemas.microsoft.com/office/drawing/2014/main" id="{2DF3121E-EE94-4118-B1DF-FED8EA7F8F14}"/>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oneCellAnchor>
  <xdr:twoCellAnchor editAs="oneCell">
    <xdr:from>
      <xdr:col>3</xdr:col>
      <xdr:colOff>715645</xdr:colOff>
      <xdr:row>209</xdr:row>
      <xdr:rowOff>162560</xdr:rowOff>
    </xdr:from>
    <xdr:to>
      <xdr:col>4</xdr:col>
      <xdr:colOff>1228386</xdr:colOff>
      <xdr:row>226</xdr:row>
      <xdr:rowOff>76200</xdr:rowOff>
    </xdr:to>
    <xdr:pic>
      <xdr:nvPicPr>
        <xdr:cNvPr id="33" name="Imagem 32">
          <a:extLst>
            <a:ext uri="{FF2B5EF4-FFF2-40B4-BE49-F238E27FC236}">
              <a16:creationId xmlns:a16="http://schemas.microsoft.com/office/drawing/2014/main" id="{880AAF68-077C-B035-F5DE-659795EEF2D5}"/>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382895" y="40948610"/>
          <a:ext cx="2541566" cy="29902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476250</xdr:colOff>
      <xdr:row>214</xdr:row>
      <xdr:rowOff>171450</xdr:rowOff>
    </xdr:from>
    <xdr:to>
      <xdr:col>3</xdr:col>
      <xdr:colOff>177129</xdr:colOff>
      <xdr:row>224</xdr:row>
      <xdr:rowOff>38100</xdr:rowOff>
    </xdr:to>
    <xdr:pic>
      <xdr:nvPicPr>
        <xdr:cNvPr id="34" name="Imagem 33">
          <a:extLst>
            <a:ext uri="{FF2B5EF4-FFF2-40B4-BE49-F238E27FC236}">
              <a16:creationId xmlns:a16="http://schemas.microsoft.com/office/drawing/2014/main" id="{B01AFDE2-5C82-71B6-FA10-86A80B927ABE}"/>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476250" y="41862375"/>
          <a:ext cx="4368129" cy="167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536575</xdr:colOff>
      <xdr:row>250</xdr:row>
      <xdr:rowOff>0</xdr:rowOff>
    </xdr:from>
    <xdr:to>
      <xdr:col>4</xdr:col>
      <xdr:colOff>1049316</xdr:colOff>
      <xdr:row>266</xdr:row>
      <xdr:rowOff>99695</xdr:rowOff>
    </xdr:to>
    <xdr:pic>
      <xdr:nvPicPr>
        <xdr:cNvPr id="37" name="Imagem 36">
          <a:extLst>
            <a:ext uri="{FF2B5EF4-FFF2-40B4-BE49-F238E27FC236}">
              <a16:creationId xmlns:a16="http://schemas.microsoft.com/office/drawing/2014/main" id="{CE3902F6-72AD-4803-A294-7A8E9DBAD944}"/>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10175" y="45513625"/>
          <a:ext cx="2544741" cy="29394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914400</xdr:colOff>
      <xdr:row>250</xdr:row>
      <xdr:rowOff>88900</xdr:rowOff>
    </xdr:from>
    <xdr:to>
      <xdr:col>2</xdr:col>
      <xdr:colOff>1231900</xdr:colOff>
      <xdr:row>258</xdr:row>
      <xdr:rowOff>19309</xdr:rowOff>
    </xdr:to>
    <xdr:pic>
      <xdr:nvPicPr>
        <xdr:cNvPr id="38" name="Imagem 37">
          <a:extLst>
            <a:ext uri="{FF2B5EF4-FFF2-40B4-BE49-F238E27FC236}">
              <a16:creationId xmlns:a16="http://schemas.microsoft.com/office/drawing/2014/main" id="{9A179062-3311-C505-5281-58E3D39B8225}"/>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914400" y="45694600"/>
          <a:ext cx="3708400" cy="13528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876300</xdr:colOff>
      <xdr:row>259</xdr:row>
      <xdr:rowOff>76199</xdr:rowOff>
    </xdr:from>
    <xdr:to>
      <xdr:col>3</xdr:col>
      <xdr:colOff>0</xdr:colOff>
      <xdr:row>267</xdr:row>
      <xdr:rowOff>7268</xdr:rowOff>
    </xdr:to>
    <xdr:pic>
      <xdr:nvPicPr>
        <xdr:cNvPr id="39" name="Imagem 38">
          <a:extLst>
            <a:ext uri="{FF2B5EF4-FFF2-40B4-BE49-F238E27FC236}">
              <a16:creationId xmlns:a16="http://schemas.microsoft.com/office/drawing/2014/main" id="{ABD57B28-4F45-0453-B264-D121420BC1C2}"/>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876300" y="47282099"/>
          <a:ext cx="3771900" cy="13534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715645</xdr:colOff>
      <xdr:row>282</xdr:row>
      <xdr:rowOff>162560</xdr:rowOff>
    </xdr:from>
    <xdr:ext cx="2536274" cy="3080173"/>
    <xdr:pic>
      <xdr:nvPicPr>
        <xdr:cNvPr id="40" name="Imagem 39">
          <a:extLst>
            <a:ext uri="{FF2B5EF4-FFF2-40B4-BE49-F238E27FC236}">
              <a16:creationId xmlns:a16="http://schemas.microsoft.com/office/drawing/2014/main" id="{A1729203-E951-4738-8ED6-FCB2AFF7B46A}"/>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389245" y="42123360"/>
          <a:ext cx="2536274" cy="308017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476250</xdr:colOff>
      <xdr:row>287</xdr:row>
      <xdr:rowOff>171450</xdr:rowOff>
    </xdr:from>
    <xdr:ext cx="4374479" cy="1729317"/>
    <xdr:pic>
      <xdr:nvPicPr>
        <xdr:cNvPr id="41" name="Imagem 40">
          <a:extLst>
            <a:ext uri="{FF2B5EF4-FFF2-40B4-BE49-F238E27FC236}">
              <a16:creationId xmlns:a16="http://schemas.microsoft.com/office/drawing/2014/main" id="{529F2087-53E7-4C22-8D25-E9D8CCC1048B}"/>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476250" y="43063583"/>
          <a:ext cx="4374479" cy="17293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715645</xdr:colOff>
      <xdr:row>309</xdr:row>
      <xdr:rowOff>162560</xdr:rowOff>
    </xdr:from>
    <xdr:ext cx="2536274" cy="3080173"/>
    <xdr:pic>
      <xdr:nvPicPr>
        <xdr:cNvPr id="42" name="Imagem 41">
          <a:extLst>
            <a:ext uri="{FF2B5EF4-FFF2-40B4-BE49-F238E27FC236}">
              <a16:creationId xmlns:a16="http://schemas.microsoft.com/office/drawing/2014/main" id="{8856F78F-CCAB-4427-B124-85E8A661FBFA}"/>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389245" y="42123360"/>
          <a:ext cx="2536274" cy="308017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476250</xdr:colOff>
      <xdr:row>314</xdr:row>
      <xdr:rowOff>171450</xdr:rowOff>
    </xdr:from>
    <xdr:ext cx="4374479" cy="1729317"/>
    <xdr:pic>
      <xdr:nvPicPr>
        <xdr:cNvPr id="43" name="Imagem 42">
          <a:extLst>
            <a:ext uri="{FF2B5EF4-FFF2-40B4-BE49-F238E27FC236}">
              <a16:creationId xmlns:a16="http://schemas.microsoft.com/office/drawing/2014/main" id="{ACAB101E-4A69-48C7-AD07-57068247962A}"/>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476250" y="43063583"/>
          <a:ext cx="4374479" cy="17293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536575</xdr:colOff>
      <xdr:row>337</xdr:row>
      <xdr:rowOff>85725</xdr:rowOff>
    </xdr:from>
    <xdr:ext cx="2536274" cy="3083348"/>
    <xdr:pic>
      <xdr:nvPicPr>
        <xdr:cNvPr id="45" name="Imagem 44">
          <a:extLst>
            <a:ext uri="{FF2B5EF4-FFF2-40B4-BE49-F238E27FC236}">
              <a16:creationId xmlns:a16="http://schemas.microsoft.com/office/drawing/2014/main" id="{38616FDB-72DF-454B-8B93-F5180B0889B5}"/>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10175" y="47634525"/>
          <a:ext cx="2536274" cy="30833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0</xdr:col>
      <xdr:colOff>383306</xdr:colOff>
      <xdr:row>336</xdr:row>
      <xdr:rowOff>87085</xdr:rowOff>
    </xdr:from>
    <xdr:to>
      <xdr:col>2</xdr:col>
      <xdr:colOff>883976</xdr:colOff>
      <xdr:row>355</xdr:row>
      <xdr:rowOff>97972</xdr:rowOff>
    </xdr:to>
    <xdr:pic>
      <xdr:nvPicPr>
        <xdr:cNvPr id="48" name="Imagem 47">
          <a:extLst>
            <a:ext uri="{FF2B5EF4-FFF2-40B4-BE49-F238E27FC236}">
              <a16:creationId xmlns:a16="http://schemas.microsoft.com/office/drawing/2014/main" id="{90EC17A9-81D3-F17C-B765-1132775E1FF8}"/>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383306" y="64182171"/>
          <a:ext cx="3886127" cy="35269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715645</xdr:colOff>
      <xdr:row>370</xdr:row>
      <xdr:rowOff>162560</xdr:rowOff>
    </xdr:from>
    <xdr:ext cx="2536274" cy="3080173"/>
    <xdr:pic>
      <xdr:nvPicPr>
        <xdr:cNvPr id="51" name="Imagem 50">
          <a:extLst>
            <a:ext uri="{FF2B5EF4-FFF2-40B4-BE49-F238E27FC236}">
              <a16:creationId xmlns:a16="http://schemas.microsoft.com/office/drawing/2014/main" id="{8FFCAFE7-02E0-4CF4-BBE1-460E93B5A982}"/>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382895" y="57598310"/>
          <a:ext cx="2536274" cy="308017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476250</xdr:colOff>
      <xdr:row>375</xdr:row>
      <xdr:rowOff>171450</xdr:rowOff>
    </xdr:from>
    <xdr:ext cx="4374479" cy="1729317"/>
    <xdr:pic>
      <xdr:nvPicPr>
        <xdr:cNvPr id="52" name="Imagem 51">
          <a:extLst>
            <a:ext uri="{FF2B5EF4-FFF2-40B4-BE49-F238E27FC236}">
              <a16:creationId xmlns:a16="http://schemas.microsoft.com/office/drawing/2014/main" id="{3C3F72A1-8A2E-4BAF-BBB0-D9A9AE66798F}"/>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476250" y="58512075"/>
          <a:ext cx="4374479" cy="17293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715645</xdr:colOff>
      <xdr:row>397</xdr:row>
      <xdr:rowOff>162560</xdr:rowOff>
    </xdr:from>
    <xdr:ext cx="2536274" cy="3080173"/>
    <xdr:pic>
      <xdr:nvPicPr>
        <xdr:cNvPr id="53" name="Imagem 52">
          <a:extLst>
            <a:ext uri="{FF2B5EF4-FFF2-40B4-BE49-F238E27FC236}">
              <a16:creationId xmlns:a16="http://schemas.microsoft.com/office/drawing/2014/main" id="{124D435E-F4B7-4351-A2F6-57465BF799A8}"/>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382895" y="57598310"/>
          <a:ext cx="2536274" cy="308017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476250</xdr:colOff>
      <xdr:row>402</xdr:row>
      <xdr:rowOff>171450</xdr:rowOff>
    </xdr:from>
    <xdr:ext cx="4374479" cy="1729317"/>
    <xdr:pic>
      <xdr:nvPicPr>
        <xdr:cNvPr id="54" name="Imagem 53">
          <a:extLst>
            <a:ext uri="{FF2B5EF4-FFF2-40B4-BE49-F238E27FC236}">
              <a16:creationId xmlns:a16="http://schemas.microsoft.com/office/drawing/2014/main" id="{7A34E735-E9CC-4133-84A5-7BFD8EF014C1}"/>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476250" y="58512075"/>
          <a:ext cx="4374479" cy="17293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396875</xdr:colOff>
      <xdr:row>423</xdr:row>
      <xdr:rowOff>149225</xdr:rowOff>
    </xdr:from>
    <xdr:ext cx="2536274" cy="3083348"/>
    <xdr:pic>
      <xdr:nvPicPr>
        <xdr:cNvPr id="55" name="Imagem 54">
          <a:extLst>
            <a:ext uri="{FF2B5EF4-FFF2-40B4-BE49-F238E27FC236}">
              <a16:creationId xmlns:a16="http://schemas.microsoft.com/office/drawing/2014/main" id="{764C7F31-A43E-41E0-8130-C55FD5AF75CC}"/>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070475" y="77936725"/>
          <a:ext cx="2536274" cy="308334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0</xdr:col>
      <xdr:colOff>1181100</xdr:colOff>
      <xdr:row>423</xdr:row>
      <xdr:rowOff>152400</xdr:rowOff>
    </xdr:from>
    <xdr:to>
      <xdr:col>2</xdr:col>
      <xdr:colOff>702495</xdr:colOff>
      <xdr:row>443</xdr:row>
      <xdr:rowOff>50800</xdr:rowOff>
    </xdr:to>
    <xdr:pic>
      <xdr:nvPicPr>
        <xdr:cNvPr id="57" name="Imagem 56">
          <a:extLst>
            <a:ext uri="{FF2B5EF4-FFF2-40B4-BE49-F238E27FC236}">
              <a16:creationId xmlns:a16="http://schemas.microsoft.com/office/drawing/2014/main" id="{8E324C16-C12B-7B20-8300-227AE702DF14}"/>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181100" y="77939900"/>
          <a:ext cx="2912295" cy="345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715645</xdr:colOff>
      <xdr:row>460</xdr:row>
      <xdr:rowOff>162560</xdr:rowOff>
    </xdr:from>
    <xdr:ext cx="2536274" cy="3080173"/>
    <xdr:pic>
      <xdr:nvPicPr>
        <xdr:cNvPr id="58" name="Imagem 57">
          <a:extLst>
            <a:ext uri="{FF2B5EF4-FFF2-40B4-BE49-F238E27FC236}">
              <a16:creationId xmlns:a16="http://schemas.microsoft.com/office/drawing/2014/main" id="{A4ED073F-A334-4AC3-B188-16CFF44AAD2F}"/>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382895" y="68999735"/>
          <a:ext cx="2536274" cy="308017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476250</xdr:colOff>
      <xdr:row>465</xdr:row>
      <xdr:rowOff>171450</xdr:rowOff>
    </xdr:from>
    <xdr:ext cx="4374479" cy="1729317"/>
    <xdr:pic>
      <xdr:nvPicPr>
        <xdr:cNvPr id="59" name="Imagem 58">
          <a:extLst>
            <a:ext uri="{FF2B5EF4-FFF2-40B4-BE49-F238E27FC236}">
              <a16:creationId xmlns:a16="http://schemas.microsoft.com/office/drawing/2014/main" id="{F0944646-74B8-4D56-BB5E-01E552B71AF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476250" y="69913500"/>
          <a:ext cx="4374479" cy="17293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0</xdr:col>
      <xdr:colOff>1362075</xdr:colOff>
      <xdr:row>486</xdr:row>
      <xdr:rowOff>114300</xdr:rowOff>
    </xdr:from>
    <xdr:to>
      <xdr:col>4</xdr:col>
      <xdr:colOff>387473</xdr:colOff>
      <xdr:row>495</xdr:row>
      <xdr:rowOff>102645</xdr:rowOff>
    </xdr:to>
    <xdr:pic>
      <xdr:nvPicPr>
        <xdr:cNvPr id="7" name="Imagem 6">
          <a:extLst>
            <a:ext uri="{FF2B5EF4-FFF2-40B4-BE49-F238E27FC236}">
              <a16:creationId xmlns:a16="http://schemas.microsoft.com/office/drawing/2014/main" id="{E7E0DC99-FF7B-48F6-9C99-A5A425BAF625}"/>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1362075" y="67863720"/>
          <a:ext cx="5723378" cy="1634265"/>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C02AF46E-C152-47CE-83F8-15B157689A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93162395-DA52-4F72-8B3C-2C1578D350EF}"/>
            </a:ext>
            <a:ext uri="{147F2762-F138-4A5C-976F-8EAC2B608ADB}">
              <a16:predDERef xmlns:a16="http://schemas.microsoft.com/office/drawing/2014/main" pred="{C02AF46E-C152-47CE-83F8-15B157689A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CED1E7FE-1E5A-4F20-AE4A-DD058FAFE214}"/>
            </a:ext>
            <a:ext uri="{147F2762-F138-4A5C-976F-8EAC2B608ADB}">
              <a16:predDERef xmlns:a16="http://schemas.microsoft.com/office/drawing/2014/main" pred="{93162395-DA52-4F72-8B3C-2C1578D350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6B4A0DE4-82F8-42EF-B758-5A7BEE8A1FDE}"/>
            </a:ext>
            <a:ext uri="{147F2762-F138-4A5C-976F-8EAC2B608ADB}">
              <a16:predDERef xmlns:a16="http://schemas.microsoft.com/office/drawing/2014/main" pred="{CED1E7FE-1E5A-4F20-AE4A-DD058FAFE2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 name="Imagem 1">
          <a:extLst>
            <a:ext uri="{FF2B5EF4-FFF2-40B4-BE49-F238E27FC236}">
              <a16:creationId xmlns:a16="http://schemas.microsoft.com/office/drawing/2014/main" id="{7EDAA0F3-CC07-43BD-A136-EC32A40307E2}"/>
            </a:ext>
            <a:ext uri="{147F2762-F138-4A5C-976F-8EAC2B608ADB}">
              <a16:predDERef xmlns:a16="http://schemas.microsoft.com/office/drawing/2014/main" pred="{6B4A0DE4-82F8-42EF-B758-5A7BEE8A1F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7" name="Imagem 1">
          <a:extLst>
            <a:ext uri="{FF2B5EF4-FFF2-40B4-BE49-F238E27FC236}">
              <a16:creationId xmlns:a16="http://schemas.microsoft.com/office/drawing/2014/main" id="{6542E590-4793-47A0-BFED-22270DA03A03}"/>
            </a:ext>
            <a:ext uri="{147F2762-F138-4A5C-976F-8EAC2B608ADB}">
              <a16:predDERef xmlns:a16="http://schemas.microsoft.com/office/drawing/2014/main" pred="{7EDAA0F3-CC07-43BD-A136-EC32A40307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18AF5C3E-6775-4C9E-97FE-A3842D892540}"/>
            </a:ext>
            <a:ext uri="{147F2762-F138-4A5C-976F-8EAC2B608ADB}">
              <a16:predDERef xmlns:a16="http://schemas.microsoft.com/office/drawing/2014/main" pred="{6542E590-4793-47A0-BFED-22270DA03A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9AF763C3-D202-47B7-ACBA-34587CF2EDF0}"/>
            </a:ext>
            <a:ext uri="{147F2762-F138-4A5C-976F-8EAC2B608ADB}">
              <a16:predDERef xmlns:a16="http://schemas.microsoft.com/office/drawing/2014/main" pred="{18AF5C3E-6775-4C9E-97FE-A3842D8925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0" y="514350"/>
          <a:ext cx="1519725" cy="791415"/>
        </a:xfrm>
        <a:prstGeom prst="rect">
          <a:avLst/>
        </a:prstGeom>
      </xdr:spPr>
    </xdr:pic>
    <xdr:clientData/>
  </xdr:twoCellAnchor>
  <xdr:twoCellAnchor editAs="oneCell">
    <xdr:from>
      <xdr:col>1</xdr:col>
      <xdr:colOff>581025</xdr:colOff>
      <xdr:row>224</xdr:row>
      <xdr:rowOff>0</xdr:rowOff>
    </xdr:from>
    <xdr:to>
      <xdr:col>3</xdr:col>
      <xdr:colOff>981075</xdr:colOff>
      <xdr:row>230</xdr:row>
      <xdr:rowOff>85725</xdr:rowOff>
    </xdr:to>
    <xdr:pic>
      <xdr:nvPicPr>
        <xdr:cNvPr id="10" name="Imagem 9">
          <a:extLst>
            <a:ext uri="{FF2B5EF4-FFF2-40B4-BE49-F238E27FC236}">
              <a16:creationId xmlns:a16="http://schemas.microsoft.com/office/drawing/2014/main" id="{376032D5-76DF-1C2D-8929-F9A8F3FACE9B}"/>
            </a:ext>
            <a:ext uri="{147F2762-F138-4A5C-976F-8EAC2B608ADB}">
              <a16:predDERef xmlns:a16="http://schemas.microsoft.com/office/drawing/2014/main" pred="{9AF763C3-D202-47B7-ACBA-34587CF2EDF0}"/>
            </a:ext>
          </a:extLst>
        </xdr:cNvPr>
        <xdr:cNvPicPr>
          <a:picLocks noChangeAspect="1"/>
        </xdr:cNvPicPr>
      </xdr:nvPicPr>
      <xdr:blipFill>
        <a:blip xmlns:r="http://schemas.openxmlformats.org/officeDocument/2006/relationships" r:embed="rId2"/>
        <a:stretch>
          <a:fillRect/>
        </a:stretch>
      </xdr:blipFill>
      <xdr:spPr>
        <a:xfrm>
          <a:off x="2676525" y="42624375"/>
          <a:ext cx="4572000" cy="1228725"/>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E6F2045D-54F5-4A16-B88C-99C68A2E9C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C8BEB46B-E9C6-4950-9C71-333264537C0C}"/>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3DB73723-ED69-4EF7-8433-C66ED2D9CD4D}"/>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987C6F29-713F-4901-B60A-8DD4C969E72E}"/>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 name="Imagem 1">
          <a:extLst>
            <a:ext uri="{FF2B5EF4-FFF2-40B4-BE49-F238E27FC236}">
              <a16:creationId xmlns:a16="http://schemas.microsoft.com/office/drawing/2014/main" id="{998F70FE-73A7-44CC-805B-4A450E19EA1C}"/>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7" name="Imagem 1">
          <a:extLst>
            <a:ext uri="{FF2B5EF4-FFF2-40B4-BE49-F238E27FC236}">
              <a16:creationId xmlns:a16="http://schemas.microsoft.com/office/drawing/2014/main" id="{96357CCC-B270-4674-822A-7E6419A98E44}"/>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A7D394DE-5CE5-41FA-84F8-8FAC50B06166}"/>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0B21E693-F52C-4105-BF1B-AE940EB22A8D}"/>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0</xdr:col>
      <xdr:colOff>1051629</xdr:colOff>
      <xdr:row>19</xdr:row>
      <xdr:rowOff>53340</xdr:rowOff>
    </xdr:from>
    <xdr:to>
      <xdr:col>1</xdr:col>
      <xdr:colOff>548641</xdr:colOff>
      <xdr:row>31</xdr:row>
      <xdr:rowOff>158708</xdr:rowOff>
    </xdr:to>
    <xdr:pic>
      <xdr:nvPicPr>
        <xdr:cNvPr id="10" name="Imagem 9">
          <a:extLst>
            <a:ext uri="{FF2B5EF4-FFF2-40B4-BE49-F238E27FC236}">
              <a16:creationId xmlns:a16="http://schemas.microsoft.com/office/drawing/2014/main" id="{42C0416D-F36A-4BF4-B861-243D4F618DEF}"/>
            </a:ext>
          </a:extLst>
        </xdr:cNvPr>
        <xdr:cNvPicPr>
          <a:picLocks noChangeAspect="1"/>
        </xdr:cNvPicPr>
      </xdr:nvPicPr>
      <xdr:blipFill>
        <a:blip xmlns:r="http://schemas.openxmlformats.org/officeDocument/2006/relationships" r:embed="rId2"/>
        <a:stretch>
          <a:fillRect/>
        </a:stretch>
      </xdr:blipFill>
      <xdr:spPr>
        <a:xfrm>
          <a:off x="1051629" y="3429000"/>
          <a:ext cx="1653472" cy="2299928"/>
        </a:xfrm>
        <a:prstGeom prst="rect">
          <a:avLst/>
        </a:prstGeom>
      </xdr:spPr>
    </xdr:pic>
    <xdr:clientData/>
  </xdr:twoCellAnchor>
  <xdr:twoCellAnchor editAs="oneCell">
    <xdr:from>
      <xdr:col>2</xdr:col>
      <xdr:colOff>688524</xdr:colOff>
      <xdr:row>17</xdr:row>
      <xdr:rowOff>99060</xdr:rowOff>
    </xdr:from>
    <xdr:to>
      <xdr:col>4</xdr:col>
      <xdr:colOff>1203063</xdr:colOff>
      <xdr:row>38</xdr:row>
      <xdr:rowOff>60059</xdr:rowOff>
    </xdr:to>
    <xdr:pic>
      <xdr:nvPicPr>
        <xdr:cNvPr id="11" name="Imagem 10">
          <a:extLst>
            <a:ext uri="{FF2B5EF4-FFF2-40B4-BE49-F238E27FC236}">
              <a16:creationId xmlns:a16="http://schemas.microsoft.com/office/drawing/2014/main" id="{EE7E1FDE-1E30-4AA4-846B-2430FDCCB7C8}"/>
            </a:ext>
          </a:extLst>
        </xdr:cNvPr>
        <xdr:cNvPicPr>
          <a:picLocks noChangeAspect="1"/>
        </xdr:cNvPicPr>
      </xdr:nvPicPr>
      <xdr:blipFill>
        <a:blip xmlns:r="http://schemas.openxmlformats.org/officeDocument/2006/relationships" r:embed="rId3"/>
        <a:stretch>
          <a:fillRect/>
        </a:stretch>
      </xdr:blipFill>
      <xdr:spPr>
        <a:xfrm>
          <a:off x="4079424" y="3108960"/>
          <a:ext cx="3821619" cy="3801479"/>
        </a:xfrm>
        <a:prstGeom prst="rect">
          <a:avLst/>
        </a:prstGeom>
      </xdr:spPr>
    </xdr:pic>
    <xdr:clientData/>
  </xdr:twoCellAnchor>
  <xdr:twoCellAnchor editAs="oneCell">
    <xdr:from>
      <xdr:col>0</xdr:col>
      <xdr:colOff>134980</xdr:colOff>
      <xdr:row>50</xdr:row>
      <xdr:rowOff>53340</xdr:rowOff>
    </xdr:from>
    <xdr:to>
      <xdr:col>2</xdr:col>
      <xdr:colOff>818575</xdr:colOff>
      <xdr:row>70</xdr:row>
      <xdr:rowOff>7620</xdr:rowOff>
    </xdr:to>
    <xdr:pic>
      <xdr:nvPicPr>
        <xdr:cNvPr id="12" name="Imagem 11">
          <a:extLst>
            <a:ext uri="{FF2B5EF4-FFF2-40B4-BE49-F238E27FC236}">
              <a16:creationId xmlns:a16="http://schemas.microsoft.com/office/drawing/2014/main" id="{AF2F6D10-4D1A-4B10-9FD5-2DFBBE0D18CE}"/>
            </a:ext>
          </a:extLst>
        </xdr:cNvPr>
        <xdr:cNvPicPr>
          <a:picLocks noChangeAspect="1"/>
        </xdr:cNvPicPr>
      </xdr:nvPicPr>
      <xdr:blipFill rotWithShape="1">
        <a:blip xmlns:r="http://schemas.openxmlformats.org/officeDocument/2006/relationships" r:embed="rId4"/>
        <a:srcRect t="1235"/>
        <a:stretch/>
      </xdr:blipFill>
      <xdr:spPr>
        <a:xfrm>
          <a:off x="134980" y="10134600"/>
          <a:ext cx="4074495" cy="3611880"/>
        </a:xfrm>
        <a:prstGeom prst="rect">
          <a:avLst/>
        </a:prstGeom>
      </xdr:spPr>
    </xdr:pic>
    <xdr:clientData/>
  </xdr:twoCellAnchor>
  <xdr:twoCellAnchor editAs="oneCell">
    <xdr:from>
      <xdr:col>3</xdr:col>
      <xdr:colOff>1112521</xdr:colOff>
      <xdr:row>54</xdr:row>
      <xdr:rowOff>76202</xdr:rowOff>
    </xdr:from>
    <xdr:to>
      <xdr:col>5</xdr:col>
      <xdr:colOff>3810</xdr:colOff>
      <xdr:row>70</xdr:row>
      <xdr:rowOff>47898</xdr:rowOff>
    </xdr:to>
    <xdr:pic>
      <xdr:nvPicPr>
        <xdr:cNvPr id="13" name="Imagem 12">
          <a:extLst>
            <a:ext uri="{FF2B5EF4-FFF2-40B4-BE49-F238E27FC236}">
              <a16:creationId xmlns:a16="http://schemas.microsoft.com/office/drawing/2014/main" id="{48BA538E-2D34-4931-AE7F-3D201E331954}"/>
            </a:ext>
          </a:extLst>
        </xdr:cNvPr>
        <xdr:cNvPicPr>
          <a:picLocks noChangeAspect="1"/>
        </xdr:cNvPicPr>
      </xdr:nvPicPr>
      <xdr:blipFill rotWithShape="1">
        <a:blip xmlns:r="http://schemas.openxmlformats.org/officeDocument/2006/relationships" r:embed="rId5"/>
        <a:srcRect r="2588" b="7382"/>
        <a:stretch/>
      </xdr:blipFill>
      <xdr:spPr>
        <a:xfrm>
          <a:off x="5783581" y="10888982"/>
          <a:ext cx="2766059" cy="2897776"/>
        </a:xfrm>
        <a:prstGeom prst="rect">
          <a:avLst/>
        </a:prstGeom>
      </xdr:spPr>
    </xdr:pic>
    <xdr:clientData/>
  </xdr:twoCellAnchor>
  <xdr:twoCellAnchor editAs="oneCell">
    <xdr:from>
      <xdr:col>2</xdr:col>
      <xdr:colOff>238661</xdr:colOff>
      <xdr:row>50</xdr:row>
      <xdr:rowOff>129540</xdr:rowOff>
    </xdr:from>
    <xdr:to>
      <xdr:col>3</xdr:col>
      <xdr:colOff>1319581</xdr:colOff>
      <xdr:row>60</xdr:row>
      <xdr:rowOff>45720</xdr:rowOff>
    </xdr:to>
    <xdr:pic>
      <xdr:nvPicPr>
        <xdr:cNvPr id="14" name="Imagem 13">
          <a:extLst>
            <a:ext uri="{FF2B5EF4-FFF2-40B4-BE49-F238E27FC236}">
              <a16:creationId xmlns:a16="http://schemas.microsoft.com/office/drawing/2014/main" id="{EE98A291-CCB8-4176-8C44-7AC3687FF783}"/>
            </a:ext>
          </a:extLst>
        </xdr:cNvPr>
        <xdr:cNvPicPr>
          <a:picLocks noChangeAspect="1"/>
        </xdr:cNvPicPr>
      </xdr:nvPicPr>
      <xdr:blipFill rotWithShape="1">
        <a:blip xmlns:r="http://schemas.openxmlformats.org/officeDocument/2006/relationships" r:embed="rId6"/>
        <a:srcRect t="5367" r="2657" b="15683"/>
        <a:stretch/>
      </xdr:blipFill>
      <xdr:spPr>
        <a:xfrm>
          <a:off x="3629561" y="10210800"/>
          <a:ext cx="2361080" cy="1744980"/>
        </a:xfrm>
        <a:prstGeom prst="rect">
          <a:avLst/>
        </a:prstGeom>
        <a:blipFill dpi="0" rotWithShape="1">
          <a:blip xmlns:r="http://schemas.openxmlformats.org/officeDocument/2006/relationships" r:embed="rId7">
            <a:alphaModFix amt="0"/>
          </a:blip>
          <a:srcRect/>
          <a:tile tx="0" ty="0" sx="100000" sy="100000" flip="none" algn="tl"/>
        </a:blipFill>
      </xdr:spPr>
    </xdr:pic>
    <xdr:clientData/>
  </xdr:twoCellAnchor>
  <xdr:twoCellAnchor editAs="oneCell">
    <xdr:from>
      <xdr:col>0</xdr:col>
      <xdr:colOff>1684020</xdr:colOff>
      <xdr:row>84</xdr:row>
      <xdr:rowOff>29262</xdr:rowOff>
    </xdr:from>
    <xdr:to>
      <xdr:col>3</xdr:col>
      <xdr:colOff>1005840</xdr:colOff>
      <xdr:row>105</xdr:row>
      <xdr:rowOff>117815</xdr:rowOff>
    </xdr:to>
    <xdr:pic>
      <xdr:nvPicPr>
        <xdr:cNvPr id="15" name="Imagem 14">
          <a:extLst>
            <a:ext uri="{FF2B5EF4-FFF2-40B4-BE49-F238E27FC236}">
              <a16:creationId xmlns:a16="http://schemas.microsoft.com/office/drawing/2014/main" id="{F86CD0AF-43D7-4E25-BA01-197DFB593761}"/>
            </a:ext>
          </a:extLst>
        </xdr:cNvPr>
        <xdr:cNvPicPr>
          <a:picLocks noChangeAspect="1"/>
        </xdr:cNvPicPr>
      </xdr:nvPicPr>
      <xdr:blipFill>
        <a:blip xmlns:r="http://schemas.openxmlformats.org/officeDocument/2006/relationships" r:embed="rId8"/>
        <a:stretch>
          <a:fillRect/>
        </a:stretch>
      </xdr:blipFill>
      <xdr:spPr>
        <a:xfrm>
          <a:off x="1684020" y="17981982"/>
          <a:ext cx="3992880" cy="3929033"/>
        </a:xfrm>
        <a:prstGeom prst="rect">
          <a:avLst/>
        </a:prstGeom>
      </xdr:spPr>
    </xdr:pic>
    <xdr:clientData/>
  </xdr:twoCellAnchor>
  <xdr:twoCellAnchor editAs="oneCell">
    <xdr:from>
      <xdr:col>1</xdr:col>
      <xdr:colOff>480060</xdr:colOff>
      <xdr:row>116</xdr:row>
      <xdr:rowOff>38100</xdr:rowOff>
    </xdr:from>
    <xdr:to>
      <xdr:col>3</xdr:col>
      <xdr:colOff>724016</xdr:colOff>
      <xdr:row>137</xdr:row>
      <xdr:rowOff>157620</xdr:rowOff>
    </xdr:to>
    <xdr:pic>
      <xdr:nvPicPr>
        <xdr:cNvPr id="16" name="Imagem 15">
          <a:extLst>
            <a:ext uri="{FF2B5EF4-FFF2-40B4-BE49-F238E27FC236}">
              <a16:creationId xmlns:a16="http://schemas.microsoft.com/office/drawing/2014/main" id="{91182EE9-7C66-466A-AFBB-924A11FAE9DC}"/>
            </a:ext>
          </a:extLst>
        </xdr:cNvPr>
        <xdr:cNvPicPr>
          <a:picLocks noChangeAspect="1"/>
        </xdr:cNvPicPr>
      </xdr:nvPicPr>
      <xdr:blipFill rotWithShape="1">
        <a:blip xmlns:r="http://schemas.openxmlformats.org/officeDocument/2006/relationships" r:embed="rId9"/>
        <a:srcRect b="1674"/>
        <a:stretch/>
      </xdr:blipFill>
      <xdr:spPr>
        <a:xfrm>
          <a:off x="2636520" y="24879300"/>
          <a:ext cx="2758556" cy="3960000"/>
        </a:xfrm>
        <a:prstGeom prst="rect">
          <a:avLst/>
        </a:prstGeom>
      </xdr:spPr>
    </xdr:pic>
    <xdr:clientData/>
  </xdr:twoCellAnchor>
  <xdr:twoCellAnchor editAs="oneCell">
    <xdr:from>
      <xdr:col>1</xdr:col>
      <xdr:colOff>777240</xdr:colOff>
      <xdr:row>152</xdr:row>
      <xdr:rowOff>68581</xdr:rowOff>
    </xdr:from>
    <xdr:to>
      <xdr:col>3</xdr:col>
      <xdr:colOff>526564</xdr:colOff>
      <xdr:row>172</xdr:row>
      <xdr:rowOff>45721</xdr:rowOff>
    </xdr:to>
    <xdr:pic>
      <xdr:nvPicPr>
        <xdr:cNvPr id="17" name="Imagem 16">
          <a:extLst>
            <a:ext uri="{FF2B5EF4-FFF2-40B4-BE49-F238E27FC236}">
              <a16:creationId xmlns:a16="http://schemas.microsoft.com/office/drawing/2014/main" id="{B3B669A8-2AE4-4994-8473-A3B9B7A7DA70}"/>
            </a:ext>
          </a:extLst>
        </xdr:cNvPr>
        <xdr:cNvPicPr>
          <a:picLocks noChangeAspect="1"/>
        </xdr:cNvPicPr>
      </xdr:nvPicPr>
      <xdr:blipFill>
        <a:blip xmlns:r="http://schemas.openxmlformats.org/officeDocument/2006/relationships" r:embed="rId10"/>
        <a:stretch>
          <a:fillRect/>
        </a:stretch>
      </xdr:blipFill>
      <xdr:spPr>
        <a:xfrm>
          <a:off x="2933700" y="33352741"/>
          <a:ext cx="2263924" cy="3634740"/>
        </a:xfrm>
        <a:prstGeom prst="rect">
          <a:avLst/>
        </a:prstGeom>
      </xdr:spPr>
    </xdr:pic>
    <xdr:clientData/>
  </xdr:twoCellAnchor>
  <xdr:twoCellAnchor editAs="oneCell">
    <xdr:from>
      <xdr:col>1</xdr:col>
      <xdr:colOff>624841</xdr:colOff>
      <xdr:row>188</xdr:row>
      <xdr:rowOff>60960</xdr:rowOff>
    </xdr:from>
    <xdr:to>
      <xdr:col>3</xdr:col>
      <xdr:colOff>480060</xdr:colOff>
      <xdr:row>209</xdr:row>
      <xdr:rowOff>55773</xdr:rowOff>
    </xdr:to>
    <xdr:pic>
      <xdr:nvPicPr>
        <xdr:cNvPr id="18" name="Imagem 17">
          <a:extLst>
            <a:ext uri="{FF2B5EF4-FFF2-40B4-BE49-F238E27FC236}">
              <a16:creationId xmlns:a16="http://schemas.microsoft.com/office/drawing/2014/main" id="{FEC0777E-A665-4A26-ADA4-DFEE8C3E9F5D}"/>
            </a:ext>
          </a:extLst>
        </xdr:cNvPr>
        <xdr:cNvPicPr>
          <a:picLocks noChangeAspect="1"/>
        </xdr:cNvPicPr>
      </xdr:nvPicPr>
      <xdr:blipFill>
        <a:blip xmlns:r="http://schemas.openxmlformats.org/officeDocument/2006/relationships" r:embed="rId11"/>
        <a:stretch>
          <a:fillRect/>
        </a:stretch>
      </xdr:blipFill>
      <xdr:spPr>
        <a:xfrm>
          <a:off x="2781301" y="41788080"/>
          <a:ext cx="2369819" cy="3835293"/>
        </a:xfrm>
        <a:prstGeom prst="rect">
          <a:avLst/>
        </a:prstGeom>
      </xdr:spPr>
    </xdr:pic>
    <xdr:clientData/>
  </xdr:twoCellAnchor>
  <xdr:twoCellAnchor editAs="oneCell">
    <xdr:from>
      <xdr:col>0</xdr:col>
      <xdr:colOff>1958341</xdr:colOff>
      <xdr:row>224</xdr:row>
      <xdr:rowOff>60960</xdr:rowOff>
    </xdr:from>
    <xdr:to>
      <xdr:col>3</xdr:col>
      <xdr:colOff>1718934</xdr:colOff>
      <xdr:row>245</xdr:row>
      <xdr:rowOff>108480</xdr:rowOff>
    </xdr:to>
    <xdr:pic>
      <xdr:nvPicPr>
        <xdr:cNvPr id="19" name="Imagem 18">
          <a:extLst>
            <a:ext uri="{FF2B5EF4-FFF2-40B4-BE49-F238E27FC236}">
              <a16:creationId xmlns:a16="http://schemas.microsoft.com/office/drawing/2014/main" id="{9FB9DCC3-80A7-49D5-B725-51B089AD7D43}"/>
            </a:ext>
          </a:extLst>
        </xdr:cNvPr>
        <xdr:cNvPicPr>
          <a:picLocks noChangeAspect="1"/>
        </xdr:cNvPicPr>
      </xdr:nvPicPr>
      <xdr:blipFill>
        <a:blip xmlns:r="http://schemas.openxmlformats.org/officeDocument/2006/relationships" r:embed="rId12"/>
        <a:stretch>
          <a:fillRect/>
        </a:stretch>
      </xdr:blipFill>
      <xdr:spPr>
        <a:xfrm>
          <a:off x="1958341" y="50231040"/>
          <a:ext cx="4431653" cy="3888000"/>
        </a:xfrm>
        <a:prstGeom prst="rect">
          <a:avLst/>
        </a:prstGeom>
      </xdr:spPr>
    </xdr:pic>
    <xdr:clientData/>
  </xdr:twoCellAnchor>
  <xdr:oneCellAnchor>
    <xdr:from>
      <xdr:col>0</xdr:col>
      <xdr:colOff>1812687</xdr:colOff>
      <xdr:row>259</xdr:row>
      <xdr:rowOff>121920</xdr:rowOff>
    </xdr:from>
    <xdr:ext cx="4512449" cy="2864548"/>
    <xdr:pic>
      <xdr:nvPicPr>
        <xdr:cNvPr id="20" name="Imagem 19">
          <a:extLst>
            <a:ext uri="{FF2B5EF4-FFF2-40B4-BE49-F238E27FC236}">
              <a16:creationId xmlns:a16="http://schemas.microsoft.com/office/drawing/2014/main" id="{ACE1CE39-9B68-46F1-B37E-04C9626C8181}"/>
            </a:ext>
          </a:extLst>
        </xdr:cNvPr>
        <xdr:cNvPicPr>
          <a:picLocks noChangeAspect="1"/>
        </xdr:cNvPicPr>
      </xdr:nvPicPr>
      <xdr:blipFill>
        <a:blip xmlns:r="http://schemas.openxmlformats.org/officeDocument/2006/relationships" r:embed="rId13"/>
        <a:stretch>
          <a:fillRect/>
        </a:stretch>
      </xdr:blipFill>
      <xdr:spPr>
        <a:xfrm>
          <a:off x="1812687" y="58346340"/>
          <a:ext cx="4512449" cy="2864548"/>
        </a:xfrm>
        <a:prstGeom prst="rect">
          <a:avLst/>
        </a:prstGeom>
      </xdr:spPr>
    </xdr:pic>
    <xdr:clientData/>
  </xdr:oneCellAnchor>
  <xdr:twoCellAnchor editAs="oneCell">
    <xdr:from>
      <xdr:col>0</xdr:col>
      <xdr:colOff>1783080</xdr:colOff>
      <xdr:row>276</xdr:row>
      <xdr:rowOff>60960</xdr:rowOff>
    </xdr:from>
    <xdr:to>
      <xdr:col>3</xdr:col>
      <xdr:colOff>1645359</xdr:colOff>
      <xdr:row>295</xdr:row>
      <xdr:rowOff>152401</xdr:rowOff>
    </xdr:to>
    <xdr:pic>
      <xdr:nvPicPr>
        <xdr:cNvPr id="21" name="Imagem 20">
          <a:extLst>
            <a:ext uri="{FF2B5EF4-FFF2-40B4-BE49-F238E27FC236}">
              <a16:creationId xmlns:a16="http://schemas.microsoft.com/office/drawing/2014/main" id="{BF10F9BE-9588-4012-A8BB-920F85A9FC3B}"/>
            </a:ext>
          </a:extLst>
        </xdr:cNvPr>
        <xdr:cNvPicPr>
          <a:picLocks noChangeAspect="1"/>
        </xdr:cNvPicPr>
      </xdr:nvPicPr>
      <xdr:blipFill>
        <a:blip xmlns:r="http://schemas.openxmlformats.org/officeDocument/2006/relationships" r:embed="rId14"/>
        <a:stretch>
          <a:fillRect/>
        </a:stretch>
      </xdr:blipFill>
      <xdr:spPr>
        <a:xfrm>
          <a:off x="1783080" y="61394340"/>
          <a:ext cx="4533339" cy="3566161"/>
        </a:xfrm>
        <a:prstGeom prst="rect">
          <a:avLst/>
        </a:prstGeom>
      </xdr:spPr>
    </xdr:pic>
    <xdr:clientData/>
  </xdr:twoCellAnchor>
  <xdr:twoCellAnchor editAs="oneCell">
    <xdr:from>
      <xdr:col>0</xdr:col>
      <xdr:colOff>1804277</xdr:colOff>
      <xdr:row>296</xdr:row>
      <xdr:rowOff>76200</xdr:rowOff>
    </xdr:from>
    <xdr:to>
      <xdr:col>3</xdr:col>
      <xdr:colOff>1655356</xdr:colOff>
      <xdr:row>323</xdr:row>
      <xdr:rowOff>46768</xdr:rowOff>
    </xdr:to>
    <xdr:pic>
      <xdr:nvPicPr>
        <xdr:cNvPr id="22" name="Imagem 21">
          <a:extLst>
            <a:ext uri="{FF2B5EF4-FFF2-40B4-BE49-F238E27FC236}">
              <a16:creationId xmlns:a16="http://schemas.microsoft.com/office/drawing/2014/main" id="{E1DC5CA2-4AA6-49AA-80F2-0CF79B88DC35}"/>
            </a:ext>
          </a:extLst>
        </xdr:cNvPr>
        <xdr:cNvPicPr>
          <a:picLocks noChangeAspect="1"/>
        </xdr:cNvPicPr>
      </xdr:nvPicPr>
      <xdr:blipFill>
        <a:blip xmlns:r="http://schemas.openxmlformats.org/officeDocument/2006/relationships" r:embed="rId15"/>
        <a:stretch>
          <a:fillRect/>
        </a:stretch>
      </xdr:blipFill>
      <xdr:spPr>
        <a:xfrm>
          <a:off x="1804277" y="65067180"/>
          <a:ext cx="4522139" cy="4908328"/>
        </a:xfrm>
        <a:prstGeom prst="rect">
          <a:avLst/>
        </a:prstGeom>
      </xdr:spPr>
    </xdr:pic>
    <xdr:clientData/>
  </xdr:twoCellAnchor>
  <xdr:twoCellAnchor editAs="oneCell">
    <xdr:from>
      <xdr:col>0</xdr:col>
      <xdr:colOff>1196340</xdr:colOff>
      <xdr:row>324</xdr:row>
      <xdr:rowOff>152400</xdr:rowOff>
    </xdr:from>
    <xdr:to>
      <xdr:col>4</xdr:col>
      <xdr:colOff>597740</xdr:colOff>
      <xdr:row>345</xdr:row>
      <xdr:rowOff>53340</xdr:rowOff>
    </xdr:to>
    <xdr:pic>
      <xdr:nvPicPr>
        <xdr:cNvPr id="23" name="Imagem 22">
          <a:extLst>
            <a:ext uri="{FF2B5EF4-FFF2-40B4-BE49-F238E27FC236}">
              <a16:creationId xmlns:a16="http://schemas.microsoft.com/office/drawing/2014/main" id="{01215EB0-8EC6-4013-AC19-7F9FFDE363AB}"/>
            </a:ext>
          </a:extLst>
        </xdr:cNvPr>
        <xdr:cNvPicPr>
          <a:picLocks noChangeAspect="1"/>
        </xdr:cNvPicPr>
      </xdr:nvPicPr>
      <xdr:blipFill rotWithShape="1">
        <a:blip xmlns:r="http://schemas.openxmlformats.org/officeDocument/2006/relationships" r:embed="rId16"/>
        <a:srcRect l="894" t="2160" r="875" b="1375"/>
        <a:stretch/>
      </xdr:blipFill>
      <xdr:spPr>
        <a:xfrm>
          <a:off x="1196340" y="70264020"/>
          <a:ext cx="6099380" cy="3741420"/>
        </a:xfrm>
        <a:prstGeom prst="rect">
          <a:avLst/>
        </a:prstGeom>
      </xdr:spPr>
    </xdr:pic>
    <xdr:clientData/>
  </xdr:twoCellAnchor>
  <xdr:twoCellAnchor editAs="oneCell">
    <xdr:from>
      <xdr:col>0</xdr:col>
      <xdr:colOff>1341120</xdr:colOff>
      <xdr:row>346</xdr:row>
      <xdr:rowOff>99117</xdr:rowOff>
    </xdr:from>
    <xdr:to>
      <xdr:col>4</xdr:col>
      <xdr:colOff>439140</xdr:colOff>
      <xdr:row>361</xdr:row>
      <xdr:rowOff>52516</xdr:rowOff>
    </xdr:to>
    <xdr:pic>
      <xdr:nvPicPr>
        <xdr:cNvPr id="24" name="Imagem 23">
          <a:extLst>
            <a:ext uri="{FF2B5EF4-FFF2-40B4-BE49-F238E27FC236}">
              <a16:creationId xmlns:a16="http://schemas.microsoft.com/office/drawing/2014/main" id="{5C6C8667-0B77-4686-8142-7D6475E4C082}"/>
            </a:ext>
          </a:extLst>
        </xdr:cNvPr>
        <xdr:cNvPicPr>
          <a:picLocks noChangeAspect="1"/>
        </xdr:cNvPicPr>
      </xdr:nvPicPr>
      <xdr:blipFill>
        <a:blip xmlns:r="http://schemas.openxmlformats.org/officeDocument/2006/relationships" r:embed="rId17"/>
        <a:stretch>
          <a:fillRect/>
        </a:stretch>
      </xdr:blipFill>
      <xdr:spPr>
        <a:xfrm>
          <a:off x="1341120" y="74234097"/>
          <a:ext cx="5796000" cy="2696599"/>
        </a:xfrm>
        <a:prstGeom prst="rect">
          <a:avLst/>
        </a:prstGeom>
      </xdr:spPr>
    </xdr:pic>
    <xdr:clientData/>
  </xdr:twoCellAnchor>
  <xdr:twoCellAnchor editAs="oneCell">
    <xdr:from>
      <xdr:col>0</xdr:col>
      <xdr:colOff>1362075</xdr:colOff>
      <xdr:row>401</xdr:row>
      <xdr:rowOff>114300</xdr:rowOff>
    </xdr:from>
    <xdr:to>
      <xdr:col>4</xdr:col>
      <xdr:colOff>387473</xdr:colOff>
      <xdr:row>410</xdr:row>
      <xdr:rowOff>102645</xdr:rowOff>
    </xdr:to>
    <xdr:pic>
      <xdr:nvPicPr>
        <xdr:cNvPr id="25" name="Imagem 24">
          <a:extLst>
            <a:ext uri="{FF2B5EF4-FFF2-40B4-BE49-F238E27FC236}">
              <a16:creationId xmlns:a16="http://schemas.microsoft.com/office/drawing/2014/main" id="{DCD8B9BC-BDB0-49C9-9F8F-4BFC42D01A9C}"/>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1362075" y="39646860"/>
          <a:ext cx="5723378" cy="1634265"/>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3</xdr:col>
      <xdr:colOff>180975</xdr:colOff>
      <xdr:row>2</xdr:row>
      <xdr:rowOff>142875</xdr:rowOff>
    </xdr:from>
    <xdr:to>
      <xdr:col>3</xdr:col>
      <xdr:colOff>1700700</xdr:colOff>
      <xdr:row>7</xdr:row>
      <xdr:rowOff>19890</xdr:rowOff>
    </xdr:to>
    <xdr:pic>
      <xdr:nvPicPr>
        <xdr:cNvPr id="2" name="Imagem 1">
          <a:extLst>
            <a:ext uri="{FF2B5EF4-FFF2-40B4-BE49-F238E27FC236}">
              <a16:creationId xmlns:a16="http://schemas.microsoft.com/office/drawing/2014/main" id="{CAE19DAC-5116-4321-85F3-05DC8DC39C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3" name="Imagem 1">
          <a:extLst>
            <a:ext uri="{FF2B5EF4-FFF2-40B4-BE49-F238E27FC236}">
              <a16:creationId xmlns:a16="http://schemas.microsoft.com/office/drawing/2014/main" id="{EC805889-C9BC-468E-AF54-D9FDCA7F2F9E}"/>
            </a:ext>
            <a:ext uri="{147F2762-F138-4A5C-976F-8EAC2B608ADB}">
              <a16:predDERef xmlns:a16="http://schemas.microsoft.com/office/drawing/2014/main" pred="{63A98A2C-3F05-4B4B-AE50-7DAA2AF9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4" name="Imagem 1">
          <a:extLst>
            <a:ext uri="{FF2B5EF4-FFF2-40B4-BE49-F238E27FC236}">
              <a16:creationId xmlns:a16="http://schemas.microsoft.com/office/drawing/2014/main" id="{8D7B6D64-A239-4A07-90B7-DDF8BFA21B8B}"/>
            </a:ext>
            <a:ext uri="{147F2762-F138-4A5C-976F-8EAC2B608ADB}">
              <a16:predDERef xmlns:a16="http://schemas.microsoft.com/office/drawing/2014/main" pred="{E36023C2-91E4-4238-BDD7-61FD3ABD89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5" name="Imagem 1">
          <a:extLst>
            <a:ext uri="{FF2B5EF4-FFF2-40B4-BE49-F238E27FC236}">
              <a16:creationId xmlns:a16="http://schemas.microsoft.com/office/drawing/2014/main" id="{79EA9AA7-C18F-471F-B00D-31111976FE59}"/>
            </a:ext>
            <a:ext uri="{147F2762-F138-4A5C-976F-8EAC2B608ADB}">
              <a16:predDERef xmlns:a16="http://schemas.microsoft.com/office/drawing/2014/main" pred="{815DE804-6C68-4A9D-A31B-65694FDD34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6" name="Imagem 1">
          <a:extLst>
            <a:ext uri="{FF2B5EF4-FFF2-40B4-BE49-F238E27FC236}">
              <a16:creationId xmlns:a16="http://schemas.microsoft.com/office/drawing/2014/main" id="{E391A8D4-0E87-4D25-9CC0-6EE65BFB24FE}"/>
            </a:ext>
            <a:ext uri="{147F2762-F138-4A5C-976F-8EAC2B608ADB}">
              <a16:predDERef xmlns:a16="http://schemas.microsoft.com/office/drawing/2014/main" pred="{9802A12A-6E08-4CA6-BBFA-0C625D2F49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7" name="Imagem 1">
          <a:extLst>
            <a:ext uri="{FF2B5EF4-FFF2-40B4-BE49-F238E27FC236}">
              <a16:creationId xmlns:a16="http://schemas.microsoft.com/office/drawing/2014/main" id="{62BEAF54-513E-4BE6-8AE2-41EAA8AA1DB7}"/>
            </a:ext>
            <a:ext uri="{147F2762-F138-4A5C-976F-8EAC2B608ADB}">
              <a16:predDERef xmlns:a16="http://schemas.microsoft.com/office/drawing/2014/main" pred="{759A649E-851D-4B24-BC3B-B3B56C64A6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8" name="Imagem 1">
          <a:extLst>
            <a:ext uri="{FF2B5EF4-FFF2-40B4-BE49-F238E27FC236}">
              <a16:creationId xmlns:a16="http://schemas.microsoft.com/office/drawing/2014/main" id="{837D5F66-DE33-46A1-9952-4401A08B60A2}"/>
            </a:ext>
            <a:ext uri="{147F2762-F138-4A5C-976F-8EAC2B608ADB}">
              <a16:predDERef xmlns:a16="http://schemas.microsoft.com/office/drawing/2014/main" pred="{F33C3FCF-D6D8-4BCA-936C-A1EB99F1D8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3</xdr:col>
      <xdr:colOff>180975</xdr:colOff>
      <xdr:row>2</xdr:row>
      <xdr:rowOff>142875</xdr:rowOff>
    </xdr:from>
    <xdr:to>
      <xdr:col>3</xdr:col>
      <xdr:colOff>1700700</xdr:colOff>
      <xdr:row>7</xdr:row>
      <xdr:rowOff>19890</xdr:rowOff>
    </xdr:to>
    <xdr:pic>
      <xdr:nvPicPr>
        <xdr:cNvPr id="9" name="Imagem 1">
          <a:extLst>
            <a:ext uri="{FF2B5EF4-FFF2-40B4-BE49-F238E27FC236}">
              <a16:creationId xmlns:a16="http://schemas.microsoft.com/office/drawing/2014/main" id="{29CD8BA3-ABC3-422A-B28D-34C45BBEB6BB}"/>
            </a:ext>
            <a:ext uri="{147F2762-F138-4A5C-976F-8EAC2B608ADB}">
              <a16:predDERef xmlns:a16="http://schemas.microsoft.com/office/drawing/2014/main" pred="{BD110D97-4D10-48A1-B526-50580AC5B2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2035" y="516255"/>
          <a:ext cx="1519725" cy="799035"/>
        </a:xfrm>
        <a:prstGeom prst="rect">
          <a:avLst/>
        </a:prstGeom>
      </xdr:spPr>
    </xdr:pic>
    <xdr:clientData/>
  </xdr:twoCellAnchor>
  <xdr:twoCellAnchor editAs="oneCell">
    <xdr:from>
      <xdr:col>0</xdr:col>
      <xdr:colOff>2005283</xdr:colOff>
      <xdr:row>11</xdr:row>
      <xdr:rowOff>107950</xdr:rowOff>
    </xdr:from>
    <xdr:to>
      <xdr:col>3</xdr:col>
      <xdr:colOff>1916235</xdr:colOff>
      <xdr:row>29</xdr:row>
      <xdr:rowOff>117210</xdr:rowOff>
    </xdr:to>
    <xdr:pic>
      <xdr:nvPicPr>
        <xdr:cNvPr id="10" name="Imagem 9">
          <a:extLst>
            <a:ext uri="{FF2B5EF4-FFF2-40B4-BE49-F238E27FC236}">
              <a16:creationId xmlns:a16="http://schemas.microsoft.com/office/drawing/2014/main" id="{F20F040B-D62B-132B-2347-F1DC7CF61B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05283" y="2152650"/>
          <a:ext cx="4584552" cy="33239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1362075</xdr:colOff>
      <xdr:row>39</xdr:row>
      <xdr:rowOff>114300</xdr:rowOff>
    </xdr:from>
    <xdr:to>
      <xdr:col>4</xdr:col>
      <xdr:colOff>387473</xdr:colOff>
      <xdr:row>48</xdr:row>
      <xdr:rowOff>34065</xdr:rowOff>
    </xdr:to>
    <xdr:pic>
      <xdr:nvPicPr>
        <xdr:cNvPr id="11" name="Imagem 10">
          <a:extLst>
            <a:ext uri="{FF2B5EF4-FFF2-40B4-BE49-F238E27FC236}">
              <a16:creationId xmlns:a16="http://schemas.microsoft.com/office/drawing/2014/main" id="{3F0FF19A-0159-4148-8FD0-0B4D5BDC8E0C}"/>
            </a:ext>
            <a:ext uri="{147F2762-F138-4A5C-976F-8EAC2B608ADB}">
              <a16:predDERef xmlns:a16="http://schemas.microsoft.com/office/drawing/2014/main" pred="{6D32BCAE-C064-4688-A69C-0F4FDCF59E1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362075" y="91881960"/>
          <a:ext cx="5723378" cy="163426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iner\Downloads\Planilha%20Or&#231;ament&#225;ria%20da%20Chacara%20do%20Barao%20Serro%20MG%20R06%202025.09.xlsx" TargetMode="External"/><Relationship Id="rId1" Type="http://schemas.openxmlformats.org/officeDocument/2006/relationships/externalLinkPath" Target="file:///C:\Users\miner\Downloads\Planilha%20Or&#231;ament&#225;ria%20da%20Chacara%20do%20Barao%20Serro%20MG%20R06%202025.09.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https://d.docs.live.net/ea0d4cfc28e42bc9/&#193;rea%20de%20Trabalho/Profissional/Minerva%20Proj%20e%20Exec/Engenharia/Servi&#231;os/Prefeitura%20de%20Serro%20MG/Obra%20-%20Mercado/PRJ-HDS%20-%20PROJETO%20HIDROSANIT&#193;RIO/PLN%20MERCADO%2005_2024%20Levantamento.xlsx" TargetMode="External"/><Relationship Id="rId2" Type="http://schemas.microsoft.com/office/2019/04/relationships/externalLinkLongPath" Target="https://d.docs.live.net/ea0d4cfc28e42bc9/&#193;rea%20de%20Trabalho/Profissional/Minerva%20Proj%20e%20Exec/Engenharia/Servi&#231;os/Prefeitura%20de%20Serro%20MG/Obra%20-%20Mercado/PRJ-HDS%20-%20PROJETO%20HIDROSANIT&#193;RIO/PLN%20MERCADO%2005_2024%20Levantamento.xlsx?AB61BB38" TargetMode="External"/><Relationship Id="rId1" Type="http://schemas.openxmlformats.org/officeDocument/2006/relationships/externalLinkPath" Target="file:///\\AB61BB38\PLN%20MERCADO%2005_2024%20Levantamento.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miner\Downloads\PNL%20Serro\Obra%20-%20Mercado%20Municipal\Or&#231;amento\PLN%20MERCADO%20R05%2009.2025%20-%20Vers&#227;o%20Edit&#225;vel%20Fonte.xlsx" TargetMode="External"/><Relationship Id="rId1" Type="http://schemas.openxmlformats.org/officeDocument/2006/relationships/externalLinkPath" Target="file:///C:\Users\miner\Downloads\PNL%20Serro\Obra%20-%20Mercado%20Municipal\Or&#231;amento\PLN%20MERCADO%20R05%2009.2025%20-%20Vers&#227;o%20Edit&#225;vel%20Fon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INAPI"/>
      <sheetName val="SICOR"/>
      <sheetName val="SUDECAP"/>
      <sheetName val="INCC"/>
      <sheetName val="Resumo"/>
      <sheetName val="Sintética"/>
      <sheetName val="Analítica"/>
      <sheetName val="QCP"/>
      <sheetName val="BDI SERVIÇOS"/>
      <sheetName val="BDI EQUIPAMENTOS"/>
      <sheetName val="Cronograma"/>
      <sheetName val="Curva ABC"/>
      <sheetName val="Curva S"/>
      <sheetName val="Encargos Sociais"/>
      <sheetName val="Sintética (2)"/>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sheetData sheetId="11" refreshError="1"/>
      <sheetData sheetId="12">
        <row r="18">
          <cell r="I18" t="str">
            <v>PREVISTO</v>
          </cell>
        </row>
      </sheetData>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SINAPI INSUMO"/>
      <sheetName val="SETOP INSUMO"/>
      <sheetName val="RESUMO"/>
      <sheetName val="SINTÉTICA"/>
      <sheetName val="MC HIDRO"/>
      <sheetName val="MC ALVENARIA"/>
      <sheetName val="MC DEMOLIÇÕES E REMOÇÕES"/>
      <sheetName val="MC ESCADAS"/>
      <sheetName val="MC REFORÇO FUNDAÇÃO"/>
      <sheetName val="MC ARRIMO"/>
      <sheetName val="MC BOTA FORA"/>
      <sheetName val="MC PISO"/>
      <sheetName val="ANALÍTICA"/>
      <sheetName val="QCP"/>
      <sheetName val="BDI SERVIÇOS"/>
      <sheetName val="BDI EQUIPAMENTOS"/>
      <sheetName val="Curva ABC"/>
      <sheetName val="Curva S"/>
      <sheetName val="Cronograma"/>
      <sheetName val="MC LIMPO"/>
      <sheetName val="Encargos Sociai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INAPI"/>
      <sheetName val="SETOP"/>
      <sheetName val="RESUMO"/>
      <sheetName val="SINTÉTICA"/>
      <sheetName val="ANALÍTICA"/>
      <sheetName val="QCP"/>
      <sheetName val="BDI EQUIPAMENTOS"/>
      <sheetName val="BDI SERVIÇOS"/>
      <sheetName val="Encargos Sociais"/>
      <sheetName val="Cronograma"/>
      <sheetName val="Curva ABC"/>
      <sheetName val="Curva S"/>
      <sheetName val="Curva S Ref."/>
      <sheetName val="MC DIVERSOS"/>
      <sheetName val="MC DRENAGEM"/>
      <sheetName val="MC ESQUADRIAS"/>
      <sheetName val="MC PINTURA"/>
      <sheetName val="MC CORRIMÃO E GUARDA CORPO"/>
      <sheetName val="MC PEDRAS"/>
      <sheetName val="MC FORRO"/>
      <sheetName val="MC REVESTIMENTOS"/>
      <sheetName val="MC ALVENARIA"/>
      <sheetName val="MC PISO"/>
      <sheetName val="MC DEMOLIÇÕES E REMOÇÕES"/>
      <sheetName val="MC ESCADAS"/>
      <sheetName val="MC REFORÇO FUNDAÇÃO"/>
      <sheetName val="MC ARRIMO"/>
      <sheetName val="MC ELÉTRICO"/>
      <sheetName val="MC HIDRO"/>
      <sheetName val="MC LIMPO"/>
    </sheetNames>
    <sheetDataSet>
      <sheetData sheetId="0"/>
      <sheetData sheetId="1"/>
      <sheetData sheetId="2"/>
      <sheetData sheetId="3">
        <row r="369">
          <cell r="J369">
            <v>45700.57469999999</v>
          </cell>
        </row>
        <row r="370">
          <cell r="J370">
            <v>41360.431860000004</v>
          </cell>
        </row>
        <row r="371">
          <cell r="J371">
            <v>8861.3884928799998</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orse.cehop.se.gov.br/composicao.asp?font_sg_fonte=ORSE&amp;serv_nr_codigo=4538&amp;peri_nr_ano=2025&amp;peri_nr_mes=7&amp;peri_nr_ordem=1"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drawing" Target="../drawings/drawing4.xml"/><Relationship Id="rId3" Type="http://schemas.openxmlformats.org/officeDocument/2006/relationships/hyperlink" Target="https://www.brfloor.com.br/deck-area-externa-em-wpc?parceiro=9868&amp;gad_source=4&amp;gclid=Cj0KCQjwjLGyBhCYARIsAPqTz19oIRk_9PnE4OBOkcrKXSIaBdnCU0RYQb5wRlHMtVgrr6PekiFAuu4aAloOEALw_wcB" TargetMode="External"/><Relationship Id="rId7" Type="http://schemas.openxmlformats.org/officeDocument/2006/relationships/printerSettings" Target="../printerSettings/printerSettings4.bin"/><Relationship Id="rId2" Type="http://schemas.openxmlformats.org/officeDocument/2006/relationships/hyperlink" Target="https://www.voceconstroi.com.br/produto/deck-regua-espacofloor-wpc-teca-15x290cm-71935" TargetMode="External"/><Relationship Id="rId1" Type="http://schemas.openxmlformats.org/officeDocument/2006/relationships/hyperlink" Target="https://deckdeck.com.br/produto/deck-madeira-plastica-wpc-brown-regua-25x145x300m-0870m2-caixa-com-02-pecas/" TargetMode="External"/><Relationship Id="rId6" Type="http://schemas.openxmlformats.org/officeDocument/2006/relationships/hyperlink" Target="https://www.formattopuxadores.com.br/puxador-duplo-de-porta-inox-df-926-cromado-italy-line-800mm?utm_source=google&amp;utm_medium=Shopping&amp;utm_campaign=puxador-duplo-de-porta-inox-df-926-cromado-italy-line-800mm&amp;inStock" TargetMode="External"/><Relationship Id="rId5" Type="http://schemas.openxmlformats.org/officeDocument/2006/relationships/hyperlink" Target="https://www.lojadopuxador.com.br/puxador-para-porta/puxadores-80-cm-para-portas-inox-escovado-pleno?parceiro=6531" TargetMode="External"/><Relationship Id="rId4" Type="http://schemas.openxmlformats.org/officeDocument/2006/relationships/hyperlink" Target="https://lista.mercadolivre.com.br/puxador-duplo-de-porta-inox-df-926-cromado-italy-line-800mm?redirectedFromEshopZrp=551d748ccc1f48c8a66e208930765c2c122266877"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orse.cehop.se.gov.br/composicao.asp?font_sg_fonte=ORSE&amp;serv_nr_codigo=4538&amp;peri_nr_ano=2025&amp;peri_nr_mes=7&amp;peri_nr_ordem=1"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1289D-09BE-47AC-BF68-E2874AEACD7F}">
  <sheetPr>
    <pageSetUpPr fitToPage="1"/>
  </sheetPr>
  <dimension ref="A1:J44"/>
  <sheetViews>
    <sheetView tabSelected="1" view="pageBreakPreview" zoomScaleNormal="100" zoomScaleSheetLayoutView="100" workbookViewId="0">
      <selection activeCell="B38" sqref="B38"/>
    </sheetView>
  </sheetViews>
  <sheetFormatPr defaultRowHeight="15" x14ac:dyDescent="0.25"/>
  <cols>
    <col min="1" max="1" width="12.7109375" customWidth="1"/>
    <col min="2" max="2" width="90.5703125" customWidth="1"/>
    <col min="3" max="3" width="34.28515625" customWidth="1"/>
    <col min="4" max="4" width="15.85546875" bestFit="1" customWidth="1"/>
    <col min="7" max="7" width="11.42578125" customWidth="1"/>
    <col min="8" max="8" width="16.42578125" customWidth="1"/>
    <col min="9" max="9" width="11.7109375" customWidth="1"/>
    <col min="10" max="10" width="10.85546875" customWidth="1"/>
    <col min="11" max="11" width="11.28515625" bestFit="1" customWidth="1"/>
    <col min="13" max="15" width="12.7109375" customWidth="1"/>
    <col min="16" max="16" width="12" customWidth="1"/>
  </cols>
  <sheetData>
    <row r="1" spans="1:9" ht="14.25" customHeight="1" x14ac:dyDescent="0.25">
      <c r="A1" s="1"/>
      <c r="B1" s="2" t="s">
        <v>272</v>
      </c>
      <c r="C1" s="2" t="s">
        <v>273</v>
      </c>
      <c r="D1" s="3" t="s">
        <v>274</v>
      </c>
      <c r="E1" s="3"/>
      <c r="F1" s="3"/>
      <c r="G1" s="659" t="s">
        <v>275</v>
      </c>
      <c r="H1" s="659"/>
      <c r="I1" s="660"/>
    </row>
    <row r="2" spans="1:9" ht="14.25" customHeight="1" x14ac:dyDescent="0.25">
      <c r="A2" s="4"/>
      <c r="B2" s="665" t="s">
        <v>276</v>
      </c>
      <c r="C2" s="666" t="s">
        <v>1792</v>
      </c>
      <c r="D2" t="s">
        <v>277</v>
      </c>
      <c r="E2" s="465">
        <f>'BDI SERVIÇOS'!$Z$21</f>
        <v>0.2223</v>
      </c>
      <c r="F2" s="6"/>
      <c r="G2" s="667" t="s">
        <v>278</v>
      </c>
      <c r="H2" s="667"/>
      <c r="I2" s="11"/>
    </row>
    <row r="3" spans="1:9" ht="14.25" customHeight="1" x14ac:dyDescent="0.25">
      <c r="A3" s="4"/>
      <c r="B3" s="665"/>
      <c r="C3" s="666"/>
      <c r="D3" s="7" t="s">
        <v>279</v>
      </c>
      <c r="E3" s="465">
        <f>'BDI EQUIPAMENTOS'!$K$36</f>
        <v>0.1623</v>
      </c>
      <c r="F3" s="6"/>
      <c r="G3" s="6" t="s">
        <v>280</v>
      </c>
      <c r="H3" s="465">
        <f>'Encargos Sociais'!$G$48</f>
        <v>1.1679000000000002</v>
      </c>
      <c r="I3" s="11"/>
    </row>
    <row r="4" spans="1:9" ht="14.25" customHeight="1" x14ac:dyDescent="0.25">
      <c r="A4" s="4"/>
      <c r="B4" s="665"/>
      <c r="C4" s="666"/>
      <c r="D4" s="99"/>
      <c r="E4" s="6"/>
      <c r="F4" s="6"/>
      <c r="G4" s="6" t="s">
        <v>281</v>
      </c>
      <c r="H4" s="465">
        <f>'Encargos Sociais'!$H$48</f>
        <v>0.73930000000000007</v>
      </c>
      <c r="I4" s="11"/>
    </row>
    <row r="5" spans="1:9" ht="14.25" customHeight="1" x14ac:dyDescent="0.25">
      <c r="A5" s="4"/>
      <c r="B5" s="665"/>
      <c r="C5" s="666"/>
      <c r="D5" s="99"/>
      <c r="E5" s="6"/>
      <c r="F5" s="6"/>
      <c r="G5" s="6"/>
      <c r="H5" s="7"/>
      <c r="I5" s="9"/>
    </row>
    <row r="6" spans="1:9" ht="14.25" customHeight="1" x14ac:dyDescent="0.25">
      <c r="A6" s="4"/>
      <c r="B6" s="665"/>
      <c r="C6" s="666"/>
      <c r="D6" s="99"/>
      <c r="E6" s="6"/>
      <c r="F6" s="6"/>
      <c r="G6" s="6"/>
      <c r="H6" s="7"/>
      <c r="I6" s="9"/>
    </row>
    <row r="7" spans="1:9" ht="14.25" customHeight="1" x14ac:dyDescent="0.25">
      <c r="A7" s="4"/>
      <c r="B7" s="665"/>
      <c r="C7" s="666"/>
      <c r="D7" s="99"/>
      <c r="E7" s="6"/>
      <c r="F7" s="6"/>
      <c r="G7" s="6"/>
      <c r="H7" s="7"/>
      <c r="I7" s="9"/>
    </row>
    <row r="8" spans="1:9" ht="14.25" customHeight="1" x14ac:dyDescent="0.25">
      <c r="A8" s="4"/>
      <c r="B8" s="665"/>
      <c r="C8" s="666"/>
      <c r="D8" s="99"/>
      <c r="E8" s="6"/>
      <c r="F8" s="6"/>
      <c r="G8" s="6"/>
      <c r="H8" s="7"/>
      <c r="I8" s="9"/>
    </row>
    <row r="9" spans="1:9" ht="14.25" customHeight="1" x14ac:dyDescent="0.25">
      <c r="A9" s="4"/>
      <c r="B9" s="224"/>
      <c r="C9" s="12"/>
      <c r="D9" s="5"/>
      <c r="E9" s="6"/>
      <c r="F9" s="6"/>
      <c r="G9" s="6"/>
      <c r="H9" s="6"/>
      <c r="I9" s="9"/>
    </row>
    <row r="10" spans="1:9" ht="15" customHeight="1" x14ac:dyDescent="0.25">
      <c r="A10" s="662" t="s">
        <v>282</v>
      </c>
      <c r="B10" s="663"/>
      <c r="C10" s="663"/>
      <c r="D10" s="663"/>
      <c r="E10" s="663"/>
      <c r="F10" s="663"/>
      <c r="G10" s="663"/>
      <c r="H10" s="663"/>
      <c r="I10" s="664"/>
    </row>
    <row r="11" spans="1:9" x14ac:dyDescent="0.25">
      <c r="A11" s="662"/>
      <c r="B11" s="663"/>
      <c r="C11" s="663"/>
      <c r="D11" s="663"/>
      <c r="E11" s="663"/>
      <c r="F11" s="663"/>
      <c r="G11" s="663"/>
      <c r="H11" s="663"/>
      <c r="I11" s="664"/>
    </row>
    <row r="12" spans="1:9" ht="27.75" customHeight="1" x14ac:dyDescent="0.25">
      <c r="A12" s="225" t="s">
        <v>283</v>
      </c>
      <c r="B12" s="661" t="s">
        <v>284</v>
      </c>
      <c r="C12" s="661"/>
      <c r="D12" s="661"/>
      <c r="E12" s="661"/>
      <c r="F12" s="661"/>
      <c r="G12" s="661"/>
      <c r="H12" s="223" t="s">
        <v>285</v>
      </c>
      <c r="I12" s="226" t="s">
        <v>286</v>
      </c>
    </row>
    <row r="13" spans="1:9" ht="18" customHeight="1" x14ac:dyDescent="0.25">
      <c r="A13" s="102">
        <v>1</v>
      </c>
      <c r="B13" s="656" t="str">
        <f>SINTÉTICA!D13</f>
        <v>ADMINISTRAÇÃO</v>
      </c>
      <c r="C13" s="657"/>
      <c r="D13" s="657"/>
      <c r="E13" s="657"/>
      <c r="F13" s="657"/>
      <c r="G13" s="658"/>
      <c r="H13" s="103">
        <f>SINTÉTICA!K13</f>
        <v>1010425.54162676</v>
      </c>
      <c r="I13" s="104">
        <f>H13/$H$37</f>
        <v>0.24121908152097979</v>
      </c>
    </row>
    <row r="14" spans="1:9" ht="18" customHeight="1" x14ac:dyDescent="0.25">
      <c r="A14" s="102">
        <v>2</v>
      </c>
      <c r="B14" s="656" t="str">
        <f>SINTÉTICA!D24</f>
        <v>SERVIÇOS PRELIMINARES</v>
      </c>
      <c r="C14" s="657"/>
      <c r="D14" s="657"/>
      <c r="E14" s="657"/>
      <c r="F14" s="657"/>
      <c r="G14" s="658"/>
      <c r="H14" s="103">
        <f>SINTÉTICA!K24</f>
        <v>116753.91373062402</v>
      </c>
      <c r="I14" s="104">
        <f t="shared" ref="I14:I21" si="0">H14/$H$37</f>
        <v>2.7872684006719255E-2</v>
      </c>
    </row>
    <row r="15" spans="1:9" ht="18" customHeight="1" x14ac:dyDescent="0.25">
      <c r="A15" s="102">
        <v>3</v>
      </c>
      <c r="B15" s="656" t="str">
        <f>SINTÉTICA!D35</f>
        <v>DRENAGEM E PAVIMENTAÇÃO DA TRAVESSA MAGALHÃES</v>
      </c>
      <c r="C15" s="657"/>
      <c r="D15" s="657"/>
      <c r="E15" s="657"/>
      <c r="F15" s="657"/>
      <c r="G15" s="658"/>
      <c r="H15" s="103">
        <f>SINTÉTICA!K35</f>
        <v>1466672.2330684492</v>
      </c>
      <c r="I15" s="104">
        <f>SINTÉTICA!L35</f>
        <v>0.35013894085011354</v>
      </c>
    </row>
    <row r="16" spans="1:9" ht="18" customHeight="1" x14ac:dyDescent="0.25">
      <c r="A16" s="102">
        <v>4</v>
      </c>
      <c r="B16" s="656" t="str">
        <f>SINTÉTICA!D79</f>
        <v>ESTRUTURAL</v>
      </c>
      <c r="C16" s="657"/>
      <c r="D16" s="657"/>
      <c r="E16" s="657"/>
      <c r="F16" s="657"/>
      <c r="G16" s="658"/>
      <c r="H16" s="103">
        <f>SINTÉTICA!K79</f>
        <v>482875.65725853841</v>
      </c>
      <c r="I16" s="104">
        <f t="shared" si="0"/>
        <v>0.11527699739776576</v>
      </c>
    </row>
    <row r="17" spans="1:9" ht="18" customHeight="1" x14ac:dyDescent="0.25">
      <c r="A17" s="102">
        <v>5</v>
      </c>
      <c r="B17" s="656" t="str">
        <f>SINTÉTICA!D180</f>
        <v xml:space="preserve">DEMOLIÇÕES E REMOÇOES </v>
      </c>
      <c r="C17" s="657"/>
      <c r="D17" s="657"/>
      <c r="E17" s="657"/>
      <c r="F17" s="657"/>
      <c r="G17" s="658"/>
      <c r="H17" s="103">
        <f>SINTÉTICA!K180</f>
        <v>25587.601535053691</v>
      </c>
      <c r="I17" s="104">
        <f t="shared" si="0"/>
        <v>6.1085329757928986E-3</v>
      </c>
    </row>
    <row r="18" spans="1:9" ht="18" customHeight="1" x14ac:dyDescent="0.25">
      <c r="A18" s="102">
        <v>6</v>
      </c>
      <c r="B18" s="656" t="str">
        <f>SINTÉTICA!D208</f>
        <v>ALVENARIA</v>
      </c>
      <c r="C18" s="657"/>
      <c r="D18" s="657"/>
      <c r="E18" s="657"/>
      <c r="F18" s="657"/>
      <c r="G18" s="658"/>
      <c r="H18" s="103">
        <f>SINTÉTICA!K208</f>
        <v>29753.583093573394</v>
      </c>
      <c r="I18" s="104">
        <f>SINTÉTICA!L208</f>
        <v>7.1030785447435633E-3</v>
      </c>
    </row>
    <row r="19" spans="1:9" ht="18" customHeight="1" x14ac:dyDescent="0.25">
      <c r="A19" s="102">
        <v>7</v>
      </c>
      <c r="B19" s="656" t="str">
        <f>SINTÉTICA!D214</f>
        <v>HIDROSSANITÁRIO</v>
      </c>
      <c r="C19" s="657"/>
      <c r="D19" s="657"/>
      <c r="E19" s="657"/>
      <c r="F19" s="657"/>
      <c r="G19" s="658"/>
      <c r="H19" s="103">
        <f>SINTÉTICA!K214</f>
        <v>52004.299752309998</v>
      </c>
      <c r="I19" s="104">
        <f t="shared" si="0"/>
        <v>1.2414996360046199E-2</v>
      </c>
    </row>
    <row r="20" spans="1:9" ht="18" customHeight="1" x14ac:dyDescent="0.25">
      <c r="A20" s="102">
        <v>8</v>
      </c>
      <c r="B20" s="656" t="str">
        <f>SINTÉTICA!D266</f>
        <v>INSTALAÇÇÕES ELÉTRICAS</v>
      </c>
      <c r="C20" s="657"/>
      <c r="D20" s="657"/>
      <c r="E20" s="657"/>
      <c r="F20" s="657"/>
      <c r="G20" s="658"/>
      <c r="H20" s="103">
        <f>SINTÉTICA!K266</f>
        <v>95241.098844869994</v>
      </c>
      <c r="I20" s="104">
        <f>SINTÉTICA!L266</f>
        <v>2.2736925621873027E-2</v>
      </c>
    </row>
    <row r="21" spans="1:9" ht="18" customHeight="1" x14ac:dyDescent="0.25">
      <c r="A21" s="102">
        <v>9</v>
      </c>
      <c r="B21" s="656" t="str">
        <f>SINTÉTICA!D295</f>
        <v>REVESTIMENTO DE PISOS</v>
      </c>
      <c r="C21" s="657"/>
      <c r="D21" s="657"/>
      <c r="E21" s="657"/>
      <c r="F21" s="657"/>
      <c r="G21" s="658"/>
      <c r="H21" s="103">
        <f>SINTÉTICA!K295</f>
        <v>227403.22978572996</v>
      </c>
      <c r="I21" s="104">
        <f t="shared" si="0"/>
        <v>5.4288016250563613E-2</v>
      </c>
    </row>
    <row r="22" spans="1:9" ht="18" customHeight="1" x14ac:dyDescent="0.25">
      <c r="A22" s="102">
        <v>10</v>
      </c>
      <c r="B22" s="656" t="str">
        <f>SINTÉTICA!D316</f>
        <v>REVESTIMENTO DE PAREDES</v>
      </c>
      <c r="C22" s="657"/>
      <c r="D22" s="657"/>
      <c r="E22" s="657"/>
      <c r="F22" s="657"/>
      <c r="G22" s="658"/>
      <c r="H22" s="103">
        <f>SINTÉTICA!K316</f>
        <v>113352.48203632</v>
      </c>
      <c r="I22" s="104">
        <f>SINTÉTICA!L316</f>
        <v>2.7060659572107904E-2</v>
      </c>
    </row>
    <row r="23" spans="1:9" ht="18" customHeight="1" x14ac:dyDescent="0.25">
      <c r="A23" s="102">
        <v>11</v>
      </c>
      <c r="B23" s="656" t="str">
        <f>SINTÉTICA!D321</f>
        <v>ESQUADRIAS</v>
      </c>
      <c r="C23" s="657"/>
      <c r="D23" s="657"/>
      <c r="E23" s="657"/>
      <c r="F23" s="657"/>
      <c r="G23" s="658"/>
      <c r="H23" s="103">
        <f>SINTÉTICA!K321</f>
        <v>149427.63850868202</v>
      </c>
      <c r="I23" s="104">
        <f>SINTÉTICA!L321</f>
        <v>3.5672888530590856E-2</v>
      </c>
    </row>
    <row r="24" spans="1:9" ht="18" customHeight="1" x14ac:dyDescent="0.25">
      <c r="A24" s="102">
        <v>12</v>
      </c>
      <c r="B24" s="656" t="str">
        <f>SINTÉTICA!D334</f>
        <v>FORRO EM GESSO ACARTONADO</v>
      </c>
      <c r="C24" s="657"/>
      <c r="D24" s="657"/>
      <c r="E24" s="657"/>
      <c r="F24" s="657"/>
      <c r="G24" s="658"/>
      <c r="H24" s="103">
        <f>SINTÉTICA!K334</f>
        <v>42027.660568418003</v>
      </c>
      <c r="I24" s="104">
        <f>SINTÉTICA!L334</f>
        <v>1.0033271392236953E-2</v>
      </c>
    </row>
    <row r="25" spans="1:9" ht="18" customHeight="1" x14ac:dyDescent="0.25">
      <c r="A25" s="102">
        <v>13</v>
      </c>
      <c r="B25" s="656" t="str">
        <f>SINTÉTICA!D337</f>
        <v>PEDRAS - BANCADAS, SOLEIRAS, DIVISÓRIAS E PRATELEIRAS</v>
      </c>
      <c r="C25" s="657"/>
      <c r="D25" s="657"/>
      <c r="E25" s="657"/>
      <c r="F25" s="657"/>
      <c r="G25" s="658"/>
      <c r="H25" s="103">
        <f>SINTÉTICA!K337</f>
        <v>53188.874354052648</v>
      </c>
      <c r="I25" s="104">
        <f>SINTÉTICA!L337</f>
        <v>1.2697790079774837E-2</v>
      </c>
    </row>
    <row r="26" spans="1:9" ht="18" customHeight="1" x14ac:dyDescent="0.25">
      <c r="A26" s="102">
        <v>14</v>
      </c>
      <c r="B26" s="656" t="str">
        <f>SINTÉTICA!D345</f>
        <v>PINTURA TETO</v>
      </c>
      <c r="C26" s="657"/>
      <c r="D26" s="657"/>
      <c r="E26" s="657"/>
      <c r="F26" s="657"/>
      <c r="G26" s="658"/>
      <c r="H26" s="103">
        <f>SINTÉTICA!K345</f>
        <v>31908.818165279994</v>
      </c>
      <c r="I26" s="104">
        <f>SINTÉTICA!L345</f>
        <v>7.6175982228802322E-3</v>
      </c>
    </row>
    <row r="27" spans="1:9" ht="18" customHeight="1" x14ac:dyDescent="0.25">
      <c r="A27" s="102">
        <v>15</v>
      </c>
      <c r="B27" s="656" t="str">
        <f>SINTÉTICA!D349</f>
        <v>PINTURA PAREDES EXTERNAS E INTERNAS</v>
      </c>
      <c r="C27" s="657"/>
      <c r="D27" s="657"/>
      <c r="E27" s="657"/>
      <c r="F27" s="657"/>
      <c r="G27" s="658"/>
      <c r="H27" s="103">
        <f>SINTÉTICA!K349</f>
        <v>61016.990698085734</v>
      </c>
      <c r="I27" s="104">
        <f>SINTÉTICA!L349</f>
        <v>1.4566597781831666E-2</v>
      </c>
    </row>
    <row r="28" spans="1:9" ht="18" customHeight="1" x14ac:dyDescent="0.25">
      <c r="A28" s="102">
        <v>16</v>
      </c>
      <c r="B28" s="656" t="str">
        <f>SINTÉTICA!D353</f>
        <v>CORRIMÃO</v>
      </c>
      <c r="C28" s="657"/>
      <c r="D28" s="657"/>
      <c r="E28" s="657"/>
      <c r="F28" s="657"/>
      <c r="G28" s="658"/>
      <c r="H28" s="103">
        <f>SINTÉTICA!K353</f>
        <v>20733.609367547997</v>
      </c>
      <c r="I28" s="104">
        <f>SINTÉTICA!L353</f>
        <v>4.949738503445468E-3</v>
      </c>
    </row>
    <row r="29" spans="1:9" ht="18" customHeight="1" x14ac:dyDescent="0.25">
      <c r="A29" s="102">
        <v>17</v>
      </c>
      <c r="B29" s="656" t="str">
        <f>SINTÉTICA!D355</f>
        <v>GUARDA CORPO</v>
      </c>
      <c r="C29" s="657"/>
      <c r="D29" s="657"/>
      <c r="E29" s="657"/>
      <c r="F29" s="657"/>
      <c r="G29" s="658"/>
      <c r="H29" s="103">
        <f>SINTÉTICA!K355</f>
        <v>15948.208599199999</v>
      </c>
      <c r="I29" s="104">
        <f>SINTÉTICA!L355</f>
        <v>3.8073188688504699E-3</v>
      </c>
    </row>
    <row r="30" spans="1:9" ht="18" customHeight="1" x14ac:dyDescent="0.25">
      <c r="A30" s="102">
        <v>18</v>
      </c>
      <c r="B30" s="656" t="str">
        <f>SINTÉTICA!D357</f>
        <v>PLATAFORMA ELEVATÓRIA</v>
      </c>
      <c r="C30" s="657"/>
      <c r="D30" s="657"/>
      <c r="E30" s="657"/>
      <c r="F30" s="657"/>
      <c r="G30" s="658"/>
      <c r="H30" s="103">
        <f>SINTÉTICA!K357</f>
        <v>63555.933099999995</v>
      </c>
      <c r="I30" s="104">
        <f>SINTÉTICA!L357</f>
        <v>1.5172719983808482E-2</v>
      </c>
    </row>
    <row r="31" spans="1:9" ht="18" customHeight="1" x14ac:dyDescent="0.25">
      <c r="A31" s="102">
        <v>19</v>
      </c>
      <c r="B31" s="656" t="str">
        <f>SINTÉTICA!D359</f>
        <v>DIVERSOS</v>
      </c>
      <c r="C31" s="657"/>
      <c r="D31" s="657"/>
      <c r="E31" s="657"/>
      <c r="F31" s="657"/>
      <c r="G31" s="658"/>
      <c r="H31" s="103">
        <f>SINTÉTICA!K359</f>
        <v>24608.373965286748</v>
      </c>
      <c r="I31" s="104">
        <f>SINTÉTICA!L359</f>
        <v>5.8747617920212498E-3</v>
      </c>
    </row>
    <row r="32" spans="1:9" ht="18" customHeight="1" x14ac:dyDescent="0.25">
      <c r="A32" s="102">
        <v>20</v>
      </c>
      <c r="B32" s="656" t="str">
        <f>SINTÉTICA!D363</f>
        <v>PAISAGISMO</v>
      </c>
      <c r="C32" s="657"/>
      <c r="D32" s="657"/>
      <c r="E32" s="657"/>
      <c r="F32" s="657"/>
      <c r="G32" s="658"/>
      <c r="H32" s="103">
        <f>SINTÉTICA!K363</f>
        <v>10421.095668434999</v>
      </c>
      <c r="I32" s="104">
        <f>SINTÉTICA!L363</f>
        <v>2.4878301488054735E-3</v>
      </c>
    </row>
    <row r="33" spans="1:10" ht="18" customHeight="1" x14ac:dyDescent="0.25">
      <c r="A33" s="102">
        <v>21</v>
      </c>
      <c r="B33" s="656" t="str">
        <f>SINTÉTICA!D368</f>
        <v>LIMPEZA DURANTE E FINAL DA OBRA</v>
      </c>
      <c r="C33" s="657"/>
      <c r="D33" s="657"/>
      <c r="E33" s="657"/>
      <c r="F33" s="657"/>
      <c r="G33" s="658"/>
      <c r="H33" s="103">
        <f>SINTÉTICA!K368</f>
        <v>95922.395052879991</v>
      </c>
      <c r="I33" s="104">
        <f>H33/$H$37</f>
        <v>2.2899571595049129E-2</v>
      </c>
    </row>
    <row r="34" spans="1:10" ht="18" customHeight="1" x14ac:dyDescent="0.25">
      <c r="A34" s="62"/>
      <c r="B34" s="65"/>
      <c r="C34" s="65"/>
      <c r="D34" s="65"/>
      <c r="E34" s="65"/>
      <c r="F34" s="65"/>
      <c r="G34" s="65"/>
      <c r="H34" s="65"/>
      <c r="I34" s="68"/>
    </row>
    <row r="35" spans="1:10" ht="18" customHeight="1" x14ac:dyDescent="0.25">
      <c r="A35" s="62"/>
      <c r="B35" s="79" t="s">
        <v>1844</v>
      </c>
      <c r="C35" s="65"/>
      <c r="D35" s="65"/>
      <c r="E35" s="65"/>
      <c r="F35" s="65"/>
      <c r="G35" s="244" t="s">
        <v>306</v>
      </c>
      <c r="H35" s="554">
        <f>SINTÉTICA!K373</f>
        <v>3427813.3051133906</v>
      </c>
      <c r="I35" s="195">
        <f>H35/H37</f>
        <v>0.81832252157208107</v>
      </c>
    </row>
    <row r="36" spans="1:10" ht="18" customHeight="1" x14ac:dyDescent="0.25">
      <c r="A36" s="62"/>
      <c r="B36" s="65"/>
      <c r="C36" s="65"/>
      <c r="D36" s="65"/>
      <c r="E36" s="65"/>
      <c r="F36" s="65"/>
      <c r="G36" s="245" t="s">
        <v>307</v>
      </c>
      <c r="H36" s="554">
        <f>SINTÉTICA!K374</f>
        <v>761015.93366670283</v>
      </c>
      <c r="I36" s="195">
        <f>H36/H37</f>
        <v>0.18167747842791787</v>
      </c>
    </row>
    <row r="37" spans="1:10" ht="18" customHeight="1" x14ac:dyDescent="0.25">
      <c r="A37" s="62"/>
      <c r="B37" s="65"/>
      <c r="C37" s="65"/>
      <c r="D37" s="65"/>
      <c r="E37" s="65"/>
      <c r="F37" s="65"/>
      <c r="G37" s="246" t="s">
        <v>308</v>
      </c>
      <c r="H37" s="555">
        <f>SUM(H13:H33)</f>
        <v>4188829.2387800976</v>
      </c>
      <c r="I37" s="196">
        <f>SUM(I5:I33)</f>
        <v>1.0000000000000004</v>
      </c>
      <c r="J37" s="13">
        <f>H37-SINTÉTICA!K375</f>
        <v>4.1909515857696533E-9</v>
      </c>
    </row>
    <row r="38" spans="1:10" ht="18" customHeight="1" x14ac:dyDescent="0.25">
      <c r="A38" s="62"/>
      <c r="B38" s="65"/>
      <c r="C38" s="65"/>
      <c r="D38" s="65"/>
      <c r="E38" s="65"/>
      <c r="F38" s="65"/>
      <c r="G38" s="246"/>
      <c r="H38" s="555"/>
      <c r="I38" s="196"/>
      <c r="J38" s="13"/>
    </row>
    <row r="39" spans="1:10" ht="19.149999999999999" customHeight="1" x14ac:dyDescent="0.25">
      <c r="A39" s="62"/>
      <c r="B39" s="117"/>
      <c r="C39" s="65"/>
      <c r="D39" s="65"/>
      <c r="E39" s="65"/>
      <c r="F39" s="65"/>
      <c r="G39" s="246"/>
      <c r="H39" s="247"/>
      <c r="I39" s="196"/>
      <c r="J39" s="13"/>
    </row>
    <row r="40" spans="1:10" x14ac:dyDescent="0.25">
      <c r="A40" s="62"/>
      <c r="B40" s="112" t="s">
        <v>1818</v>
      </c>
      <c r="C40" s="65"/>
      <c r="D40" s="65"/>
      <c r="E40" s="65"/>
      <c r="F40" s="65"/>
      <c r="G40" s="246"/>
      <c r="H40" s="247"/>
      <c r="I40" s="196"/>
      <c r="J40" s="13"/>
    </row>
    <row r="41" spans="1:10" x14ac:dyDescent="0.25">
      <c r="A41" s="62"/>
      <c r="B41" s="598" t="s">
        <v>1819</v>
      </c>
      <c r="C41" s="65"/>
      <c r="D41" s="65"/>
      <c r="E41" s="65"/>
      <c r="F41" s="65"/>
      <c r="G41" s="65"/>
      <c r="H41" s="65"/>
      <c r="I41" s="68"/>
    </row>
    <row r="42" spans="1:10" x14ac:dyDescent="0.25">
      <c r="A42" s="62"/>
      <c r="B42" s="116" t="s">
        <v>1820</v>
      </c>
      <c r="C42" s="65"/>
      <c r="D42" s="65"/>
      <c r="E42" s="65"/>
      <c r="F42" s="65"/>
      <c r="G42" s="65"/>
      <c r="H42" s="65"/>
      <c r="I42" s="68"/>
    </row>
    <row r="43" spans="1:10" x14ac:dyDescent="0.25">
      <c r="A43" s="62"/>
      <c r="B43" s="599" t="s">
        <v>1821</v>
      </c>
      <c r="C43" s="65"/>
      <c r="D43" s="65"/>
      <c r="E43" s="65"/>
      <c r="F43" s="65"/>
      <c r="G43" s="65"/>
      <c r="H43" s="65"/>
      <c r="I43" s="68"/>
    </row>
    <row r="44" spans="1:10" ht="15.75" thickBot="1" x14ac:dyDescent="0.3">
      <c r="A44" s="227"/>
      <c r="B44" s="87"/>
      <c r="C44" s="87"/>
      <c r="D44" s="87"/>
      <c r="E44" s="87"/>
      <c r="F44" s="87"/>
      <c r="G44" s="87"/>
      <c r="H44" s="87"/>
      <c r="I44" s="89"/>
    </row>
  </sheetData>
  <mergeCells count="27">
    <mergeCell ref="B28:G28"/>
    <mergeCell ref="B29:G29"/>
    <mergeCell ref="B30:G30"/>
    <mergeCell ref="B31:G31"/>
    <mergeCell ref="B32:G32"/>
    <mergeCell ref="G1:I1"/>
    <mergeCell ref="B12:G12"/>
    <mergeCell ref="A10:I11"/>
    <mergeCell ref="B2:B8"/>
    <mergeCell ref="C2:C8"/>
    <mergeCell ref="G2:H2"/>
    <mergeCell ref="B33:G33"/>
    <mergeCell ref="B13:G13"/>
    <mergeCell ref="B14:G14"/>
    <mergeCell ref="B16:G16"/>
    <mergeCell ref="B17:G17"/>
    <mergeCell ref="B19:G19"/>
    <mergeCell ref="B21:G21"/>
    <mergeCell ref="B15:G15"/>
    <mergeCell ref="B18:G18"/>
    <mergeCell ref="B20:G20"/>
    <mergeCell ref="B22:G22"/>
    <mergeCell ref="B23:G23"/>
    <mergeCell ref="B24:G24"/>
    <mergeCell ref="B25:G25"/>
    <mergeCell ref="B26:G26"/>
    <mergeCell ref="B27:G27"/>
  </mergeCells>
  <phoneticPr fontId="10" type="noConversion"/>
  <pageMargins left="0.70866141732283461" right="0.11811023622047244" top="0.74803149606299213" bottom="0.74803149606299213" header="0.31496062992125984" footer="0.31496062992125984"/>
  <pageSetup paperSize="9" scale="65" fitToHeight="0" orientation="landscape"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3D2E15-190A-4060-98B2-767E467A4452}">
  <sheetPr codeName="Planilha1">
    <pageSetUpPr fitToPage="1"/>
  </sheetPr>
  <dimension ref="A1:XFD759"/>
  <sheetViews>
    <sheetView view="pageBreakPreview" topLeftCell="A364" zoomScaleNormal="100" zoomScaleSheetLayoutView="100" workbookViewId="0">
      <selection activeCell="A13" sqref="A13:L371"/>
    </sheetView>
  </sheetViews>
  <sheetFormatPr defaultRowHeight="15" x14ac:dyDescent="0.25"/>
  <cols>
    <col min="1" max="2" width="12.7109375" customWidth="1"/>
    <col min="3" max="3" width="13.7109375" customWidth="1"/>
    <col min="4" max="4" width="71.7109375" customWidth="1"/>
    <col min="6" max="6" width="10.28515625" bestFit="1" customWidth="1"/>
    <col min="7" max="7" width="11.28515625" bestFit="1" customWidth="1"/>
    <col min="8" max="8" width="15.5703125" bestFit="1" customWidth="1"/>
    <col min="9" max="9" width="11.7109375" customWidth="1"/>
    <col min="10" max="10" width="13.7109375" bestFit="1" customWidth="1"/>
    <col min="11" max="11" width="15.7109375" bestFit="1" customWidth="1"/>
    <col min="13" max="13" width="15" bestFit="1" customWidth="1"/>
  </cols>
  <sheetData>
    <row r="1" spans="1:12" ht="14.45" customHeight="1" x14ac:dyDescent="0.25">
      <c r="A1" s="1"/>
      <c r="B1" s="2" t="s">
        <v>272</v>
      </c>
      <c r="C1" s="3"/>
      <c r="D1" s="2"/>
      <c r="E1" s="659" t="s">
        <v>273</v>
      </c>
      <c r="F1" s="659"/>
      <c r="G1" s="659"/>
      <c r="H1" s="3" t="s">
        <v>274</v>
      </c>
      <c r="I1" s="3"/>
      <c r="J1" s="483"/>
      <c r="K1" s="659" t="s">
        <v>275</v>
      </c>
      <c r="L1" s="660"/>
    </row>
    <row r="2" spans="1:12" ht="14.45" customHeight="1" x14ac:dyDescent="0.25">
      <c r="A2" s="4"/>
      <c r="B2" s="665" t="s">
        <v>309</v>
      </c>
      <c r="C2" s="665"/>
      <c r="D2" s="665"/>
      <c r="E2" s="666" t="s">
        <v>1792</v>
      </c>
      <c r="F2" s="666"/>
      <c r="G2" s="666"/>
      <c r="H2" t="s">
        <v>277</v>
      </c>
      <c r="I2" s="465">
        <f>'BDI SERVIÇOS'!$Z$21</f>
        <v>0.2223</v>
      </c>
      <c r="J2" s="7"/>
      <c r="K2" s="8" t="s">
        <v>278</v>
      </c>
      <c r="L2" s="9"/>
    </row>
    <row r="3" spans="1:12" ht="14.45" customHeight="1" x14ac:dyDescent="0.25">
      <c r="A3" s="4"/>
      <c r="B3" s="665"/>
      <c r="C3" s="665"/>
      <c r="D3" s="665"/>
      <c r="E3" s="666"/>
      <c r="F3" s="666"/>
      <c r="G3" s="666"/>
      <c r="H3" s="7" t="s">
        <v>279</v>
      </c>
      <c r="I3" s="465">
        <f>'BDI EQUIPAMENTOS'!$K$36</f>
        <v>0.1623</v>
      </c>
      <c r="J3" s="7"/>
      <c r="K3" s="10" t="s">
        <v>280</v>
      </c>
      <c r="L3" s="11">
        <f>'Encargos Sociais'!$G$48</f>
        <v>1.1679000000000002</v>
      </c>
    </row>
    <row r="4" spans="1:12" ht="14.45" customHeight="1" x14ac:dyDescent="0.25">
      <c r="A4" s="4"/>
      <c r="B4" s="665"/>
      <c r="C4" s="665"/>
      <c r="D4" s="665"/>
      <c r="E4" s="666"/>
      <c r="F4" s="666"/>
      <c r="G4" s="666"/>
      <c r="H4" s="7"/>
      <c r="I4" s="6"/>
      <c r="J4" s="7"/>
      <c r="K4" s="10" t="s">
        <v>281</v>
      </c>
      <c r="L4" s="11">
        <f>'Encargos Sociais'!$H$48</f>
        <v>0.73930000000000007</v>
      </c>
    </row>
    <row r="5" spans="1:12" ht="14.45" customHeight="1" x14ac:dyDescent="0.25">
      <c r="A5" s="4"/>
      <c r="B5" s="665"/>
      <c r="C5" s="665"/>
      <c r="D5" s="665"/>
      <c r="E5" s="666"/>
      <c r="F5" s="666"/>
      <c r="G5" s="666"/>
      <c r="H5" s="7"/>
      <c r="I5" s="6"/>
      <c r="J5" s="7"/>
      <c r="K5" s="10"/>
      <c r="L5" s="11"/>
    </row>
    <row r="6" spans="1:12" ht="14.45" customHeight="1" x14ac:dyDescent="0.25">
      <c r="A6" s="4"/>
      <c r="B6" s="665"/>
      <c r="C6" s="665"/>
      <c r="D6" s="665"/>
      <c r="E6" s="666"/>
      <c r="F6" s="666"/>
      <c r="G6" s="666"/>
      <c r="H6" s="7"/>
      <c r="I6" s="6"/>
      <c r="J6" s="7"/>
      <c r="K6" s="10"/>
      <c r="L6" s="11"/>
    </row>
    <row r="7" spans="1:12" ht="14.45" customHeight="1" x14ac:dyDescent="0.25">
      <c r="A7" s="4"/>
      <c r="B7" s="665"/>
      <c r="C7" s="665"/>
      <c r="D7" s="665"/>
      <c r="E7" s="666"/>
      <c r="F7" s="666"/>
      <c r="G7" s="666"/>
      <c r="H7" s="7"/>
      <c r="I7" s="6"/>
      <c r="J7" s="7"/>
      <c r="K7" s="12"/>
      <c r="L7" s="9"/>
    </row>
    <row r="8" spans="1:12" ht="14.45" customHeight="1" x14ac:dyDescent="0.25">
      <c r="A8" s="4"/>
      <c r="B8" s="665"/>
      <c r="C8" s="665"/>
      <c r="D8" s="665"/>
      <c r="E8" s="666"/>
      <c r="F8" s="666"/>
      <c r="G8" s="666"/>
      <c r="H8" s="7"/>
      <c r="I8" s="6"/>
      <c r="J8" s="7"/>
      <c r="K8" s="12"/>
      <c r="L8" s="9"/>
    </row>
    <row r="9" spans="1:12" ht="14.45" customHeight="1" x14ac:dyDescent="0.25">
      <c r="A9" s="484"/>
      <c r="B9" s="457"/>
      <c r="C9" s="458"/>
      <c r="D9" s="459"/>
      <c r="E9" s="460"/>
      <c r="F9" s="461"/>
      <c r="G9" s="461"/>
      <c r="H9" s="462"/>
      <c r="I9" s="462"/>
      <c r="J9" s="463"/>
      <c r="K9" s="458"/>
      <c r="L9" s="485"/>
    </row>
    <row r="10" spans="1:12" ht="14.45" customHeight="1" x14ac:dyDescent="0.25">
      <c r="A10" s="672" t="s">
        <v>282</v>
      </c>
      <c r="B10" s="673"/>
      <c r="C10" s="673"/>
      <c r="D10" s="673"/>
      <c r="E10" s="673"/>
      <c r="F10" s="673"/>
      <c r="G10" s="673"/>
      <c r="H10" s="673"/>
      <c r="I10" s="673"/>
      <c r="J10" s="673"/>
      <c r="K10" s="673"/>
      <c r="L10" s="674"/>
    </row>
    <row r="11" spans="1:12" ht="14.45" customHeight="1" x14ac:dyDescent="0.25">
      <c r="A11" s="672"/>
      <c r="B11" s="673"/>
      <c r="C11" s="673"/>
      <c r="D11" s="673"/>
      <c r="E11" s="673"/>
      <c r="F11" s="673"/>
      <c r="G11" s="673"/>
      <c r="H11" s="673"/>
      <c r="I11" s="673"/>
      <c r="J11" s="673"/>
      <c r="K11" s="673"/>
      <c r="L11" s="674"/>
    </row>
    <row r="12" spans="1:12" ht="28.15" customHeight="1" x14ac:dyDescent="0.25">
      <c r="A12" s="486" t="s">
        <v>283</v>
      </c>
      <c r="B12" s="427" t="s">
        <v>310</v>
      </c>
      <c r="C12" s="428" t="s">
        <v>311</v>
      </c>
      <c r="D12" s="427" t="s">
        <v>284</v>
      </c>
      <c r="E12" s="429" t="s">
        <v>312</v>
      </c>
      <c r="F12" s="430" t="s">
        <v>313</v>
      </c>
      <c r="G12" s="431" t="s">
        <v>314</v>
      </c>
      <c r="H12" s="431" t="s">
        <v>315</v>
      </c>
      <c r="I12" s="431" t="s">
        <v>316</v>
      </c>
      <c r="J12" s="431" t="s">
        <v>317</v>
      </c>
      <c r="K12" s="431" t="s">
        <v>285</v>
      </c>
      <c r="L12" s="487" t="s">
        <v>318</v>
      </c>
    </row>
    <row r="13" spans="1:12" ht="25.15" customHeight="1" x14ac:dyDescent="0.25">
      <c r="A13" s="488">
        <v>1</v>
      </c>
      <c r="B13" s="433"/>
      <c r="C13" s="434"/>
      <c r="D13" s="432" t="s">
        <v>1799</v>
      </c>
      <c r="E13" s="433"/>
      <c r="F13" s="435"/>
      <c r="G13" s="436"/>
      <c r="H13" s="436"/>
      <c r="I13" s="436"/>
      <c r="J13" s="436"/>
      <c r="K13" s="437">
        <f>SUM(K14:K23)</f>
        <v>1010425.54162676</v>
      </c>
      <c r="L13" s="489">
        <f>K13/$K$375</f>
        <v>0.24121908152098001</v>
      </c>
    </row>
    <row r="14" spans="1:12" ht="24" customHeight="1" x14ac:dyDescent="0.25">
      <c r="A14" s="493" t="s">
        <v>320</v>
      </c>
      <c r="B14" s="445"/>
      <c r="C14" s="446"/>
      <c r="D14" s="447" t="s">
        <v>319</v>
      </c>
      <c r="E14" s="447"/>
      <c r="F14" s="448"/>
      <c r="G14" s="447"/>
      <c r="H14" s="449"/>
      <c r="I14" s="449"/>
      <c r="J14" s="449"/>
      <c r="K14" s="450">
        <f>SUM(J15:J15)</f>
        <v>913997.32754299999</v>
      </c>
      <c r="L14" s="494">
        <f>K14/$K$375</f>
        <v>0.21819875565258948</v>
      </c>
    </row>
    <row r="15" spans="1:12" ht="24" customHeight="1" x14ac:dyDescent="0.25">
      <c r="A15" s="490" t="s">
        <v>1795</v>
      </c>
      <c r="B15" s="425" t="s">
        <v>1789</v>
      </c>
      <c r="C15" s="426" t="s">
        <v>1790</v>
      </c>
      <c r="D15" s="438" t="s">
        <v>1788</v>
      </c>
      <c r="E15" s="439" t="s">
        <v>735</v>
      </c>
      <c r="F15" s="440">
        <v>1</v>
      </c>
      <c r="G15" s="439">
        <v>747768.41</v>
      </c>
      <c r="H15" s="441">
        <f>IF($G15="SEM",0,F15*G15)</f>
        <v>747768.41</v>
      </c>
      <c r="I15" s="441">
        <f>IF($G15="SEM",0,G15*(1+'BDI SERVIÇOS'!$Z$21))</f>
        <v>913997.32754299999</v>
      </c>
      <c r="J15" s="441">
        <f>F15*I15</f>
        <v>913997.32754299999</v>
      </c>
      <c r="K15" s="441"/>
      <c r="L15" s="491"/>
    </row>
    <row r="16" spans="1:12" ht="24" customHeight="1" x14ac:dyDescent="0.25">
      <c r="A16" s="493" t="s">
        <v>1793</v>
      </c>
      <c r="B16" s="445"/>
      <c r="C16" s="446"/>
      <c r="D16" s="447" t="s">
        <v>1801</v>
      </c>
      <c r="E16" s="447"/>
      <c r="F16" s="448"/>
      <c r="G16" s="447"/>
      <c r="H16" s="449"/>
      <c r="I16" s="449"/>
      <c r="J16" s="449"/>
      <c r="K16" s="450">
        <f>SUM(J17:J23)</f>
        <v>96428.214083760002</v>
      </c>
      <c r="L16" s="494">
        <f>K16/$K$375</f>
        <v>2.3020325868390531E-2</v>
      </c>
    </row>
    <row r="17" spans="1:14" ht="24" customHeight="1" x14ac:dyDescent="0.25">
      <c r="A17" s="490" t="s">
        <v>1794</v>
      </c>
      <c r="B17" s="425" t="s">
        <v>269</v>
      </c>
      <c r="C17" s="426" t="s">
        <v>323</v>
      </c>
      <c r="D17" s="438" t="s">
        <v>270</v>
      </c>
      <c r="E17" s="439" t="s">
        <v>264</v>
      </c>
      <c r="F17" s="440">
        <v>5</v>
      </c>
      <c r="G17" s="439">
        <v>1779.78</v>
      </c>
      <c r="H17" s="441">
        <f>IF($G17="SEM",0,F17*G17)</f>
        <v>8898.9</v>
      </c>
      <c r="I17" s="441">
        <f>IF($G17="SEM",0,G17*(1+'BDI SERVIÇOS'!$Z$21))</f>
        <v>2175.4250939999997</v>
      </c>
      <c r="J17" s="441">
        <f>F17*I17</f>
        <v>10877.125469999999</v>
      </c>
      <c r="K17" s="441"/>
      <c r="L17" s="491"/>
    </row>
    <row r="18" spans="1:14" ht="24" customHeight="1" x14ac:dyDescent="0.25">
      <c r="A18" s="490" t="s">
        <v>1796</v>
      </c>
      <c r="B18" s="425" t="s">
        <v>271</v>
      </c>
      <c r="C18" s="426" t="s">
        <v>323</v>
      </c>
      <c r="D18" s="438" t="s">
        <v>1727</v>
      </c>
      <c r="E18" s="439" t="s">
        <v>264</v>
      </c>
      <c r="F18" s="440">
        <v>6</v>
      </c>
      <c r="G18" s="439">
        <v>1702.56</v>
      </c>
      <c r="H18" s="441">
        <f>IF($G18="SEM",0,F18*G18)</f>
        <v>10215.36</v>
      </c>
      <c r="I18" s="441">
        <f>IF($G18="SEM",0,G18*(1+'BDI SERVIÇOS'!$Z$21))</f>
        <v>2081.039088</v>
      </c>
      <c r="J18" s="441">
        <f>F18*I18</f>
        <v>12486.234528000001</v>
      </c>
      <c r="K18" s="441"/>
      <c r="L18" s="491"/>
    </row>
    <row r="19" spans="1:14" ht="24" customHeight="1" x14ac:dyDescent="0.25">
      <c r="A19" s="490" t="s">
        <v>1797</v>
      </c>
      <c r="B19" s="425" t="s">
        <v>265</v>
      </c>
      <c r="C19" s="426" t="s">
        <v>323</v>
      </c>
      <c r="D19" s="438" t="s">
        <v>266</v>
      </c>
      <c r="E19" s="439" t="s">
        <v>264</v>
      </c>
      <c r="F19" s="440">
        <v>10</v>
      </c>
      <c r="G19" s="439">
        <v>1493</v>
      </c>
      <c r="H19" s="441">
        <f>IF($G19="SEM",0,F19*G19)</f>
        <v>14930</v>
      </c>
      <c r="I19" s="441">
        <f>IF($G19="SEM",0,G19*(1+'BDI SERVIÇOS'!$Z$21))</f>
        <v>1824.8938999999998</v>
      </c>
      <c r="J19" s="441">
        <f>F19*I19</f>
        <v>18248.938999999998</v>
      </c>
      <c r="K19" s="441"/>
      <c r="L19" s="491"/>
    </row>
    <row r="20" spans="1:14" ht="24" customHeight="1" x14ac:dyDescent="0.25">
      <c r="A20" s="490" t="s">
        <v>1798</v>
      </c>
      <c r="B20" s="425" t="s">
        <v>267</v>
      </c>
      <c r="C20" s="426" t="s">
        <v>323</v>
      </c>
      <c r="D20" s="438" t="s">
        <v>268</v>
      </c>
      <c r="E20" s="439" t="s">
        <v>264</v>
      </c>
      <c r="F20" s="440">
        <v>10</v>
      </c>
      <c r="G20" s="439">
        <v>2164.38</v>
      </c>
      <c r="H20" s="441">
        <f>IF($G20="SEM",0,F20*G20)</f>
        <v>21643.800000000003</v>
      </c>
      <c r="I20" s="441">
        <f>IF($G20="SEM",0,G20*(1+'BDI SERVIÇOS'!$Z$21))</f>
        <v>2645.5216740000001</v>
      </c>
      <c r="J20" s="441">
        <f>F20*I20</f>
        <v>26455.21674</v>
      </c>
      <c r="K20" s="441"/>
      <c r="L20" s="491"/>
    </row>
    <row r="21" spans="1:14" ht="24" customHeight="1" x14ac:dyDescent="0.25">
      <c r="A21" s="490" t="s">
        <v>1836</v>
      </c>
      <c r="B21" s="425">
        <v>4365</v>
      </c>
      <c r="C21" s="426" t="s">
        <v>448</v>
      </c>
      <c r="D21" s="438" t="s">
        <v>1802</v>
      </c>
      <c r="E21" s="439" t="s">
        <v>2</v>
      </c>
      <c r="F21" s="440">
        <v>870.32</v>
      </c>
      <c r="G21" s="439">
        <v>9.66</v>
      </c>
      <c r="H21" s="441">
        <f t="shared" ref="H21" si="0">IF($G21="SEM",0,F21*G21)</f>
        <v>8407.2912000000015</v>
      </c>
      <c r="I21" s="441">
        <f>IF($G21="SEM",0,G21*(1+'BDI SERVIÇOS'!$Z$21))</f>
        <v>11.807418</v>
      </c>
      <c r="J21" s="441">
        <f t="shared" ref="J21" si="1">F21*I21</f>
        <v>10276.232033760001</v>
      </c>
      <c r="K21" s="441"/>
      <c r="L21" s="491"/>
    </row>
    <row r="22" spans="1:14" ht="24" customHeight="1" x14ac:dyDescent="0.25">
      <c r="A22" s="490" t="s">
        <v>1837</v>
      </c>
      <c r="B22" s="586">
        <v>141</v>
      </c>
      <c r="C22" s="587" t="s">
        <v>448</v>
      </c>
      <c r="D22" s="588" t="s">
        <v>1800</v>
      </c>
      <c r="E22" s="439" t="s">
        <v>2</v>
      </c>
      <c r="F22" s="440">
        <v>870.32</v>
      </c>
      <c r="G22" s="439">
        <v>9.39</v>
      </c>
      <c r="H22" s="441">
        <f t="shared" ref="H22" si="2">IF($G22="SEM",0,F22*G22)</f>
        <v>8172.3048000000008</v>
      </c>
      <c r="I22" s="441">
        <f>IF($G22="SEM",0,G22*(1+'BDI SERVIÇOS'!$Z$21))</f>
        <v>11.477397</v>
      </c>
      <c r="J22" s="441">
        <f t="shared" ref="J22" si="3">F22*I22</f>
        <v>9989.0081570399998</v>
      </c>
      <c r="K22" s="441"/>
      <c r="L22" s="491"/>
    </row>
    <row r="23" spans="1:14" ht="24" customHeight="1" x14ac:dyDescent="0.25">
      <c r="A23" s="490" t="s">
        <v>1848</v>
      </c>
      <c r="B23" s="425">
        <v>64</v>
      </c>
      <c r="C23" s="426" t="s">
        <v>448</v>
      </c>
      <c r="D23" s="438" t="s">
        <v>1841</v>
      </c>
      <c r="E23" s="439" t="s">
        <v>2</v>
      </c>
      <c r="F23" s="440">
        <v>870.32</v>
      </c>
      <c r="G23" s="439">
        <v>7.61</v>
      </c>
      <c r="H23" s="441">
        <f t="shared" ref="H23" si="4">IF($G23="SEM",0,F23*G23)</f>
        <v>6623.1352000000006</v>
      </c>
      <c r="I23" s="441">
        <f>IF($G23="SEM",0,G23*(1+'BDI SERVIÇOS'!$Z$21))</f>
        <v>9.3017029999999998</v>
      </c>
      <c r="J23" s="441">
        <f t="shared" ref="J23" si="5">F23*I23</f>
        <v>8095.4581549600007</v>
      </c>
      <c r="K23" s="441"/>
      <c r="L23" s="491"/>
    </row>
    <row r="24" spans="1:14" ht="24" customHeight="1" x14ac:dyDescent="0.25">
      <c r="A24" s="488">
        <v>2</v>
      </c>
      <c r="B24" s="433"/>
      <c r="C24" s="434"/>
      <c r="D24" s="432" t="s">
        <v>155</v>
      </c>
      <c r="E24" s="433"/>
      <c r="F24" s="435"/>
      <c r="G24" s="436"/>
      <c r="H24" s="436"/>
      <c r="I24" s="436"/>
      <c r="J24" s="436"/>
      <c r="K24" s="437">
        <f>SUM(J25:J34)</f>
        <v>116753.91373062402</v>
      </c>
      <c r="L24" s="489">
        <f>K24/$K$375</f>
        <v>2.7872684006719283E-2</v>
      </c>
    </row>
    <row r="25" spans="1:14" ht="85.15" customHeight="1" x14ac:dyDescent="0.25">
      <c r="A25" s="492" t="s">
        <v>322</v>
      </c>
      <c r="B25" s="425" t="s">
        <v>174</v>
      </c>
      <c r="C25" s="426" t="s">
        <v>323</v>
      </c>
      <c r="D25" s="438" t="s">
        <v>175</v>
      </c>
      <c r="E25" s="439" t="s">
        <v>157</v>
      </c>
      <c r="F25" s="440">
        <v>1</v>
      </c>
      <c r="G25" s="439">
        <v>4624.74</v>
      </c>
      <c r="H25" s="441">
        <f t="shared" ref="H25:H26" si="6">IF($G25="SEM",0,F25*G25)</f>
        <v>4624.74</v>
      </c>
      <c r="I25" s="441">
        <f>IF($G25="SEM",0,G25*(1+'BDI SERVIÇOS'!$Z$21))</f>
        <v>5652.8197019999998</v>
      </c>
      <c r="J25" s="441">
        <f t="shared" ref="J25:J26" si="7">F25*I25</f>
        <v>5652.8197019999998</v>
      </c>
      <c r="K25" s="441"/>
      <c r="L25" s="491"/>
    </row>
    <row r="26" spans="1:14" ht="70.150000000000006" customHeight="1" x14ac:dyDescent="0.25">
      <c r="A26" s="492" t="s">
        <v>1849</v>
      </c>
      <c r="B26" s="425" t="s">
        <v>191</v>
      </c>
      <c r="C26" s="426" t="s">
        <v>323</v>
      </c>
      <c r="D26" s="438" t="s">
        <v>192</v>
      </c>
      <c r="E26" s="439" t="s">
        <v>158</v>
      </c>
      <c r="F26" s="440">
        <v>180</v>
      </c>
      <c r="G26" s="439">
        <v>220.71</v>
      </c>
      <c r="H26" s="441">
        <f t="shared" si="6"/>
        <v>39727.800000000003</v>
      </c>
      <c r="I26" s="441">
        <f>IF($G26="SEM",0,G26*(1+'BDI SERVIÇOS'!$Z$21))</f>
        <v>269.77383300000002</v>
      </c>
      <c r="J26" s="441">
        <f t="shared" si="7"/>
        <v>48559.289940000002</v>
      </c>
      <c r="K26" s="444"/>
      <c r="L26" s="491"/>
      <c r="N26" s="101"/>
    </row>
    <row r="27" spans="1:14" ht="55.15" customHeight="1" x14ac:dyDescent="0.25">
      <c r="A27" s="492" t="s">
        <v>1850</v>
      </c>
      <c r="B27" s="425" t="s">
        <v>182</v>
      </c>
      <c r="C27" s="426" t="s">
        <v>323</v>
      </c>
      <c r="D27" s="438" t="s">
        <v>183</v>
      </c>
      <c r="E27" s="439" t="s">
        <v>157</v>
      </c>
      <c r="F27" s="440">
        <v>1</v>
      </c>
      <c r="G27" s="439">
        <v>10042.73</v>
      </c>
      <c r="H27" s="441">
        <f t="shared" ref="H27" si="8">IF($G27="SEM",0,F27*G27)</f>
        <v>10042.73</v>
      </c>
      <c r="I27" s="441">
        <f>IF($G27="SEM",0,G27*(1+'BDI SERVIÇOS'!$Z$21))</f>
        <v>12275.228878999998</v>
      </c>
      <c r="J27" s="441">
        <f t="shared" ref="J27" si="9">F27*I27</f>
        <v>12275.228878999998</v>
      </c>
      <c r="K27" s="444"/>
      <c r="L27" s="491"/>
      <c r="N27" s="101"/>
    </row>
    <row r="28" spans="1:14" ht="55.15" customHeight="1" x14ac:dyDescent="0.25">
      <c r="A28" s="492" t="s">
        <v>324</v>
      </c>
      <c r="B28" s="425" t="s">
        <v>184</v>
      </c>
      <c r="C28" s="426" t="s">
        <v>323</v>
      </c>
      <c r="D28" s="438" t="s">
        <v>185</v>
      </c>
      <c r="E28" s="439" t="s">
        <v>157</v>
      </c>
      <c r="F28" s="440">
        <v>1</v>
      </c>
      <c r="G28" s="439">
        <v>11403.4</v>
      </c>
      <c r="H28" s="441">
        <f t="shared" ref="H28" si="10">IF($G28="SEM",0,F28*G28)</f>
        <v>11403.4</v>
      </c>
      <c r="I28" s="441">
        <f>IF($G28="SEM",0,G28*(1+'BDI SERVIÇOS'!$Z$21))</f>
        <v>13938.375819999999</v>
      </c>
      <c r="J28" s="441">
        <f t="shared" ref="J28" si="11">F28*I28</f>
        <v>13938.375819999999</v>
      </c>
      <c r="K28" s="444"/>
      <c r="L28" s="491"/>
      <c r="N28" s="101"/>
    </row>
    <row r="29" spans="1:14" ht="55.15" customHeight="1" x14ac:dyDescent="0.25">
      <c r="A29" s="492" t="s">
        <v>325</v>
      </c>
      <c r="B29" s="425" t="s">
        <v>186</v>
      </c>
      <c r="C29" s="426" t="s">
        <v>323</v>
      </c>
      <c r="D29" s="438" t="s">
        <v>187</v>
      </c>
      <c r="E29" s="439" t="s">
        <v>157</v>
      </c>
      <c r="F29" s="440">
        <v>1</v>
      </c>
      <c r="G29" s="439">
        <v>16222.98</v>
      </c>
      <c r="H29" s="441">
        <f t="shared" ref="H29" si="12">IF($G29="SEM",0,F29*G29)</f>
        <v>16222.98</v>
      </c>
      <c r="I29" s="441">
        <f>IF($G29="SEM",0,G29*(1+'BDI SERVIÇOS'!$Z$21))</f>
        <v>19829.348453999999</v>
      </c>
      <c r="J29" s="441">
        <f t="shared" ref="J29" si="13">F29*I29</f>
        <v>19829.348453999999</v>
      </c>
      <c r="K29" s="444"/>
      <c r="L29" s="491"/>
      <c r="N29" s="101"/>
    </row>
    <row r="30" spans="1:14" ht="55.15" customHeight="1" x14ac:dyDescent="0.25">
      <c r="A30" s="492" t="s">
        <v>326</v>
      </c>
      <c r="B30" s="425" t="s">
        <v>176</v>
      </c>
      <c r="C30" s="426" t="s">
        <v>323</v>
      </c>
      <c r="D30" s="438" t="s">
        <v>177</v>
      </c>
      <c r="E30" s="439" t="s">
        <v>157</v>
      </c>
      <c r="F30" s="440">
        <v>1</v>
      </c>
      <c r="G30" s="439">
        <v>574.82000000000005</v>
      </c>
      <c r="H30" s="441">
        <f t="shared" ref="H30:H32" si="14">IF($G30="SEM",0,F30*G30)</f>
        <v>574.82000000000005</v>
      </c>
      <c r="I30" s="441">
        <f>IF($G30="SEM",0,G30*(1+'BDI SERVIÇOS'!$Z$21))</f>
        <v>702.602486</v>
      </c>
      <c r="J30" s="441">
        <f t="shared" ref="J30:J32" si="15">F30*I30</f>
        <v>702.602486</v>
      </c>
      <c r="K30" s="444"/>
      <c r="L30" s="491"/>
      <c r="N30" s="101"/>
    </row>
    <row r="31" spans="1:14" ht="40.15" customHeight="1" x14ac:dyDescent="0.25">
      <c r="A31" s="492" t="s">
        <v>327</v>
      </c>
      <c r="B31" s="425" t="s">
        <v>178</v>
      </c>
      <c r="C31" s="426" t="s">
        <v>323</v>
      </c>
      <c r="D31" s="438" t="s">
        <v>179</v>
      </c>
      <c r="E31" s="439" t="s">
        <v>157</v>
      </c>
      <c r="F31" s="440">
        <v>1</v>
      </c>
      <c r="G31" s="439">
        <v>845.13</v>
      </c>
      <c r="H31" s="441">
        <f t="shared" si="14"/>
        <v>845.13</v>
      </c>
      <c r="I31" s="441">
        <f>IF($G31="SEM",0,G31*(1+'BDI SERVIÇOS'!$Z$21))</f>
        <v>1033.002399</v>
      </c>
      <c r="J31" s="441">
        <f t="shared" si="15"/>
        <v>1033.002399</v>
      </c>
      <c r="K31" s="444"/>
      <c r="L31" s="491"/>
      <c r="N31" s="101"/>
    </row>
    <row r="32" spans="1:14" ht="70.150000000000006" customHeight="1" x14ac:dyDescent="0.25">
      <c r="A32" s="492" t="s">
        <v>328</v>
      </c>
      <c r="B32" s="425" t="s">
        <v>180</v>
      </c>
      <c r="C32" s="426" t="s">
        <v>323</v>
      </c>
      <c r="D32" s="438" t="s">
        <v>181</v>
      </c>
      <c r="E32" s="439" t="s">
        <v>157</v>
      </c>
      <c r="F32" s="440">
        <v>1</v>
      </c>
      <c r="G32" s="439">
        <v>1069.92</v>
      </c>
      <c r="H32" s="441">
        <f t="shared" si="14"/>
        <v>1069.92</v>
      </c>
      <c r="I32" s="441">
        <f>IF($G32="SEM",0,G32*(1+'BDI SERVIÇOS'!$Z$21))</f>
        <v>1307.7632160000001</v>
      </c>
      <c r="J32" s="441">
        <f t="shared" si="15"/>
        <v>1307.7632160000001</v>
      </c>
      <c r="K32" s="441"/>
      <c r="L32" s="491"/>
    </row>
    <row r="33" spans="1:14" ht="24" customHeight="1" x14ac:dyDescent="0.25">
      <c r="A33" s="490" t="s">
        <v>329</v>
      </c>
      <c r="B33" s="425">
        <v>98524</v>
      </c>
      <c r="C33" s="426" t="s">
        <v>321</v>
      </c>
      <c r="D33" s="438" t="s">
        <v>139</v>
      </c>
      <c r="E33" s="439" t="s">
        <v>2</v>
      </c>
      <c r="F33" s="440">
        <v>500</v>
      </c>
      <c r="G33" s="439">
        <v>4.82</v>
      </c>
      <c r="H33" s="441">
        <f t="shared" ref="H33" si="16">IF($G33="SEM",0,F33*G33)</f>
        <v>2410</v>
      </c>
      <c r="I33" s="441">
        <f>IF($G33="SEM",0,G33*(1+'BDI SERVIÇOS'!$Z$21))</f>
        <v>5.8914860000000004</v>
      </c>
      <c r="J33" s="441">
        <f t="shared" ref="J33" si="17">F33*I33</f>
        <v>2945.7430000000004</v>
      </c>
      <c r="K33" s="441"/>
      <c r="L33" s="491"/>
    </row>
    <row r="34" spans="1:14" ht="70.150000000000006" customHeight="1" x14ac:dyDescent="0.25">
      <c r="A34" s="492" t="s">
        <v>1707</v>
      </c>
      <c r="B34" s="425" t="s">
        <v>1708</v>
      </c>
      <c r="C34" s="426" t="s">
        <v>738</v>
      </c>
      <c r="D34" s="438" t="s">
        <v>1716</v>
      </c>
      <c r="E34" s="439" t="s">
        <v>157</v>
      </c>
      <c r="F34" s="440">
        <v>10</v>
      </c>
      <c r="G34" s="439">
        <v>859.83308799999998</v>
      </c>
      <c r="H34" s="441">
        <f t="shared" ref="H34" si="18">IF($G34="SEM",0,F34*G34)</f>
        <v>8598.3308799999995</v>
      </c>
      <c r="I34" s="441">
        <f>IF($G34="SEM",0,G34*(1+'BDI SERVIÇOS'!$Z$21))</f>
        <v>1050.9739834623999</v>
      </c>
      <c r="J34" s="441">
        <f t="shared" ref="J34" si="19">F34*I34</f>
        <v>10509.739834623999</v>
      </c>
      <c r="K34" s="441"/>
      <c r="L34" s="491"/>
    </row>
    <row r="35" spans="1:14" ht="24" customHeight="1" x14ac:dyDescent="0.25">
      <c r="A35" s="488">
        <v>3</v>
      </c>
      <c r="B35" s="433"/>
      <c r="C35" s="434"/>
      <c r="D35" s="432" t="s">
        <v>330</v>
      </c>
      <c r="E35" s="433"/>
      <c r="F35" s="435"/>
      <c r="G35" s="436"/>
      <c r="H35" s="436"/>
      <c r="I35" s="436"/>
      <c r="J35" s="436"/>
      <c r="K35" s="437">
        <f>SUM(K36+K43+K71)</f>
        <v>1466672.2330684492</v>
      </c>
      <c r="L35" s="489">
        <f>K35/$K$375</f>
        <v>0.35013894085011354</v>
      </c>
    </row>
    <row r="36" spans="1:14" ht="24" customHeight="1" x14ac:dyDescent="0.25">
      <c r="A36" s="493" t="s">
        <v>331</v>
      </c>
      <c r="B36" s="445"/>
      <c r="C36" s="446"/>
      <c r="D36" s="447" t="s">
        <v>332</v>
      </c>
      <c r="E36" s="447"/>
      <c r="F36" s="448"/>
      <c r="G36" s="447"/>
      <c r="H36" s="449"/>
      <c r="I36" s="449"/>
      <c r="J36" s="449"/>
      <c r="K36" s="450">
        <f>SUM(J37:J42)</f>
        <v>159094.56799999997</v>
      </c>
      <c r="L36" s="494">
        <f>K36/$K$375</f>
        <v>3.7980676444650883E-2</v>
      </c>
    </row>
    <row r="37" spans="1:14" ht="24" customHeight="1" x14ac:dyDescent="0.25">
      <c r="A37" s="492" t="s">
        <v>333</v>
      </c>
      <c r="B37" s="425" t="s">
        <v>334</v>
      </c>
      <c r="C37" s="426" t="s">
        <v>335</v>
      </c>
      <c r="D37" s="438" t="s">
        <v>336</v>
      </c>
      <c r="E37" s="439" t="s">
        <v>337</v>
      </c>
      <c r="F37" s="440">
        <v>1</v>
      </c>
      <c r="G37" s="439">
        <v>1200</v>
      </c>
      <c r="H37" s="441">
        <f t="shared" ref="H37" si="20">IF($G37="SEM",0,F37*G37)</f>
        <v>1200</v>
      </c>
      <c r="I37" s="441">
        <f>IF($G37="SEM",0,G37*(1+'BDI SERVIÇOS'!$Z$21))</f>
        <v>1466.76</v>
      </c>
      <c r="J37" s="441">
        <f t="shared" ref="J37" si="21">F37*I37</f>
        <v>1466.76</v>
      </c>
      <c r="K37" s="444"/>
      <c r="L37" s="491"/>
      <c r="N37" s="101"/>
    </row>
    <row r="38" spans="1:14" ht="24" customHeight="1" x14ac:dyDescent="0.25">
      <c r="A38" s="492" t="s">
        <v>338</v>
      </c>
      <c r="B38" s="425" t="s">
        <v>339</v>
      </c>
      <c r="C38" s="426" t="s">
        <v>335</v>
      </c>
      <c r="D38" s="438" t="s">
        <v>340</v>
      </c>
      <c r="E38" s="439" t="s">
        <v>337</v>
      </c>
      <c r="F38" s="440">
        <v>10</v>
      </c>
      <c r="G38" s="439">
        <v>4480</v>
      </c>
      <c r="H38" s="441">
        <f t="shared" ref="H38:H42" si="22">IF($G38="SEM",0,F38*G38)</f>
        <v>44800</v>
      </c>
      <c r="I38" s="441">
        <f>IF($G38="SEM",0,G38*(1+'BDI SERVIÇOS'!$Z$21))</f>
        <v>5475.9039999999995</v>
      </c>
      <c r="J38" s="441">
        <f t="shared" ref="J38:J42" si="23">F38*I38</f>
        <v>54759.039999999994</v>
      </c>
      <c r="K38" s="444"/>
      <c r="L38" s="491"/>
      <c r="N38" s="101"/>
    </row>
    <row r="39" spans="1:14" ht="24" customHeight="1" x14ac:dyDescent="0.25">
      <c r="A39" s="492" t="s">
        <v>341</v>
      </c>
      <c r="B39" s="425" t="s">
        <v>342</v>
      </c>
      <c r="C39" s="426" t="s">
        <v>335</v>
      </c>
      <c r="D39" s="438" t="s">
        <v>343</v>
      </c>
      <c r="E39" s="439" t="s">
        <v>337</v>
      </c>
      <c r="F39" s="440">
        <v>10</v>
      </c>
      <c r="G39" s="439">
        <v>4480</v>
      </c>
      <c r="H39" s="441">
        <f t="shared" si="22"/>
        <v>44800</v>
      </c>
      <c r="I39" s="441">
        <f>IF($G39="SEM",0,G39*(1+'BDI SERVIÇOS'!$Z$21))</f>
        <v>5475.9039999999995</v>
      </c>
      <c r="J39" s="441">
        <f t="shared" si="23"/>
        <v>54759.039999999994</v>
      </c>
      <c r="K39" s="444"/>
      <c r="L39" s="491"/>
      <c r="N39" s="101"/>
    </row>
    <row r="40" spans="1:14" ht="24" customHeight="1" x14ac:dyDescent="0.25">
      <c r="A40" s="492" t="s">
        <v>344</v>
      </c>
      <c r="B40" s="425" t="s">
        <v>262</v>
      </c>
      <c r="C40" s="426" t="s">
        <v>323</v>
      </c>
      <c r="D40" s="438" t="s">
        <v>263</v>
      </c>
      <c r="E40" s="439" t="s">
        <v>9</v>
      </c>
      <c r="F40" s="440">
        <v>400</v>
      </c>
      <c r="G40" s="439">
        <v>63.28</v>
      </c>
      <c r="H40" s="441">
        <f t="shared" si="22"/>
        <v>25312</v>
      </c>
      <c r="I40" s="441">
        <f>IF($G40="SEM",0,G40*(1+'BDI SERVIÇOS'!$Z$21))</f>
        <v>77.347144</v>
      </c>
      <c r="J40" s="441">
        <f t="shared" si="23"/>
        <v>30938.857599999999</v>
      </c>
      <c r="K40" s="444"/>
      <c r="L40" s="491"/>
      <c r="N40" s="101"/>
    </row>
    <row r="41" spans="1:14" ht="24" customHeight="1" x14ac:dyDescent="0.25">
      <c r="A41" s="492" t="s">
        <v>345</v>
      </c>
      <c r="B41" s="425">
        <v>88322</v>
      </c>
      <c r="C41" s="426" t="s">
        <v>321</v>
      </c>
      <c r="D41" s="438" t="s">
        <v>154</v>
      </c>
      <c r="E41" s="439" t="s">
        <v>9</v>
      </c>
      <c r="F41" s="440">
        <v>400</v>
      </c>
      <c r="G41" s="439">
        <v>27.62</v>
      </c>
      <c r="H41" s="441">
        <f t="shared" si="22"/>
        <v>11048</v>
      </c>
      <c r="I41" s="441">
        <f>IF($G41="SEM",0,G41*(1+'BDI SERVIÇOS'!$Z$21))</f>
        <v>33.759926</v>
      </c>
      <c r="J41" s="441">
        <f t="shared" si="23"/>
        <v>13503.9704</v>
      </c>
      <c r="K41" s="444"/>
      <c r="L41" s="491"/>
      <c r="N41" s="101"/>
    </row>
    <row r="42" spans="1:14" ht="24" customHeight="1" x14ac:dyDescent="0.25">
      <c r="A42" s="492" t="s">
        <v>346</v>
      </c>
      <c r="B42" s="425" t="s">
        <v>347</v>
      </c>
      <c r="C42" s="426" t="s">
        <v>335</v>
      </c>
      <c r="D42" s="438" t="s">
        <v>348</v>
      </c>
      <c r="E42" s="439" t="s">
        <v>337</v>
      </c>
      <c r="F42" s="440">
        <v>1</v>
      </c>
      <c r="G42" s="439">
        <v>3000</v>
      </c>
      <c r="H42" s="441">
        <f t="shared" si="22"/>
        <v>3000</v>
      </c>
      <c r="I42" s="441">
        <f>IF($G42="SEM",0,G42*(1+'BDI SERVIÇOS'!$Z$21))</f>
        <v>3666.8999999999996</v>
      </c>
      <c r="J42" s="441">
        <f t="shared" si="23"/>
        <v>3666.8999999999996</v>
      </c>
      <c r="K42" s="444"/>
      <c r="L42" s="491"/>
      <c r="N42" s="101"/>
    </row>
    <row r="43" spans="1:14" ht="24" customHeight="1" x14ac:dyDescent="0.25">
      <c r="A43" s="493" t="s">
        <v>349</v>
      </c>
      <c r="B43" s="445"/>
      <c r="C43" s="446"/>
      <c r="D43" s="447" t="s">
        <v>350</v>
      </c>
      <c r="E43" s="447"/>
      <c r="F43" s="448"/>
      <c r="G43" s="447"/>
      <c r="H43" s="449"/>
      <c r="I43" s="449"/>
      <c r="J43" s="449"/>
      <c r="K43" s="450">
        <f>SUM(J44:J70)</f>
        <v>856351.41801103286</v>
      </c>
      <c r="L43" s="494">
        <f>K43/$K$375</f>
        <v>0.20443693671800925</v>
      </c>
    </row>
    <row r="44" spans="1:14" ht="24" customHeight="1" x14ac:dyDescent="0.25">
      <c r="A44" s="492" t="s">
        <v>351</v>
      </c>
      <c r="B44" s="425" t="s">
        <v>261</v>
      </c>
      <c r="C44" s="426" t="s">
        <v>323</v>
      </c>
      <c r="D44" s="438" t="s">
        <v>1823</v>
      </c>
      <c r="E44" s="439" t="s">
        <v>161</v>
      </c>
      <c r="F44" s="440">
        <f>'MC DRENAGEM'!E13</f>
        <v>406.37600000000003</v>
      </c>
      <c r="G44" s="439">
        <v>10.88</v>
      </c>
      <c r="H44" s="441">
        <f t="shared" ref="H44" si="24">IF($G44="SEM",0,F44*G44)</f>
        <v>4421.3708800000004</v>
      </c>
      <c r="I44" s="441">
        <f>IF($G44="SEM",0,G44*(1+'BDI SERVIÇOS'!$Z$21))</f>
        <v>13.298624</v>
      </c>
      <c r="J44" s="441">
        <f t="shared" ref="J44" si="25">F44*I44</f>
        <v>5404.2416266240007</v>
      </c>
      <c r="K44" s="444"/>
      <c r="L44" s="491"/>
      <c r="N44" s="101"/>
    </row>
    <row r="45" spans="1:14" ht="70.150000000000006" customHeight="1" x14ac:dyDescent="0.25">
      <c r="A45" s="492" t="s">
        <v>352</v>
      </c>
      <c r="B45" s="425">
        <v>102322</v>
      </c>
      <c r="C45" s="426" t="s">
        <v>321</v>
      </c>
      <c r="D45" s="438" t="s">
        <v>1731</v>
      </c>
      <c r="E45" s="439" t="s">
        <v>3</v>
      </c>
      <c r="F45" s="440">
        <f>'MC DRENAGEM'!E17</f>
        <v>1117.1999999999998</v>
      </c>
      <c r="G45" s="439">
        <v>20.37</v>
      </c>
      <c r="H45" s="441">
        <f t="shared" ref="H45:H59" si="26">IF($G45="SEM",0,F45*G45)</f>
        <v>22757.363999999998</v>
      </c>
      <c r="I45" s="441">
        <f>IF($G45="SEM",0,G45*(1+'BDI SERVIÇOS'!$Z$21))</f>
        <v>24.898250999999998</v>
      </c>
      <c r="J45" s="441">
        <f t="shared" ref="J45:J59" si="27">F45*I45</f>
        <v>27816.326017199994</v>
      </c>
      <c r="K45" s="444"/>
      <c r="L45" s="491"/>
    </row>
    <row r="46" spans="1:14" ht="40.15" customHeight="1" x14ac:dyDescent="0.25">
      <c r="A46" s="492" t="s">
        <v>353</v>
      </c>
      <c r="B46" s="425" t="s">
        <v>252</v>
      </c>
      <c r="C46" s="426" t="s">
        <v>323</v>
      </c>
      <c r="D46" s="438" t="s">
        <v>253</v>
      </c>
      <c r="E46" s="439" t="s">
        <v>161</v>
      </c>
      <c r="F46" s="440">
        <f>'MC DRENAGEM'!E25</f>
        <v>406.37600000000003</v>
      </c>
      <c r="G46" s="439">
        <v>3.42</v>
      </c>
      <c r="H46" s="441">
        <f t="shared" si="26"/>
        <v>1389.80592</v>
      </c>
      <c r="I46" s="441">
        <f>IF($G46="SEM",0,G46*(1+'BDI SERVIÇOS'!$Z$21))</f>
        <v>4.1802659999999996</v>
      </c>
      <c r="J46" s="441">
        <f t="shared" si="27"/>
        <v>1698.7597760159999</v>
      </c>
      <c r="K46" s="444"/>
      <c r="L46" s="491"/>
      <c r="N46" s="101"/>
    </row>
    <row r="47" spans="1:14" ht="40.15" customHeight="1" x14ac:dyDescent="0.25">
      <c r="A47" s="492" t="s">
        <v>354</v>
      </c>
      <c r="B47" s="425">
        <v>97914</v>
      </c>
      <c r="C47" s="426" t="s">
        <v>321</v>
      </c>
      <c r="D47" s="438" t="s">
        <v>138</v>
      </c>
      <c r="E47" s="439" t="s">
        <v>128</v>
      </c>
      <c r="F47" s="440">
        <f>'MC DRENAGEM'!E34</f>
        <v>3743.9520000000007</v>
      </c>
      <c r="G47" s="439">
        <v>3.08</v>
      </c>
      <c r="H47" s="441">
        <f t="shared" si="26"/>
        <v>11531.372160000003</v>
      </c>
      <c r="I47" s="441">
        <f>IF($G47="SEM",0,G47*(1+'BDI SERVIÇOS'!$Z$21))</f>
        <v>3.7646839999999999</v>
      </c>
      <c r="J47" s="441">
        <f t="shared" si="27"/>
        <v>14094.796191168003</v>
      </c>
      <c r="K47" s="444"/>
      <c r="L47" s="491"/>
      <c r="N47" s="101"/>
    </row>
    <row r="48" spans="1:14" ht="40.15" customHeight="1" x14ac:dyDescent="0.25">
      <c r="A48" s="492" t="s">
        <v>355</v>
      </c>
      <c r="B48" s="425">
        <v>101617</v>
      </c>
      <c r="C48" s="426" t="s">
        <v>321</v>
      </c>
      <c r="D48" s="438" t="s">
        <v>112</v>
      </c>
      <c r="E48" s="439" t="s">
        <v>2</v>
      </c>
      <c r="F48" s="440">
        <f>'MC DRENAGEM'!E38</f>
        <v>558.59999999999991</v>
      </c>
      <c r="G48" s="439">
        <v>3.42</v>
      </c>
      <c r="H48" s="441">
        <f t="shared" si="26"/>
        <v>1910.4119999999996</v>
      </c>
      <c r="I48" s="441">
        <f>IF($G48="SEM",0,G48*(1+'BDI SERVIÇOS'!$Z$21))</f>
        <v>4.1802659999999996</v>
      </c>
      <c r="J48" s="441">
        <f t="shared" si="27"/>
        <v>2335.0965875999996</v>
      </c>
      <c r="K48" s="444"/>
      <c r="L48" s="491"/>
      <c r="N48" s="101"/>
    </row>
    <row r="49" spans="1:14" ht="24" customHeight="1" x14ac:dyDescent="0.25">
      <c r="A49" s="492" t="s">
        <v>356</v>
      </c>
      <c r="B49" s="425" t="s">
        <v>357</v>
      </c>
      <c r="C49" s="426" t="s">
        <v>358</v>
      </c>
      <c r="D49" s="438" t="s">
        <v>359</v>
      </c>
      <c r="E49" s="439" t="s">
        <v>360</v>
      </c>
      <c r="F49" s="440">
        <f>'MC DRENAGEM'!E42</f>
        <v>558.59999999999991</v>
      </c>
      <c r="G49" s="439">
        <v>54.313360000000003</v>
      </c>
      <c r="H49" s="441">
        <f t="shared" si="26"/>
        <v>30339.442895999997</v>
      </c>
      <c r="I49" s="441">
        <f>IF($G49="SEM",0,G49*(1+'BDI SERVIÇOS'!$Z$21))</f>
        <v>66.387219928000007</v>
      </c>
      <c r="J49" s="441">
        <f t="shared" si="27"/>
        <v>37083.901051780798</v>
      </c>
      <c r="K49" s="444"/>
      <c r="L49" s="491"/>
      <c r="N49" s="101"/>
    </row>
    <row r="50" spans="1:14" ht="40.15" customHeight="1" x14ac:dyDescent="0.25">
      <c r="A50" s="492" t="s">
        <v>361</v>
      </c>
      <c r="B50" s="425">
        <v>41781</v>
      </c>
      <c r="C50" s="426" t="s">
        <v>321</v>
      </c>
      <c r="D50" s="438" t="s">
        <v>1769</v>
      </c>
      <c r="E50" s="439" t="s">
        <v>0</v>
      </c>
      <c r="F50" s="440">
        <f>'MC DRENAGEM'!E46</f>
        <v>53</v>
      </c>
      <c r="G50" s="439">
        <v>246.34</v>
      </c>
      <c r="H50" s="441">
        <f t="shared" si="26"/>
        <v>13056.02</v>
      </c>
      <c r="I50" s="441">
        <f>IF($G50="SEM",0,G50*(1+'BDI SERVIÇOS'!$Z$21))</f>
        <v>301.101382</v>
      </c>
      <c r="J50" s="441">
        <f t="shared" si="27"/>
        <v>15958.373245999999</v>
      </c>
      <c r="K50" s="444"/>
      <c r="L50" s="491"/>
      <c r="N50" s="101"/>
    </row>
    <row r="51" spans="1:14" ht="40.15" customHeight="1" x14ac:dyDescent="0.25">
      <c r="A51" s="492" t="s">
        <v>362</v>
      </c>
      <c r="B51" s="425">
        <v>41782</v>
      </c>
      <c r="C51" s="426" t="s">
        <v>321</v>
      </c>
      <c r="D51" s="438" t="s">
        <v>1770</v>
      </c>
      <c r="E51" s="439" t="s">
        <v>0</v>
      </c>
      <c r="F51" s="440">
        <f>'MC DRENAGEM'!E50</f>
        <v>60</v>
      </c>
      <c r="G51" s="439">
        <v>544.49</v>
      </c>
      <c r="H51" s="441">
        <f t="shared" si="26"/>
        <v>32669.4</v>
      </c>
      <c r="I51" s="441">
        <f>IF($G51="SEM",0,G51*(1+'BDI SERVIÇOS'!$Z$21))</f>
        <v>665.53012699999999</v>
      </c>
      <c r="J51" s="441">
        <f t="shared" si="27"/>
        <v>39931.80762</v>
      </c>
      <c r="K51" s="444"/>
      <c r="L51" s="491"/>
      <c r="N51" s="101"/>
    </row>
    <row r="52" spans="1:14" ht="40.15" customHeight="1" x14ac:dyDescent="0.25">
      <c r="A52" s="492" t="s">
        <v>363</v>
      </c>
      <c r="B52" s="425">
        <v>41785</v>
      </c>
      <c r="C52" s="426" t="s">
        <v>321</v>
      </c>
      <c r="D52" s="438" t="s">
        <v>1768</v>
      </c>
      <c r="E52" s="439" t="s">
        <v>0</v>
      </c>
      <c r="F52" s="440">
        <f>'MC DRENAGEM'!E54</f>
        <v>286</v>
      </c>
      <c r="G52" s="439">
        <v>1364.29</v>
      </c>
      <c r="H52" s="441">
        <f t="shared" si="26"/>
        <v>390186.94</v>
      </c>
      <c r="I52" s="441">
        <f>IF($G52="SEM",0,G52*(1+'BDI SERVIÇOS'!$Z$21))</f>
        <v>1667.5716669999999</v>
      </c>
      <c r="J52" s="441">
        <f t="shared" si="27"/>
        <v>476925.49676199997</v>
      </c>
      <c r="K52" s="444"/>
      <c r="L52" s="491"/>
      <c r="N52" s="101"/>
    </row>
    <row r="53" spans="1:14" ht="40.15" customHeight="1" x14ac:dyDescent="0.25">
      <c r="A53" s="492" t="s">
        <v>1838</v>
      </c>
      <c r="B53" s="442" t="s">
        <v>237</v>
      </c>
      <c r="C53" s="426" t="s">
        <v>323</v>
      </c>
      <c r="D53" s="438" t="s">
        <v>238</v>
      </c>
      <c r="E53" s="439" t="s">
        <v>224</v>
      </c>
      <c r="F53" s="443">
        <f>'MC DRENAGEM'!E58</f>
        <v>12</v>
      </c>
      <c r="G53" s="439">
        <v>3490.85</v>
      </c>
      <c r="H53" s="441">
        <f t="shared" ref="H53:H55" si="28">IF($G53="SEM",0,F53*G53)</f>
        <v>41890.199999999997</v>
      </c>
      <c r="I53" s="441">
        <f>IF($G53="SEM",0,G53*(1+'BDI SERVIÇOS'!$Z$21))</f>
        <v>4266.8659549999993</v>
      </c>
      <c r="J53" s="441">
        <f t="shared" ref="J53:J55" si="29">F53*I53</f>
        <v>51202.391459999992</v>
      </c>
      <c r="K53" s="441"/>
      <c r="L53" s="491"/>
    </row>
    <row r="54" spans="1:14" ht="40.15" customHeight="1" x14ac:dyDescent="0.25">
      <c r="A54" s="492" t="s">
        <v>364</v>
      </c>
      <c r="B54" s="442" t="s">
        <v>235</v>
      </c>
      <c r="C54" s="426" t="s">
        <v>323</v>
      </c>
      <c r="D54" s="438" t="s">
        <v>236</v>
      </c>
      <c r="E54" s="439" t="s">
        <v>158</v>
      </c>
      <c r="F54" s="443">
        <f>F53</f>
        <v>12</v>
      </c>
      <c r="G54" s="439">
        <v>1041.8399999999999</v>
      </c>
      <c r="H54" s="441">
        <f t="shared" si="28"/>
        <v>12502.079999999998</v>
      </c>
      <c r="I54" s="441">
        <f>IF($G54="SEM",0,G54*(1+'BDI SERVIÇOS'!$Z$21))</f>
        <v>1273.441032</v>
      </c>
      <c r="J54" s="441">
        <f t="shared" si="29"/>
        <v>15281.292384</v>
      </c>
      <c r="K54" s="441"/>
      <c r="L54" s="491"/>
    </row>
    <row r="55" spans="1:14" ht="55.15" customHeight="1" x14ac:dyDescent="0.25">
      <c r="A55" s="492" t="s">
        <v>367</v>
      </c>
      <c r="B55" s="425" t="s">
        <v>239</v>
      </c>
      <c r="C55" s="426" t="s">
        <v>323</v>
      </c>
      <c r="D55" s="438" t="s">
        <v>240</v>
      </c>
      <c r="E55" s="439" t="s">
        <v>157</v>
      </c>
      <c r="F55" s="440">
        <f>F54</f>
        <v>12</v>
      </c>
      <c r="G55" s="439">
        <v>642.88</v>
      </c>
      <c r="H55" s="441">
        <f t="shared" si="28"/>
        <v>7714.5599999999995</v>
      </c>
      <c r="I55" s="441">
        <f>IF($G55="SEM",0,G55*(1+'BDI SERVIÇOS'!$Z$21))</f>
        <v>785.79222399999992</v>
      </c>
      <c r="J55" s="441">
        <f t="shared" si="29"/>
        <v>9429.5066879999995</v>
      </c>
      <c r="K55" s="444"/>
      <c r="L55" s="491"/>
      <c r="N55" s="101"/>
    </row>
    <row r="56" spans="1:14" ht="24" customHeight="1" x14ac:dyDescent="0.25">
      <c r="A56" s="492" t="s">
        <v>368</v>
      </c>
      <c r="B56" s="425" t="s">
        <v>243</v>
      </c>
      <c r="C56" s="426" t="s">
        <v>323</v>
      </c>
      <c r="D56" s="438" t="s">
        <v>1724</v>
      </c>
      <c r="E56" s="439" t="s">
        <v>158</v>
      </c>
      <c r="F56" s="440">
        <v>1</v>
      </c>
      <c r="G56" s="439">
        <v>796.25</v>
      </c>
      <c r="H56" s="441">
        <f t="shared" ref="H56:H57" si="30">IF($G56="SEM",0,F56*G56)</f>
        <v>796.25</v>
      </c>
      <c r="I56" s="441">
        <f>IF($G56="SEM",0,G56*(1+'BDI SERVIÇOS'!$Z$21))</f>
        <v>973.25637499999993</v>
      </c>
      <c r="J56" s="441">
        <f t="shared" ref="J56:J57" si="31">F56*I56</f>
        <v>973.25637499999993</v>
      </c>
      <c r="K56" s="444"/>
      <c r="L56" s="491"/>
      <c r="N56" s="101"/>
    </row>
    <row r="57" spans="1:14" ht="40.15" customHeight="1" x14ac:dyDescent="0.25">
      <c r="A57" s="492" t="s">
        <v>369</v>
      </c>
      <c r="B57" s="425" t="s">
        <v>189</v>
      </c>
      <c r="C57" s="426" t="s">
        <v>323</v>
      </c>
      <c r="D57" s="438" t="s">
        <v>190</v>
      </c>
      <c r="E57" s="439" t="s">
        <v>157</v>
      </c>
      <c r="F57" s="440">
        <f>F56</f>
        <v>1</v>
      </c>
      <c r="G57" s="439">
        <v>40.18</v>
      </c>
      <c r="H57" s="441">
        <f t="shared" si="30"/>
        <v>40.18</v>
      </c>
      <c r="I57" s="441">
        <f>IF($G57="SEM",0,G57*(1+'BDI SERVIÇOS'!$Z$21))</f>
        <v>49.112013999999995</v>
      </c>
      <c r="J57" s="441">
        <f t="shared" si="31"/>
        <v>49.112013999999995</v>
      </c>
      <c r="K57" s="444"/>
      <c r="L57" s="491"/>
      <c r="N57" s="101"/>
    </row>
    <row r="58" spans="1:14" ht="24" customHeight="1" x14ac:dyDescent="0.25">
      <c r="A58" s="492" t="s">
        <v>370</v>
      </c>
      <c r="B58" s="425" t="s">
        <v>365</v>
      </c>
      <c r="C58" s="426" t="s">
        <v>358</v>
      </c>
      <c r="D58" s="438" t="s">
        <v>366</v>
      </c>
      <c r="E58" s="439" t="s">
        <v>540</v>
      </c>
      <c r="F58" s="440">
        <f>'MC DRENAGEM'!E62</f>
        <v>20</v>
      </c>
      <c r="G58" s="439">
        <v>1631.02</v>
      </c>
      <c r="H58" s="441">
        <f t="shared" si="26"/>
        <v>32620.400000000001</v>
      </c>
      <c r="I58" s="441">
        <f>IF($G58="SEM",0,G58*(1+'BDI SERVIÇOS'!$Z$21))</f>
        <v>1993.595746</v>
      </c>
      <c r="J58" s="441">
        <f t="shared" si="27"/>
        <v>39871.914919999996</v>
      </c>
      <c r="K58" s="444"/>
      <c r="L58" s="491"/>
      <c r="N58" s="101"/>
    </row>
    <row r="59" spans="1:14" ht="40.15" customHeight="1" x14ac:dyDescent="0.25">
      <c r="A59" s="492" t="s">
        <v>371</v>
      </c>
      <c r="B59" s="425" t="s">
        <v>241</v>
      </c>
      <c r="C59" s="426" t="s">
        <v>323</v>
      </c>
      <c r="D59" s="438" t="s">
        <v>242</v>
      </c>
      <c r="E59" s="439" t="s">
        <v>224</v>
      </c>
      <c r="F59" s="440">
        <f>'MC DRENAGEM'!E66</f>
        <v>20</v>
      </c>
      <c r="G59" s="439">
        <v>2683.36</v>
      </c>
      <c r="H59" s="441">
        <f t="shared" si="26"/>
        <v>53667.200000000004</v>
      </c>
      <c r="I59" s="441">
        <f>IF($G59="SEM",0,G59*(1+'BDI SERVIÇOS'!$Z$21))</f>
        <v>3279.8709279999998</v>
      </c>
      <c r="J59" s="441">
        <f t="shared" si="27"/>
        <v>65597.418559999991</v>
      </c>
      <c r="K59" s="444"/>
      <c r="L59" s="491"/>
      <c r="N59" s="101"/>
    </row>
    <row r="60" spans="1:14" ht="70.150000000000006" customHeight="1" x14ac:dyDescent="0.25">
      <c r="A60" s="492" t="s">
        <v>372</v>
      </c>
      <c r="B60" s="442" t="s">
        <v>166</v>
      </c>
      <c r="C60" s="426" t="s">
        <v>323</v>
      </c>
      <c r="D60" s="438" t="s">
        <v>167</v>
      </c>
      <c r="E60" s="439" t="s">
        <v>156</v>
      </c>
      <c r="F60" s="443">
        <f>'MC DRENAGEM'!E70</f>
        <v>29.810000000000002</v>
      </c>
      <c r="G60" s="439">
        <v>32.229999999999997</v>
      </c>
      <c r="H60" s="441">
        <f t="shared" ref="H60:H70" si="32">IF($G60="SEM",0,F60*G60)</f>
        <v>960.77629999999999</v>
      </c>
      <c r="I60" s="441">
        <f>IF($G60="SEM",0,G60*(1+'BDI SERVIÇOS'!$Z$21))</f>
        <v>39.394728999999991</v>
      </c>
      <c r="J60" s="441">
        <f t="shared" ref="J60:J70" si="33">F60*I60</f>
        <v>1174.3568714899998</v>
      </c>
      <c r="K60" s="441"/>
      <c r="L60" s="491"/>
    </row>
    <row r="61" spans="1:14" ht="70.150000000000006" customHeight="1" x14ac:dyDescent="0.25">
      <c r="A61" s="492" t="s">
        <v>373</v>
      </c>
      <c r="B61" s="442">
        <v>103926</v>
      </c>
      <c r="C61" s="426" t="s">
        <v>321</v>
      </c>
      <c r="D61" s="438" t="s">
        <v>64</v>
      </c>
      <c r="E61" s="439" t="s">
        <v>3</v>
      </c>
      <c r="F61" s="443">
        <f>'MC DRENAGEM'!E74</f>
        <v>7.36</v>
      </c>
      <c r="G61" s="439">
        <v>1437.97</v>
      </c>
      <c r="H61" s="441">
        <f t="shared" si="32"/>
        <v>10583.459200000001</v>
      </c>
      <c r="I61" s="441">
        <f>IF($G61="SEM",0,G61*(1+'BDI SERVIÇOS'!$Z$21))</f>
        <v>1757.630731</v>
      </c>
      <c r="J61" s="441">
        <f t="shared" si="33"/>
        <v>12936.162180159999</v>
      </c>
      <c r="K61" s="441"/>
      <c r="L61" s="491"/>
    </row>
    <row r="62" spans="1:14" ht="24" customHeight="1" x14ac:dyDescent="0.25">
      <c r="A62" s="492" t="s">
        <v>374</v>
      </c>
      <c r="B62" s="425" t="s">
        <v>233</v>
      </c>
      <c r="C62" s="426" t="s">
        <v>323</v>
      </c>
      <c r="D62" s="438" t="s">
        <v>234</v>
      </c>
      <c r="E62" s="439" t="s">
        <v>224</v>
      </c>
      <c r="F62" s="440">
        <f>'MC DRENAGEM'!E78</f>
        <v>1</v>
      </c>
      <c r="G62" s="439">
        <v>4176.38</v>
      </c>
      <c r="H62" s="441">
        <f t="shared" si="32"/>
        <v>4176.38</v>
      </c>
      <c r="I62" s="441">
        <f>IF($G62="SEM",0,G62*(1+'BDI SERVIÇOS'!$Z$21))</f>
        <v>5104.7892739999998</v>
      </c>
      <c r="J62" s="441">
        <f t="shared" si="33"/>
        <v>5104.7892739999998</v>
      </c>
      <c r="K62" s="444"/>
      <c r="L62" s="491"/>
      <c r="N62" s="101"/>
    </row>
    <row r="63" spans="1:14" ht="70.150000000000006" customHeight="1" x14ac:dyDescent="0.25">
      <c r="A63" s="492" t="s">
        <v>375</v>
      </c>
      <c r="B63" s="442">
        <v>103799</v>
      </c>
      <c r="C63" s="426" t="str">
        <f>C61</f>
        <v>SINAPI</v>
      </c>
      <c r="D63" s="438" t="s">
        <v>63</v>
      </c>
      <c r="E63" s="439" t="s">
        <v>3</v>
      </c>
      <c r="F63" s="443">
        <f>(((2+1.6)*1.2)/2)*(0.15)</f>
        <v>0.32400000000000001</v>
      </c>
      <c r="G63" s="439">
        <v>483.32</v>
      </c>
      <c r="H63" s="441">
        <f t="shared" si="32"/>
        <v>156.59568000000002</v>
      </c>
      <c r="I63" s="441">
        <f>IF($G63="SEM",0,G63*(1+'BDI SERVIÇOS'!$Z$21))</f>
        <v>590.76203599999997</v>
      </c>
      <c r="J63" s="441">
        <f t="shared" si="33"/>
        <v>191.40689966400001</v>
      </c>
      <c r="K63" s="441"/>
      <c r="L63" s="491"/>
    </row>
    <row r="64" spans="1:14" ht="24" customHeight="1" x14ac:dyDescent="0.25">
      <c r="A64" s="492" t="s">
        <v>376</v>
      </c>
      <c r="B64" s="425">
        <v>92882</v>
      </c>
      <c r="C64" s="426" t="str">
        <f>C63</f>
        <v>SINAPI</v>
      </c>
      <c r="D64" s="438" t="s">
        <v>37</v>
      </c>
      <c r="E64" s="439" t="s">
        <v>10</v>
      </c>
      <c r="F64" s="440">
        <f>'MC DRENAGEM'!E86</f>
        <v>140.4</v>
      </c>
      <c r="G64" s="439">
        <v>13.52</v>
      </c>
      <c r="H64" s="441">
        <f t="shared" si="32"/>
        <v>1898.2080000000001</v>
      </c>
      <c r="I64" s="441">
        <f>IF($G64="SEM",0,G64*(1+'BDI SERVIÇOS'!$Z$21))</f>
        <v>16.525496</v>
      </c>
      <c r="J64" s="441">
        <f t="shared" si="33"/>
        <v>2320.1796383999999</v>
      </c>
      <c r="K64" s="444"/>
      <c r="L64" s="491"/>
      <c r="N64" s="101"/>
    </row>
    <row r="65" spans="1:14" ht="40.15" customHeight="1" x14ac:dyDescent="0.25">
      <c r="A65" s="492" t="s">
        <v>377</v>
      </c>
      <c r="B65" s="425">
        <v>92763</v>
      </c>
      <c r="C65" s="426" t="s">
        <v>321</v>
      </c>
      <c r="D65" s="438" t="s">
        <v>33</v>
      </c>
      <c r="E65" s="439" t="s">
        <v>10</v>
      </c>
      <c r="F65" s="440">
        <f>F64</f>
        <v>140.4</v>
      </c>
      <c r="G65" s="439">
        <v>9.18</v>
      </c>
      <c r="H65" s="441">
        <f t="shared" si="32"/>
        <v>1288.8720000000001</v>
      </c>
      <c r="I65" s="441">
        <f>IF($G65="SEM",0,G65*(1+'BDI SERVIÇOS'!$Z$21))</f>
        <v>11.220713999999999</v>
      </c>
      <c r="J65" s="441">
        <f t="shared" si="33"/>
        <v>1575.3882455999999</v>
      </c>
      <c r="K65" s="444"/>
      <c r="L65" s="491"/>
      <c r="N65" s="101"/>
    </row>
    <row r="66" spans="1:14" ht="55.15" customHeight="1" x14ac:dyDescent="0.25">
      <c r="A66" s="492" t="s">
        <v>378</v>
      </c>
      <c r="B66" s="425">
        <v>89478</v>
      </c>
      <c r="C66" s="426" t="s">
        <v>321</v>
      </c>
      <c r="D66" s="438" t="s">
        <v>115</v>
      </c>
      <c r="E66" s="439" t="s">
        <v>2</v>
      </c>
      <c r="F66" s="440">
        <f>'MC DRENAGEM'!E94</f>
        <v>70.16</v>
      </c>
      <c r="G66" s="439">
        <v>147.24</v>
      </c>
      <c r="H66" s="441">
        <f t="shared" si="32"/>
        <v>10330.358400000001</v>
      </c>
      <c r="I66" s="441">
        <f>IF($G66="SEM",0,G66*(1+'BDI SERVIÇOS'!$Z$21))</f>
        <v>179.971452</v>
      </c>
      <c r="J66" s="441">
        <f t="shared" si="33"/>
        <v>12626.79707232</v>
      </c>
      <c r="K66" s="444"/>
      <c r="L66" s="491"/>
      <c r="N66" s="101"/>
    </row>
    <row r="67" spans="1:14" ht="55.15" customHeight="1" x14ac:dyDescent="0.25">
      <c r="A67" s="492" t="s">
        <v>1803</v>
      </c>
      <c r="B67" s="425" t="s">
        <v>193</v>
      </c>
      <c r="C67" s="426" t="s">
        <v>323</v>
      </c>
      <c r="D67" s="438" t="s">
        <v>194</v>
      </c>
      <c r="E67" s="439" t="s">
        <v>161</v>
      </c>
      <c r="F67" s="440">
        <f>'MC DRENAGEM'!E29</f>
        <v>54.46</v>
      </c>
      <c r="G67" s="439">
        <v>9.35</v>
      </c>
      <c r="H67" s="441">
        <f t="shared" si="32"/>
        <v>509.20099999999996</v>
      </c>
      <c r="I67" s="441">
        <f>IF($G67="SEM",0,G67*(1+'BDI SERVIÇOS'!$Z$21))</f>
        <v>11.428504999999999</v>
      </c>
      <c r="J67" s="441">
        <f t="shared" si="33"/>
        <v>622.39638230000003</v>
      </c>
      <c r="K67" s="444"/>
      <c r="L67" s="491"/>
      <c r="N67" s="101"/>
    </row>
    <row r="68" spans="1:14" ht="40.15" customHeight="1" x14ac:dyDescent="0.25">
      <c r="A68" s="492" t="s">
        <v>1804</v>
      </c>
      <c r="B68" s="425" t="s">
        <v>254</v>
      </c>
      <c r="C68" s="426" t="s">
        <v>323</v>
      </c>
      <c r="D68" s="438" t="s">
        <v>255</v>
      </c>
      <c r="E68" s="439" t="s">
        <v>156</v>
      </c>
      <c r="F68" s="440">
        <f>'MC DRENAGEM'!E98</f>
        <v>19.3</v>
      </c>
      <c r="G68" s="439">
        <v>246.52</v>
      </c>
      <c r="H68" s="441">
        <f t="shared" si="32"/>
        <v>4757.8360000000002</v>
      </c>
      <c r="I68" s="441">
        <f>IF($G68="SEM",0,G68*(1+'BDI SERVIÇOS'!$Z$21))</f>
        <v>301.32139599999999</v>
      </c>
      <c r="J68" s="441">
        <f t="shared" si="33"/>
        <v>5815.5029427999998</v>
      </c>
      <c r="K68" s="444"/>
      <c r="L68" s="491"/>
      <c r="N68" s="101"/>
    </row>
    <row r="69" spans="1:14" ht="55.15" customHeight="1" x14ac:dyDescent="0.25">
      <c r="A69" s="492" t="s">
        <v>1805</v>
      </c>
      <c r="B69" s="425" t="s">
        <v>164</v>
      </c>
      <c r="C69" s="426" t="s">
        <v>323</v>
      </c>
      <c r="D69" s="438" t="s">
        <v>165</v>
      </c>
      <c r="E69" s="439" t="s">
        <v>161</v>
      </c>
      <c r="F69" s="440">
        <f>'MC DRENAGEM'!E21</f>
        <v>3.5100000000000002</v>
      </c>
      <c r="G69" s="439">
        <v>278.57</v>
      </c>
      <c r="H69" s="441">
        <f t="shared" si="32"/>
        <v>977.78070000000002</v>
      </c>
      <c r="I69" s="441">
        <f>IF($G69="SEM",0,G69*(1+'BDI SERVIÇOS'!$Z$21))</f>
        <v>340.49611099999998</v>
      </c>
      <c r="J69" s="441">
        <f t="shared" si="33"/>
        <v>1195.1413496100001</v>
      </c>
      <c r="K69" s="444"/>
      <c r="L69" s="491"/>
      <c r="N69" s="101"/>
    </row>
    <row r="70" spans="1:14" ht="40.15" customHeight="1" x14ac:dyDescent="0.25">
      <c r="A70" s="492" t="s">
        <v>1839</v>
      </c>
      <c r="B70" s="425">
        <v>92265</v>
      </c>
      <c r="C70" s="426" t="s">
        <v>321</v>
      </c>
      <c r="D70" s="438" t="s">
        <v>20</v>
      </c>
      <c r="E70" s="439" t="s">
        <v>2</v>
      </c>
      <c r="F70" s="440">
        <f>'MC DRENAGEM'!E102</f>
        <v>58.46</v>
      </c>
      <c r="G70" s="439">
        <v>127.85</v>
      </c>
      <c r="H70" s="441">
        <f t="shared" si="32"/>
        <v>7474.1109999999999</v>
      </c>
      <c r="I70" s="441">
        <f>IF($G70="SEM",0,G70*(1+'BDI SERVIÇOS'!$Z$21))</f>
        <v>156.27105499999999</v>
      </c>
      <c r="J70" s="441">
        <f t="shared" si="33"/>
        <v>9135.6058752999998</v>
      </c>
      <c r="K70" s="444"/>
      <c r="L70" s="491"/>
      <c r="N70" s="101"/>
    </row>
    <row r="71" spans="1:14" ht="40.15" customHeight="1" x14ac:dyDescent="0.25">
      <c r="A71" s="493" t="s">
        <v>379</v>
      </c>
      <c r="B71" s="445"/>
      <c r="C71" s="446"/>
      <c r="D71" s="447" t="s">
        <v>380</v>
      </c>
      <c r="E71" s="447"/>
      <c r="F71" s="448"/>
      <c r="G71" s="447"/>
      <c r="H71" s="449"/>
      <c r="I71" s="449"/>
      <c r="J71" s="449"/>
      <c r="K71" s="450">
        <f>SUM(J72:J78)</f>
        <v>451226.24705741642</v>
      </c>
      <c r="L71" s="494">
        <f>K71/$K$375</f>
        <v>0.10772132768745341</v>
      </c>
      <c r="N71" s="101"/>
    </row>
    <row r="72" spans="1:14" ht="55.15" customHeight="1" x14ac:dyDescent="0.25">
      <c r="A72" s="492" t="s">
        <v>381</v>
      </c>
      <c r="B72" s="425">
        <v>100576</v>
      </c>
      <c r="C72" s="426" t="s">
        <v>321</v>
      </c>
      <c r="D72" s="438" t="s">
        <v>1729</v>
      </c>
      <c r="E72" s="439" t="s">
        <v>2</v>
      </c>
      <c r="F72" s="440">
        <f>'MC DRENAGEM'!E106</f>
        <v>2031.88</v>
      </c>
      <c r="G72" s="439">
        <v>2.86</v>
      </c>
      <c r="H72" s="441">
        <f t="shared" ref="H72" si="34">IF($G72="SEM",0,F72*G72)</f>
        <v>5811.1768000000002</v>
      </c>
      <c r="I72" s="441">
        <f>IF($G72="SEM",0,G72*(1+'BDI SERVIÇOS'!$Z$21))</f>
        <v>3.4957779999999996</v>
      </c>
      <c r="J72" s="441">
        <f t="shared" ref="J72" si="35">F72*I72</f>
        <v>7103.0014026399995</v>
      </c>
      <c r="K72" s="444"/>
      <c r="L72" s="491"/>
      <c r="N72" s="101"/>
    </row>
    <row r="73" spans="1:14" ht="55.15" customHeight="1" x14ac:dyDescent="0.25">
      <c r="A73" s="492" t="s">
        <v>382</v>
      </c>
      <c r="B73" s="425">
        <v>101767</v>
      </c>
      <c r="C73" s="426" t="s">
        <v>321</v>
      </c>
      <c r="D73" s="438" t="s">
        <v>1728</v>
      </c>
      <c r="E73" s="439" t="s">
        <v>3</v>
      </c>
      <c r="F73" s="440">
        <f>'MC DRENAGEM'!E110</f>
        <v>406.37600000000003</v>
      </c>
      <c r="G73" s="439">
        <v>30.35</v>
      </c>
      <c r="H73" s="441">
        <f t="shared" ref="H73" si="36">IF($G73="SEM",0,F73*G73)</f>
        <v>12333.511600000002</v>
      </c>
      <c r="I73" s="441">
        <f>IF($G73="SEM",0,G73*(1+'BDI SERVIÇOS'!$Z$21))</f>
        <v>37.096805000000003</v>
      </c>
      <c r="J73" s="441">
        <f t="shared" ref="J73" si="37">F73*I73</f>
        <v>15075.251228680003</v>
      </c>
      <c r="K73" s="444"/>
      <c r="L73" s="491"/>
      <c r="N73" s="101"/>
    </row>
    <row r="74" spans="1:14" ht="40.15" customHeight="1" x14ac:dyDescent="0.25">
      <c r="A74" s="492" t="s">
        <v>383</v>
      </c>
      <c r="B74" s="425">
        <v>101169</v>
      </c>
      <c r="C74" s="426" t="s">
        <v>321</v>
      </c>
      <c r="D74" s="438" t="s">
        <v>116</v>
      </c>
      <c r="E74" s="439" t="s">
        <v>2</v>
      </c>
      <c r="F74" s="440">
        <f>'MC DRENAGEM'!E114</f>
        <v>943.8</v>
      </c>
      <c r="G74" s="439">
        <v>216.32</v>
      </c>
      <c r="H74" s="441">
        <f t="shared" ref="H74" si="38">IF($G74="SEM",0,F74*G74)</f>
        <v>204162.81599999999</v>
      </c>
      <c r="I74" s="441">
        <f>IF($G74="SEM",0,G74*(1+'BDI SERVIÇOS'!$Z$21))</f>
        <v>264.40793600000001</v>
      </c>
      <c r="J74" s="441">
        <f t="shared" ref="J74" si="39">F74*I74</f>
        <v>249548.2099968</v>
      </c>
      <c r="K74" s="444"/>
      <c r="L74" s="491"/>
      <c r="N74" s="101"/>
    </row>
    <row r="75" spans="1:14" ht="70.150000000000006" customHeight="1" x14ac:dyDescent="0.25">
      <c r="A75" s="492" t="s">
        <v>1811</v>
      </c>
      <c r="B75" s="425" t="s">
        <v>245</v>
      </c>
      <c r="C75" s="426" t="s">
        <v>323</v>
      </c>
      <c r="D75" s="438" t="s">
        <v>246</v>
      </c>
      <c r="E75" s="439" t="s">
        <v>158</v>
      </c>
      <c r="F75" s="440">
        <v>124</v>
      </c>
      <c r="G75" s="439">
        <v>79.14</v>
      </c>
      <c r="H75" s="441">
        <f t="shared" ref="H75:H78" si="40">IF($G75="SEM",0,F75*G75)</f>
        <v>9813.36</v>
      </c>
      <c r="I75" s="441">
        <f>IF($G75="SEM",0,G75*(1+'BDI SERVIÇOS'!$Z$21))</f>
        <v>96.732821999999999</v>
      </c>
      <c r="J75" s="441">
        <f t="shared" ref="J75:J78" si="41">F75*I75</f>
        <v>11994.869928</v>
      </c>
      <c r="K75" s="444"/>
      <c r="L75" s="491"/>
      <c r="N75" s="101"/>
    </row>
    <row r="76" spans="1:14" ht="40.15" customHeight="1" x14ac:dyDescent="0.25">
      <c r="A76" s="492" t="s">
        <v>1812</v>
      </c>
      <c r="B76" s="425">
        <v>94287</v>
      </c>
      <c r="C76" s="426" t="s">
        <v>321</v>
      </c>
      <c r="D76" s="438" t="s">
        <v>1737</v>
      </c>
      <c r="E76" s="439" t="s">
        <v>0</v>
      </c>
      <c r="F76" s="440">
        <v>154</v>
      </c>
      <c r="G76" s="439">
        <v>35.42</v>
      </c>
      <c r="H76" s="441">
        <f t="shared" si="40"/>
        <v>5454.68</v>
      </c>
      <c r="I76" s="441">
        <f>IF($G76="SEM",0,G76*(1+'BDI SERVIÇOS'!$Z$21))</f>
        <v>43.293866000000001</v>
      </c>
      <c r="J76" s="441">
        <f t="shared" si="41"/>
        <v>6667.2553640000006</v>
      </c>
      <c r="K76" s="444"/>
      <c r="L76" s="491"/>
      <c r="N76" s="101"/>
    </row>
    <row r="77" spans="1:14" ht="55.15" customHeight="1" x14ac:dyDescent="0.25">
      <c r="A77" s="492" t="s">
        <v>1813</v>
      </c>
      <c r="B77" s="425" t="s">
        <v>1725</v>
      </c>
      <c r="C77" s="426" t="s">
        <v>323</v>
      </c>
      <c r="D77" s="438" t="s">
        <v>1726</v>
      </c>
      <c r="E77" s="439" t="s">
        <v>251</v>
      </c>
      <c r="F77" s="440">
        <f>'MC DRENAGEM'!E121</f>
        <v>59685.911999999989</v>
      </c>
      <c r="G77" s="439">
        <v>1.1100000000000001</v>
      </c>
      <c r="H77" s="441">
        <f t="shared" si="40"/>
        <v>66251.36232</v>
      </c>
      <c r="I77" s="441">
        <f>IF($G77="SEM",0,G77*(1+'BDI SERVIÇOS'!$Z$21))</f>
        <v>1.3567530000000001</v>
      </c>
      <c r="J77" s="441">
        <f t="shared" si="41"/>
        <v>80979.04016373599</v>
      </c>
      <c r="K77" s="444"/>
      <c r="L77" s="491"/>
      <c r="N77" s="101"/>
    </row>
    <row r="78" spans="1:14" ht="24" customHeight="1" x14ac:dyDescent="0.25">
      <c r="A78" s="492" t="s">
        <v>1814</v>
      </c>
      <c r="B78" s="425" t="s">
        <v>1817</v>
      </c>
      <c r="C78" s="426" t="s">
        <v>358</v>
      </c>
      <c r="D78" s="438" t="s">
        <v>1816</v>
      </c>
      <c r="E78" s="439" t="s">
        <v>2</v>
      </c>
      <c r="F78" s="440">
        <f>'MC DRENAGEM'!E118</f>
        <v>1088.0800000000002</v>
      </c>
      <c r="G78" s="439">
        <v>60.045872000000003</v>
      </c>
      <c r="H78" s="441">
        <f t="shared" si="40"/>
        <v>65334.712405760016</v>
      </c>
      <c r="I78" s="441">
        <f>IF($G78="SEM",0,G78*(1+'BDI SERVIÇOS'!$Z$21))</f>
        <v>73.394069345600002</v>
      </c>
      <c r="J78" s="441">
        <f t="shared" si="41"/>
        <v>79858.618973560457</v>
      </c>
      <c r="K78" s="444"/>
      <c r="L78" s="491"/>
      <c r="N78" s="101"/>
    </row>
    <row r="79" spans="1:14" ht="24" customHeight="1" x14ac:dyDescent="0.25">
      <c r="A79" s="488">
        <v>4</v>
      </c>
      <c r="B79" s="433"/>
      <c r="C79" s="434"/>
      <c r="D79" s="432" t="s">
        <v>384</v>
      </c>
      <c r="E79" s="433"/>
      <c r="F79" s="435"/>
      <c r="G79" s="436"/>
      <c r="H79" s="436"/>
      <c r="I79" s="436"/>
      <c r="J79" s="436"/>
      <c r="K79" s="437">
        <f>SUM(K80+K122+K145+K147)</f>
        <v>482875.65725853841</v>
      </c>
      <c r="L79" s="489">
        <f>K79/$K$375</f>
        <v>0.11527699739776587</v>
      </c>
    </row>
    <row r="80" spans="1:14" ht="24" customHeight="1" x14ac:dyDescent="0.25">
      <c r="A80" s="493" t="s">
        <v>385</v>
      </c>
      <c r="B80" s="445"/>
      <c r="C80" s="446"/>
      <c r="D80" s="447" t="s">
        <v>386</v>
      </c>
      <c r="E80" s="447"/>
      <c r="F80" s="448"/>
      <c r="G80" s="447"/>
      <c r="H80" s="449"/>
      <c r="I80" s="449"/>
      <c r="J80" s="449"/>
      <c r="K80" s="450">
        <f>SUM(K81+K89+K95+K100+K106+K116)</f>
        <v>84924.460399678734</v>
      </c>
      <c r="L80" s="494">
        <f>K80/$K$375</f>
        <v>2.0274032565818119E-2</v>
      </c>
    </row>
    <row r="81" spans="1:14" ht="24" customHeight="1" x14ac:dyDescent="0.25">
      <c r="A81" s="495" t="s">
        <v>387</v>
      </c>
      <c r="B81" s="451"/>
      <c r="C81" s="452"/>
      <c r="D81" s="453" t="s">
        <v>388</v>
      </c>
      <c r="E81" s="453"/>
      <c r="F81" s="454"/>
      <c r="G81" s="453"/>
      <c r="H81" s="455"/>
      <c r="I81" s="455"/>
      <c r="J81" s="455"/>
      <c r="K81" s="456">
        <f>SUM(J82:J88)</f>
        <v>62649.075483439985</v>
      </c>
      <c r="L81" s="496">
        <f>K81/$K$375</f>
        <v>1.4956225692715319E-2</v>
      </c>
    </row>
    <row r="82" spans="1:14" ht="39.75" customHeight="1" x14ac:dyDescent="0.25">
      <c r="A82" s="492" t="s">
        <v>389</v>
      </c>
      <c r="B82" s="425">
        <v>102039</v>
      </c>
      <c r="C82" s="426" t="s">
        <v>321</v>
      </c>
      <c r="D82" s="438" t="s">
        <v>30</v>
      </c>
      <c r="E82" s="439" t="s">
        <v>2</v>
      </c>
      <c r="F82" s="440">
        <f>'MC ESCADAS'!E41</f>
        <v>48.86</v>
      </c>
      <c r="G82" s="439">
        <v>597.57000000000005</v>
      </c>
      <c r="H82" s="441">
        <f>IF($G82="SEM",0,F82*G82)</f>
        <v>29197.270200000003</v>
      </c>
      <c r="I82" s="441">
        <f>IF($G82="SEM",0,G82*(1+'BDI SERVIÇOS'!$Z$21))</f>
        <v>730.40981099999999</v>
      </c>
      <c r="J82" s="441">
        <f>F82*I82</f>
        <v>35687.823365459997</v>
      </c>
      <c r="K82" s="441"/>
      <c r="L82" s="491"/>
    </row>
    <row r="83" spans="1:14" ht="39.75" customHeight="1" x14ac:dyDescent="0.25">
      <c r="A83" s="492" t="s">
        <v>390</v>
      </c>
      <c r="B83" s="425">
        <v>102008</v>
      </c>
      <c r="C83" s="426" t="s">
        <v>321</v>
      </c>
      <c r="D83" s="438" t="s">
        <v>29</v>
      </c>
      <c r="E83" s="439" t="s">
        <v>2</v>
      </c>
      <c r="F83" s="440">
        <v>10.01</v>
      </c>
      <c r="G83" s="439">
        <v>475.1</v>
      </c>
      <c r="H83" s="441">
        <f t="shared" ref="H83:H103" si="42">IF($G83="SEM",0,F83*G83)</f>
        <v>4755.7510000000002</v>
      </c>
      <c r="I83" s="441">
        <f>IF($G83="SEM",0,G83*(1+'BDI SERVIÇOS'!$Z$21))</f>
        <v>580.71473000000003</v>
      </c>
      <c r="J83" s="441">
        <f t="shared" ref="J83:J101" si="43">F83*I83</f>
        <v>5812.9544473000005</v>
      </c>
      <c r="K83" s="441"/>
      <c r="L83" s="491"/>
    </row>
    <row r="84" spans="1:14" ht="39.75" customHeight="1" x14ac:dyDescent="0.25">
      <c r="A84" s="492" t="s">
        <v>391</v>
      </c>
      <c r="B84" s="442">
        <v>95945</v>
      </c>
      <c r="C84" s="426" t="s">
        <v>321</v>
      </c>
      <c r="D84" s="438" t="s">
        <v>44</v>
      </c>
      <c r="E84" s="439" t="s">
        <v>10</v>
      </c>
      <c r="F84" s="443">
        <v>256</v>
      </c>
      <c r="G84" s="439">
        <v>16.55</v>
      </c>
      <c r="H84" s="444">
        <f t="shared" si="42"/>
        <v>4236.8</v>
      </c>
      <c r="I84" s="441">
        <f>IF($G84="SEM",0,G84*(1+'BDI SERVIÇOS'!$Z$21))</f>
        <v>20.229064999999999</v>
      </c>
      <c r="J84" s="441">
        <f t="shared" si="43"/>
        <v>5178.6406399999996</v>
      </c>
      <c r="K84" s="444"/>
      <c r="L84" s="491"/>
      <c r="N84" s="101"/>
    </row>
    <row r="85" spans="1:14" ht="39.75" customHeight="1" x14ac:dyDescent="0.25">
      <c r="A85" s="492" t="s">
        <v>392</v>
      </c>
      <c r="B85" s="425">
        <v>95946</v>
      </c>
      <c r="C85" s="426" t="s">
        <v>321</v>
      </c>
      <c r="D85" s="438" t="s">
        <v>45</v>
      </c>
      <c r="E85" s="439" t="s">
        <v>10</v>
      </c>
      <c r="F85" s="440">
        <v>252</v>
      </c>
      <c r="G85" s="439">
        <v>12.9</v>
      </c>
      <c r="H85" s="441">
        <f>IF($G85="SEM",0,F85*G85)</f>
        <v>3250.8</v>
      </c>
      <c r="I85" s="441">
        <f>IF($G85="SEM",0,G85*(1+'BDI SERVIÇOS'!$Z$21))</f>
        <v>15.767669999999999</v>
      </c>
      <c r="J85" s="441">
        <f t="shared" si="43"/>
        <v>3973.4528399999999</v>
      </c>
      <c r="K85" s="441"/>
      <c r="L85" s="491"/>
    </row>
    <row r="86" spans="1:14" ht="39.75" customHeight="1" x14ac:dyDescent="0.25">
      <c r="A86" s="492" t="s">
        <v>393</v>
      </c>
      <c r="B86" s="425">
        <v>95948</v>
      </c>
      <c r="C86" s="426" t="s">
        <v>321</v>
      </c>
      <c r="D86" s="438" t="s">
        <v>46</v>
      </c>
      <c r="E86" s="439" t="s">
        <v>10</v>
      </c>
      <c r="F86" s="440">
        <v>136</v>
      </c>
      <c r="G86" s="439">
        <v>8.39</v>
      </c>
      <c r="H86" s="441">
        <f t="shared" si="42"/>
        <v>1141.04</v>
      </c>
      <c r="I86" s="441">
        <f>IF($G86="SEM",0,G86*(1+'BDI SERVIÇOS'!$Z$21))</f>
        <v>10.255097000000001</v>
      </c>
      <c r="J86" s="441">
        <f t="shared" si="43"/>
        <v>1394.6931920000002</v>
      </c>
      <c r="K86" s="441"/>
      <c r="L86" s="491"/>
    </row>
    <row r="87" spans="1:14" ht="55.15" customHeight="1" x14ac:dyDescent="0.25">
      <c r="A87" s="492" t="s">
        <v>394</v>
      </c>
      <c r="B87" s="425">
        <v>92923</v>
      </c>
      <c r="C87" s="426" t="s">
        <v>321</v>
      </c>
      <c r="D87" s="438" t="s">
        <v>40</v>
      </c>
      <c r="E87" s="439" t="s">
        <v>10</v>
      </c>
      <c r="F87" s="440">
        <v>171</v>
      </c>
      <c r="G87" s="439">
        <v>10.47</v>
      </c>
      <c r="H87" s="441">
        <f t="shared" ref="H87:H88" si="44">IF($G87="SEM",0,F87*G87)</f>
        <v>1790.3700000000001</v>
      </c>
      <c r="I87" s="441">
        <f>IF($G87="SEM",0,G87*(1+'BDI SERVIÇOS'!$Z$21))</f>
        <v>12.797480999999999</v>
      </c>
      <c r="J87" s="441">
        <f t="shared" ref="J87:J88" si="45">F87*I87</f>
        <v>2188.3692510000001</v>
      </c>
      <c r="K87" s="444"/>
      <c r="L87" s="491"/>
      <c r="N87" s="101"/>
    </row>
    <row r="88" spans="1:14" ht="39.75" customHeight="1" x14ac:dyDescent="0.25">
      <c r="A88" s="492" t="s">
        <v>395</v>
      </c>
      <c r="B88" s="425">
        <v>103686</v>
      </c>
      <c r="C88" s="426" t="s">
        <v>321</v>
      </c>
      <c r="D88" s="438" t="s">
        <v>59</v>
      </c>
      <c r="E88" s="439" t="s">
        <v>3</v>
      </c>
      <c r="F88" s="440">
        <v>9.07</v>
      </c>
      <c r="G88" s="439">
        <v>758.88</v>
      </c>
      <c r="H88" s="441">
        <f t="shared" si="44"/>
        <v>6883.0416000000005</v>
      </c>
      <c r="I88" s="441">
        <f>IF($G88="SEM",0,G88*(1+'BDI SERVIÇOS'!$Z$21))</f>
        <v>927.579024</v>
      </c>
      <c r="J88" s="441">
        <f t="shared" si="45"/>
        <v>8413.1417476799998</v>
      </c>
      <c r="K88" s="441"/>
      <c r="L88" s="491"/>
    </row>
    <row r="89" spans="1:14" ht="24" customHeight="1" x14ac:dyDescent="0.25">
      <c r="A89" s="495" t="s">
        <v>396</v>
      </c>
      <c r="B89" s="451"/>
      <c r="C89" s="452"/>
      <c r="D89" s="453" t="s">
        <v>397</v>
      </c>
      <c r="E89" s="453"/>
      <c r="F89" s="454"/>
      <c r="G89" s="453"/>
      <c r="H89" s="455"/>
      <c r="I89" s="455"/>
      <c r="J89" s="455"/>
      <c r="K89" s="456">
        <f>SUM(J90:J94)</f>
        <v>8351.0888768900004</v>
      </c>
      <c r="L89" s="496">
        <f>K89/$K$375</f>
        <v>1.9936570341841089E-3</v>
      </c>
    </row>
    <row r="90" spans="1:14" ht="55.15" customHeight="1" x14ac:dyDescent="0.25">
      <c r="A90" s="492" t="s">
        <v>398</v>
      </c>
      <c r="B90" s="425">
        <v>92447</v>
      </c>
      <c r="C90" s="426" t="s">
        <v>321</v>
      </c>
      <c r="D90" s="438" t="s">
        <v>24</v>
      </c>
      <c r="E90" s="439" t="s">
        <v>2</v>
      </c>
      <c r="F90" s="440">
        <v>18.03</v>
      </c>
      <c r="G90" s="439">
        <v>248.57</v>
      </c>
      <c r="H90" s="441">
        <f t="shared" si="42"/>
        <v>4481.7170999999998</v>
      </c>
      <c r="I90" s="441">
        <f>IF($G90="SEM",0,G90*(1+'BDI SERVIÇOS'!$Z$21))</f>
        <v>303.827111</v>
      </c>
      <c r="J90" s="441">
        <f t="shared" si="43"/>
        <v>5478.0028113300004</v>
      </c>
      <c r="K90" s="444"/>
      <c r="L90" s="491"/>
      <c r="N90" s="101"/>
    </row>
    <row r="91" spans="1:14" ht="39.75" customHeight="1" x14ac:dyDescent="0.25">
      <c r="A91" s="492" t="s">
        <v>399</v>
      </c>
      <c r="B91" s="425">
        <v>92762</v>
      </c>
      <c r="C91" s="426" t="s">
        <v>321</v>
      </c>
      <c r="D91" s="438" t="s">
        <v>32</v>
      </c>
      <c r="E91" s="439" t="s">
        <v>10</v>
      </c>
      <c r="F91" s="440">
        <v>61.74</v>
      </c>
      <c r="G91" s="439">
        <v>11.01</v>
      </c>
      <c r="H91" s="441">
        <f t="shared" si="42"/>
        <v>679.75739999999996</v>
      </c>
      <c r="I91" s="441">
        <f>IF($G91="SEM",0,G91*(1+'BDI SERVIÇOS'!$Z$21))</f>
        <v>13.457522999999998</v>
      </c>
      <c r="J91" s="441">
        <f t="shared" si="43"/>
        <v>830.86747001999993</v>
      </c>
      <c r="K91" s="441"/>
      <c r="L91" s="491"/>
    </row>
    <row r="92" spans="1:14" ht="55.15" customHeight="1" x14ac:dyDescent="0.25">
      <c r="A92" s="492" t="s">
        <v>400</v>
      </c>
      <c r="B92" s="425">
        <v>104111</v>
      </c>
      <c r="C92" s="426" t="s">
        <v>321</v>
      </c>
      <c r="D92" s="438" t="s">
        <v>48</v>
      </c>
      <c r="E92" s="439" t="s">
        <v>10</v>
      </c>
      <c r="F92" s="440">
        <v>19.72</v>
      </c>
      <c r="G92" s="439">
        <v>21.57</v>
      </c>
      <c r="H92" s="441">
        <f t="shared" si="42"/>
        <v>425.36039999999997</v>
      </c>
      <c r="I92" s="441">
        <f>IF($G92="SEM",0,G92*(1+'BDI SERVIÇOS'!$Z$21))</f>
        <v>26.365010999999999</v>
      </c>
      <c r="J92" s="441">
        <f t="shared" si="43"/>
        <v>519.9180169199999</v>
      </c>
      <c r="K92" s="444"/>
      <c r="L92" s="491"/>
      <c r="N92" s="101"/>
    </row>
    <row r="93" spans="1:14" ht="39.75" customHeight="1" x14ac:dyDescent="0.25">
      <c r="A93" s="492" t="s">
        <v>401</v>
      </c>
      <c r="B93" s="425">
        <v>96527</v>
      </c>
      <c r="C93" s="426" t="s">
        <v>321</v>
      </c>
      <c r="D93" s="438" t="s">
        <v>107</v>
      </c>
      <c r="E93" s="439" t="s">
        <v>3</v>
      </c>
      <c r="F93" s="440">
        <v>0.65</v>
      </c>
      <c r="G93" s="439">
        <v>110.9</v>
      </c>
      <c r="H93" s="441">
        <f t="shared" ref="H93" si="46">IF($G93="SEM",0,F93*G93)</f>
        <v>72.085000000000008</v>
      </c>
      <c r="I93" s="441">
        <f>IF($G93="SEM",0,G93*(1+'BDI SERVIÇOS'!$Z$21))</f>
        <v>135.55306999999999</v>
      </c>
      <c r="J93" s="441">
        <f t="shared" ref="J93" si="47">F93*I93</f>
        <v>88.109495499999994</v>
      </c>
      <c r="K93" s="441"/>
      <c r="L93" s="491"/>
    </row>
    <row r="94" spans="1:14" ht="55.15" customHeight="1" x14ac:dyDescent="0.25">
      <c r="A94" s="492" t="s">
        <v>402</v>
      </c>
      <c r="B94" s="425">
        <v>103674</v>
      </c>
      <c r="C94" s="426" t="s">
        <v>321</v>
      </c>
      <c r="D94" s="438" t="s">
        <v>58</v>
      </c>
      <c r="E94" s="439" t="s">
        <v>3</v>
      </c>
      <c r="F94" s="440">
        <v>1.66</v>
      </c>
      <c r="G94" s="439">
        <v>706.84</v>
      </c>
      <c r="H94" s="441">
        <f t="shared" si="42"/>
        <v>1173.3543999999999</v>
      </c>
      <c r="I94" s="441">
        <f>IF($G94="SEM",0,G94*(1+'BDI SERVIÇOS'!$Z$21))</f>
        <v>863.97053200000005</v>
      </c>
      <c r="J94" s="441">
        <f t="shared" si="43"/>
        <v>1434.19108312</v>
      </c>
      <c r="K94" s="444"/>
      <c r="L94" s="491"/>
      <c r="N94" s="101"/>
    </row>
    <row r="95" spans="1:14" ht="24" customHeight="1" x14ac:dyDescent="0.25">
      <c r="A95" s="495" t="s">
        <v>403</v>
      </c>
      <c r="B95" s="451"/>
      <c r="C95" s="452"/>
      <c r="D95" s="453" t="s">
        <v>404</v>
      </c>
      <c r="E95" s="453"/>
      <c r="F95" s="454"/>
      <c r="G95" s="453"/>
      <c r="H95" s="455"/>
      <c r="I95" s="455"/>
      <c r="J95" s="455"/>
      <c r="K95" s="456">
        <f>SUM(J96:J99)</f>
        <v>2898.3422059999998</v>
      </c>
      <c r="L95" s="496">
        <f>K95/$K$375</f>
        <v>6.9192178548774642E-4</v>
      </c>
    </row>
    <row r="96" spans="1:14" ht="55.15" customHeight="1" x14ac:dyDescent="0.25">
      <c r="A96" s="492" t="s">
        <v>405</v>
      </c>
      <c r="B96" s="425">
        <v>92415</v>
      </c>
      <c r="C96" s="426" t="s">
        <v>321</v>
      </c>
      <c r="D96" s="438" t="s">
        <v>22</v>
      </c>
      <c r="E96" s="439" t="s">
        <v>2</v>
      </c>
      <c r="F96" s="440">
        <v>9.25</v>
      </c>
      <c r="G96" s="439">
        <v>146.72</v>
      </c>
      <c r="H96" s="441">
        <f t="shared" si="42"/>
        <v>1357.16</v>
      </c>
      <c r="I96" s="441">
        <f>IF($G96="SEM",0,G96*(1+'BDI SERVIÇOS'!$Z$21))</f>
        <v>179.33585599999998</v>
      </c>
      <c r="J96" s="441">
        <f t="shared" si="43"/>
        <v>1658.8566679999999</v>
      </c>
      <c r="K96" s="444"/>
      <c r="L96" s="491"/>
      <c r="N96" s="101"/>
    </row>
    <row r="97" spans="1:14" ht="39.75" customHeight="1" x14ac:dyDescent="0.25">
      <c r="A97" s="492" t="s">
        <v>406</v>
      </c>
      <c r="B97" s="425">
        <v>92762</v>
      </c>
      <c r="C97" s="426" t="s">
        <v>321</v>
      </c>
      <c r="D97" s="438" t="s">
        <v>32</v>
      </c>
      <c r="E97" s="439" t="s">
        <v>10</v>
      </c>
      <c r="F97" s="440">
        <v>45.56</v>
      </c>
      <c r="G97" s="439">
        <v>11.01</v>
      </c>
      <c r="H97" s="441">
        <f t="shared" si="42"/>
        <v>501.61560000000003</v>
      </c>
      <c r="I97" s="441">
        <f>IF($G97="SEM",0,G97*(1+'BDI SERVIÇOS'!$Z$21))</f>
        <v>13.457522999999998</v>
      </c>
      <c r="J97" s="441">
        <f t="shared" si="43"/>
        <v>613.12474787999997</v>
      </c>
      <c r="K97" s="441"/>
      <c r="L97" s="491"/>
    </row>
    <row r="98" spans="1:14" ht="39.75" customHeight="1" x14ac:dyDescent="0.25">
      <c r="A98" s="492" t="s">
        <v>407</v>
      </c>
      <c r="B98" s="425">
        <v>92760</v>
      </c>
      <c r="C98" s="426" t="s">
        <v>321</v>
      </c>
      <c r="D98" s="438" t="s">
        <v>31</v>
      </c>
      <c r="E98" s="439" t="s">
        <v>10</v>
      </c>
      <c r="F98" s="440">
        <v>15.27</v>
      </c>
      <c r="G98" s="439">
        <v>13.42</v>
      </c>
      <c r="H98" s="441">
        <f t="shared" si="42"/>
        <v>204.92339999999999</v>
      </c>
      <c r="I98" s="441">
        <f>IF($G98="SEM",0,G98*(1+'BDI SERVIÇOS'!$Z$21))</f>
        <v>16.403265999999999</v>
      </c>
      <c r="J98" s="441">
        <f t="shared" si="43"/>
        <v>250.47787181999996</v>
      </c>
      <c r="K98" s="441"/>
      <c r="L98" s="491"/>
    </row>
    <row r="99" spans="1:14" ht="39.75" customHeight="1" x14ac:dyDescent="0.25">
      <c r="A99" s="492" t="s">
        <v>408</v>
      </c>
      <c r="B99" s="425">
        <v>103672</v>
      </c>
      <c r="C99" s="426" t="s">
        <v>321</v>
      </c>
      <c r="D99" s="438" t="s">
        <v>56</v>
      </c>
      <c r="E99" s="439" t="s">
        <v>3</v>
      </c>
      <c r="F99" s="440">
        <v>0.45</v>
      </c>
      <c r="G99" s="439">
        <v>683.38</v>
      </c>
      <c r="H99" s="441">
        <f t="shared" si="42"/>
        <v>307.52100000000002</v>
      </c>
      <c r="I99" s="441">
        <f>IF($G99="SEM",0,G99*(1+'BDI SERVIÇOS'!$Z$21))</f>
        <v>835.29537399999992</v>
      </c>
      <c r="J99" s="441">
        <f t="shared" si="43"/>
        <v>375.88291829999997</v>
      </c>
      <c r="K99" s="441"/>
      <c r="L99" s="491"/>
    </row>
    <row r="100" spans="1:14" ht="24" customHeight="1" x14ac:dyDescent="0.25">
      <c r="A100" s="495" t="s">
        <v>409</v>
      </c>
      <c r="B100" s="451"/>
      <c r="C100" s="452"/>
      <c r="D100" s="453" t="s">
        <v>410</v>
      </c>
      <c r="E100" s="453"/>
      <c r="F100" s="454"/>
      <c r="G100" s="453"/>
      <c r="H100" s="455"/>
      <c r="I100" s="455"/>
      <c r="J100" s="455"/>
      <c r="K100" s="456">
        <f>SUM(J101:J105)</f>
        <v>2010.46727513</v>
      </c>
      <c r="L100" s="496">
        <f>K100/$K$375</f>
        <v>4.7995923455583625E-4</v>
      </c>
    </row>
    <row r="101" spans="1:14" ht="24" customHeight="1" x14ac:dyDescent="0.25">
      <c r="A101" s="490" t="s">
        <v>411</v>
      </c>
      <c r="B101" s="425">
        <v>95577</v>
      </c>
      <c r="C101" s="426" t="s">
        <v>321</v>
      </c>
      <c r="D101" s="438" t="s">
        <v>41</v>
      </c>
      <c r="E101" s="439" t="s">
        <v>10</v>
      </c>
      <c r="F101" s="440">
        <v>65.77</v>
      </c>
      <c r="G101" s="439">
        <v>10.63</v>
      </c>
      <c r="H101" s="441">
        <f t="shared" si="42"/>
        <v>699.13509999999997</v>
      </c>
      <c r="I101" s="441">
        <f>IF($G101="SEM",0,G101*(1+'BDI SERVIÇOS'!$Z$21))</f>
        <v>12.993049000000001</v>
      </c>
      <c r="J101" s="441">
        <f t="shared" si="43"/>
        <v>854.55283272999998</v>
      </c>
      <c r="K101" s="441"/>
      <c r="L101" s="491"/>
    </row>
    <row r="102" spans="1:14" ht="39.75" customHeight="1" x14ac:dyDescent="0.25">
      <c r="A102" s="490" t="s">
        <v>412</v>
      </c>
      <c r="B102" s="425">
        <v>95584</v>
      </c>
      <c r="C102" s="426" t="s">
        <v>321</v>
      </c>
      <c r="D102" s="438" t="s">
        <v>43</v>
      </c>
      <c r="E102" s="439" t="s">
        <v>10</v>
      </c>
      <c r="F102" s="440">
        <v>18.38</v>
      </c>
      <c r="G102" s="439">
        <v>14.3</v>
      </c>
      <c r="H102" s="441">
        <f>IF($G102="SEM",0,F102*G102)</f>
        <v>262.834</v>
      </c>
      <c r="I102" s="441">
        <f>IF($G102="SEM",0,G102*(1+'BDI SERVIÇOS'!$Z$21))</f>
        <v>17.47889</v>
      </c>
      <c r="J102" s="441">
        <f>F102*I102</f>
        <v>321.26199819999999</v>
      </c>
      <c r="K102" s="441"/>
      <c r="L102" s="491"/>
    </row>
    <row r="103" spans="1:14" ht="55.15" customHeight="1" x14ac:dyDescent="0.25">
      <c r="A103" s="490" t="s">
        <v>413</v>
      </c>
      <c r="B103" s="425" t="s">
        <v>195</v>
      </c>
      <c r="C103" s="426" t="s">
        <v>323</v>
      </c>
      <c r="D103" s="438" t="s">
        <v>196</v>
      </c>
      <c r="E103" s="439" t="s">
        <v>161</v>
      </c>
      <c r="F103" s="440">
        <v>0.6</v>
      </c>
      <c r="G103" s="439">
        <v>251.88</v>
      </c>
      <c r="H103" s="441">
        <f t="shared" si="42"/>
        <v>151.12799999999999</v>
      </c>
      <c r="I103" s="441">
        <f>IF($G103="SEM",0,G103*(1+'BDI SERVIÇOS'!$Z$21))</f>
        <v>307.87292399999995</v>
      </c>
      <c r="J103" s="441">
        <f t="shared" ref="J103" si="48">F103*I103</f>
        <v>184.72375439999996</v>
      </c>
      <c r="K103" s="444"/>
      <c r="L103" s="491"/>
      <c r="N103" s="101"/>
    </row>
    <row r="104" spans="1:14" ht="55.15" customHeight="1" x14ac:dyDescent="0.25">
      <c r="A104" s="490" t="s">
        <v>414</v>
      </c>
      <c r="B104" s="425">
        <v>94965</v>
      </c>
      <c r="C104" s="426" t="s">
        <v>321</v>
      </c>
      <c r="D104" s="438" t="s">
        <v>54</v>
      </c>
      <c r="E104" s="439" t="s">
        <v>3</v>
      </c>
      <c r="F104" s="440">
        <v>0.6</v>
      </c>
      <c r="G104" s="439">
        <v>564.57000000000005</v>
      </c>
      <c r="H104" s="441">
        <f t="shared" ref="H104:H105" si="49">IF($G104="SEM",0,F104*G104)</f>
        <v>338.74200000000002</v>
      </c>
      <c r="I104" s="441">
        <f>IF($G104="SEM",0,G104*(1+'BDI SERVIÇOS'!$Z$21))</f>
        <v>690.07391100000007</v>
      </c>
      <c r="J104" s="441">
        <f t="shared" ref="J104:J105" si="50">F104*I104</f>
        <v>414.04434660000004</v>
      </c>
      <c r="K104" s="444"/>
      <c r="L104" s="491"/>
      <c r="N104" s="101"/>
    </row>
    <row r="105" spans="1:14" ht="39.75" customHeight="1" x14ac:dyDescent="0.25">
      <c r="A105" s="490" t="s">
        <v>415</v>
      </c>
      <c r="B105" s="425">
        <v>103670</v>
      </c>
      <c r="C105" s="426" t="s">
        <v>321</v>
      </c>
      <c r="D105" s="438" t="s">
        <v>55</v>
      </c>
      <c r="E105" s="439" t="s">
        <v>3</v>
      </c>
      <c r="F105" s="440">
        <v>0.6</v>
      </c>
      <c r="G105" s="439">
        <v>321.64</v>
      </c>
      <c r="H105" s="441">
        <f t="shared" si="49"/>
        <v>192.98399999999998</v>
      </c>
      <c r="I105" s="441">
        <f>IF($G105="SEM",0,G105*(1+'BDI SERVIÇOS'!$Z$21))</f>
        <v>393.14057199999996</v>
      </c>
      <c r="J105" s="441">
        <f t="shared" si="50"/>
        <v>235.88434319999996</v>
      </c>
      <c r="K105" s="441"/>
      <c r="L105" s="491"/>
    </row>
    <row r="106" spans="1:14" ht="24" customHeight="1" x14ac:dyDescent="0.25">
      <c r="A106" s="495" t="s">
        <v>416</v>
      </c>
      <c r="B106" s="451"/>
      <c r="C106" s="452"/>
      <c r="D106" s="453" t="s">
        <v>417</v>
      </c>
      <c r="E106" s="453"/>
      <c r="F106" s="454"/>
      <c r="G106" s="453"/>
      <c r="H106" s="455"/>
      <c r="I106" s="455"/>
      <c r="J106" s="455"/>
      <c r="K106" s="456">
        <f>SUM(J107:J115)</f>
        <v>1315.7866529387502</v>
      </c>
      <c r="L106" s="496">
        <f>K106/$K$375</f>
        <v>3.1411799763934634E-4</v>
      </c>
    </row>
    <row r="107" spans="1:14" ht="39.75" customHeight="1" x14ac:dyDescent="0.25">
      <c r="A107" s="492" t="s">
        <v>418</v>
      </c>
      <c r="B107" s="425">
        <v>96532</v>
      </c>
      <c r="C107" s="426" t="s">
        <v>321</v>
      </c>
      <c r="D107" s="438" t="s">
        <v>26</v>
      </c>
      <c r="E107" s="439" t="s">
        <v>2</v>
      </c>
      <c r="F107" s="440">
        <v>1.59</v>
      </c>
      <c r="G107" s="439">
        <v>189.79</v>
      </c>
      <c r="H107" s="441">
        <f t="shared" ref="H107" si="51">IF($G107="SEM",0,F107*G107)</f>
        <v>301.76609999999999</v>
      </c>
      <c r="I107" s="441">
        <f>IF($G107="SEM",0,G107*(1+'BDI SERVIÇOS'!$Z$21))</f>
        <v>231.98031699999999</v>
      </c>
      <c r="J107" s="441">
        <f t="shared" ref="J107" si="52">F107*I107</f>
        <v>368.84870403000002</v>
      </c>
      <c r="K107" s="441"/>
      <c r="L107" s="491"/>
    </row>
    <row r="108" spans="1:14" ht="39.75" customHeight="1" x14ac:dyDescent="0.25">
      <c r="A108" s="492" t="s">
        <v>419</v>
      </c>
      <c r="B108" s="425">
        <v>104919</v>
      </c>
      <c r="C108" s="426" t="s">
        <v>321</v>
      </c>
      <c r="D108" s="438" t="s">
        <v>50</v>
      </c>
      <c r="E108" s="439" t="s">
        <v>10</v>
      </c>
      <c r="F108" s="440">
        <v>14</v>
      </c>
      <c r="G108" s="439">
        <v>12.88</v>
      </c>
      <c r="H108" s="441">
        <f t="shared" ref="H108" si="53">IF($G108="SEM",0,F108*G108)</f>
        <v>180.32000000000002</v>
      </c>
      <c r="I108" s="441">
        <f>IF($G108="SEM",0,G108*(1+'BDI SERVIÇOS'!$Z$21))</f>
        <v>15.743224</v>
      </c>
      <c r="J108" s="441">
        <f t="shared" ref="J108" si="54">F108*I108</f>
        <v>220.405136</v>
      </c>
      <c r="K108" s="441"/>
      <c r="L108" s="491"/>
    </row>
    <row r="109" spans="1:14" ht="39.75" customHeight="1" x14ac:dyDescent="0.25">
      <c r="A109" s="492" t="s">
        <v>420</v>
      </c>
      <c r="B109" s="425">
        <v>104917</v>
      </c>
      <c r="C109" s="426" t="s">
        <v>321</v>
      </c>
      <c r="D109" s="438" t="s">
        <v>49</v>
      </c>
      <c r="E109" s="439" t="s">
        <v>10</v>
      </c>
      <c r="F109" s="440">
        <v>2</v>
      </c>
      <c r="G109" s="439">
        <v>15.89</v>
      </c>
      <c r="H109" s="441">
        <f t="shared" ref="H109" si="55">IF($G109="SEM",0,F109*G109)</f>
        <v>31.78</v>
      </c>
      <c r="I109" s="441">
        <f>IF($G109="SEM",0,G109*(1+'BDI SERVIÇOS'!$Z$21))</f>
        <v>19.422346999999998</v>
      </c>
      <c r="J109" s="441">
        <f t="shared" ref="J109" si="56">F109*I109</f>
        <v>38.844693999999997</v>
      </c>
      <c r="K109" s="441"/>
      <c r="L109" s="491"/>
    </row>
    <row r="110" spans="1:14" ht="39.75" customHeight="1" x14ac:dyDescent="0.25">
      <c r="A110" s="492" t="s">
        <v>421</v>
      </c>
      <c r="B110" s="425">
        <v>96523</v>
      </c>
      <c r="C110" s="426" t="s">
        <v>321</v>
      </c>
      <c r="D110" s="438" t="s">
        <v>106</v>
      </c>
      <c r="E110" s="439" t="s">
        <v>3</v>
      </c>
      <c r="F110" s="440">
        <f>(3.1*0.5*0.65)+(3.1*0.75*0.75)</f>
        <v>2.7512500000000002</v>
      </c>
      <c r="G110" s="439">
        <v>100.91</v>
      </c>
      <c r="H110" s="441">
        <f t="shared" ref="H110" si="57">IF($G110="SEM",0,F110*G110)</f>
        <v>277.62863750000002</v>
      </c>
      <c r="I110" s="441">
        <f>IF($G110="SEM",0,G110*(1+'BDI SERVIÇOS'!$Z$21))</f>
        <v>123.34229299999998</v>
      </c>
      <c r="J110" s="441">
        <f t="shared" ref="J110" si="58">F110*I110</f>
        <v>339.34548361624996</v>
      </c>
      <c r="K110" s="441"/>
      <c r="L110" s="491"/>
    </row>
    <row r="111" spans="1:14" ht="39.75" customHeight="1" x14ac:dyDescent="0.25">
      <c r="A111" s="492" t="s">
        <v>422</v>
      </c>
      <c r="B111" s="425">
        <v>96619</v>
      </c>
      <c r="C111" s="426" t="s">
        <v>321</v>
      </c>
      <c r="D111" s="438" t="s">
        <v>19</v>
      </c>
      <c r="E111" s="439" t="s">
        <v>2</v>
      </c>
      <c r="F111" s="440">
        <f>(0.65*0.5)+(0.75*0.75)</f>
        <v>0.88749999999999996</v>
      </c>
      <c r="G111" s="439">
        <v>45.31</v>
      </c>
      <c r="H111" s="441">
        <f t="shared" ref="H111" si="59">IF($G111="SEM",0,F111*G111)</f>
        <v>40.212625000000003</v>
      </c>
      <c r="I111" s="441">
        <f>IF($G111="SEM",0,G111*(1+'BDI SERVIÇOS'!$Z$21))</f>
        <v>55.382413</v>
      </c>
      <c r="J111" s="441">
        <f t="shared" ref="J111" si="60">F111*I111</f>
        <v>49.151891537499999</v>
      </c>
      <c r="K111" s="441"/>
      <c r="L111" s="491"/>
    </row>
    <row r="112" spans="1:14" ht="39.75" customHeight="1" x14ac:dyDescent="0.25">
      <c r="A112" s="492" t="s">
        <v>423</v>
      </c>
      <c r="B112" s="425">
        <v>101616</v>
      </c>
      <c r="C112" s="426" t="s">
        <v>321</v>
      </c>
      <c r="D112" s="438" t="s">
        <v>111</v>
      </c>
      <c r="E112" s="439" t="s">
        <v>2</v>
      </c>
      <c r="F112" s="440">
        <f>(0.65*0.5)+(0.75*0.75)</f>
        <v>0.88749999999999996</v>
      </c>
      <c r="G112" s="439">
        <v>6.93</v>
      </c>
      <c r="H112" s="441">
        <f t="shared" ref="H112" si="61">IF($G112="SEM",0,F112*G112)</f>
        <v>6.1503749999999995</v>
      </c>
      <c r="I112" s="441">
        <f>IF($G112="SEM",0,G112*(1+'BDI SERVIÇOS'!$Z$21))</f>
        <v>8.4705389999999987</v>
      </c>
      <c r="J112" s="441">
        <f t="shared" ref="J112" si="62">F112*I112</f>
        <v>7.5176033624999983</v>
      </c>
      <c r="K112" s="441"/>
      <c r="L112" s="491"/>
    </row>
    <row r="113" spans="1:14" ht="39.75" customHeight="1" x14ac:dyDescent="0.25">
      <c r="A113" s="492" t="s">
        <v>424</v>
      </c>
      <c r="B113" s="425">
        <v>93382</v>
      </c>
      <c r="C113" s="426" t="s">
        <v>321</v>
      </c>
      <c r="D113" s="438" t="s">
        <v>109</v>
      </c>
      <c r="E113" s="439" t="s">
        <v>3</v>
      </c>
      <c r="F113" s="440">
        <f>F110-F115</f>
        <v>2.4812500000000002</v>
      </c>
      <c r="G113" s="439">
        <v>28.3</v>
      </c>
      <c r="H113" s="441">
        <f t="shared" ref="H113" si="63">IF($G113="SEM",0,F113*G113)</f>
        <v>70.219375000000014</v>
      </c>
      <c r="I113" s="441">
        <f>IF($G113="SEM",0,G113*(1+'BDI SERVIÇOS'!$Z$21))</f>
        <v>34.591090000000001</v>
      </c>
      <c r="J113" s="441">
        <f t="shared" ref="J113" si="64">F113*I113</f>
        <v>85.829142062500011</v>
      </c>
      <c r="K113" s="441"/>
      <c r="L113" s="491"/>
    </row>
    <row r="114" spans="1:14" ht="55.15" customHeight="1" x14ac:dyDescent="0.25">
      <c r="A114" s="492" t="s">
        <v>425</v>
      </c>
      <c r="B114" s="425">
        <v>1527</v>
      </c>
      <c r="C114" s="426" t="s">
        <v>321</v>
      </c>
      <c r="D114" s="438" t="s">
        <v>1759</v>
      </c>
      <c r="E114" s="439" t="s">
        <v>3</v>
      </c>
      <c r="F114" s="440">
        <v>0.27</v>
      </c>
      <c r="G114" s="439">
        <v>579.21</v>
      </c>
      <c r="H114" s="441">
        <f t="shared" ref="H114" si="65">IF($G114="SEM",0,F114*G114)</f>
        <v>156.38670000000002</v>
      </c>
      <c r="I114" s="441">
        <f>IF($G114="SEM",0,G114*(1+'BDI SERVIÇOS'!$Z$21))</f>
        <v>707.96838300000002</v>
      </c>
      <c r="J114" s="441">
        <f t="shared" ref="J114" si="66">F114*I114</f>
        <v>191.15146341000002</v>
      </c>
      <c r="K114" s="444"/>
      <c r="L114" s="491"/>
      <c r="N114" s="101"/>
    </row>
    <row r="115" spans="1:14" ht="39.75" customHeight="1" x14ac:dyDescent="0.25">
      <c r="A115" s="492" t="s">
        <v>426</v>
      </c>
      <c r="B115" s="425">
        <v>103673</v>
      </c>
      <c r="C115" s="426" t="s">
        <v>321</v>
      </c>
      <c r="D115" s="438" t="s">
        <v>57</v>
      </c>
      <c r="E115" s="439" t="s">
        <v>3</v>
      </c>
      <c r="F115" s="440">
        <v>0.27</v>
      </c>
      <c r="G115" s="439">
        <v>44.52</v>
      </c>
      <c r="H115" s="441">
        <f t="shared" ref="H115" si="67">IF($G115="SEM",0,F115*G115)</f>
        <v>12.020400000000002</v>
      </c>
      <c r="I115" s="441">
        <f>IF($G115="SEM",0,G115*(1+'BDI SERVIÇOS'!$Z$21))</f>
        <v>54.416795999999998</v>
      </c>
      <c r="J115" s="441">
        <f t="shared" ref="J115" si="68">F115*I115</f>
        <v>14.69253492</v>
      </c>
      <c r="K115" s="441"/>
      <c r="L115" s="491"/>
    </row>
    <row r="116" spans="1:14" ht="24" customHeight="1" x14ac:dyDescent="0.25">
      <c r="A116" s="495" t="s">
        <v>427</v>
      </c>
      <c r="B116" s="451"/>
      <c r="C116" s="452"/>
      <c r="D116" s="453" t="s">
        <v>428</v>
      </c>
      <c r="E116" s="453"/>
      <c r="F116" s="454"/>
      <c r="G116" s="453"/>
      <c r="H116" s="455"/>
      <c r="I116" s="455"/>
      <c r="J116" s="455"/>
      <c r="K116" s="456">
        <f>SUM(J117:J121)</f>
        <v>7699.6999052800002</v>
      </c>
      <c r="L116" s="496">
        <f>K116/$K$375</f>
        <v>1.8381508212357619E-3</v>
      </c>
    </row>
    <row r="117" spans="1:14" ht="24" customHeight="1" x14ac:dyDescent="0.25">
      <c r="A117" s="490" t="s">
        <v>429</v>
      </c>
      <c r="B117" s="425">
        <v>92882</v>
      </c>
      <c r="C117" s="426" t="s">
        <v>321</v>
      </c>
      <c r="D117" s="438" t="s">
        <v>37</v>
      </c>
      <c r="E117" s="439" t="s">
        <v>10</v>
      </c>
      <c r="F117" s="440">
        <v>63.42</v>
      </c>
      <c r="G117" s="439">
        <v>13.52</v>
      </c>
      <c r="H117" s="441">
        <f>IF($G117="SEM",0,F117*G117)</f>
        <v>857.4384</v>
      </c>
      <c r="I117" s="441">
        <f>IF($G117="SEM",0,G117*(1+'BDI SERVIÇOS'!$Z$21))</f>
        <v>16.525496</v>
      </c>
      <c r="J117" s="441">
        <f t="shared" ref="J117" si="69">F117*I117</f>
        <v>1048.0469563200002</v>
      </c>
      <c r="K117" s="441"/>
      <c r="L117" s="491"/>
    </row>
    <row r="118" spans="1:14" ht="24" customHeight="1" x14ac:dyDescent="0.25">
      <c r="A118" s="490" t="s">
        <v>430</v>
      </c>
      <c r="B118" s="425">
        <v>92883</v>
      </c>
      <c r="C118" s="426" t="s">
        <v>321</v>
      </c>
      <c r="D118" s="438" t="s">
        <v>38</v>
      </c>
      <c r="E118" s="439" t="s">
        <v>10</v>
      </c>
      <c r="F118" s="440">
        <v>97.12</v>
      </c>
      <c r="G118" s="439">
        <v>12.25</v>
      </c>
      <c r="H118" s="441">
        <f>IF($G118="SEM",0,F118*G118)</f>
        <v>1189.72</v>
      </c>
      <c r="I118" s="441">
        <f>IF($G118="SEM",0,G118*(1+'BDI SERVIÇOS'!$Z$21))</f>
        <v>14.973174999999999</v>
      </c>
      <c r="J118" s="441">
        <f t="shared" ref="J118" si="70">F118*I118</f>
        <v>1454.1947560000001</v>
      </c>
      <c r="K118" s="441"/>
      <c r="L118" s="491"/>
    </row>
    <row r="119" spans="1:14" ht="55.15" customHeight="1" x14ac:dyDescent="0.25">
      <c r="A119" s="490" t="s">
        <v>431</v>
      </c>
      <c r="B119" s="425">
        <v>89478</v>
      </c>
      <c r="C119" s="426" t="s">
        <v>321</v>
      </c>
      <c r="D119" s="438" t="s">
        <v>115</v>
      </c>
      <c r="E119" s="439" t="s">
        <v>2</v>
      </c>
      <c r="F119" s="440">
        <f>11.59+7.9</f>
        <v>19.490000000000002</v>
      </c>
      <c r="G119" s="439">
        <v>147.24</v>
      </c>
      <c r="H119" s="441">
        <f>IF($G119="SEM",0,F119*G119)</f>
        <v>2869.7076000000006</v>
      </c>
      <c r="I119" s="441">
        <f>IF($G119="SEM",0,G119*(1+'BDI SERVIÇOS'!$Z$21))</f>
        <v>179.971452</v>
      </c>
      <c r="J119" s="441">
        <f t="shared" ref="J119" si="71">F119*I119</f>
        <v>3507.6435994800004</v>
      </c>
      <c r="K119" s="444"/>
      <c r="L119" s="491"/>
      <c r="N119" s="101"/>
    </row>
    <row r="120" spans="1:14" ht="55.15" customHeight="1" x14ac:dyDescent="0.25">
      <c r="A120" s="490" t="s">
        <v>432</v>
      </c>
      <c r="B120" s="425">
        <v>94965</v>
      </c>
      <c r="C120" s="426" t="s">
        <v>321</v>
      </c>
      <c r="D120" s="438" t="s">
        <v>54</v>
      </c>
      <c r="E120" s="439" t="s">
        <v>3</v>
      </c>
      <c r="F120" s="440">
        <v>1.56</v>
      </c>
      <c r="G120" s="439">
        <v>564.57000000000005</v>
      </c>
      <c r="H120" s="441">
        <f t="shared" ref="H120:H121" si="72">IF($G120="SEM",0,F120*G120)</f>
        <v>880.72920000000011</v>
      </c>
      <c r="I120" s="441">
        <f>IF($G120="SEM",0,G120*(1+'BDI SERVIÇOS'!$Z$21))</f>
        <v>690.07391100000007</v>
      </c>
      <c r="J120" s="441">
        <f t="shared" ref="J120:J121" si="73">F120*I120</f>
        <v>1076.51530116</v>
      </c>
      <c r="K120" s="444"/>
      <c r="L120" s="491"/>
      <c r="N120" s="101"/>
    </row>
    <row r="121" spans="1:14" ht="39.75" customHeight="1" x14ac:dyDescent="0.25">
      <c r="A121" s="490" t="s">
        <v>433</v>
      </c>
      <c r="B121" s="425">
        <v>103670</v>
      </c>
      <c r="C121" s="426" t="s">
        <v>321</v>
      </c>
      <c r="D121" s="438" t="s">
        <v>55</v>
      </c>
      <c r="E121" s="439" t="s">
        <v>3</v>
      </c>
      <c r="F121" s="440">
        <v>1.56</v>
      </c>
      <c r="G121" s="439">
        <v>321.64</v>
      </c>
      <c r="H121" s="441">
        <f t="shared" si="72"/>
        <v>501.75839999999999</v>
      </c>
      <c r="I121" s="441">
        <f>IF($G121="SEM",0,G121*(1+'BDI SERVIÇOS'!$Z$21))</f>
        <v>393.14057199999996</v>
      </c>
      <c r="J121" s="441">
        <f t="shared" si="73"/>
        <v>613.29929231999995</v>
      </c>
      <c r="K121" s="441"/>
      <c r="L121" s="491"/>
    </row>
    <row r="122" spans="1:14" ht="24" customHeight="1" x14ac:dyDescent="0.25">
      <c r="A122" s="493" t="s">
        <v>434</v>
      </c>
      <c r="B122" s="445"/>
      <c r="C122" s="446"/>
      <c r="D122" s="447" t="s">
        <v>435</v>
      </c>
      <c r="E122" s="447"/>
      <c r="F122" s="448"/>
      <c r="G122" s="447"/>
      <c r="H122" s="449"/>
      <c r="I122" s="449"/>
      <c r="J122" s="449"/>
      <c r="K122" s="450">
        <f>SUM(K123+K129+K133+K140)</f>
        <v>67230.349731633993</v>
      </c>
      <c r="L122" s="494">
        <f>K122/$K$375</f>
        <v>1.6049914164372427E-2</v>
      </c>
    </row>
    <row r="123" spans="1:14" ht="24" customHeight="1" x14ac:dyDescent="0.25">
      <c r="A123" s="495" t="s">
        <v>436</v>
      </c>
      <c r="B123" s="451"/>
      <c r="C123" s="452"/>
      <c r="D123" s="453" t="s">
        <v>437</v>
      </c>
      <c r="E123" s="453"/>
      <c r="F123" s="454"/>
      <c r="G123" s="453"/>
      <c r="H123" s="455"/>
      <c r="I123" s="455"/>
      <c r="J123" s="455"/>
      <c r="K123" s="456">
        <f>SUM(J124:J128)</f>
        <v>11976.5060928</v>
      </c>
      <c r="L123" s="496">
        <f>K123/$K$375</f>
        <v>2.8591535749229778E-3</v>
      </c>
    </row>
    <row r="124" spans="1:14" ht="24" customHeight="1" x14ac:dyDescent="0.25">
      <c r="A124" s="490" t="s">
        <v>438</v>
      </c>
      <c r="B124" s="425">
        <v>92799</v>
      </c>
      <c r="C124" s="426" t="s">
        <v>321</v>
      </c>
      <c r="D124" s="438" t="s">
        <v>35</v>
      </c>
      <c r="E124" s="439" t="s">
        <v>10</v>
      </c>
      <c r="F124" s="440">
        <v>8.8000000000000007</v>
      </c>
      <c r="G124" s="439">
        <v>11.22</v>
      </c>
      <c r="H124" s="441">
        <f t="shared" ref="H124" si="74">IF($G124="SEM",0,F124*G124)</f>
        <v>98.736000000000018</v>
      </c>
      <c r="I124" s="441">
        <f>IF($G124="SEM",0,G124*(1+'BDI SERVIÇOS'!$Z$21))</f>
        <v>13.714206000000001</v>
      </c>
      <c r="J124" s="441">
        <f t="shared" ref="J124" si="75">F124*I124</f>
        <v>120.68501280000001</v>
      </c>
      <c r="K124" s="441"/>
      <c r="L124" s="491"/>
    </row>
    <row r="125" spans="1:14" ht="40.15" customHeight="1" x14ac:dyDescent="0.25">
      <c r="A125" s="490" t="s">
        <v>439</v>
      </c>
      <c r="B125" s="425">
        <v>96546</v>
      </c>
      <c r="C125" s="426" t="s">
        <v>321</v>
      </c>
      <c r="D125" s="438" t="s">
        <v>47</v>
      </c>
      <c r="E125" s="439" t="s">
        <v>10</v>
      </c>
      <c r="F125" s="440">
        <v>178.2</v>
      </c>
      <c r="G125" s="439">
        <v>14.32</v>
      </c>
      <c r="H125" s="441">
        <f t="shared" ref="H125" si="76">IF($G125="SEM",0,F125*G125)</f>
        <v>2551.8240000000001</v>
      </c>
      <c r="I125" s="441">
        <f>IF($G125="SEM",0,G125*(1+'BDI SERVIÇOS'!$Z$21))</f>
        <v>17.503336000000001</v>
      </c>
      <c r="J125" s="441">
        <f t="shared" ref="J125" si="77">F125*I125</f>
        <v>3119.0944752</v>
      </c>
      <c r="K125" s="441"/>
      <c r="L125" s="491"/>
    </row>
    <row r="126" spans="1:14" ht="40.15" customHeight="1" x14ac:dyDescent="0.25">
      <c r="A126" s="490" t="s">
        <v>440</v>
      </c>
      <c r="B126" s="425">
        <v>96523</v>
      </c>
      <c r="C126" s="426" t="s">
        <v>321</v>
      </c>
      <c r="D126" s="438" t="s">
        <v>106</v>
      </c>
      <c r="E126" s="439" t="s">
        <v>3</v>
      </c>
      <c r="F126" s="440">
        <f>(0.8*0.8*0.8)*10</f>
        <v>5.120000000000001</v>
      </c>
      <c r="G126" s="439">
        <v>100.91</v>
      </c>
      <c r="H126" s="441">
        <f t="shared" ref="H126" si="78">IF($G126="SEM",0,F126*G126)</f>
        <v>516.65920000000006</v>
      </c>
      <c r="I126" s="441">
        <f>IF($G126="SEM",0,G126*(1+'BDI SERVIÇOS'!$Z$21))</f>
        <v>123.34229299999998</v>
      </c>
      <c r="J126" s="441">
        <f t="shared" ref="J126" si="79">F126*I126</f>
        <v>631.51254016000007</v>
      </c>
      <c r="K126" s="441"/>
      <c r="L126" s="491"/>
    </row>
    <row r="127" spans="1:14" ht="40.15" customHeight="1" x14ac:dyDescent="0.25">
      <c r="A127" s="490" t="s">
        <v>441</v>
      </c>
      <c r="B127" s="425">
        <v>96531</v>
      </c>
      <c r="C127" s="426" t="s">
        <v>321</v>
      </c>
      <c r="D127" s="438" t="s">
        <v>25</v>
      </c>
      <c r="E127" s="439" t="s">
        <v>2</v>
      </c>
      <c r="F127" s="440">
        <v>25.6</v>
      </c>
      <c r="G127" s="439">
        <v>110.94</v>
      </c>
      <c r="H127" s="441">
        <f t="shared" ref="H127:H131" si="80">IF($G127="SEM",0,F127*G127)</f>
        <v>2840.0640000000003</v>
      </c>
      <c r="I127" s="441">
        <f>IF($G127="SEM",0,G127*(1+'BDI SERVIÇOS'!$Z$21))</f>
        <v>135.60196199999999</v>
      </c>
      <c r="J127" s="441">
        <f t="shared" ref="J127:J131" si="81">F127*I127</f>
        <v>3471.4102272</v>
      </c>
      <c r="K127" s="441"/>
      <c r="L127" s="491"/>
    </row>
    <row r="128" spans="1:14" ht="40.15" customHeight="1" x14ac:dyDescent="0.25">
      <c r="A128" s="490" t="s">
        <v>442</v>
      </c>
      <c r="B128" s="425" t="s">
        <v>197</v>
      </c>
      <c r="C128" s="426" t="s">
        <v>323</v>
      </c>
      <c r="D128" s="438" t="s">
        <v>198</v>
      </c>
      <c r="E128" s="439" t="s">
        <v>161</v>
      </c>
      <c r="F128" s="440">
        <v>5.12</v>
      </c>
      <c r="G128" s="439">
        <v>740.44</v>
      </c>
      <c r="H128" s="441">
        <f t="shared" si="80"/>
        <v>3791.0528000000004</v>
      </c>
      <c r="I128" s="441">
        <f>IF($G128="SEM",0,G128*(1+'BDI SERVIÇOS'!$Z$21))</f>
        <v>905.03981199999998</v>
      </c>
      <c r="J128" s="441">
        <f t="shared" si="81"/>
        <v>4633.8038374400003</v>
      </c>
      <c r="K128" s="441"/>
      <c r="L128" s="491"/>
    </row>
    <row r="129" spans="1:14" ht="25.15" customHeight="1" x14ac:dyDescent="0.25">
      <c r="A129" s="495" t="s">
        <v>443</v>
      </c>
      <c r="B129" s="451"/>
      <c r="C129" s="452"/>
      <c r="D129" s="453" t="s">
        <v>444</v>
      </c>
      <c r="E129" s="453"/>
      <c r="F129" s="454"/>
      <c r="G129" s="453"/>
      <c r="H129" s="455"/>
      <c r="I129" s="455"/>
      <c r="J129" s="455"/>
      <c r="K129" s="456">
        <f>SUM(J130:J132)</f>
        <v>13173.316737520001</v>
      </c>
      <c r="L129" s="496">
        <f>K129/$K$375</f>
        <v>3.1448684075162841E-3</v>
      </c>
    </row>
    <row r="130" spans="1:14" ht="40.15" customHeight="1" x14ac:dyDescent="0.25">
      <c r="A130" s="492" t="s">
        <v>445</v>
      </c>
      <c r="B130" s="425">
        <v>95584</v>
      </c>
      <c r="C130" s="426" t="s">
        <v>321</v>
      </c>
      <c r="D130" s="438" t="s">
        <v>43</v>
      </c>
      <c r="E130" s="439" t="s">
        <v>10</v>
      </c>
      <c r="F130" s="440">
        <v>70</v>
      </c>
      <c r="G130" s="439">
        <v>14.3</v>
      </c>
      <c r="H130" s="441">
        <f t="shared" si="80"/>
        <v>1001</v>
      </c>
      <c r="I130" s="441">
        <f>IF($G130="SEM",0,G130*(1+'BDI SERVIÇOS'!$Z$21))</f>
        <v>17.47889</v>
      </c>
      <c r="J130" s="441">
        <f t="shared" si="81"/>
        <v>1223.5223000000001</v>
      </c>
      <c r="K130" s="441"/>
      <c r="L130" s="491"/>
    </row>
    <row r="131" spans="1:14" ht="25.5" x14ac:dyDescent="0.25">
      <c r="A131" s="492" t="s">
        <v>446</v>
      </c>
      <c r="B131" s="425">
        <v>95578</v>
      </c>
      <c r="C131" s="426" t="s">
        <v>321</v>
      </c>
      <c r="D131" s="438" t="s">
        <v>42</v>
      </c>
      <c r="E131" s="439" t="s">
        <v>10</v>
      </c>
      <c r="F131" s="440">
        <v>297</v>
      </c>
      <c r="G131" s="439">
        <v>8.7799999999999994</v>
      </c>
      <c r="H131" s="441">
        <f t="shared" si="80"/>
        <v>2607.66</v>
      </c>
      <c r="I131" s="441">
        <f>IF($G131="SEM",0,G131*(1+'BDI SERVIÇOS'!$Z$21))</f>
        <v>10.731793999999999</v>
      </c>
      <c r="J131" s="441">
        <f t="shared" si="81"/>
        <v>3187.3428179999996</v>
      </c>
      <c r="K131" s="441"/>
      <c r="L131" s="491"/>
    </row>
    <row r="132" spans="1:14" ht="24" customHeight="1" x14ac:dyDescent="0.25">
      <c r="A132" s="492" t="s">
        <v>447</v>
      </c>
      <c r="B132" s="425">
        <v>30459</v>
      </c>
      <c r="C132" s="426" t="s">
        <v>448</v>
      </c>
      <c r="D132" s="438" t="s">
        <v>449</v>
      </c>
      <c r="E132" s="439" t="s">
        <v>360</v>
      </c>
      <c r="F132" s="440">
        <v>8.48</v>
      </c>
      <c r="G132" s="439">
        <v>845.38</v>
      </c>
      <c r="H132" s="441">
        <f t="shared" ref="H132:H135" si="82">IF($G132="SEM",0,F132*G132)</f>
        <v>7168.8224</v>
      </c>
      <c r="I132" s="441">
        <f>IF($G132="SEM",0,G132*(1+'BDI SERVIÇOS'!$Z$21))</f>
        <v>1033.3079740000001</v>
      </c>
      <c r="J132" s="441">
        <f t="shared" ref="J132:J135" si="83">F132*I132</f>
        <v>8762.4516195200013</v>
      </c>
      <c r="K132" s="441"/>
      <c r="L132" s="491"/>
    </row>
    <row r="133" spans="1:14" ht="24" customHeight="1" x14ac:dyDescent="0.25">
      <c r="A133" s="495" t="s">
        <v>450</v>
      </c>
      <c r="B133" s="451"/>
      <c r="C133" s="452"/>
      <c r="D133" s="453" t="s">
        <v>451</v>
      </c>
      <c r="E133" s="453"/>
      <c r="F133" s="454"/>
      <c r="G133" s="453"/>
      <c r="H133" s="455"/>
      <c r="I133" s="455"/>
      <c r="J133" s="455"/>
      <c r="K133" s="456">
        <f>SUM(J134:J139)</f>
        <v>10646.99314837</v>
      </c>
      <c r="L133" s="496">
        <f>K133/$K$375</f>
        <v>2.541758697108099E-3</v>
      </c>
    </row>
    <row r="134" spans="1:14" ht="40.15" customHeight="1" x14ac:dyDescent="0.25">
      <c r="A134" s="492" t="s">
        <v>452</v>
      </c>
      <c r="B134" s="425">
        <v>96527</v>
      </c>
      <c r="C134" s="426" t="s">
        <v>321</v>
      </c>
      <c r="D134" s="438" t="s">
        <v>107</v>
      </c>
      <c r="E134" s="439" t="s">
        <v>3</v>
      </c>
      <c r="F134" s="440">
        <v>4.34</v>
      </c>
      <c r="G134" s="439">
        <v>110.9</v>
      </c>
      <c r="H134" s="441">
        <f t="shared" ref="H134" si="84">IF($G134="SEM",0,F134*G134)</f>
        <v>481.30599999999998</v>
      </c>
      <c r="I134" s="441">
        <f>IF($G134="SEM",0,G134*(1+'BDI SERVIÇOS'!$Z$21))</f>
        <v>135.55306999999999</v>
      </c>
      <c r="J134" s="441">
        <f t="shared" ref="J134" si="85">F134*I134</f>
        <v>588.30032379999989</v>
      </c>
      <c r="K134" s="441"/>
      <c r="L134" s="491"/>
    </row>
    <row r="135" spans="1:14" ht="40.15" customHeight="1" x14ac:dyDescent="0.25">
      <c r="A135" s="492" t="s">
        <v>453</v>
      </c>
      <c r="B135" s="425">
        <v>104917</v>
      </c>
      <c r="C135" s="426" t="s">
        <v>321</v>
      </c>
      <c r="D135" s="438" t="s">
        <v>49</v>
      </c>
      <c r="E135" s="439" t="s">
        <v>10</v>
      </c>
      <c r="F135" s="440">
        <v>58.49</v>
      </c>
      <c r="G135" s="439">
        <v>15.89</v>
      </c>
      <c r="H135" s="441">
        <f t="shared" si="82"/>
        <v>929.40610000000004</v>
      </c>
      <c r="I135" s="441">
        <f>IF($G135="SEM",0,G135*(1+'BDI SERVIÇOS'!$Z$21))</f>
        <v>19.422346999999998</v>
      </c>
      <c r="J135" s="441">
        <f t="shared" si="83"/>
        <v>1136.0130760299999</v>
      </c>
      <c r="K135" s="441"/>
      <c r="L135" s="491"/>
    </row>
    <row r="136" spans="1:14" ht="40.15" customHeight="1" x14ac:dyDescent="0.25">
      <c r="A136" s="492" t="s">
        <v>454</v>
      </c>
      <c r="B136" s="425">
        <v>104920</v>
      </c>
      <c r="C136" s="426" t="s">
        <v>321</v>
      </c>
      <c r="D136" s="438" t="s">
        <v>51</v>
      </c>
      <c r="E136" s="439" t="s">
        <v>10</v>
      </c>
      <c r="F136" s="440">
        <v>197.12</v>
      </c>
      <c r="G136" s="439">
        <v>10.88</v>
      </c>
      <c r="H136" s="441">
        <f t="shared" ref="H136" si="86">IF($G136="SEM",0,F136*G136)</f>
        <v>2144.6656000000003</v>
      </c>
      <c r="I136" s="441">
        <f>IF($G136="SEM",0,G136*(1+'BDI SERVIÇOS'!$Z$21))</f>
        <v>13.298624</v>
      </c>
      <c r="J136" s="441">
        <f t="shared" ref="J136" si="87">F136*I136</f>
        <v>2621.4247628799999</v>
      </c>
      <c r="K136" s="441"/>
      <c r="L136" s="491"/>
    </row>
    <row r="137" spans="1:14" ht="40.15" customHeight="1" x14ac:dyDescent="0.25">
      <c r="A137" s="492" t="s">
        <v>455</v>
      </c>
      <c r="B137" s="425">
        <v>96533</v>
      </c>
      <c r="C137" s="426" t="s">
        <v>321</v>
      </c>
      <c r="D137" s="438" t="s">
        <v>27</v>
      </c>
      <c r="E137" s="439" t="s">
        <v>2</v>
      </c>
      <c r="F137" s="440">
        <v>24.8</v>
      </c>
      <c r="G137" s="439">
        <v>98.72</v>
      </c>
      <c r="H137" s="441">
        <f t="shared" ref="H137" si="88">IF($G137="SEM",0,F137*G137)</f>
        <v>2448.2559999999999</v>
      </c>
      <c r="I137" s="441">
        <f>IF($G137="SEM",0,G137*(1+'BDI SERVIÇOS'!$Z$21))</f>
        <v>120.66545599999999</v>
      </c>
      <c r="J137" s="441">
        <f t="shared" ref="J137" si="89">F137*I137</f>
        <v>2992.5033088</v>
      </c>
      <c r="K137" s="441"/>
      <c r="L137" s="491"/>
    </row>
    <row r="138" spans="1:14" ht="55.15" customHeight="1" x14ac:dyDescent="0.25">
      <c r="A138" s="492" t="s">
        <v>456</v>
      </c>
      <c r="B138" s="425">
        <v>1527</v>
      </c>
      <c r="C138" s="426" t="s">
        <v>321</v>
      </c>
      <c r="D138" s="438" t="s">
        <v>1759</v>
      </c>
      <c r="E138" s="439" t="s">
        <v>3</v>
      </c>
      <c r="F138" s="440">
        <v>4.34</v>
      </c>
      <c r="G138" s="439">
        <v>579.21</v>
      </c>
      <c r="H138" s="441">
        <f t="shared" ref="H138:H139" si="90">IF($G138="SEM",0,F138*G138)</f>
        <v>2513.7714000000001</v>
      </c>
      <c r="I138" s="441">
        <f>IF($G138="SEM",0,G138*(1+'BDI SERVIÇOS'!$Z$21))</f>
        <v>707.96838300000002</v>
      </c>
      <c r="J138" s="441">
        <f t="shared" ref="J138:J139" si="91">F138*I138</f>
        <v>3072.5827822199999</v>
      </c>
      <c r="K138" s="444"/>
      <c r="L138" s="491"/>
      <c r="N138" s="101"/>
    </row>
    <row r="139" spans="1:14" ht="40.15" customHeight="1" x14ac:dyDescent="0.25">
      <c r="A139" s="492" t="s">
        <v>457</v>
      </c>
      <c r="B139" s="425">
        <v>103673</v>
      </c>
      <c r="C139" s="426" t="s">
        <v>321</v>
      </c>
      <c r="D139" s="438" t="s">
        <v>57</v>
      </c>
      <c r="E139" s="439" t="s">
        <v>3</v>
      </c>
      <c r="F139" s="440">
        <v>4.34</v>
      </c>
      <c r="G139" s="439">
        <v>44.52</v>
      </c>
      <c r="H139" s="441">
        <f t="shared" si="90"/>
        <v>193.21680000000001</v>
      </c>
      <c r="I139" s="441">
        <f>IF($G139="SEM",0,G139*(1+'BDI SERVIÇOS'!$Z$21))</f>
        <v>54.416795999999998</v>
      </c>
      <c r="J139" s="441">
        <f t="shared" si="91"/>
        <v>236.16889463999999</v>
      </c>
      <c r="K139" s="441"/>
      <c r="L139" s="491"/>
    </row>
    <row r="140" spans="1:14" ht="24" customHeight="1" x14ac:dyDescent="0.25">
      <c r="A140" s="495" t="s">
        <v>458</v>
      </c>
      <c r="B140" s="451"/>
      <c r="C140" s="452"/>
      <c r="D140" s="453" t="s">
        <v>459</v>
      </c>
      <c r="E140" s="453"/>
      <c r="F140" s="454"/>
      <c r="G140" s="453"/>
      <c r="H140" s="455"/>
      <c r="I140" s="455"/>
      <c r="J140" s="455"/>
      <c r="K140" s="456">
        <f>SUM(J141:J144)</f>
        <v>31433.533752944</v>
      </c>
      <c r="L140" s="496">
        <f>K140/$K$375</f>
        <v>7.5041334848250686E-3</v>
      </c>
    </row>
    <row r="141" spans="1:14" ht="40.15" customHeight="1" x14ac:dyDescent="0.25">
      <c r="A141" s="492" t="s">
        <v>460</v>
      </c>
      <c r="B141" s="425">
        <v>92764</v>
      </c>
      <c r="C141" s="426" t="s">
        <v>321</v>
      </c>
      <c r="D141" s="438" t="s">
        <v>34</v>
      </c>
      <c r="E141" s="439" t="s">
        <v>10</v>
      </c>
      <c r="F141" s="440">
        <f>'MC REFORÇO FUNDAÇÃO'!E275</f>
        <v>1024.4960000000001</v>
      </c>
      <c r="G141" s="439">
        <v>8.85</v>
      </c>
      <c r="H141" s="441">
        <f t="shared" ref="H141" si="92">IF($G141="SEM",0,F141*G141)</f>
        <v>9066.7896000000001</v>
      </c>
      <c r="I141" s="441">
        <f>IF($G141="SEM",0,G141*(1+'BDI SERVIÇOS'!$Z$21))</f>
        <v>10.817354999999999</v>
      </c>
      <c r="J141" s="441">
        <f t="shared" ref="J141" si="93">F141*I141</f>
        <v>11082.33692808</v>
      </c>
      <c r="K141" s="441"/>
      <c r="L141" s="491"/>
    </row>
    <row r="142" spans="1:14" ht="40.15" customHeight="1" x14ac:dyDescent="0.25">
      <c r="A142" s="492" t="s">
        <v>461</v>
      </c>
      <c r="B142" s="425">
        <v>92760</v>
      </c>
      <c r="C142" s="426" t="s">
        <v>321</v>
      </c>
      <c r="D142" s="438" t="s">
        <v>31</v>
      </c>
      <c r="E142" s="439" t="s">
        <v>10</v>
      </c>
      <c r="F142" s="440">
        <f>'MC REFORÇO FUNDAÇÃO'!E276</f>
        <v>159.10399999999998</v>
      </c>
      <c r="G142" s="439">
        <v>13.42</v>
      </c>
      <c r="H142" s="441">
        <f t="shared" ref="H142" si="94">IF($G142="SEM",0,F142*G142)</f>
        <v>2135.1756799999998</v>
      </c>
      <c r="I142" s="441">
        <f>IF($G142="SEM",0,G142*(1+'BDI SERVIÇOS'!$Z$21))</f>
        <v>16.403265999999999</v>
      </c>
      <c r="J142" s="441">
        <f t="shared" ref="J142" si="95">F142*I142</f>
        <v>2609.8252336639994</v>
      </c>
      <c r="K142" s="441"/>
      <c r="L142" s="491"/>
    </row>
    <row r="143" spans="1:14" ht="55.15" customHeight="1" x14ac:dyDescent="0.25">
      <c r="A143" s="492" t="s">
        <v>462</v>
      </c>
      <c r="B143" s="425">
        <v>92419</v>
      </c>
      <c r="C143" s="426" t="s">
        <v>321</v>
      </c>
      <c r="D143" s="438" t="s">
        <v>23</v>
      </c>
      <c r="E143" s="439" t="s">
        <v>2</v>
      </c>
      <c r="F143" s="440">
        <f>'MC REFORÇO FUNDAÇÃO'!E296</f>
        <v>93.52</v>
      </c>
      <c r="G143" s="439">
        <v>92.04</v>
      </c>
      <c r="H143" s="441">
        <f t="shared" ref="H143" si="96">IF($G143="SEM",0,F143*G143)</f>
        <v>8607.5807999999997</v>
      </c>
      <c r="I143" s="441">
        <f>IF($G143="SEM",0,G143*(1+'BDI SERVIÇOS'!$Z$21))</f>
        <v>112.50049200000001</v>
      </c>
      <c r="J143" s="441">
        <f t="shared" ref="J143" si="97">F143*I143</f>
        <v>10521.046011840001</v>
      </c>
      <c r="K143" s="444"/>
      <c r="L143" s="491"/>
      <c r="N143" s="101"/>
    </row>
    <row r="144" spans="1:14" ht="40.15" customHeight="1" x14ac:dyDescent="0.25">
      <c r="A144" s="492" t="s">
        <v>463</v>
      </c>
      <c r="B144" s="425">
        <v>103669</v>
      </c>
      <c r="C144" s="426" t="s">
        <v>321</v>
      </c>
      <c r="D144" s="438" t="s">
        <v>1730</v>
      </c>
      <c r="E144" s="439" t="s">
        <v>3</v>
      </c>
      <c r="F144" s="440">
        <f>'MC REFORÇO FUNDAÇÃO'!E317</f>
        <v>5.91</v>
      </c>
      <c r="G144" s="439">
        <v>999.52</v>
      </c>
      <c r="H144" s="441">
        <f t="shared" ref="H144" si="98">IF($G144="SEM",0,F144*G144)</f>
        <v>5907.1632</v>
      </c>
      <c r="I144" s="441">
        <f>IF($G144="SEM",0,G144*(1+'BDI SERVIÇOS'!$Z$21))</f>
        <v>1221.7132959999999</v>
      </c>
      <c r="J144" s="441">
        <f t="shared" ref="J144" si="99">F144*I144</f>
        <v>7220.3255793599992</v>
      </c>
      <c r="K144" s="441"/>
      <c r="L144" s="491"/>
    </row>
    <row r="145" spans="1:14" ht="25.15" customHeight="1" x14ac:dyDescent="0.25">
      <c r="A145" s="493" t="s">
        <v>464</v>
      </c>
      <c r="B145" s="445"/>
      <c r="C145" s="446"/>
      <c r="D145" s="447" t="s">
        <v>465</v>
      </c>
      <c r="E145" s="447"/>
      <c r="F145" s="448"/>
      <c r="G145" s="447"/>
      <c r="H145" s="449"/>
      <c r="I145" s="449"/>
      <c r="J145" s="449"/>
      <c r="K145" s="450">
        <f>SUM(J146:J146)</f>
        <v>158670.18544</v>
      </c>
      <c r="L145" s="494">
        <f>K145/$K$375</f>
        <v>3.7879363515474621E-2</v>
      </c>
    </row>
    <row r="146" spans="1:14" ht="55.15" customHeight="1" x14ac:dyDescent="0.25">
      <c r="A146" s="492" t="s">
        <v>466</v>
      </c>
      <c r="B146" s="425" t="s">
        <v>202</v>
      </c>
      <c r="C146" s="426" t="s">
        <v>323</v>
      </c>
      <c r="D146" s="438" t="s">
        <v>203</v>
      </c>
      <c r="E146" s="439" t="s">
        <v>199</v>
      </c>
      <c r="F146" s="440">
        <v>5135</v>
      </c>
      <c r="G146" s="439">
        <v>25.28</v>
      </c>
      <c r="H146" s="441">
        <f t="shared" ref="H146" si="100">IF($G146="SEM",0,F146*G146)</f>
        <v>129812.8</v>
      </c>
      <c r="I146" s="441">
        <f>IF($G146="SEM",0,G146*(1+'BDI SERVIÇOS'!$Z$21))</f>
        <v>30.899743999999998</v>
      </c>
      <c r="J146" s="441">
        <f t="shared" ref="J146" si="101">F146*I146</f>
        <v>158670.18544</v>
      </c>
      <c r="K146" s="444"/>
      <c r="L146" s="491"/>
      <c r="N146" s="101"/>
    </row>
    <row r="147" spans="1:14" ht="25.15" customHeight="1" x14ac:dyDescent="0.25">
      <c r="A147" s="493" t="s">
        <v>467</v>
      </c>
      <c r="B147" s="445"/>
      <c r="C147" s="446"/>
      <c r="D147" s="447" t="s">
        <v>468</v>
      </c>
      <c r="E147" s="447"/>
      <c r="F147" s="448"/>
      <c r="G147" s="447"/>
      <c r="H147" s="449"/>
      <c r="I147" s="449"/>
      <c r="J147" s="449"/>
      <c r="K147" s="450">
        <f>SUM(K148+K152+K158+K167+K173)</f>
        <v>172050.66168722569</v>
      </c>
      <c r="L147" s="494">
        <f>K147/$K$375</f>
        <v>4.1073687152100705E-2</v>
      </c>
    </row>
    <row r="148" spans="1:14" ht="24" customHeight="1" x14ac:dyDescent="0.25">
      <c r="A148" s="495" t="s">
        <v>469</v>
      </c>
      <c r="B148" s="451"/>
      <c r="C148" s="452"/>
      <c r="D148" s="453" t="s">
        <v>470</v>
      </c>
      <c r="E148" s="453"/>
      <c r="F148" s="454"/>
      <c r="G148" s="453"/>
      <c r="H148" s="455"/>
      <c r="I148" s="455"/>
      <c r="J148" s="455"/>
      <c r="K148" s="456">
        <f>SUM(J149:J151)</f>
        <v>15488.076942179998</v>
      </c>
      <c r="L148" s="496">
        <f>K148/$K$375</f>
        <v>3.6974715509507298E-3</v>
      </c>
    </row>
    <row r="149" spans="1:14" ht="40.15" customHeight="1" x14ac:dyDescent="0.25">
      <c r="A149" s="492" t="s">
        <v>471</v>
      </c>
      <c r="B149" s="425">
        <v>96532</v>
      </c>
      <c r="C149" s="426" t="s">
        <v>321</v>
      </c>
      <c r="D149" s="438" t="s">
        <v>26</v>
      </c>
      <c r="E149" s="439" t="s">
        <v>2</v>
      </c>
      <c r="F149" s="440">
        <v>19.739999999999998</v>
      </c>
      <c r="G149" s="439">
        <v>189.79</v>
      </c>
      <c r="H149" s="441">
        <f t="shared" ref="H149" si="102">IF($G149="SEM",0,F149*G149)</f>
        <v>3746.4545999999996</v>
      </c>
      <c r="I149" s="441">
        <f>IF($G149="SEM",0,G149*(1+'BDI SERVIÇOS'!$Z$21))</f>
        <v>231.98031699999999</v>
      </c>
      <c r="J149" s="441">
        <f t="shared" ref="J149" si="103">F149*I149</f>
        <v>4579.2914575799996</v>
      </c>
      <c r="K149" s="441"/>
      <c r="L149" s="491"/>
    </row>
    <row r="150" spans="1:14" ht="40.15" customHeight="1" x14ac:dyDescent="0.25">
      <c r="A150" s="492" t="s">
        <v>472</v>
      </c>
      <c r="B150" s="425">
        <v>104920</v>
      </c>
      <c r="C150" s="426" t="s">
        <v>321</v>
      </c>
      <c r="D150" s="438" t="s">
        <v>51</v>
      </c>
      <c r="E150" s="439" t="s">
        <v>10</v>
      </c>
      <c r="F150" s="440">
        <v>148.59</v>
      </c>
      <c r="G150" s="439">
        <v>10.88</v>
      </c>
      <c r="H150" s="441">
        <f t="shared" ref="H150" si="104">IF($G150="SEM",0,F150*G150)</f>
        <v>1616.6592000000001</v>
      </c>
      <c r="I150" s="441">
        <f>IF($G150="SEM",0,G150*(1+'BDI SERVIÇOS'!$Z$21))</f>
        <v>13.298624</v>
      </c>
      <c r="J150" s="441">
        <f t="shared" ref="J150" si="105">F150*I150</f>
        <v>1976.04254016</v>
      </c>
      <c r="K150" s="441"/>
      <c r="L150" s="491"/>
    </row>
    <row r="151" spans="1:14" ht="40.15" customHeight="1" x14ac:dyDescent="0.25">
      <c r="A151" s="492" t="s">
        <v>473</v>
      </c>
      <c r="B151" s="425" t="s">
        <v>197</v>
      </c>
      <c r="C151" s="426" t="s">
        <v>323</v>
      </c>
      <c r="D151" s="438" t="s">
        <v>198</v>
      </c>
      <c r="E151" s="439" t="s">
        <v>161</v>
      </c>
      <c r="F151" s="440">
        <v>9.8699999999999992</v>
      </c>
      <c r="G151" s="439">
        <v>740.44</v>
      </c>
      <c r="H151" s="441">
        <f t="shared" ref="H151:H156" si="106">IF($G151="SEM",0,F151*G151)</f>
        <v>7308.1427999999996</v>
      </c>
      <c r="I151" s="441">
        <f>IF($G151="SEM",0,G151*(1+'BDI SERVIÇOS'!$Z$21))</f>
        <v>905.03981199999998</v>
      </c>
      <c r="J151" s="441">
        <f t="shared" ref="J151:J156" si="107">F151*I151</f>
        <v>8932.7429444399986</v>
      </c>
      <c r="K151" s="441"/>
      <c r="L151" s="491"/>
    </row>
    <row r="152" spans="1:14" ht="24" customHeight="1" x14ac:dyDescent="0.25">
      <c r="A152" s="495" t="s">
        <v>474</v>
      </c>
      <c r="B152" s="451"/>
      <c r="C152" s="452"/>
      <c r="D152" s="453" t="s">
        <v>475</v>
      </c>
      <c r="E152" s="453"/>
      <c r="F152" s="454"/>
      <c r="G152" s="453"/>
      <c r="H152" s="455"/>
      <c r="I152" s="455"/>
      <c r="J152" s="455"/>
      <c r="K152" s="456">
        <f>SUM(J153:J157)</f>
        <v>17612.185457453998</v>
      </c>
      <c r="L152" s="496">
        <f>K152/$K$375</f>
        <v>4.2045603803565808E-3</v>
      </c>
    </row>
    <row r="153" spans="1:14" ht="40.15" customHeight="1" x14ac:dyDescent="0.25">
      <c r="A153" s="492" t="s">
        <v>476</v>
      </c>
      <c r="B153" s="425">
        <v>96534</v>
      </c>
      <c r="C153" s="426" t="s">
        <v>321</v>
      </c>
      <c r="D153" s="438" t="s">
        <v>28</v>
      </c>
      <c r="E153" s="439" t="s">
        <v>2</v>
      </c>
      <c r="F153" s="440">
        <v>29.63</v>
      </c>
      <c r="G153" s="439">
        <v>82.92</v>
      </c>
      <c r="H153" s="441">
        <f t="shared" si="106"/>
        <v>2456.9196000000002</v>
      </c>
      <c r="I153" s="441">
        <f>IF($G153="SEM",0,G153*(1+'BDI SERVIÇOS'!$Z$21))</f>
        <v>101.353116</v>
      </c>
      <c r="J153" s="441">
        <f t="shared" si="107"/>
        <v>3003.09282708</v>
      </c>
      <c r="K153" s="441"/>
      <c r="L153" s="491"/>
    </row>
    <row r="154" spans="1:14" ht="55.15" customHeight="1" x14ac:dyDescent="0.25">
      <c r="A154" s="492" t="s">
        <v>477</v>
      </c>
      <c r="B154" s="425">
        <v>92916</v>
      </c>
      <c r="C154" s="426" t="s">
        <v>321</v>
      </c>
      <c r="D154" s="438" t="s">
        <v>39</v>
      </c>
      <c r="E154" s="439" t="s">
        <v>10</v>
      </c>
      <c r="F154" s="440">
        <v>80</v>
      </c>
      <c r="G154" s="439">
        <v>15.66</v>
      </c>
      <c r="H154" s="441">
        <f t="shared" si="106"/>
        <v>1252.8</v>
      </c>
      <c r="I154" s="441">
        <f>IF($G154="SEM",0,G154*(1+'BDI SERVIÇOS'!$Z$21))</f>
        <v>19.141217999999999</v>
      </c>
      <c r="J154" s="441">
        <f t="shared" si="107"/>
        <v>1531.2974399999998</v>
      </c>
      <c r="K154" s="444"/>
      <c r="L154" s="491"/>
      <c r="N154" s="101"/>
    </row>
    <row r="155" spans="1:14" ht="55.15" customHeight="1" x14ac:dyDescent="0.25">
      <c r="A155" s="492" t="s">
        <v>478</v>
      </c>
      <c r="B155" s="425">
        <v>94965</v>
      </c>
      <c r="C155" s="426" t="s">
        <v>321</v>
      </c>
      <c r="D155" s="438" t="s">
        <v>54</v>
      </c>
      <c r="E155" s="439" t="s">
        <v>3</v>
      </c>
      <c r="F155" s="440">
        <v>2.0699999999999998</v>
      </c>
      <c r="G155" s="439">
        <v>564.57000000000005</v>
      </c>
      <c r="H155" s="441">
        <f t="shared" si="106"/>
        <v>1168.6599000000001</v>
      </c>
      <c r="I155" s="441">
        <f>IF($G155="SEM",0,G155*(1+'BDI SERVIÇOS'!$Z$21))</f>
        <v>690.07391100000007</v>
      </c>
      <c r="J155" s="441">
        <f t="shared" si="107"/>
        <v>1428.4529957699999</v>
      </c>
      <c r="K155" s="444"/>
      <c r="L155" s="491"/>
      <c r="N155" s="101"/>
    </row>
    <row r="156" spans="1:14" ht="40.15" customHeight="1" x14ac:dyDescent="0.25">
      <c r="A156" s="492" t="s">
        <v>479</v>
      </c>
      <c r="B156" s="425">
        <v>103670</v>
      </c>
      <c r="C156" s="426" t="s">
        <v>321</v>
      </c>
      <c r="D156" s="438" t="s">
        <v>55</v>
      </c>
      <c r="E156" s="439" t="s">
        <v>3</v>
      </c>
      <c r="F156" s="440">
        <v>2.0699999999999998</v>
      </c>
      <c r="G156" s="439">
        <v>321.64</v>
      </c>
      <c r="H156" s="441">
        <f t="shared" si="106"/>
        <v>665.7947999999999</v>
      </c>
      <c r="I156" s="441">
        <f>IF($G156="SEM",0,G156*(1+'BDI SERVIÇOS'!$Z$21))</f>
        <v>393.14057199999996</v>
      </c>
      <c r="J156" s="441">
        <f t="shared" si="107"/>
        <v>813.80098403999989</v>
      </c>
      <c r="K156" s="441"/>
      <c r="L156" s="491"/>
    </row>
    <row r="157" spans="1:14" ht="55.15" customHeight="1" x14ac:dyDescent="0.25">
      <c r="A157" s="492" t="s">
        <v>480</v>
      </c>
      <c r="B157" s="425">
        <v>89478</v>
      </c>
      <c r="C157" s="426" t="s">
        <v>321</v>
      </c>
      <c r="D157" s="438" t="s">
        <v>115</v>
      </c>
      <c r="E157" s="439" t="s">
        <v>2</v>
      </c>
      <c r="F157" s="440">
        <f>'MC ARRIMO'!E198</f>
        <v>60.206999999999994</v>
      </c>
      <c r="G157" s="439">
        <v>147.24</v>
      </c>
      <c r="H157" s="441">
        <f t="shared" ref="H157" si="108">IF($G157="SEM",0,F157*G157)</f>
        <v>8864.8786799999998</v>
      </c>
      <c r="I157" s="441">
        <f>IF($G157="SEM",0,G157*(1+'BDI SERVIÇOS'!$Z$21))</f>
        <v>179.971452</v>
      </c>
      <c r="J157" s="441">
        <f>F157*I157</f>
        <v>10835.541210563999</v>
      </c>
      <c r="K157" s="444"/>
      <c r="L157" s="491"/>
      <c r="N157" s="101"/>
    </row>
    <row r="158" spans="1:14" ht="24" customHeight="1" x14ac:dyDescent="0.25">
      <c r="A158" s="495" t="s">
        <v>481</v>
      </c>
      <c r="B158" s="451"/>
      <c r="C158" s="452"/>
      <c r="D158" s="453" t="s">
        <v>482</v>
      </c>
      <c r="E158" s="453"/>
      <c r="F158" s="454"/>
      <c r="G158" s="453"/>
      <c r="H158" s="455"/>
      <c r="I158" s="455"/>
      <c r="J158" s="455"/>
      <c r="K158" s="456">
        <f>SUM(J159:J166)</f>
        <v>80166.432949991693</v>
      </c>
      <c r="L158" s="496">
        <f>K158/$K$375</f>
        <v>1.9138147768787646E-2</v>
      </c>
    </row>
    <row r="159" spans="1:14" ht="40.15" customHeight="1" x14ac:dyDescent="0.25">
      <c r="A159" s="492" t="s">
        <v>483</v>
      </c>
      <c r="B159" s="425">
        <v>96523</v>
      </c>
      <c r="C159" s="426" t="s">
        <v>321</v>
      </c>
      <c r="D159" s="438" t="s">
        <v>106</v>
      </c>
      <c r="E159" s="439" t="s">
        <v>3</v>
      </c>
      <c r="F159" s="440">
        <f>'MC ARRIMO'!E247</f>
        <v>71.964900000000029</v>
      </c>
      <c r="G159" s="439">
        <v>100.91</v>
      </c>
      <c r="H159" s="441">
        <f t="shared" ref="H159:H160" si="109">IF($G159="SEM",0,F159*G159)</f>
        <v>7261.9780590000028</v>
      </c>
      <c r="I159" s="441">
        <f>IF($G159="SEM",0,G159*(1+'BDI SERVIÇOS'!$Z$21))</f>
        <v>123.34229299999998</v>
      </c>
      <c r="J159" s="441">
        <f t="shared" ref="J159:J160" si="110">F159*I159</f>
        <v>8876.3157815157028</v>
      </c>
      <c r="K159" s="441"/>
      <c r="L159" s="491"/>
    </row>
    <row r="160" spans="1:14" ht="40.15" customHeight="1" x14ac:dyDescent="0.25">
      <c r="A160" s="492" t="s">
        <v>484</v>
      </c>
      <c r="B160" s="425">
        <v>96619</v>
      </c>
      <c r="C160" s="426" t="s">
        <v>321</v>
      </c>
      <c r="D160" s="438" t="s">
        <v>19</v>
      </c>
      <c r="E160" s="439" t="s">
        <v>2</v>
      </c>
      <c r="F160" s="440">
        <f>((3.57+3+3+3+3+3+3)*(2.3))+((2.68*2)*(1.4))</f>
        <v>57.114999999999995</v>
      </c>
      <c r="G160" s="439">
        <v>45.31</v>
      </c>
      <c r="H160" s="441">
        <f t="shared" si="109"/>
        <v>2587.8806500000001</v>
      </c>
      <c r="I160" s="441">
        <f>IF($G160="SEM",0,G160*(1+'BDI SERVIÇOS'!$Z$21))</f>
        <v>55.382413</v>
      </c>
      <c r="J160" s="441">
        <f t="shared" si="110"/>
        <v>3163.1665184949998</v>
      </c>
      <c r="K160" s="441"/>
      <c r="L160" s="491"/>
    </row>
    <row r="161" spans="1:14" ht="40.15" customHeight="1" x14ac:dyDescent="0.25">
      <c r="A161" s="492" t="s">
        <v>485</v>
      </c>
      <c r="B161" s="425">
        <v>93382</v>
      </c>
      <c r="C161" s="426" t="s">
        <v>321</v>
      </c>
      <c r="D161" s="438" t="s">
        <v>109</v>
      </c>
      <c r="E161" s="439" t="s">
        <v>3</v>
      </c>
      <c r="F161" s="440">
        <f>F159-F166</f>
        <v>48.934900000000027</v>
      </c>
      <c r="G161" s="439">
        <v>28.3</v>
      </c>
      <c r="H161" s="441">
        <f t="shared" ref="H161" si="111">IF($G161="SEM",0,F161*G161)</f>
        <v>1384.8576700000008</v>
      </c>
      <c r="I161" s="441">
        <f>IF($G161="SEM",0,G161*(1+'BDI SERVIÇOS'!$Z$21))</f>
        <v>34.591090000000001</v>
      </c>
      <c r="J161" s="441">
        <f t="shared" ref="J161" si="112">F161*I161</f>
        <v>1692.711530041001</v>
      </c>
      <c r="K161" s="441"/>
      <c r="L161" s="491"/>
    </row>
    <row r="162" spans="1:14" ht="40.15" customHeight="1" x14ac:dyDescent="0.25">
      <c r="A162" s="492" t="s">
        <v>486</v>
      </c>
      <c r="B162" s="425">
        <v>96532</v>
      </c>
      <c r="C162" s="426" t="s">
        <v>321</v>
      </c>
      <c r="D162" s="438" t="s">
        <v>26</v>
      </c>
      <c r="E162" s="439" t="s">
        <v>2</v>
      </c>
      <c r="F162" s="440">
        <v>24.74</v>
      </c>
      <c r="G162" s="439">
        <v>189.79</v>
      </c>
      <c r="H162" s="441">
        <f t="shared" ref="H162" si="113">IF($G162="SEM",0,F162*G162)</f>
        <v>4695.4045999999998</v>
      </c>
      <c r="I162" s="441">
        <f>IF($G162="SEM",0,G162*(1+'BDI SERVIÇOS'!$Z$21))</f>
        <v>231.98031699999999</v>
      </c>
      <c r="J162" s="441">
        <f t="shared" ref="J162" si="114">F162*I162</f>
        <v>5739.1930425799992</v>
      </c>
      <c r="K162" s="441"/>
      <c r="L162" s="491"/>
    </row>
    <row r="163" spans="1:14" ht="40.15" customHeight="1" x14ac:dyDescent="0.25">
      <c r="A163" s="492" t="s">
        <v>487</v>
      </c>
      <c r="B163" s="425">
        <v>104917</v>
      </c>
      <c r="C163" s="426" t="s">
        <v>321</v>
      </c>
      <c r="D163" s="438" t="s">
        <v>49</v>
      </c>
      <c r="E163" s="439" t="s">
        <v>10</v>
      </c>
      <c r="F163" s="440">
        <v>5</v>
      </c>
      <c r="G163" s="439">
        <v>15.89</v>
      </c>
      <c r="H163" s="441">
        <f t="shared" ref="H163" si="115">IF($G163="SEM",0,F163*G163)</f>
        <v>79.45</v>
      </c>
      <c r="I163" s="441">
        <f>IF($G163="SEM",0,G163*(1+'BDI SERVIÇOS'!$Z$21))</f>
        <v>19.422346999999998</v>
      </c>
      <c r="J163" s="441">
        <f t="shared" ref="J163" si="116">F163*I163</f>
        <v>97.111734999999996</v>
      </c>
      <c r="K163" s="441"/>
      <c r="L163" s="491"/>
    </row>
    <row r="164" spans="1:14" ht="40.15" customHeight="1" x14ac:dyDescent="0.25">
      <c r="A164" s="492" t="s">
        <v>488</v>
      </c>
      <c r="B164" s="425">
        <v>104920</v>
      </c>
      <c r="C164" s="426" t="s">
        <v>321</v>
      </c>
      <c r="D164" s="438" t="s">
        <v>51</v>
      </c>
      <c r="E164" s="439" t="s">
        <v>10</v>
      </c>
      <c r="F164" s="440">
        <v>201</v>
      </c>
      <c r="G164" s="439">
        <v>10.88</v>
      </c>
      <c r="H164" s="441">
        <f t="shared" ref="H164" si="117">IF($G164="SEM",0,F164*G164)</f>
        <v>2186.88</v>
      </c>
      <c r="I164" s="441">
        <f>IF($G164="SEM",0,G164*(1+'BDI SERVIÇOS'!$Z$21))</f>
        <v>13.298624</v>
      </c>
      <c r="J164" s="441">
        <f t="shared" ref="J164" si="118">F164*I164</f>
        <v>2673.023424</v>
      </c>
      <c r="K164" s="441"/>
      <c r="L164" s="491"/>
    </row>
    <row r="165" spans="1:14" ht="40.15" customHeight="1" x14ac:dyDescent="0.25">
      <c r="A165" s="492" t="s">
        <v>489</v>
      </c>
      <c r="B165" s="425">
        <v>104921</v>
      </c>
      <c r="C165" s="426" t="s">
        <v>321</v>
      </c>
      <c r="D165" s="438" t="s">
        <v>52</v>
      </c>
      <c r="E165" s="439" t="s">
        <v>10</v>
      </c>
      <c r="F165" s="440">
        <v>2986</v>
      </c>
      <c r="G165" s="439">
        <v>10.16</v>
      </c>
      <c r="H165" s="441">
        <f t="shared" ref="H165:H169" si="119">IF($G165="SEM",0,F165*G165)</f>
        <v>30337.760000000002</v>
      </c>
      <c r="I165" s="441">
        <f>IF($G165="SEM",0,G165*(1+'BDI SERVIÇOS'!$Z$21))</f>
        <v>12.418567999999999</v>
      </c>
      <c r="J165" s="441">
        <f t="shared" ref="J165:J169" si="120">F165*I165</f>
        <v>37081.844047999999</v>
      </c>
      <c r="K165" s="441"/>
      <c r="L165" s="491"/>
    </row>
    <row r="166" spans="1:14" ht="40.15" customHeight="1" x14ac:dyDescent="0.25">
      <c r="A166" s="492" t="s">
        <v>490</v>
      </c>
      <c r="B166" s="425" t="s">
        <v>197</v>
      </c>
      <c r="C166" s="426" t="s">
        <v>323</v>
      </c>
      <c r="D166" s="438" t="s">
        <v>198</v>
      </c>
      <c r="E166" s="439" t="s">
        <v>161</v>
      </c>
      <c r="F166" s="440">
        <v>23.03</v>
      </c>
      <c r="G166" s="439">
        <v>740.44</v>
      </c>
      <c r="H166" s="441">
        <f t="shared" si="119"/>
        <v>17052.333200000001</v>
      </c>
      <c r="I166" s="441">
        <f>IF($G166="SEM",0,G166*(1+'BDI SERVIÇOS'!$Z$21))</f>
        <v>905.03981199999998</v>
      </c>
      <c r="J166" s="441">
        <f t="shared" si="120"/>
        <v>20843.066870360002</v>
      </c>
      <c r="K166" s="441"/>
      <c r="L166" s="491"/>
    </row>
    <row r="167" spans="1:14" ht="24" customHeight="1" x14ac:dyDescent="0.25">
      <c r="A167" s="495" t="s">
        <v>491</v>
      </c>
      <c r="B167" s="451"/>
      <c r="C167" s="452"/>
      <c r="D167" s="453" t="s">
        <v>492</v>
      </c>
      <c r="E167" s="453"/>
      <c r="F167" s="454"/>
      <c r="G167" s="453"/>
      <c r="H167" s="455"/>
      <c r="I167" s="455"/>
      <c r="J167" s="455"/>
      <c r="K167" s="456">
        <f>SUM(J168:J172)</f>
        <v>8994.6389941399975</v>
      </c>
      <c r="L167" s="496">
        <f>K167/$K$375</f>
        <v>2.1472918759418069E-3</v>
      </c>
    </row>
    <row r="168" spans="1:14" ht="55.15" customHeight="1" x14ac:dyDescent="0.25">
      <c r="A168" s="492" t="s">
        <v>493</v>
      </c>
      <c r="B168" s="425">
        <v>92413</v>
      </c>
      <c r="C168" s="426" t="s">
        <v>321</v>
      </c>
      <c r="D168" s="438" t="s">
        <v>21</v>
      </c>
      <c r="E168" s="439" t="s">
        <v>2</v>
      </c>
      <c r="F168" s="440">
        <v>28.22</v>
      </c>
      <c r="G168" s="439">
        <v>110.63</v>
      </c>
      <c r="H168" s="441">
        <f t="shared" si="119"/>
        <v>3121.9785999999999</v>
      </c>
      <c r="I168" s="441">
        <f>IF($G168="SEM",0,G168*(1+'BDI SERVIÇOS'!$Z$21))</f>
        <v>135.22304899999997</v>
      </c>
      <c r="J168" s="441">
        <f t="shared" si="120"/>
        <v>3815.9944427799992</v>
      </c>
      <c r="K168" s="444"/>
      <c r="L168" s="491"/>
      <c r="N168" s="101"/>
    </row>
    <row r="169" spans="1:14" ht="40.15" customHeight="1" x14ac:dyDescent="0.25">
      <c r="A169" s="492" t="s">
        <v>494</v>
      </c>
      <c r="B169" s="425">
        <v>92760</v>
      </c>
      <c r="C169" s="426" t="s">
        <v>321</v>
      </c>
      <c r="D169" s="438" t="s">
        <v>31</v>
      </c>
      <c r="E169" s="439" t="s">
        <v>10</v>
      </c>
      <c r="F169" s="440">
        <v>34</v>
      </c>
      <c r="G169" s="439">
        <v>13.42</v>
      </c>
      <c r="H169" s="441">
        <f t="shared" si="119"/>
        <v>456.28</v>
      </c>
      <c r="I169" s="441">
        <f>IF($G169="SEM",0,G169*(1+'BDI SERVIÇOS'!$Z$21))</f>
        <v>16.403265999999999</v>
      </c>
      <c r="J169" s="441">
        <f t="shared" si="120"/>
        <v>557.7110439999999</v>
      </c>
      <c r="K169" s="441"/>
      <c r="L169" s="491"/>
    </row>
    <row r="170" spans="1:14" ht="40.15" customHeight="1" x14ac:dyDescent="0.25">
      <c r="A170" s="492" t="s">
        <v>495</v>
      </c>
      <c r="B170" s="425">
        <v>92763</v>
      </c>
      <c r="C170" s="426" t="s">
        <v>321</v>
      </c>
      <c r="D170" s="438" t="s">
        <v>33</v>
      </c>
      <c r="E170" s="439" t="s">
        <v>10</v>
      </c>
      <c r="F170" s="440">
        <v>25</v>
      </c>
      <c r="G170" s="439">
        <v>9.18</v>
      </c>
      <c r="H170" s="441">
        <f t="shared" ref="H170:H171" si="121">IF($G170="SEM",0,F170*G170)</f>
        <v>229.5</v>
      </c>
      <c r="I170" s="441">
        <f>IF($G170="SEM",0,G170*(1+'BDI SERVIÇOS'!$Z$21))</f>
        <v>11.220713999999999</v>
      </c>
      <c r="J170" s="441">
        <f t="shared" ref="J170:J171" si="122">F170*I170</f>
        <v>280.51784999999995</v>
      </c>
      <c r="K170" s="441"/>
      <c r="L170" s="491"/>
    </row>
    <row r="171" spans="1:14" ht="40.15" customHeight="1" x14ac:dyDescent="0.25">
      <c r="A171" s="492" t="s">
        <v>496</v>
      </c>
      <c r="B171" s="425">
        <v>92764</v>
      </c>
      <c r="C171" s="426" t="s">
        <v>321</v>
      </c>
      <c r="D171" s="438" t="s">
        <v>34</v>
      </c>
      <c r="E171" s="439" t="s">
        <v>10</v>
      </c>
      <c r="F171" s="440">
        <v>242</v>
      </c>
      <c r="G171" s="439">
        <v>8.85</v>
      </c>
      <c r="H171" s="441">
        <f t="shared" si="121"/>
        <v>2141.6999999999998</v>
      </c>
      <c r="I171" s="441">
        <f>IF($G171="SEM",0,G171*(1+'BDI SERVIÇOS'!$Z$21))</f>
        <v>10.817354999999999</v>
      </c>
      <c r="J171" s="441">
        <f t="shared" si="122"/>
        <v>2617.7999099999997</v>
      </c>
      <c r="K171" s="441"/>
      <c r="L171" s="491"/>
    </row>
    <row r="172" spans="1:14" ht="40.15" customHeight="1" x14ac:dyDescent="0.25">
      <c r="A172" s="492" t="s">
        <v>497</v>
      </c>
      <c r="B172" s="425">
        <v>103669</v>
      </c>
      <c r="C172" s="426" t="s">
        <v>321</v>
      </c>
      <c r="D172" s="438" t="s">
        <v>1730</v>
      </c>
      <c r="E172" s="439" t="s">
        <v>3</v>
      </c>
      <c r="F172" s="440">
        <v>1.41</v>
      </c>
      <c r="G172" s="439">
        <v>999.52</v>
      </c>
      <c r="H172" s="441">
        <f t="shared" ref="H172" si="123">IF($G172="SEM",0,F172*G172)</f>
        <v>1409.3231999999998</v>
      </c>
      <c r="I172" s="441">
        <f>IF($G172="SEM",0,G172*(1+'BDI SERVIÇOS'!$Z$21))</f>
        <v>1221.7132959999999</v>
      </c>
      <c r="J172" s="441">
        <f t="shared" ref="J172" si="124">F172*I172</f>
        <v>1722.6157473599997</v>
      </c>
      <c r="K172" s="441"/>
      <c r="L172" s="491"/>
    </row>
    <row r="173" spans="1:14" ht="24" customHeight="1" x14ac:dyDescent="0.25">
      <c r="A173" s="495" t="s">
        <v>498</v>
      </c>
      <c r="B173" s="451"/>
      <c r="C173" s="452"/>
      <c r="D173" s="453" t="s">
        <v>499</v>
      </c>
      <c r="E173" s="453"/>
      <c r="F173" s="454"/>
      <c r="G173" s="453"/>
      <c r="H173" s="455"/>
      <c r="I173" s="455"/>
      <c r="J173" s="455"/>
      <c r="K173" s="456">
        <f>SUM(J174:J179)</f>
        <v>49789.327343459998</v>
      </c>
      <c r="L173" s="496">
        <f>K173/$K$375</f>
        <v>1.1886215576063938E-2</v>
      </c>
    </row>
    <row r="174" spans="1:14" ht="55.15" customHeight="1" x14ac:dyDescent="0.25">
      <c r="A174" s="492" t="s">
        <v>500</v>
      </c>
      <c r="B174" s="425">
        <v>100341</v>
      </c>
      <c r="C174" s="426" t="s">
        <v>321</v>
      </c>
      <c r="D174" s="438" t="s">
        <v>1736</v>
      </c>
      <c r="E174" s="439" t="s">
        <v>2</v>
      </c>
      <c r="F174" s="440">
        <v>177.5</v>
      </c>
      <c r="G174" s="439">
        <v>42.01</v>
      </c>
      <c r="H174" s="441">
        <f t="shared" ref="H174" si="125">IF($G174="SEM",0,F174*G174)</f>
        <v>7456.7749999999996</v>
      </c>
      <c r="I174" s="441">
        <f>IF($G174="SEM",0,G174*(1+'BDI SERVIÇOS'!$Z$21))</f>
        <v>51.348822999999996</v>
      </c>
      <c r="J174" s="441">
        <f t="shared" ref="J174" si="126">F174*I174</f>
        <v>9114.4160824999999</v>
      </c>
      <c r="K174" s="444"/>
      <c r="L174" s="491"/>
      <c r="N174" s="101"/>
    </row>
    <row r="175" spans="1:14" ht="39.75" customHeight="1" x14ac:dyDescent="0.25">
      <c r="A175" s="492" t="s">
        <v>501</v>
      </c>
      <c r="B175" s="425">
        <v>100342</v>
      </c>
      <c r="C175" s="426" t="s">
        <v>321</v>
      </c>
      <c r="D175" s="438" t="s">
        <v>1734</v>
      </c>
      <c r="E175" s="439" t="s">
        <v>10</v>
      </c>
      <c r="F175" s="440">
        <v>222</v>
      </c>
      <c r="G175" s="439">
        <v>17.54</v>
      </c>
      <c r="H175" s="441">
        <f t="shared" ref="H175" si="127">IF($G175="SEM",0,F175*G175)</f>
        <v>3893.8799999999997</v>
      </c>
      <c r="I175" s="441">
        <f>IF($G175="SEM",0,G175*(1+'BDI SERVIÇOS'!$Z$21))</f>
        <v>21.439141999999997</v>
      </c>
      <c r="J175" s="441">
        <f t="shared" ref="J175" si="128">F175*I175</f>
        <v>4759.4895239999996</v>
      </c>
      <c r="K175" s="441"/>
      <c r="L175" s="491"/>
    </row>
    <row r="176" spans="1:14" ht="40.15" customHeight="1" x14ac:dyDescent="0.25">
      <c r="A176" s="492" t="s">
        <v>502</v>
      </c>
      <c r="B176" s="425">
        <v>100345</v>
      </c>
      <c r="C176" s="426" t="s">
        <v>321</v>
      </c>
      <c r="D176" s="438" t="s">
        <v>1732</v>
      </c>
      <c r="E176" s="439" t="s">
        <v>10</v>
      </c>
      <c r="F176" s="440">
        <v>1399</v>
      </c>
      <c r="G176" s="439">
        <v>9.66</v>
      </c>
      <c r="H176" s="441">
        <f t="shared" ref="H176" si="129">IF($G176="SEM",0,F176*G176)</f>
        <v>13514.34</v>
      </c>
      <c r="I176" s="441">
        <f>IF($G176="SEM",0,G176*(1+'BDI SERVIÇOS'!$Z$21))</f>
        <v>11.807418</v>
      </c>
      <c r="J176" s="441">
        <f t="shared" ref="J176" si="130">F176*I176</f>
        <v>16518.577782</v>
      </c>
      <c r="K176" s="441"/>
      <c r="L176" s="491"/>
    </row>
    <row r="177" spans="1:14" ht="39.75" customHeight="1" x14ac:dyDescent="0.25">
      <c r="A177" s="492" t="s">
        <v>503</v>
      </c>
      <c r="B177" s="425">
        <v>100346</v>
      </c>
      <c r="C177" s="426" t="s">
        <v>321</v>
      </c>
      <c r="D177" s="438" t="s">
        <v>1733</v>
      </c>
      <c r="E177" s="439" t="s">
        <v>10</v>
      </c>
      <c r="F177" s="440">
        <v>187</v>
      </c>
      <c r="G177" s="439">
        <v>9.2100000000000009</v>
      </c>
      <c r="H177" s="441">
        <f t="shared" ref="H177" si="131">IF($G177="SEM",0,F177*G177)</f>
        <v>1722.2700000000002</v>
      </c>
      <c r="I177" s="441">
        <f>IF($G177="SEM",0,G177*(1+'BDI SERVIÇOS'!$Z$21))</f>
        <v>11.257383000000001</v>
      </c>
      <c r="J177" s="441">
        <f t="shared" ref="J177" si="132">F177*I177</f>
        <v>2105.1306210000002</v>
      </c>
      <c r="K177" s="441"/>
      <c r="L177" s="491"/>
    </row>
    <row r="178" spans="1:14" ht="24" customHeight="1" x14ac:dyDescent="0.25">
      <c r="A178" s="492" t="s">
        <v>504</v>
      </c>
      <c r="B178" s="425">
        <v>92800</v>
      </c>
      <c r="C178" s="426" t="s">
        <v>321</v>
      </c>
      <c r="D178" s="438" t="s">
        <v>36</v>
      </c>
      <c r="E178" s="439" t="s">
        <v>10</v>
      </c>
      <c r="F178" s="440">
        <v>189</v>
      </c>
      <c r="G178" s="439">
        <v>9.98</v>
      </c>
      <c r="H178" s="441">
        <f t="shared" ref="H178:H179" si="133">IF($G178="SEM",0,F178*G178)</f>
        <v>1886.22</v>
      </c>
      <c r="I178" s="441">
        <f>IF($G178="SEM",0,G178*(1+'BDI SERVIÇOS'!$Z$21))</f>
        <v>12.198554</v>
      </c>
      <c r="J178" s="441">
        <f t="shared" ref="J178:J179" si="134">F178*I178</f>
        <v>2305.5267060000001</v>
      </c>
      <c r="K178" s="441"/>
      <c r="L178" s="491"/>
    </row>
    <row r="179" spans="1:14" ht="39.75" customHeight="1" x14ac:dyDescent="0.25">
      <c r="A179" s="492" t="s">
        <v>505</v>
      </c>
      <c r="B179" s="425">
        <v>100349</v>
      </c>
      <c r="C179" s="426" t="s">
        <v>321</v>
      </c>
      <c r="D179" s="438" t="s">
        <v>1735</v>
      </c>
      <c r="E179" s="439" t="s">
        <v>3</v>
      </c>
      <c r="F179" s="440">
        <v>17.72</v>
      </c>
      <c r="G179" s="439">
        <v>691.91</v>
      </c>
      <c r="H179" s="441">
        <f t="shared" si="133"/>
        <v>12260.645199999999</v>
      </c>
      <c r="I179" s="441">
        <f>IF($G179="SEM",0,G179*(1+'BDI SERVIÇOS'!$Z$21))</f>
        <v>845.72159299999987</v>
      </c>
      <c r="J179" s="441">
        <f t="shared" si="134"/>
        <v>14986.186627959996</v>
      </c>
      <c r="K179" s="441"/>
      <c r="L179" s="491"/>
    </row>
    <row r="180" spans="1:14" ht="24" customHeight="1" x14ac:dyDescent="0.25">
      <c r="A180" s="488">
        <v>5</v>
      </c>
      <c r="B180" s="433"/>
      <c r="C180" s="434"/>
      <c r="D180" s="432" t="s">
        <v>506</v>
      </c>
      <c r="E180" s="433"/>
      <c r="F180" s="435"/>
      <c r="G180" s="436"/>
      <c r="H180" s="436"/>
      <c r="I180" s="436"/>
      <c r="J180" s="436"/>
      <c r="K180" s="437">
        <f>SUM(K181+K197)</f>
        <v>25587.601535053691</v>
      </c>
      <c r="L180" s="489">
        <f>K180/$K$375</f>
        <v>6.1085329757929047E-3</v>
      </c>
    </row>
    <row r="181" spans="1:14" ht="24" customHeight="1" x14ac:dyDescent="0.25">
      <c r="A181" s="493" t="s">
        <v>507</v>
      </c>
      <c r="B181" s="445"/>
      <c r="C181" s="446"/>
      <c r="D181" s="447" t="s">
        <v>508</v>
      </c>
      <c r="E181" s="447"/>
      <c r="F181" s="448"/>
      <c r="G181" s="447"/>
      <c r="H181" s="449"/>
      <c r="I181" s="449"/>
      <c r="J181" s="449"/>
      <c r="K181" s="450">
        <f>SUM(K182+K188+K190+K193+K195)</f>
        <v>19388.988152938691</v>
      </c>
      <c r="L181" s="494">
        <f>K181/$K$375</f>
        <v>4.6287368254202977E-3</v>
      </c>
    </row>
    <row r="182" spans="1:14" ht="24" customHeight="1" x14ac:dyDescent="0.25">
      <c r="A182" s="495" t="s">
        <v>509</v>
      </c>
      <c r="B182" s="451"/>
      <c r="C182" s="452"/>
      <c r="D182" s="453" t="s">
        <v>510</v>
      </c>
      <c r="E182" s="453"/>
      <c r="F182" s="454"/>
      <c r="G182" s="453"/>
      <c r="H182" s="455"/>
      <c r="I182" s="455"/>
      <c r="J182" s="455"/>
      <c r="K182" s="456">
        <f>SUM(J183:J187)</f>
        <v>11074.617834674</v>
      </c>
      <c r="L182" s="496">
        <f>K182/$K$375</f>
        <v>2.6438456197128831E-3</v>
      </c>
    </row>
    <row r="183" spans="1:14" ht="70.150000000000006" customHeight="1" x14ac:dyDescent="0.25">
      <c r="A183" s="497" t="s">
        <v>511</v>
      </c>
      <c r="B183" s="442" t="s">
        <v>172</v>
      </c>
      <c r="C183" s="426" t="s">
        <v>323</v>
      </c>
      <c r="D183" s="438" t="s">
        <v>173</v>
      </c>
      <c r="E183" s="439" t="s">
        <v>156</v>
      </c>
      <c r="F183" s="443">
        <v>286.11</v>
      </c>
      <c r="G183" s="439">
        <v>20.05</v>
      </c>
      <c r="H183" s="441">
        <f t="shared" ref="H183" si="135">IF($G183="SEM",0,F183*G183)</f>
        <v>5736.5055000000002</v>
      </c>
      <c r="I183" s="441">
        <f>IF($G183="SEM",0,G183*(1+'BDI SERVIÇOS'!$Z$21))</f>
        <v>24.507114999999999</v>
      </c>
      <c r="J183" s="441">
        <f t="shared" ref="J183" si="136">F183*I183</f>
        <v>7011.7306726500001</v>
      </c>
      <c r="K183" s="441"/>
      <c r="L183" s="491"/>
    </row>
    <row r="184" spans="1:14" ht="55.15" customHeight="1" x14ac:dyDescent="0.25">
      <c r="A184" s="492" t="s">
        <v>512</v>
      </c>
      <c r="B184" s="425" t="s">
        <v>170</v>
      </c>
      <c r="C184" s="426" t="s">
        <v>323</v>
      </c>
      <c r="D184" s="438" t="s">
        <v>171</v>
      </c>
      <c r="E184" s="439" t="s">
        <v>156</v>
      </c>
      <c r="F184" s="443">
        <v>28.28</v>
      </c>
      <c r="G184" s="439">
        <v>18.71</v>
      </c>
      <c r="H184" s="441">
        <f t="shared" ref="H184" si="137">IF($G184="SEM",0,F184*G184)</f>
        <v>529.11880000000008</v>
      </c>
      <c r="I184" s="441">
        <f>IF($G184="SEM",0,G184*(1+'BDI SERVIÇOS'!$Z$21))</f>
        <v>22.869233000000001</v>
      </c>
      <c r="J184" s="441">
        <f t="shared" ref="J184" si="138">F184*I184</f>
        <v>646.74190924000004</v>
      </c>
      <c r="K184" s="444"/>
      <c r="L184" s="491"/>
      <c r="N184" s="101"/>
    </row>
    <row r="185" spans="1:14" ht="70.150000000000006" customHeight="1" x14ac:dyDescent="0.25">
      <c r="A185" s="497" t="s">
        <v>513</v>
      </c>
      <c r="B185" s="442" t="s">
        <v>168</v>
      </c>
      <c r="C185" s="426" t="s">
        <v>323</v>
      </c>
      <c r="D185" s="438" t="s">
        <v>169</v>
      </c>
      <c r="E185" s="439" t="s">
        <v>156</v>
      </c>
      <c r="F185" s="443">
        <f>'MC DEMOLIÇÕES E REMOÇÕES'!E181</f>
        <v>45.371999999999986</v>
      </c>
      <c r="G185" s="439">
        <v>23.39</v>
      </c>
      <c r="H185" s="441">
        <f t="shared" ref="H185" si="139">IF($G185="SEM",0,F185*G185)</f>
        <v>1061.2510799999998</v>
      </c>
      <c r="I185" s="441">
        <f>IF($G185="SEM",0,G185*(1+'BDI SERVIÇOS'!$Z$21))</f>
        <v>28.589596999999998</v>
      </c>
      <c r="J185" s="441">
        <f t="shared" ref="J185" si="140">F185*I185</f>
        <v>1297.1671950839996</v>
      </c>
      <c r="K185" s="441"/>
      <c r="L185" s="491"/>
    </row>
    <row r="186" spans="1:14" ht="39.75" customHeight="1" x14ac:dyDescent="0.25">
      <c r="A186" s="492" t="s">
        <v>514</v>
      </c>
      <c r="B186" s="425">
        <v>97631</v>
      </c>
      <c r="C186" s="426" t="s">
        <v>321</v>
      </c>
      <c r="D186" s="438" t="s">
        <v>132</v>
      </c>
      <c r="E186" s="439" t="s">
        <v>2</v>
      </c>
      <c r="F186" s="440">
        <f>F184+F185</f>
        <v>73.651999999999987</v>
      </c>
      <c r="G186" s="439">
        <v>12.35</v>
      </c>
      <c r="H186" s="441">
        <f t="shared" ref="H186" si="141">IF($G186="SEM",0,F186*G186)</f>
        <v>909.60219999999981</v>
      </c>
      <c r="I186" s="441">
        <f>IF($G186="SEM",0,G186*(1+'BDI SERVIÇOS'!$Z$21))</f>
        <v>15.095405</v>
      </c>
      <c r="J186" s="441">
        <f t="shared" ref="J186" si="142">F186*I186</f>
        <v>1111.8067690599999</v>
      </c>
      <c r="K186" s="441"/>
      <c r="L186" s="491"/>
    </row>
    <row r="187" spans="1:14" ht="39.75" customHeight="1" x14ac:dyDescent="0.25">
      <c r="A187" s="492" t="s">
        <v>515</v>
      </c>
      <c r="B187" s="425">
        <v>97632</v>
      </c>
      <c r="C187" s="426" t="s">
        <v>321</v>
      </c>
      <c r="D187" s="438" t="s">
        <v>133</v>
      </c>
      <c r="E187" s="439" t="s">
        <v>0</v>
      </c>
      <c r="F187" s="440">
        <f>'MC DEMOLIÇÕES E REMOÇÕES'!E38</f>
        <v>286.11</v>
      </c>
      <c r="G187" s="439">
        <v>2.88</v>
      </c>
      <c r="H187" s="441">
        <f t="shared" ref="H187" si="143">IF($G187="SEM",0,F187*G187)</f>
        <v>823.99680000000001</v>
      </c>
      <c r="I187" s="441">
        <f>IF($G187="SEM",0,G187*(1+'BDI SERVIÇOS'!$Z$21))</f>
        <v>3.5202239999999998</v>
      </c>
      <c r="J187" s="441">
        <f t="shared" ref="J187" si="144">F187*I187</f>
        <v>1007.1712886399999</v>
      </c>
      <c r="K187" s="441"/>
      <c r="L187" s="491"/>
    </row>
    <row r="188" spans="1:14" ht="24" customHeight="1" x14ac:dyDescent="0.25">
      <c r="A188" s="495" t="s">
        <v>516</v>
      </c>
      <c r="B188" s="451"/>
      <c r="C188" s="452"/>
      <c r="D188" s="453" t="s">
        <v>517</v>
      </c>
      <c r="E188" s="453"/>
      <c r="F188" s="454"/>
      <c r="G188" s="453"/>
      <c r="H188" s="455"/>
      <c r="I188" s="455"/>
      <c r="J188" s="455"/>
      <c r="K188" s="456">
        <f>SUM(J189)</f>
        <v>6934.5861088188658</v>
      </c>
      <c r="L188" s="496">
        <f>K188/$K$375</f>
        <v>1.6554950592443858E-3</v>
      </c>
    </row>
    <row r="189" spans="1:14" ht="55.15" customHeight="1" x14ac:dyDescent="0.25">
      <c r="A189" s="492" t="s">
        <v>518</v>
      </c>
      <c r="B189" s="425" t="s">
        <v>162</v>
      </c>
      <c r="C189" s="426" t="s">
        <v>323</v>
      </c>
      <c r="D189" s="438" t="s">
        <v>163</v>
      </c>
      <c r="E189" s="439" t="s">
        <v>161</v>
      </c>
      <c r="F189" s="443">
        <f>'MC DEMOLIÇÕES E REMOÇÕES'!$E$104+'MC DEMOLIÇÕES E REMOÇÕES'!$E$147</f>
        <v>48.010419199999994</v>
      </c>
      <c r="G189" s="439">
        <v>118.17</v>
      </c>
      <c r="H189" s="441">
        <f t="shared" ref="H189" si="145">IF($G189="SEM",0,F189*G189)</f>
        <v>5673.3912368639994</v>
      </c>
      <c r="I189" s="441">
        <f>IF($G189="SEM",0,G189*(1+'BDI SERVIÇOS'!$Z$21))</f>
        <v>144.43919099999999</v>
      </c>
      <c r="J189" s="441">
        <f t="shared" ref="J189" si="146">F189*I189</f>
        <v>6934.5861088188658</v>
      </c>
      <c r="K189" s="444"/>
      <c r="L189" s="491"/>
      <c r="N189" s="101"/>
    </row>
    <row r="190" spans="1:14" ht="24" customHeight="1" x14ac:dyDescent="0.25">
      <c r="A190" s="495" t="s">
        <v>519</v>
      </c>
      <c r="B190" s="451"/>
      <c r="C190" s="452"/>
      <c r="D190" s="453" t="s">
        <v>520</v>
      </c>
      <c r="E190" s="453"/>
      <c r="F190" s="454"/>
      <c r="G190" s="453"/>
      <c r="H190" s="455"/>
      <c r="I190" s="455"/>
      <c r="J190" s="455"/>
      <c r="K190" s="456">
        <f>SUM(J191:J192)</f>
        <v>658.76211714142505</v>
      </c>
      <c r="L190" s="496">
        <f>K190/$K$375</f>
        <v>1.5726640538187117E-4</v>
      </c>
    </row>
    <row r="191" spans="1:14" ht="24" customHeight="1" x14ac:dyDescent="0.25">
      <c r="A191" s="589" t="s">
        <v>521</v>
      </c>
      <c r="B191" s="590">
        <v>22743</v>
      </c>
      <c r="C191" s="591" t="s">
        <v>448</v>
      </c>
      <c r="D191" s="592" t="s">
        <v>522</v>
      </c>
      <c r="E191" s="593" t="s">
        <v>523</v>
      </c>
      <c r="F191" s="594">
        <f>'MC DEMOLIÇÕES E REMOÇÕES'!E369</f>
        <v>2.17605</v>
      </c>
      <c r="G191" s="593">
        <v>213.62</v>
      </c>
      <c r="H191" s="595">
        <f t="shared" ref="H191" si="147">IF($G191="SEM",0,F191*G191)</f>
        <v>464.847801</v>
      </c>
      <c r="I191" s="595">
        <f>IF($G191="SEM",0,G191*(1+'BDI SERVIÇOS'!$Z$21))</f>
        <v>261.10772600000001</v>
      </c>
      <c r="J191" s="595">
        <f t="shared" ref="J191" si="148">F191*I191</f>
        <v>568.18346716230008</v>
      </c>
      <c r="K191" s="595"/>
      <c r="L191" s="596"/>
    </row>
    <row r="192" spans="1:14" ht="40.15" customHeight="1" x14ac:dyDescent="0.25">
      <c r="A192" s="492" t="s">
        <v>524</v>
      </c>
      <c r="B192" s="425">
        <v>97625</v>
      </c>
      <c r="C192" s="426" t="s">
        <v>321</v>
      </c>
      <c r="D192" s="438" t="s">
        <v>130</v>
      </c>
      <c r="E192" s="439" t="s">
        <v>3</v>
      </c>
      <c r="F192" s="440">
        <f>'MC DEMOLIÇÕES E REMOÇÕES'!E399</f>
        <v>1.334025</v>
      </c>
      <c r="G192" s="439">
        <v>55.55</v>
      </c>
      <c r="H192" s="441">
        <f t="shared" ref="H192" si="149">IF($G192="SEM",0,F192*G192)</f>
        <v>74.105088749999993</v>
      </c>
      <c r="I192" s="441">
        <f>IF($G192="SEM",0,G192*(1+'BDI SERVIÇOS'!$Z$21))</f>
        <v>67.898764999999997</v>
      </c>
      <c r="J192" s="441">
        <f t="shared" ref="J192" si="150">F192*I192</f>
        <v>90.578649979125004</v>
      </c>
      <c r="K192" s="441"/>
      <c r="L192" s="491"/>
    </row>
    <row r="193" spans="1:12" ht="24" customHeight="1" x14ac:dyDescent="0.25">
      <c r="A193" s="495" t="s">
        <v>525</v>
      </c>
      <c r="B193" s="451"/>
      <c r="C193" s="452"/>
      <c r="D193" s="453" t="s">
        <v>526</v>
      </c>
      <c r="E193" s="453"/>
      <c r="F193" s="454"/>
      <c r="G193" s="453"/>
      <c r="H193" s="455"/>
      <c r="I193" s="455"/>
      <c r="J193" s="455"/>
      <c r="K193" s="456">
        <f>SUM(J194)</f>
        <v>340.82918775000002</v>
      </c>
      <c r="L193" s="496">
        <f>K193/$K$375</f>
        <v>8.1366216744910614E-5</v>
      </c>
    </row>
    <row r="194" spans="1:12" ht="24" customHeight="1" x14ac:dyDescent="0.25">
      <c r="A194" s="589" t="s">
        <v>527</v>
      </c>
      <c r="B194" s="590">
        <v>22378</v>
      </c>
      <c r="C194" s="591" t="s">
        <v>448</v>
      </c>
      <c r="D194" s="592" t="s">
        <v>528</v>
      </c>
      <c r="E194" s="593" t="s">
        <v>360</v>
      </c>
      <c r="F194" s="594">
        <f>'MC DEMOLIÇÕES E REMOÇÕES'!E429</f>
        <v>2.4300000000000002</v>
      </c>
      <c r="G194" s="593">
        <v>114.75</v>
      </c>
      <c r="H194" s="595">
        <f t="shared" ref="H194" si="151">IF($G194="SEM",0,F194*G194)</f>
        <v>278.84250000000003</v>
      </c>
      <c r="I194" s="595">
        <f>IF($G194="SEM",0,G194*(1+'BDI SERVIÇOS'!$Z$21))</f>
        <v>140.258925</v>
      </c>
      <c r="J194" s="595">
        <f t="shared" ref="J194" si="152">F194*I194</f>
        <v>340.82918775000002</v>
      </c>
      <c r="K194" s="595"/>
      <c r="L194" s="596"/>
    </row>
    <row r="195" spans="1:12" ht="24" customHeight="1" x14ac:dyDescent="0.25">
      <c r="A195" s="495" t="s">
        <v>529</v>
      </c>
      <c r="B195" s="451"/>
      <c r="C195" s="452"/>
      <c r="D195" s="453" t="s">
        <v>530</v>
      </c>
      <c r="E195" s="453"/>
      <c r="F195" s="454"/>
      <c r="G195" s="453"/>
      <c r="H195" s="455"/>
      <c r="I195" s="455"/>
      <c r="J195" s="455"/>
      <c r="K195" s="456">
        <f>SUM(J196)</f>
        <v>380.19290455440006</v>
      </c>
      <c r="L195" s="496">
        <f>K195/$K$375</f>
        <v>9.0763524336247013E-5</v>
      </c>
    </row>
    <row r="196" spans="1:12" ht="40.15" customHeight="1" x14ac:dyDescent="0.25">
      <c r="A196" s="492" t="s">
        <v>531</v>
      </c>
      <c r="B196" s="425">
        <v>97627</v>
      </c>
      <c r="C196" s="426" t="s">
        <v>321</v>
      </c>
      <c r="D196" s="438" t="s">
        <v>131</v>
      </c>
      <c r="E196" s="439" t="s">
        <v>3</v>
      </c>
      <c r="F196" s="440">
        <f>'MC DEMOLIÇÕES E REMOÇÕES'!E459</f>
        <v>1.5228000000000004</v>
      </c>
      <c r="G196" s="439">
        <v>204.26</v>
      </c>
      <c r="H196" s="441">
        <f t="shared" ref="H196" si="153">IF($G196="SEM",0,F196*G196)</f>
        <v>311.04712800000004</v>
      </c>
      <c r="I196" s="441">
        <f>IF($G196="SEM",0,G196*(1+'BDI SERVIÇOS'!$Z$21))</f>
        <v>249.66699799999998</v>
      </c>
      <c r="J196" s="441">
        <f t="shared" ref="J196" si="154">F196*I196</f>
        <v>380.19290455440006</v>
      </c>
      <c r="K196" s="441"/>
      <c r="L196" s="491"/>
    </row>
    <row r="197" spans="1:12" ht="25.15" customHeight="1" x14ac:dyDescent="0.25">
      <c r="A197" s="493" t="s">
        <v>532</v>
      </c>
      <c r="B197" s="445"/>
      <c r="C197" s="446"/>
      <c r="D197" s="447" t="s">
        <v>533</v>
      </c>
      <c r="E197" s="447"/>
      <c r="F197" s="448"/>
      <c r="G197" s="447"/>
      <c r="H197" s="449"/>
      <c r="I197" s="449"/>
      <c r="J197" s="449"/>
      <c r="K197" s="450">
        <f>SUM(K198+K202+K204)</f>
        <v>6198.6133821150006</v>
      </c>
      <c r="L197" s="494">
        <f>K197/$K$375</f>
        <v>1.4797961503726072E-3</v>
      </c>
    </row>
    <row r="198" spans="1:12" ht="24" customHeight="1" x14ac:dyDescent="0.25">
      <c r="A198" s="495" t="s">
        <v>534</v>
      </c>
      <c r="B198" s="451"/>
      <c r="C198" s="452"/>
      <c r="D198" s="453" t="s">
        <v>535</v>
      </c>
      <c r="E198" s="453"/>
      <c r="F198" s="454"/>
      <c r="G198" s="453"/>
      <c r="H198" s="455"/>
      <c r="I198" s="455"/>
      <c r="J198" s="455"/>
      <c r="K198" s="456">
        <f>SUM(J199:J201)</f>
        <v>5669.6655017150006</v>
      </c>
      <c r="L198" s="496">
        <f>K198/$K$375</f>
        <v>1.3535203223911244E-3</v>
      </c>
    </row>
    <row r="199" spans="1:12" ht="40.15" customHeight="1" x14ac:dyDescent="0.25">
      <c r="A199" s="492" t="s">
        <v>536</v>
      </c>
      <c r="B199" s="425">
        <v>97644</v>
      </c>
      <c r="C199" s="426" t="s">
        <v>321</v>
      </c>
      <c r="D199" s="438" t="s">
        <v>134</v>
      </c>
      <c r="E199" s="439" t="s">
        <v>2</v>
      </c>
      <c r="F199" s="440">
        <f>'MC DEMOLIÇÕES E REMOÇÕES'!E224</f>
        <v>35.300000000000004</v>
      </c>
      <c r="G199" s="439">
        <v>10.35</v>
      </c>
      <c r="H199" s="441">
        <f t="shared" ref="H199" si="155">IF($G199="SEM",0,F199*G199)</f>
        <v>365.35500000000002</v>
      </c>
      <c r="I199" s="441">
        <f>IF($G199="SEM",0,G199*(1+'BDI SERVIÇOS'!$Z$21))</f>
        <v>12.650804999999998</v>
      </c>
      <c r="J199" s="441">
        <f t="shared" ref="J199" si="156">F199*I199</f>
        <v>446.57341650000001</v>
      </c>
      <c r="K199" s="441"/>
      <c r="L199" s="491"/>
    </row>
    <row r="200" spans="1:12" ht="40.15" customHeight="1" x14ac:dyDescent="0.25">
      <c r="A200" s="492" t="s">
        <v>537</v>
      </c>
      <c r="B200" s="425">
        <v>97645</v>
      </c>
      <c r="C200" s="426" t="s">
        <v>321</v>
      </c>
      <c r="D200" s="438" t="s">
        <v>135</v>
      </c>
      <c r="E200" s="439" t="s">
        <v>2</v>
      </c>
      <c r="F200" s="440">
        <f>'MC DEMOLIÇÕES E REMOÇÕES'!E265</f>
        <v>34.846674999999998</v>
      </c>
      <c r="G200" s="439">
        <v>26.72</v>
      </c>
      <c r="H200" s="441">
        <f t="shared" ref="H200" si="157">IF($G200="SEM",0,F200*G200)</f>
        <v>931.1031559999999</v>
      </c>
      <c r="I200" s="441">
        <f>IF($G200="SEM",0,G200*(1+'BDI SERVIÇOS'!$Z$21))</f>
        <v>32.659855999999998</v>
      </c>
      <c r="J200" s="441">
        <f t="shared" ref="J200" si="158">F200*I200</f>
        <v>1138.0873875787997</v>
      </c>
      <c r="K200" s="441"/>
      <c r="L200" s="491"/>
    </row>
    <row r="201" spans="1:12" ht="40.15" customHeight="1" x14ac:dyDescent="0.25">
      <c r="A201" s="492" t="s">
        <v>538</v>
      </c>
      <c r="B201" s="425">
        <v>227</v>
      </c>
      <c r="C201" s="426" t="s">
        <v>539</v>
      </c>
      <c r="D201" s="438" t="s">
        <v>1824</v>
      </c>
      <c r="E201" s="439" t="s">
        <v>540</v>
      </c>
      <c r="F201" s="440">
        <f>'MC DEMOLIÇÕES E REMOÇÕES'!E299</f>
        <v>60.065850000000012</v>
      </c>
      <c r="G201" s="439">
        <v>55.64</v>
      </c>
      <c r="H201" s="441">
        <f t="shared" ref="H201" si="159">IF($G201="SEM",0,F201*G201)</f>
        <v>3342.0638940000008</v>
      </c>
      <c r="I201" s="441">
        <f>IF($G201="SEM",0,G201*(1+'BDI SERVIÇOS'!$Z$21))</f>
        <v>68.008771999999993</v>
      </c>
      <c r="J201" s="441">
        <f t="shared" ref="J201" si="160">F201*I201</f>
        <v>4085.0046976362005</v>
      </c>
      <c r="K201" s="441"/>
      <c r="L201" s="491"/>
    </row>
    <row r="202" spans="1:12" ht="25.15" customHeight="1" x14ac:dyDescent="0.25">
      <c r="A202" s="495" t="s">
        <v>541</v>
      </c>
      <c r="B202" s="451"/>
      <c r="C202" s="452"/>
      <c r="D202" s="453" t="s">
        <v>542</v>
      </c>
      <c r="E202" s="453"/>
      <c r="F202" s="454"/>
      <c r="G202" s="453"/>
      <c r="H202" s="455"/>
      <c r="I202" s="455"/>
      <c r="J202" s="455"/>
      <c r="K202" s="456">
        <f>SUM(J203)</f>
        <v>190.36100199999998</v>
      </c>
      <c r="L202" s="496">
        <f>K202/$K$375</f>
        <v>4.5444918173708736E-5</v>
      </c>
    </row>
    <row r="203" spans="1:12" ht="70.150000000000006" customHeight="1" x14ac:dyDescent="0.25">
      <c r="A203" s="497" t="s">
        <v>543</v>
      </c>
      <c r="B203" s="442" t="s">
        <v>159</v>
      </c>
      <c r="C203" s="426" t="s">
        <v>323</v>
      </c>
      <c r="D203" s="438" t="s">
        <v>160</v>
      </c>
      <c r="E203" s="439" t="s">
        <v>157</v>
      </c>
      <c r="F203" s="443">
        <f>'MC DEMOLIÇÕES E REMOÇÕES'!E338</f>
        <v>13</v>
      </c>
      <c r="G203" s="439">
        <v>11.98</v>
      </c>
      <c r="H203" s="441">
        <f t="shared" ref="H203" si="161">IF($G203="SEM",0,F203*G203)</f>
        <v>155.74</v>
      </c>
      <c r="I203" s="441">
        <f>IF($G203="SEM",0,G203*(1+'BDI SERVIÇOS'!$Z$21))</f>
        <v>14.643153999999999</v>
      </c>
      <c r="J203" s="441">
        <f t="shared" ref="J203" si="162">F203*I203</f>
        <v>190.36100199999998</v>
      </c>
      <c r="K203" s="441"/>
      <c r="L203" s="491"/>
    </row>
    <row r="204" spans="1:12" ht="49.9" customHeight="1" x14ac:dyDescent="0.25">
      <c r="A204" s="495" t="s">
        <v>544</v>
      </c>
      <c r="B204" s="451"/>
      <c r="C204" s="452"/>
      <c r="D204" s="453" t="s">
        <v>545</v>
      </c>
      <c r="E204" s="453"/>
      <c r="F204" s="454"/>
      <c r="G204" s="453"/>
      <c r="H204" s="455"/>
      <c r="I204" s="455"/>
      <c r="J204" s="455"/>
      <c r="K204" s="456">
        <f>SUM(J205:J207)</f>
        <v>338.58687839999999</v>
      </c>
      <c r="L204" s="496">
        <f>K204/$K$375</f>
        <v>8.0830909807773916E-5</v>
      </c>
    </row>
    <row r="205" spans="1:12" ht="39.75" customHeight="1" x14ac:dyDescent="0.25">
      <c r="A205" s="490" t="s">
        <v>546</v>
      </c>
      <c r="B205" s="425">
        <v>97663</v>
      </c>
      <c r="C205" s="426" t="s">
        <v>321</v>
      </c>
      <c r="D205" s="438" t="s">
        <v>136</v>
      </c>
      <c r="E205" s="439" t="s">
        <v>1</v>
      </c>
      <c r="F205" s="440">
        <f>'MC DEMOLIÇÕES E REMOÇÕES'!E500</f>
        <v>10</v>
      </c>
      <c r="G205" s="439">
        <v>13.68</v>
      </c>
      <c r="H205" s="441">
        <f t="shared" ref="H205" si="163">IF($G205="SEM",0,F205*G205)</f>
        <v>136.80000000000001</v>
      </c>
      <c r="I205" s="441">
        <f>IF($G205="SEM",0,G205*(1+'BDI SERVIÇOS'!$Z$21))</f>
        <v>16.721063999999998</v>
      </c>
      <c r="J205" s="441">
        <f t="shared" ref="J205" si="164">F205*I205</f>
        <v>167.21063999999998</v>
      </c>
      <c r="K205" s="441"/>
      <c r="L205" s="491"/>
    </row>
    <row r="206" spans="1:12" ht="39.75" customHeight="1" x14ac:dyDescent="0.25">
      <c r="A206" s="490" t="s">
        <v>547</v>
      </c>
      <c r="B206" s="425">
        <v>97666</v>
      </c>
      <c r="C206" s="426" t="s">
        <v>321</v>
      </c>
      <c r="D206" s="438" t="s">
        <v>137</v>
      </c>
      <c r="E206" s="439" t="s">
        <v>1</v>
      </c>
      <c r="F206" s="440">
        <f>'MC DEMOLIÇÕES E REMOÇÕES'!E501</f>
        <v>8</v>
      </c>
      <c r="G206" s="439">
        <v>9.9700000000000006</v>
      </c>
      <c r="H206" s="441">
        <f t="shared" ref="H206:H207" si="165">IF($G206="SEM",0,F206*G206)</f>
        <v>79.760000000000005</v>
      </c>
      <c r="I206" s="441">
        <f>IF($G206="SEM",0,G206*(1+'BDI SERVIÇOS'!$Z$21))</f>
        <v>12.186331000000001</v>
      </c>
      <c r="J206" s="441">
        <f t="shared" ref="J206:J207" si="166">F206*I206</f>
        <v>97.490648000000007</v>
      </c>
      <c r="K206" s="441"/>
      <c r="L206" s="491"/>
    </row>
    <row r="207" spans="1:12" ht="24" customHeight="1" x14ac:dyDescent="0.25">
      <c r="A207" s="589" t="s">
        <v>548</v>
      </c>
      <c r="B207" s="590">
        <v>22525</v>
      </c>
      <c r="C207" s="591" t="s">
        <v>448</v>
      </c>
      <c r="D207" s="592" t="s">
        <v>549</v>
      </c>
      <c r="E207" s="593" t="s">
        <v>0</v>
      </c>
      <c r="F207" s="594">
        <v>1.6</v>
      </c>
      <c r="G207" s="593">
        <v>37.78</v>
      </c>
      <c r="H207" s="595">
        <f t="shared" si="165"/>
        <v>60.448000000000008</v>
      </c>
      <c r="I207" s="595">
        <f>IF($G207="SEM",0,G207*(1+'BDI SERVIÇOS'!$Z$21))</f>
        <v>46.178494000000001</v>
      </c>
      <c r="J207" s="595">
        <f t="shared" si="166"/>
        <v>73.885590399999998</v>
      </c>
      <c r="K207" s="595"/>
      <c r="L207" s="596"/>
    </row>
    <row r="208" spans="1:12" ht="25.15" customHeight="1" x14ac:dyDescent="0.25">
      <c r="A208" s="488">
        <v>6</v>
      </c>
      <c r="B208" s="433"/>
      <c r="C208" s="434"/>
      <c r="D208" s="432" t="s">
        <v>550</v>
      </c>
      <c r="E208" s="433"/>
      <c r="F208" s="435"/>
      <c r="G208" s="436"/>
      <c r="H208" s="436"/>
      <c r="I208" s="436"/>
      <c r="J208" s="436"/>
      <c r="K208" s="437">
        <f>SUM(J209:J213)</f>
        <v>29753.583093573394</v>
      </c>
      <c r="L208" s="489">
        <f>K208/$K$375</f>
        <v>7.1030785447435633E-3</v>
      </c>
    </row>
    <row r="209" spans="1:14" ht="55.15" customHeight="1" x14ac:dyDescent="0.25">
      <c r="A209" s="492" t="s">
        <v>551</v>
      </c>
      <c r="B209" s="425">
        <v>103322</v>
      </c>
      <c r="C209" s="426" t="s">
        <v>321</v>
      </c>
      <c r="D209" s="438" t="s">
        <v>113</v>
      </c>
      <c r="E209" s="439" t="s">
        <v>2</v>
      </c>
      <c r="F209" s="443">
        <f>'MC ALVENARIA'!E47+'MC ALVENARIA'!E178+'MC ALVENARIA'!E208</f>
        <v>238.71099999999998</v>
      </c>
      <c r="G209" s="439">
        <v>59.59</v>
      </c>
      <c r="H209" s="441">
        <f t="shared" ref="H209" si="167">IF($G209="SEM",0,F209*G209)</f>
        <v>14224.788489999999</v>
      </c>
      <c r="I209" s="441">
        <f>IF($G209="SEM",0,G209*(1+'BDI SERVIÇOS'!$Z$21))</f>
        <v>72.836856999999995</v>
      </c>
      <c r="J209" s="441">
        <f t="shared" ref="J209" si="168">F209*I209</f>
        <v>17386.958971326996</v>
      </c>
      <c r="K209" s="444"/>
      <c r="L209" s="491"/>
      <c r="N209" s="101"/>
    </row>
    <row r="210" spans="1:14" ht="55.15" customHeight="1" x14ac:dyDescent="0.25">
      <c r="A210" s="492" t="s">
        <v>552</v>
      </c>
      <c r="B210" s="425">
        <v>103326</v>
      </c>
      <c r="C210" s="426" t="s">
        <v>321</v>
      </c>
      <c r="D210" s="438" t="s">
        <v>114</v>
      </c>
      <c r="E210" s="439" t="s">
        <v>2</v>
      </c>
      <c r="F210" s="440">
        <f>'MC ALVENARIA'!E88+'MC ALVENARIA'!E128</f>
        <v>32.568799999999996</v>
      </c>
      <c r="G210" s="439">
        <v>94.01</v>
      </c>
      <c r="H210" s="441">
        <f>IF($G210="SEM",0,F210*G210)</f>
        <v>3061.7928879999999</v>
      </c>
      <c r="I210" s="441">
        <f>IF($G210="SEM",0,G210*(1+'BDI SERVIÇOS'!$Z$21))</f>
        <v>114.908423</v>
      </c>
      <c r="J210" s="441">
        <f>F210*I210</f>
        <v>3742.4294470023997</v>
      </c>
      <c r="K210" s="444"/>
      <c r="L210" s="491"/>
      <c r="N210" s="101"/>
    </row>
    <row r="211" spans="1:14" ht="39.75" customHeight="1" x14ac:dyDescent="0.25">
      <c r="A211" s="490" t="s">
        <v>553</v>
      </c>
      <c r="B211" s="425">
        <v>93187</v>
      </c>
      <c r="C211" s="426" t="s">
        <v>321</v>
      </c>
      <c r="D211" s="438" t="s">
        <v>60</v>
      </c>
      <c r="E211" s="439" t="s">
        <v>0</v>
      </c>
      <c r="F211" s="440">
        <f>SUM('MC ESQUADRIAS'!K108:K114)</f>
        <v>46.852000000000004</v>
      </c>
      <c r="G211" s="439">
        <v>85.27</v>
      </c>
      <c r="H211" s="441">
        <f t="shared" ref="H211" si="169">IF($G211="SEM",0,F211*G211)</f>
        <v>3995.0700400000001</v>
      </c>
      <c r="I211" s="441">
        <f>IF($G211="SEM",0,G211*(1+'BDI SERVIÇOS'!$Z$21))</f>
        <v>104.22552099999999</v>
      </c>
      <c r="J211" s="441">
        <f t="shared" ref="J211" si="170">F211*I211</f>
        <v>4883.1741098920002</v>
      </c>
      <c r="K211" s="441"/>
      <c r="L211" s="491"/>
    </row>
    <row r="212" spans="1:14" ht="39.75" customHeight="1" x14ac:dyDescent="0.25">
      <c r="A212" s="490" t="s">
        <v>554</v>
      </c>
      <c r="B212" s="425">
        <v>105035</v>
      </c>
      <c r="C212" s="426" t="s">
        <v>321</v>
      </c>
      <c r="D212" s="438" t="s">
        <v>62</v>
      </c>
      <c r="E212" s="439" t="s">
        <v>0</v>
      </c>
      <c r="F212" s="440">
        <f>SUM('MC ESQUADRIAS'!K118:K119,'MC ESQUADRIAS'!K115,'MC ESQUADRIAS'!K116,'MC ESQUADRIAS'!K117,'MC ESQUADRIAS'!K120)</f>
        <v>18.920000000000002</v>
      </c>
      <c r="G212" s="439">
        <v>71.45</v>
      </c>
      <c r="H212" s="441">
        <f t="shared" ref="H212" si="171">IF($G212="SEM",0,F212*G212)</f>
        <v>1351.8340000000003</v>
      </c>
      <c r="I212" s="441">
        <f>IF($G212="SEM",0,G212*(1+'BDI SERVIÇOS'!$Z$21))</f>
        <v>87.333335000000005</v>
      </c>
      <c r="J212" s="441">
        <f t="shared" ref="J212" si="172">F212*I212</f>
        <v>1652.3466982000002</v>
      </c>
      <c r="K212" s="441"/>
      <c r="L212" s="491"/>
    </row>
    <row r="213" spans="1:14" ht="24" customHeight="1" x14ac:dyDescent="0.25">
      <c r="A213" s="490" t="s">
        <v>555</v>
      </c>
      <c r="B213" s="425">
        <v>93194</v>
      </c>
      <c r="C213" s="426" t="s">
        <v>321</v>
      </c>
      <c r="D213" s="438" t="s">
        <v>61</v>
      </c>
      <c r="E213" s="439" t="s">
        <v>0</v>
      </c>
      <c r="F213" s="440">
        <f>SUM('MC ESQUADRIAS'!L108:L114)</f>
        <v>55.193999999999996</v>
      </c>
      <c r="G213" s="439">
        <v>30.96</v>
      </c>
      <c r="H213" s="441">
        <f t="shared" ref="H213" si="173">IF($G213="SEM",0,F213*G213)</f>
        <v>1708.8062399999999</v>
      </c>
      <c r="I213" s="441">
        <f>IF($G213="SEM",0,G213*(1+'BDI SERVIÇOS'!$Z$21))</f>
        <v>37.842407999999999</v>
      </c>
      <c r="J213" s="441">
        <f t="shared" ref="J213" si="174">F213*I213</f>
        <v>2088.6738671519997</v>
      </c>
      <c r="K213" s="441"/>
      <c r="L213" s="491"/>
    </row>
    <row r="214" spans="1:14" ht="24" customHeight="1" x14ac:dyDescent="0.25">
      <c r="A214" s="488">
        <v>7</v>
      </c>
      <c r="B214" s="433"/>
      <c r="C214" s="434"/>
      <c r="D214" s="432" t="s">
        <v>556</v>
      </c>
      <c r="E214" s="433"/>
      <c r="F214" s="435"/>
      <c r="G214" s="436"/>
      <c r="H214" s="436"/>
      <c r="I214" s="436"/>
      <c r="J214" s="436"/>
      <c r="K214" s="437">
        <f>SUM(K215+K232+K253)</f>
        <v>52004.299752309998</v>
      </c>
      <c r="L214" s="489">
        <f>K214/$K$375</f>
        <v>1.2414996360046211E-2</v>
      </c>
    </row>
    <row r="215" spans="1:14" ht="24" customHeight="1" x14ac:dyDescent="0.25">
      <c r="A215" s="493" t="s">
        <v>557</v>
      </c>
      <c r="B215" s="445"/>
      <c r="C215" s="446"/>
      <c r="D215" s="447" t="s">
        <v>558</v>
      </c>
      <c r="E215" s="447"/>
      <c r="F215" s="448"/>
      <c r="G215" s="447"/>
      <c r="H215" s="449"/>
      <c r="I215" s="449"/>
      <c r="J215" s="449"/>
      <c r="K215" s="450">
        <f>SUM(J216:J231)</f>
        <v>20978.877815300002</v>
      </c>
      <c r="L215" s="494">
        <f>K215/$K$375</f>
        <v>5.008291486575292E-3</v>
      </c>
    </row>
    <row r="216" spans="1:14" ht="55.15" customHeight="1" x14ac:dyDescent="0.25">
      <c r="A216" s="492" t="s">
        <v>559</v>
      </c>
      <c r="B216" s="425">
        <v>94713</v>
      </c>
      <c r="C216" s="426" t="s">
        <v>321</v>
      </c>
      <c r="D216" s="438" t="s">
        <v>1741</v>
      </c>
      <c r="E216" s="439" t="s">
        <v>1</v>
      </c>
      <c r="F216" s="440">
        <v>6</v>
      </c>
      <c r="G216" s="439">
        <v>223.34</v>
      </c>
      <c r="H216" s="441">
        <f t="shared" ref="H216" si="175">IF($G216="SEM",0,F216*G216)</f>
        <v>1340.04</v>
      </c>
      <c r="I216" s="441">
        <f>IF($G216="SEM",0,G216*(1+'BDI SERVIÇOS'!$Z$21))</f>
        <v>272.98848199999998</v>
      </c>
      <c r="J216" s="441">
        <f t="shared" ref="J216" si="176">F216*I216</f>
        <v>1637.9308919999999</v>
      </c>
      <c r="K216" s="444"/>
      <c r="L216" s="491"/>
      <c r="N216" s="101"/>
    </row>
    <row r="217" spans="1:14" ht="39.75" customHeight="1" x14ac:dyDescent="0.25">
      <c r="A217" s="551" t="s">
        <v>560</v>
      </c>
      <c r="B217" s="552">
        <v>112</v>
      </c>
      <c r="C217" s="544" t="s">
        <v>321</v>
      </c>
      <c r="D217" s="545" t="s">
        <v>1753</v>
      </c>
      <c r="E217" s="546" t="s">
        <v>1</v>
      </c>
      <c r="F217" s="547">
        <f>'MC HIDRO'!E141</f>
        <v>2</v>
      </c>
      <c r="G217" s="546">
        <v>4.3</v>
      </c>
      <c r="H217" s="548">
        <f t="shared" ref="H217:H231" si="177">IF($G217="SEM",0,F217*G217)</f>
        <v>8.6</v>
      </c>
      <c r="I217" s="548">
        <f>IF($G217="SEM",0,G217*(1+'BDI EQUIPAMENTOS'!$K$36))</f>
        <v>4.9978899999999999</v>
      </c>
      <c r="J217" s="548">
        <f t="shared" ref="J217:J231" si="178">F217*I217</f>
        <v>9.9957799999999999</v>
      </c>
      <c r="K217" s="548"/>
      <c r="L217" s="550"/>
    </row>
    <row r="218" spans="1:14" ht="39.75" customHeight="1" x14ac:dyDescent="0.25">
      <c r="A218" s="551" t="s">
        <v>561</v>
      </c>
      <c r="B218" s="552">
        <v>113</v>
      </c>
      <c r="C218" s="544" t="s">
        <v>321</v>
      </c>
      <c r="D218" s="545" t="s">
        <v>1754</v>
      </c>
      <c r="E218" s="546" t="s">
        <v>1</v>
      </c>
      <c r="F218" s="547">
        <f>'MC HIDRO'!E142</f>
        <v>2</v>
      </c>
      <c r="G218" s="546">
        <v>10.76</v>
      </c>
      <c r="H218" s="548">
        <f t="shared" si="177"/>
        <v>21.52</v>
      </c>
      <c r="I218" s="548">
        <f>IF($G218="SEM",0,G218*(1+'BDI EQUIPAMENTOS'!$K$36))</f>
        <v>12.506348000000001</v>
      </c>
      <c r="J218" s="548">
        <f t="shared" si="178"/>
        <v>25.012696000000002</v>
      </c>
      <c r="K218" s="548"/>
      <c r="L218" s="550"/>
    </row>
    <row r="219" spans="1:14" ht="39.75" customHeight="1" x14ac:dyDescent="0.25">
      <c r="A219" s="551" t="s">
        <v>562</v>
      </c>
      <c r="B219" s="552">
        <v>65</v>
      </c>
      <c r="C219" s="544" t="s">
        <v>321</v>
      </c>
      <c r="D219" s="545" t="s">
        <v>1752</v>
      </c>
      <c r="E219" s="546" t="s">
        <v>1</v>
      </c>
      <c r="F219" s="547">
        <f>'MC HIDRO'!E249</f>
        <v>4</v>
      </c>
      <c r="G219" s="546">
        <v>0.86</v>
      </c>
      <c r="H219" s="548">
        <f t="shared" si="177"/>
        <v>3.44</v>
      </c>
      <c r="I219" s="548">
        <f>IF($G219="SEM",0,G219*(1+'BDI EQUIPAMENTOS'!$K$36))</f>
        <v>0.99957800000000008</v>
      </c>
      <c r="J219" s="548">
        <f t="shared" si="178"/>
        <v>3.9983120000000003</v>
      </c>
      <c r="K219" s="548"/>
      <c r="L219" s="550"/>
    </row>
    <row r="220" spans="1:14" ht="55.15" customHeight="1" x14ac:dyDescent="0.25">
      <c r="A220" s="492" t="s">
        <v>563</v>
      </c>
      <c r="B220" s="425" t="s">
        <v>226</v>
      </c>
      <c r="C220" s="426" t="s">
        <v>323</v>
      </c>
      <c r="D220" s="438" t="s">
        <v>1723</v>
      </c>
      <c r="E220" s="439" t="s">
        <v>157</v>
      </c>
      <c r="F220" s="440">
        <f>'MC HIDRO'!E365</f>
        <v>2</v>
      </c>
      <c r="G220" s="439">
        <v>1052.08</v>
      </c>
      <c r="H220" s="441">
        <f t="shared" si="177"/>
        <v>2104.16</v>
      </c>
      <c r="I220" s="441">
        <f>IF($G220="SEM",0,G220*(1+'BDI SERVIÇOS'!$Z$21))</f>
        <v>1285.9573839999998</v>
      </c>
      <c r="J220" s="441">
        <f t="shared" si="178"/>
        <v>2571.9147679999996</v>
      </c>
      <c r="K220" s="444"/>
      <c r="L220" s="491"/>
      <c r="N220" s="101"/>
    </row>
    <row r="221" spans="1:14" ht="39.75" customHeight="1" x14ac:dyDescent="0.25">
      <c r="A221" s="490" t="s">
        <v>564</v>
      </c>
      <c r="B221" s="425">
        <v>94797</v>
      </c>
      <c r="C221" s="426" t="s">
        <v>321</v>
      </c>
      <c r="D221" s="438" t="s">
        <v>105</v>
      </c>
      <c r="E221" s="439" t="s">
        <v>1</v>
      </c>
      <c r="F221" s="440">
        <f>'MC HIDRO'!E389</f>
        <v>1</v>
      </c>
      <c r="G221" s="439">
        <v>74.260000000000005</v>
      </c>
      <c r="H221" s="441">
        <f t="shared" si="177"/>
        <v>74.260000000000005</v>
      </c>
      <c r="I221" s="441">
        <f>IF($G221="SEM",0,G221*(1+'BDI SERVIÇOS'!$Z$21))</f>
        <v>90.767998000000006</v>
      </c>
      <c r="J221" s="441">
        <f t="shared" si="178"/>
        <v>90.767998000000006</v>
      </c>
      <c r="K221" s="441"/>
      <c r="L221" s="491"/>
    </row>
    <row r="222" spans="1:14" ht="39.75" customHeight="1" x14ac:dyDescent="0.25">
      <c r="A222" s="490" t="s">
        <v>565</v>
      </c>
      <c r="B222" s="425">
        <v>103964</v>
      </c>
      <c r="C222" s="426" t="s">
        <v>321</v>
      </c>
      <c r="D222" s="438" t="s">
        <v>95</v>
      </c>
      <c r="E222" s="439" t="s">
        <v>1</v>
      </c>
      <c r="F222" s="440">
        <f>'MC HIDRO'!E254</f>
        <v>4</v>
      </c>
      <c r="G222" s="439">
        <v>8.1300000000000008</v>
      </c>
      <c r="H222" s="441">
        <f t="shared" si="177"/>
        <v>32.520000000000003</v>
      </c>
      <c r="I222" s="441">
        <f>IF($G222="SEM",0,G222*(1+'BDI SERVIÇOS'!$Z$21))</f>
        <v>9.9372990000000012</v>
      </c>
      <c r="J222" s="441">
        <f t="shared" si="178"/>
        <v>39.749196000000005</v>
      </c>
      <c r="K222" s="441"/>
      <c r="L222" s="491"/>
    </row>
    <row r="223" spans="1:14" ht="39.75" customHeight="1" x14ac:dyDescent="0.25">
      <c r="A223" s="490" t="s">
        <v>566</v>
      </c>
      <c r="B223" s="425">
        <v>86884</v>
      </c>
      <c r="C223" s="426" t="s">
        <v>321</v>
      </c>
      <c r="D223" s="438" t="s">
        <v>99</v>
      </c>
      <c r="E223" s="439" t="s">
        <v>1</v>
      </c>
      <c r="F223" s="440">
        <f>'MC HIDRO'!E179+'MC HIDRO'!E218+'MC HIDRO'!E252</f>
        <v>13</v>
      </c>
      <c r="G223" s="439">
        <v>11.97</v>
      </c>
      <c r="H223" s="441">
        <f t="shared" si="177"/>
        <v>155.61000000000001</v>
      </c>
      <c r="I223" s="441">
        <f>IF($G223="SEM",0,G223*(1+'BDI SERVIÇOS'!$Z$21))</f>
        <v>14.630931</v>
      </c>
      <c r="J223" s="441">
        <f t="shared" si="178"/>
        <v>190.20210299999999</v>
      </c>
      <c r="K223" s="441"/>
      <c r="L223" s="491"/>
    </row>
    <row r="224" spans="1:14" ht="39.75" customHeight="1" x14ac:dyDescent="0.25">
      <c r="A224" s="551" t="s">
        <v>567</v>
      </c>
      <c r="B224" s="552">
        <v>3515</v>
      </c>
      <c r="C224" s="544" t="s">
        <v>321</v>
      </c>
      <c r="D224" s="545" t="s">
        <v>1761</v>
      </c>
      <c r="E224" s="546" t="s">
        <v>1</v>
      </c>
      <c r="F224" s="547">
        <f>'MC HIDRO'!E214+'MC HIDRO'!E178</f>
        <v>9</v>
      </c>
      <c r="G224" s="546">
        <v>6.27</v>
      </c>
      <c r="H224" s="548">
        <f t="shared" si="177"/>
        <v>56.429999999999993</v>
      </c>
      <c r="I224" s="548">
        <f>IF($G224="SEM",0,G224*(1+'BDI EQUIPAMENTOS'!$K$36))</f>
        <v>7.2876210000000006</v>
      </c>
      <c r="J224" s="548">
        <f t="shared" si="178"/>
        <v>65.588588999999999</v>
      </c>
      <c r="K224" s="548"/>
      <c r="L224" s="550"/>
    </row>
    <row r="225" spans="1:14" ht="39.75" customHeight="1" x14ac:dyDescent="0.25">
      <c r="A225" s="551" t="s">
        <v>568</v>
      </c>
      <c r="B225" s="552">
        <v>20147</v>
      </c>
      <c r="C225" s="544" t="s">
        <v>321</v>
      </c>
      <c r="D225" s="545" t="s">
        <v>1762</v>
      </c>
      <c r="E225" s="546" t="s">
        <v>1</v>
      </c>
      <c r="F225" s="547">
        <f>'MC HIDRO'!E109+'MC HIDRO'!E251</f>
        <v>6</v>
      </c>
      <c r="G225" s="546">
        <v>5.16</v>
      </c>
      <c r="H225" s="548">
        <f t="shared" si="177"/>
        <v>30.96</v>
      </c>
      <c r="I225" s="548">
        <f>IF($G225="SEM",0,G225*(1+'BDI EQUIPAMENTOS'!$K$36))</f>
        <v>5.9974680000000005</v>
      </c>
      <c r="J225" s="548">
        <f t="shared" si="178"/>
        <v>35.984808000000001</v>
      </c>
      <c r="K225" s="548"/>
      <c r="L225" s="550"/>
    </row>
    <row r="226" spans="1:14" ht="39.75" customHeight="1" x14ac:dyDescent="0.25">
      <c r="A226" s="551" t="s">
        <v>569</v>
      </c>
      <c r="B226" s="552">
        <v>3532</v>
      </c>
      <c r="C226" s="544" t="s">
        <v>321</v>
      </c>
      <c r="D226" s="545" t="s">
        <v>1763</v>
      </c>
      <c r="E226" s="546" t="s">
        <v>1</v>
      </c>
      <c r="F226" s="547">
        <v>6</v>
      </c>
      <c r="G226" s="546">
        <v>17.940000000000001</v>
      </c>
      <c r="H226" s="548">
        <f t="shared" si="177"/>
        <v>107.64000000000001</v>
      </c>
      <c r="I226" s="548">
        <f>IF($G226="SEM",0,G226*(1+'BDI EQUIPAMENTOS'!$K$36))</f>
        <v>20.851662000000005</v>
      </c>
      <c r="J226" s="548">
        <f t="shared" si="178"/>
        <v>125.10997200000003</v>
      </c>
      <c r="K226" s="548"/>
      <c r="L226" s="550"/>
    </row>
    <row r="227" spans="1:14" ht="39.75" customHeight="1" x14ac:dyDescent="0.25">
      <c r="A227" s="551" t="s">
        <v>570</v>
      </c>
      <c r="B227" s="552">
        <v>89355</v>
      </c>
      <c r="C227" s="544" t="s">
        <v>321</v>
      </c>
      <c r="D227" s="545" t="s">
        <v>1742</v>
      </c>
      <c r="E227" s="546" t="s">
        <v>0</v>
      </c>
      <c r="F227" s="547">
        <f>'MC HIDRO'!E78</f>
        <v>95.2</v>
      </c>
      <c r="G227" s="546">
        <v>21.91</v>
      </c>
      <c r="H227" s="548">
        <f t="shared" si="177"/>
        <v>2085.8319999999999</v>
      </c>
      <c r="I227" s="548">
        <f>IF($G227="SEM",0,G227*(1+'BDI EQUIPAMENTOS'!$K$36))</f>
        <v>25.465993000000001</v>
      </c>
      <c r="J227" s="548">
        <f t="shared" si="178"/>
        <v>2424.3625336</v>
      </c>
      <c r="K227" s="548"/>
      <c r="L227" s="550"/>
    </row>
    <row r="228" spans="1:14" ht="39.75" customHeight="1" x14ac:dyDescent="0.25">
      <c r="A228" s="551" t="s">
        <v>571</v>
      </c>
      <c r="B228" s="552">
        <v>89356</v>
      </c>
      <c r="C228" s="544" t="s">
        <v>321</v>
      </c>
      <c r="D228" s="545" t="s">
        <v>1743</v>
      </c>
      <c r="E228" s="546" t="s">
        <v>0</v>
      </c>
      <c r="F228" s="547">
        <f>'MC HIDRO'!E77</f>
        <v>216.45</v>
      </c>
      <c r="G228" s="546">
        <v>25.3</v>
      </c>
      <c r="H228" s="548">
        <f t="shared" si="177"/>
        <v>5476.1849999999995</v>
      </c>
      <c r="I228" s="548">
        <f>IF($G228="SEM",0,G228*(1+'BDI EQUIPAMENTOS'!$K$36))</f>
        <v>29.406190000000002</v>
      </c>
      <c r="J228" s="548">
        <f t="shared" si="178"/>
        <v>6364.9698255000003</v>
      </c>
      <c r="K228" s="548"/>
      <c r="L228" s="550"/>
    </row>
    <row r="229" spans="1:14" ht="39.75" customHeight="1" x14ac:dyDescent="0.25">
      <c r="A229" s="551" t="s">
        <v>572</v>
      </c>
      <c r="B229" s="552">
        <v>89357</v>
      </c>
      <c r="C229" s="544" t="s">
        <v>321</v>
      </c>
      <c r="D229" s="545" t="s">
        <v>1744</v>
      </c>
      <c r="E229" s="546" t="s">
        <v>0</v>
      </c>
      <c r="F229" s="547">
        <f>'MC HIDRO'!E76</f>
        <v>48.699999999999996</v>
      </c>
      <c r="G229" s="546">
        <v>34.200000000000003</v>
      </c>
      <c r="H229" s="548">
        <f t="shared" si="177"/>
        <v>1665.54</v>
      </c>
      <c r="I229" s="548">
        <f>IF($G229="SEM",0,G229*(1+'BDI EQUIPAMENTOS'!$K$36))</f>
        <v>39.750660000000011</v>
      </c>
      <c r="J229" s="548">
        <f t="shared" si="178"/>
        <v>1935.8571420000003</v>
      </c>
      <c r="K229" s="548"/>
      <c r="L229" s="550"/>
    </row>
    <row r="230" spans="1:14" ht="39.75" customHeight="1" x14ac:dyDescent="0.25">
      <c r="A230" s="551" t="s">
        <v>573</v>
      </c>
      <c r="B230" s="552">
        <v>89449</v>
      </c>
      <c r="C230" s="544" t="s">
        <v>321</v>
      </c>
      <c r="D230" s="545" t="s">
        <v>1745</v>
      </c>
      <c r="E230" s="546" t="s">
        <v>0</v>
      </c>
      <c r="F230" s="547">
        <f>'MC HIDRO'!E75</f>
        <v>94.25</v>
      </c>
      <c r="G230" s="546">
        <v>17.48</v>
      </c>
      <c r="H230" s="548">
        <f t="shared" si="177"/>
        <v>1647.49</v>
      </c>
      <c r="I230" s="548">
        <f>IF($G230="SEM",0,G230*(1+'BDI EQUIPAMENTOS'!$K$36))</f>
        <v>20.317004000000001</v>
      </c>
      <c r="J230" s="548">
        <f t="shared" si="178"/>
        <v>1914.8776270000001</v>
      </c>
      <c r="K230" s="548"/>
      <c r="L230" s="550"/>
    </row>
    <row r="231" spans="1:14" ht="39.75" customHeight="1" x14ac:dyDescent="0.25">
      <c r="A231" s="551" t="s">
        <v>574</v>
      </c>
      <c r="B231" s="552">
        <v>89450</v>
      </c>
      <c r="C231" s="544" t="s">
        <v>321</v>
      </c>
      <c r="D231" s="545" t="s">
        <v>1746</v>
      </c>
      <c r="E231" s="546" t="s">
        <v>0</v>
      </c>
      <c r="F231" s="547">
        <f>'MC HIDRO'!E74</f>
        <v>109.4</v>
      </c>
      <c r="G231" s="546">
        <v>27.86</v>
      </c>
      <c r="H231" s="548">
        <f t="shared" si="177"/>
        <v>3047.884</v>
      </c>
      <c r="I231" s="548">
        <f>IF($G231="SEM",0,G231*(1+'BDI EQUIPAMENTOS'!$K$36))</f>
        <v>32.381678000000001</v>
      </c>
      <c r="J231" s="548">
        <f t="shared" si="178"/>
        <v>3542.5555732000003</v>
      </c>
      <c r="K231" s="548"/>
      <c r="L231" s="550"/>
    </row>
    <row r="232" spans="1:14" ht="24" customHeight="1" x14ac:dyDescent="0.25">
      <c r="A232" s="493" t="s">
        <v>575</v>
      </c>
      <c r="B232" s="445"/>
      <c r="C232" s="446"/>
      <c r="D232" s="447" t="s">
        <v>576</v>
      </c>
      <c r="E232" s="447"/>
      <c r="F232" s="448"/>
      <c r="G232" s="447"/>
      <c r="H232" s="449"/>
      <c r="I232" s="449"/>
      <c r="J232" s="449"/>
      <c r="K232" s="450">
        <f>SUM(J233:J252)</f>
        <v>18009.831085009999</v>
      </c>
      <c r="L232" s="494">
        <f>K232/$K$375</f>
        <v>4.2994903965708027E-3</v>
      </c>
    </row>
    <row r="233" spans="1:14" ht="55.15" customHeight="1" x14ac:dyDescent="0.25">
      <c r="A233" s="492" t="s">
        <v>577</v>
      </c>
      <c r="B233" s="425">
        <v>89707</v>
      </c>
      <c r="C233" s="426" t="s">
        <v>321</v>
      </c>
      <c r="D233" s="438" t="s">
        <v>96</v>
      </c>
      <c r="E233" s="439" t="s">
        <v>1</v>
      </c>
      <c r="F233" s="440">
        <v>5</v>
      </c>
      <c r="G233" s="439" t="s">
        <v>97</v>
      </c>
      <c r="H233" s="441">
        <f t="shared" ref="H233" si="179">IF($G233="SEM",0,F233*G233)</f>
        <v>221.55</v>
      </c>
      <c r="I233" s="441">
        <f>IF($G233="SEM",0,G233*(1+'BDI SERVIÇOS'!$Z$21))</f>
        <v>54.160113000000003</v>
      </c>
      <c r="J233" s="441">
        <f t="shared" ref="J233" si="180">F233*I233</f>
        <v>270.80056500000001</v>
      </c>
      <c r="K233" s="444"/>
      <c r="L233" s="491"/>
      <c r="N233" s="101"/>
    </row>
    <row r="234" spans="1:14" ht="24" customHeight="1" x14ac:dyDescent="0.25">
      <c r="A234" s="497" t="s">
        <v>578</v>
      </c>
      <c r="B234" s="425" t="s">
        <v>256</v>
      </c>
      <c r="C234" s="426" t="s">
        <v>323</v>
      </c>
      <c r="D234" s="438" t="s">
        <v>257</v>
      </c>
      <c r="E234" s="439" t="s">
        <v>156</v>
      </c>
      <c r="F234" s="440">
        <v>5.76</v>
      </c>
      <c r="G234" s="439">
        <v>172.57</v>
      </c>
      <c r="H234" s="441">
        <f t="shared" ref="H234:H258" si="181">IF($G234="SEM",0,F234*G234)</f>
        <v>994.00319999999988</v>
      </c>
      <c r="I234" s="441">
        <f>IF($G234="SEM",0,G234*(1+'BDI SERVIÇOS'!$Z$21))</f>
        <v>210.93231099999997</v>
      </c>
      <c r="J234" s="441">
        <f t="shared" ref="J234:J258" si="182">F234*I234</f>
        <v>1214.9701113599997</v>
      </c>
      <c r="K234" s="441"/>
      <c r="L234" s="491"/>
    </row>
    <row r="235" spans="1:14" ht="55.15" customHeight="1" x14ac:dyDescent="0.25">
      <c r="A235" s="497" t="s">
        <v>579</v>
      </c>
      <c r="B235" s="425">
        <v>89728</v>
      </c>
      <c r="C235" s="426" t="s">
        <v>321</v>
      </c>
      <c r="D235" s="438" t="s">
        <v>85</v>
      </c>
      <c r="E235" s="439" t="s">
        <v>1</v>
      </c>
      <c r="F235" s="440">
        <f>'MC HIDRO'!E183+'MC HIDRO'!E113</f>
        <v>9</v>
      </c>
      <c r="G235" s="439">
        <v>13.64</v>
      </c>
      <c r="H235" s="441">
        <f t="shared" si="181"/>
        <v>122.76</v>
      </c>
      <c r="I235" s="441">
        <f>IF($G235="SEM",0,G235*(1+'BDI SERVIÇOS'!$Z$21))</f>
        <v>16.672172</v>
      </c>
      <c r="J235" s="441">
        <f t="shared" si="182"/>
        <v>150.04954799999999</v>
      </c>
      <c r="K235" s="444"/>
      <c r="L235" s="491"/>
      <c r="N235" s="101"/>
    </row>
    <row r="236" spans="1:14" ht="55.15" customHeight="1" x14ac:dyDescent="0.25">
      <c r="A236" s="497" t="s">
        <v>580</v>
      </c>
      <c r="B236" s="425">
        <v>89733</v>
      </c>
      <c r="C236" s="426" t="s">
        <v>321</v>
      </c>
      <c r="D236" s="438" t="s">
        <v>87</v>
      </c>
      <c r="E236" s="439" t="s">
        <v>1</v>
      </c>
      <c r="F236" s="440">
        <f>'MC HIDRO'!E219</f>
        <v>2</v>
      </c>
      <c r="G236" s="439">
        <v>23.51</v>
      </c>
      <c r="H236" s="441">
        <f t="shared" si="181"/>
        <v>47.02</v>
      </c>
      <c r="I236" s="441">
        <f>IF($G236="SEM",0,G236*(1+'BDI SERVIÇOS'!$Z$21))</f>
        <v>28.736273000000001</v>
      </c>
      <c r="J236" s="441">
        <f t="shared" si="182"/>
        <v>57.472546000000001</v>
      </c>
      <c r="K236" s="444"/>
      <c r="L236" s="491"/>
      <c r="N236" s="101"/>
    </row>
    <row r="237" spans="1:14" ht="55.15" customHeight="1" x14ac:dyDescent="0.25">
      <c r="A237" s="497" t="s">
        <v>581</v>
      </c>
      <c r="B237" s="425">
        <v>89748</v>
      </c>
      <c r="C237" s="426" t="s">
        <v>321</v>
      </c>
      <c r="D237" s="438" t="s">
        <v>89</v>
      </c>
      <c r="E237" s="439" t="s">
        <v>1</v>
      </c>
      <c r="F237" s="440">
        <f>'MC HIDRO'!E147</f>
        <v>6</v>
      </c>
      <c r="G237" s="439">
        <v>42.44</v>
      </c>
      <c r="H237" s="441">
        <f t="shared" ref="H237" si="183">IF($G237="SEM",0,F237*G237)</f>
        <v>254.64</v>
      </c>
      <c r="I237" s="441">
        <f>IF($G237="SEM",0,G237*(1+'BDI SERVIÇOS'!$Z$21))</f>
        <v>51.874411999999992</v>
      </c>
      <c r="J237" s="441">
        <f t="shared" ref="J237" si="184">F237*I237</f>
        <v>311.24647199999993</v>
      </c>
      <c r="K237" s="444"/>
      <c r="L237" s="491"/>
      <c r="N237" s="101"/>
    </row>
    <row r="238" spans="1:14" ht="55.15" customHeight="1" x14ac:dyDescent="0.25">
      <c r="A238" s="497" t="s">
        <v>582</v>
      </c>
      <c r="B238" s="425">
        <v>89726</v>
      </c>
      <c r="C238" s="426" t="s">
        <v>321</v>
      </c>
      <c r="D238" s="438" t="s">
        <v>84</v>
      </c>
      <c r="E238" s="439" t="s">
        <v>1</v>
      </c>
      <c r="F238" s="440">
        <f>'MC HIDRO'!E374</f>
        <v>2</v>
      </c>
      <c r="G238" s="439">
        <v>11</v>
      </c>
      <c r="H238" s="441">
        <f t="shared" si="181"/>
        <v>22</v>
      </c>
      <c r="I238" s="441">
        <f>IF($G238="SEM",0,G238*(1+'BDI SERVIÇOS'!$Z$21))</f>
        <v>13.4453</v>
      </c>
      <c r="J238" s="441">
        <f t="shared" si="182"/>
        <v>26.890599999999999</v>
      </c>
      <c r="K238" s="444"/>
      <c r="L238" s="491"/>
      <c r="N238" s="101"/>
    </row>
    <row r="239" spans="1:14" ht="55.15" customHeight="1" x14ac:dyDescent="0.25">
      <c r="A239" s="497" t="s">
        <v>583</v>
      </c>
      <c r="B239" s="425">
        <v>89802</v>
      </c>
      <c r="C239" s="426" t="s">
        <v>321</v>
      </c>
      <c r="D239" s="438" t="s">
        <v>91</v>
      </c>
      <c r="E239" s="439" t="s">
        <v>1</v>
      </c>
      <c r="F239" s="440">
        <f>'MC HIDRO'!E378</f>
        <v>6</v>
      </c>
      <c r="G239" s="439">
        <v>10.220000000000001</v>
      </c>
      <c r="H239" s="441">
        <f t="shared" si="181"/>
        <v>61.320000000000007</v>
      </c>
      <c r="I239" s="441">
        <f>IF($G239="SEM",0,G239*(1+'BDI SERVIÇOS'!$Z$21))</f>
        <v>12.491906</v>
      </c>
      <c r="J239" s="441">
        <f t="shared" si="182"/>
        <v>74.951436000000001</v>
      </c>
      <c r="K239" s="444"/>
      <c r="L239" s="491"/>
      <c r="N239" s="101"/>
    </row>
    <row r="240" spans="1:14" ht="55.15" customHeight="1" x14ac:dyDescent="0.25">
      <c r="A240" s="497" t="s">
        <v>584</v>
      </c>
      <c r="B240" s="425">
        <v>89724</v>
      </c>
      <c r="C240" s="426" t="s">
        <v>321</v>
      </c>
      <c r="D240" s="438" t="s">
        <v>83</v>
      </c>
      <c r="E240" s="439" t="s">
        <v>1</v>
      </c>
      <c r="F240" s="440">
        <f>'MC HIDRO'!E375+'MC HIDRO'!E112+'MC HIDRO'!E182+'MC HIDRO'!E253</f>
        <v>37</v>
      </c>
      <c r="G240" s="439">
        <v>10.78</v>
      </c>
      <c r="H240" s="441">
        <f t="shared" si="181"/>
        <v>398.85999999999996</v>
      </c>
      <c r="I240" s="441">
        <f>IF($G240="SEM",0,G240*(1+'BDI SERVIÇOS'!$Z$21))</f>
        <v>13.176393999999998</v>
      </c>
      <c r="J240" s="441">
        <f t="shared" si="182"/>
        <v>487.52657799999992</v>
      </c>
      <c r="K240" s="444"/>
      <c r="L240" s="491"/>
      <c r="N240" s="101"/>
    </row>
    <row r="241" spans="1:14" ht="55.15" customHeight="1" x14ac:dyDescent="0.25">
      <c r="A241" s="497" t="s">
        <v>585</v>
      </c>
      <c r="B241" s="425">
        <v>89731</v>
      </c>
      <c r="C241" s="426" t="s">
        <v>321</v>
      </c>
      <c r="D241" s="438" t="s">
        <v>86</v>
      </c>
      <c r="E241" s="439" t="s">
        <v>1</v>
      </c>
      <c r="F241" s="440">
        <f>'MC HIDRO'!E215+'MC HIDRO'!E379</f>
        <v>20</v>
      </c>
      <c r="G241" s="439">
        <v>15.2</v>
      </c>
      <c r="H241" s="441">
        <f t="shared" si="181"/>
        <v>304</v>
      </c>
      <c r="I241" s="441">
        <f>IF($G241="SEM",0,G241*(1+'BDI SERVIÇOS'!$Z$21))</f>
        <v>18.578959999999999</v>
      </c>
      <c r="J241" s="441">
        <f t="shared" si="182"/>
        <v>371.57919999999996</v>
      </c>
      <c r="K241" s="444"/>
      <c r="L241" s="491"/>
      <c r="N241" s="101"/>
    </row>
    <row r="242" spans="1:14" ht="55.15" customHeight="1" x14ac:dyDescent="0.25">
      <c r="A242" s="497" t="s">
        <v>586</v>
      </c>
      <c r="B242" s="425">
        <v>89737</v>
      </c>
      <c r="C242" s="426" t="s">
        <v>321</v>
      </c>
      <c r="D242" s="438" t="s">
        <v>88</v>
      </c>
      <c r="E242" s="439" t="s">
        <v>1</v>
      </c>
      <c r="F242" s="440">
        <f>'MC HIDRO'!E381</f>
        <v>3</v>
      </c>
      <c r="G242" s="439">
        <v>22.76</v>
      </c>
      <c r="H242" s="441">
        <f t="shared" si="181"/>
        <v>68.28</v>
      </c>
      <c r="I242" s="441">
        <f>IF($G242="SEM",0,G242*(1+'BDI SERVIÇOS'!$Z$21))</f>
        <v>27.819548000000001</v>
      </c>
      <c r="J242" s="441">
        <f t="shared" si="182"/>
        <v>83.458644000000007</v>
      </c>
      <c r="K242" s="444"/>
      <c r="L242" s="491"/>
      <c r="N242" s="101"/>
    </row>
    <row r="243" spans="1:14" ht="55.15" customHeight="1" x14ac:dyDescent="0.25">
      <c r="A243" s="497" t="s">
        <v>587</v>
      </c>
      <c r="B243" s="425">
        <v>89834</v>
      </c>
      <c r="C243" s="426" t="s">
        <v>321</v>
      </c>
      <c r="D243" s="438" t="s">
        <v>94</v>
      </c>
      <c r="E243" s="439" t="s">
        <v>1</v>
      </c>
      <c r="F243" s="440">
        <f>'MC HIDRO'!E383</f>
        <v>3</v>
      </c>
      <c r="G243" s="439">
        <v>52.9</v>
      </c>
      <c r="H243" s="441">
        <f t="shared" si="181"/>
        <v>158.69999999999999</v>
      </c>
      <c r="I243" s="441">
        <f>IF($G243="SEM",0,G243*(1+'BDI SERVIÇOS'!$Z$21))</f>
        <v>64.659669999999991</v>
      </c>
      <c r="J243" s="441">
        <f t="shared" si="182"/>
        <v>193.97900999999996</v>
      </c>
      <c r="K243" s="444"/>
      <c r="L243" s="491"/>
      <c r="N243" s="101"/>
    </row>
    <row r="244" spans="1:14" ht="55.15" customHeight="1" x14ac:dyDescent="0.25">
      <c r="A244" s="497" t="s">
        <v>588</v>
      </c>
      <c r="B244" s="425">
        <v>89830</v>
      </c>
      <c r="C244" s="426" t="s">
        <v>321</v>
      </c>
      <c r="D244" s="438" t="s">
        <v>93</v>
      </c>
      <c r="E244" s="439" t="s">
        <v>1</v>
      </c>
      <c r="F244" s="440">
        <f>'MC HIDRO'!E382</f>
        <v>4</v>
      </c>
      <c r="G244" s="439">
        <v>37.85</v>
      </c>
      <c r="H244" s="441">
        <f t="shared" si="181"/>
        <v>151.4</v>
      </c>
      <c r="I244" s="441">
        <f>IF($G244="SEM",0,G244*(1+'BDI SERVIÇOS'!$Z$21))</f>
        <v>46.264054999999999</v>
      </c>
      <c r="J244" s="441">
        <f t="shared" si="182"/>
        <v>185.05622</v>
      </c>
      <c r="K244" s="444"/>
      <c r="L244" s="491"/>
      <c r="N244" s="101"/>
    </row>
    <row r="245" spans="1:14" ht="55.15" customHeight="1" x14ac:dyDescent="0.25">
      <c r="A245" s="497" t="s">
        <v>589</v>
      </c>
      <c r="B245" s="425">
        <v>89827</v>
      </c>
      <c r="C245" s="426" t="s">
        <v>321</v>
      </c>
      <c r="D245" s="438" t="s">
        <v>92</v>
      </c>
      <c r="E245" s="439" t="s">
        <v>1</v>
      </c>
      <c r="F245" s="440">
        <f>'MC HIDRO'!E380</f>
        <v>5</v>
      </c>
      <c r="G245" s="439">
        <v>19.14</v>
      </c>
      <c r="H245" s="441">
        <f t="shared" si="181"/>
        <v>95.7</v>
      </c>
      <c r="I245" s="441">
        <f>IF($G245="SEM",0,G245*(1+'BDI SERVIÇOS'!$Z$21))</f>
        <v>23.394822000000001</v>
      </c>
      <c r="J245" s="441">
        <f t="shared" si="182"/>
        <v>116.97411000000001</v>
      </c>
      <c r="K245" s="444"/>
      <c r="L245" s="491"/>
      <c r="N245" s="101"/>
    </row>
    <row r="246" spans="1:14" ht="55.15" customHeight="1" x14ac:dyDescent="0.25">
      <c r="A246" s="497" t="s">
        <v>590</v>
      </c>
      <c r="B246" s="425">
        <v>89783</v>
      </c>
      <c r="C246" s="426" t="s">
        <v>321</v>
      </c>
      <c r="D246" s="438" t="s">
        <v>90</v>
      </c>
      <c r="E246" s="439" t="s">
        <v>1</v>
      </c>
      <c r="F246" s="440">
        <f>'MC HIDRO'!E376</f>
        <v>2</v>
      </c>
      <c r="G246" s="439">
        <v>15.62</v>
      </c>
      <c r="H246" s="441">
        <f t="shared" ref="H246:H248" si="185">IF($G246="SEM",0,F246*G246)</f>
        <v>31.24</v>
      </c>
      <c r="I246" s="441">
        <f>IF($G246="SEM",0,G246*(1+'BDI SERVIÇOS'!$Z$21))</f>
        <v>19.092326</v>
      </c>
      <c r="J246" s="441">
        <f t="shared" ref="J246:J248" si="186">F246*I246</f>
        <v>38.184652</v>
      </c>
      <c r="K246" s="444"/>
      <c r="L246" s="491"/>
      <c r="N246" s="101"/>
    </row>
    <row r="247" spans="1:14" ht="24" customHeight="1" x14ac:dyDescent="0.25">
      <c r="A247" s="497" t="s">
        <v>591</v>
      </c>
      <c r="B247" s="425">
        <v>7097</v>
      </c>
      <c r="C247" s="426" t="s">
        <v>321</v>
      </c>
      <c r="D247" s="438" t="s">
        <v>1767</v>
      </c>
      <c r="E247" s="439" t="s">
        <v>1</v>
      </c>
      <c r="F247" s="440">
        <f>'MC HIDRO'!E377</f>
        <v>5</v>
      </c>
      <c r="G247" s="439">
        <v>7.39</v>
      </c>
      <c r="H247" s="441">
        <f t="shared" si="185"/>
        <v>36.949999999999996</v>
      </c>
      <c r="I247" s="441">
        <f>IF($G247="SEM",0,G247*(1+'BDI SERVIÇOS'!$Z$21))</f>
        <v>9.0327969999999986</v>
      </c>
      <c r="J247" s="441">
        <f t="shared" si="186"/>
        <v>45.163984999999997</v>
      </c>
      <c r="K247" s="441"/>
      <c r="L247" s="491"/>
    </row>
    <row r="248" spans="1:14" ht="25.5" x14ac:dyDescent="0.25">
      <c r="A248" s="497" t="s">
        <v>592</v>
      </c>
      <c r="B248" s="425">
        <v>7091</v>
      </c>
      <c r="C248" s="426" t="s">
        <v>321</v>
      </c>
      <c r="D248" s="438" t="s">
        <v>1766</v>
      </c>
      <c r="E248" s="439" t="s">
        <v>1</v>
      </c>
      <c r="F248" s="440">
        <f>'MC HIDRO'!E384</f>
        <v>4</v>
      </c>
      <c r="G248" s="439">
        <v>15.74</v>
      </c>
      <c r="H248" s="441">
        <f t="shared" si="185"/>
        <v>62.96</v>
      </c>
      <c r="I248" s="441">
        <f>IF($G248="SEM",0,G248*(1+'BDI SERVIÇOS'!$Z$21))</f>
        <v>19.239001999999999</v>
      </c>
      <c r="J248" s="441">
        <f t="shared" si="186"/>
        <v>76.956007999999997</v>
      </c>
      <c r="K248" s="441"/>
      <c r="L248" s="491"/>
    </row>
    <row r="249" spans="1:14" ht="55.15" customHeight="1" x14ac:dyDescent="0.25">
      <c r="A249" s="497" t="s">
        <v>593</v>
      </c>
      <c r="B249" s="425">
        <v>89711</v>
      </c>
      <c r="C249" s="426" t="s">
        <v>321</v>
      </c>
      <c r="D249" s="438" t="s">
        <v>79</v>
      </c>
      <c r="E249" s="439" t="s">
        <v>0</v>
      </c>
      <c r="F249" s="440">
        <f>'MC HIDRO'!E395</f>
        <v>36</v>
      </c>
      <c r="G249" s="439">
        <v>22.9</v>
      </c>
      <c r="H249" s="441">
        <f t="shared" ref="H249:H250" si="187">IF($G249="SEM",0,F249*G249)</f>
        <v>824.4</v>
      </c>
      <c r="I249" s="441">
        <f>IF($G249="SEM",0,G249*(1+'BDI SERVIÇOS'!$Z$21))</f>
        <v>27.990669999999998</v>
      </c>
      <c r="J249" s="441">
        <f t="shared" ref="J249:J250" si="188">F249*I249</f>
        <v>1007.6641199999999</v>
      </c>
      <c r="K249" s="441"/>
      <c r="L249" s="491"/>
      <c r="N249" s="101"/>
    </row>
    <row r="250" spans="1:14" ht="55.15" customHeight="1" x14ac:dyDescent="0.25">
      <c r="A250" s="497" t="s">
        <v>594</v>
      </c>
      <c r="B250" s="425">
        <v>89712</v>
      </c>
      <c r="C250" s="426" t="s">
        <v>321</v>
      </c>
      <c r="D250" s="438" t="s">
        <v>80</v>
      </c>
      <c r="E250" s="439" t="s">
        <v>0</v>
      </c>
      <c r="F250" s="440">
        <f>'MC HIDRO'!E396</f>
        <v>195.4</v>
      </c>
      <c r="G250" s="439">
        <v>28.67</v>
      </c>
      <c r="H250" s="441">
        <f t="shared" si="187"/>
        <v>5602.1180000000004</v>
      </c>
      <c r="I250" s="441">
        <f>IF($G250="SEM",0,G250*(1+'BDI SERVIÇOS'!$Z$21))</f>
        <v>35.043340999999998</v>
      </c>
      <c r="J250" s="441">
        <f t="shared" si="188"/>
        <v>6847.4688313999995</v>
      </c>
      <c r="K250" s="441"/>
      <c r="L250" s="491"/>
      <c r="N250" s="101"/>
    </row>
    <row r="251" spans="1:14" ht="55.15" customHeight="1" x14ac:dyDescent="0.25">
      <c r="A251" s="497" t="s">
        <v>595</v>
      </c>
      <c r="B251" s="425">
        <v>89713</v>
      </c>
      <c r="C251" s="426" t="s">
        <v>321</v>
      </c>
      <c r="D251" s="438" t="s">
        <v>81</v>
      </c>
      <c r="E251" s="439" t="s">
        <v>0</v>
      </c>
      <c r="F251" s="440">
        <f>'MC HIDRO'!E397</f>
        <v>22.25</v>
      </c>
      <c r="G251" s="439">
        <v>35.65</v>
      </c>
      <c r="H251" s="441">
        <f t="shared" si="181"/>
        <v>793.21249999999998</v>
      </c>
      <c r="I251" s="441">
        <f>IF($G251="SEM",0,G251*(1+'BDI SERVIÇOS'!$Z$21))</f>
        <v>43.574994999999994</v>
      </c>
      <c r="J251" s="441">
        <f t="shared" si="182"/>
        <v>969.5436387499999</v>
      </c>
      <c r="K251" s="441"/>
      <c r="L251" s="491"/>
      <c r="N251" s="101"/>
    </row>
    <row r="252" spans="1:14" ht="55.15" customHeight="1" x14ac:dyDescent="0.25">
      <c r="A252" s="497" t="s">
        <v>596</v>
      </c>
      <c r="B252" s="425">
        <v>89714</v>
      </c>
      <c r="C252" s="426" t="s">
        <v>321</v>
      </c>
      <c r="D252" s="438" t="s">
        <v>82</v>
      </c>
      <c r="E252" s="439" t="s">
        <v>0</v>
      </c>
      <c r="F252" s="440">
        <f>'MC HIDRO'!E398</f>
        <v>112.25</v>
      </c>
      <c r="G252" s="439">
        <v>39.94</v>
      </c>
      <c r="H252" s="441">
        <f t="shared" ref="H252" si="189">IF($G252="SEM",0,F252*G252)</f>
        <v>4483.2649999999994</v>
      </c>
      <c r="I252" s="441">
        <f>IF($G252="SEM",0,G252*(1+'BDI SERVIÇOS'!$Z$21))</f>
        <v>48.818661999999996</v>
      </c>
      <c r="J252" s="441">
        <f t="shared" ref="J252" si="190">F252*I252</f>
        <v>5479.8948094999996</v>
      </c>
      <c r="K252" s="441"/>
      <c r="L252" s="491"/>
      <c r="N252" s="101"/>
    </row>
    <row r="253" spans="1:14" ht="24" customHeight="1" x14ac:dyDescent="0.25">
      <c r="A253" s="493" t="s">
        <v>597</v>
      </c>
      <c r="B253" s="445"/>
      <c r="C253" s="446"/>
      <c r="D253" s="447" t="s">
        <v>598</v>
      </c>
      <c r="E253" s="447"/>
      <c r="F253" s="448"/>
      <c r="G253" s="447"/>
      <c r="H253" s="449"/>
      <c r="I253" s="449"/>
      <c r="J253" s="449"/>
      <c r="K253" s="450">
        <f>SUM(J254:J265)</f>
        <v>13015.590851999999</v>
      </c>
      <c r="L253" s="494">
        <f>K253/$K$375</f>
        <v>3.1072144769001163E-3</v>
      </c>
    </row>
    <row r="254" spans="1:14" ht="40.15" customHeight="1" x14ac:dyDescent="0.25">
      <c r="A254" s="497" t="s">
        <v>599</v>
      </c>
      <c r="B254" s="442" t="s">
        <v>225</v>
      </c>
      <c r="C254" s="426" t="s">
        <v>323</v>
      </c>
      <c r="D254" s="438" t="s">
        <v>1722</v>
      </c>
      <c r="E254" s="439" t="s">
        <v>157</v>
      </c>
      <c r="F254" s="440">
        <v>9</v>
      </c>
      <c r="G254" s="439">
        <v>54.49</v>
      </c>
      <c r="H254" s="441">
        <f t="shared" si="181"/>
        <v>490.41</v>
      </c>
      <c r="I254" s="441">
        <f>IF($G254="SEM",0,G254*(1+'BDI SERVIÇOS'!$Z$21))</f>
        <v>66.603127000000001</v>
      </c>
      <c r="J254" s="441">
        <f t="shared" si="182"/>
        <v>599.42814299999998</v>
      </c>
      <c r="K254" s="444"/>
      <c r="L254" s="491"/>
    </row>
    <row r="255" spans="1:14" ht="55.15" customHeight="1" x14ac:dyDescent="0.25">
      <c r="A255" s="497" t="s">
        <v>600</v>
      </c>
      <c r="B255" s="425">
        <v>4538</v>
      </c>
      <c r="C255" s="426" t="s">
        <v>539</v>
      </c>
      <c r="D255" s="438" t="s">
        <v>1825</v>
      </c>
      <c r="E255" s="439" t="s">
        <v>157</v>
      </c>
      <c r="F255" s="440">
        <v>5</v>
      </c>
      <c r="G255" s="439">
        <v>534.62</v>
      </c>
      <c r="H255" s="441">
        <f t="shared" si="181"/>
        <v>2673.1</v>
      </c>
      <c r="I255" s="441">
        <f>IF($G255="SEM",0,G255*(1+'BDI SERVIÇOS'!$Z$21))</f>
        <v>653.46602599999994</v>
      </c>
      <c r="J255" s="441">
        <f t="shared" si="182"/>
        <v>3267.3301299999998</v>
      </c>
      <c r="K255" s="444"/>
      <c r="L255" s="491"/>
      <c r="N255" s="101"/>
    </row>
    <row r="256" spans="1:14" ht="40.15" customHeight="1" x14ac:dyDescent="0.25">
      <c r="A256" s="497" t="s">
        <v>601</v>
      </c>
      <c r="B256" s="442">
        <v>86904</v>
      </c>
      <c r="C256" s="426" t="s">
        <v>321</v>
      </c>
      <c r="D256" s="438" t="s">
        <v>100</v>
      </c>
      <c r="E256" s="439" t="s">
        <v>1</v>
      </c>
      <c r="F256" s="440">
        <f>'MC HIDRO'!E367+'MC HIDRO'!E368</f>
        <v>7</v>
      </c>
      <c r="G256" s="439">
        <v>169.88</v>
      </c>
      <c r="H256" s="441">
        <f t="shared" si="181"/>
        <v>1189.1599999999999</v>
      </c>
      <c r="I256" s="441">
        <f>IF($G256="SEM",0,G256*(1+'BDI SERVIÇOS'!$Z$21))</f>
        <v>207.64432399999998</v>
      </c>
      <c r="J256" s="441">
        <f t="shared" si="182"/>
        <v>1453.510268</v>
      </c>
      <c r="K256" s="444"/>
      <c r="L256" s="491"/>
    </row>
    <row r="257" spans="1:14" ht="40.15" customHeight="1" x14ac:dyDescent="0.25">
      <c r="A257" s="497" t="s">
        <v>602</v>
      </c>
      <c r="B257" s="442">
        <v>100858</v>
      </c>
      <c r="C257" s="426" t="s">
        <v>321</v>
      </c>
      <c r="D257" s="438" t="s">
        <v>101</v>
      </c>
      <c r="E257" s="439" t="s">
        <v>1</v>
      </c>
      <c r="F257" s="440">
        <f>'MC HIDRO'!E111</f>
        <v>2</v>
      </c>
      <c r="G257" s="439">
        <v>804.58</v>
      </c>
      <c r="H257" s="441">
        <f t="shared" si="181"/>
        <v>1609.16</v>
      </c>
      <c r="I257" s="441">
        <f>IF($G257="SEM",0,G257*(1+'BDI SERVIÇOS'!$Z$21))</f>
        <v>983.43813399999999</v>
      </c>
      <c r="J257" s="441">
        <f t="shared" si="182"/>
        <v>1966.876268</v>
      </c>
      <c r="K257" s="444"/>
      <c r="L257" s="491"/>
    </row>
    <row r="258" spans="1:14" ht="40.15" customHeight="1" x14ac:dyDescent="0.25">
      <c r="A258" s="497" t="s">
        <v>603</v>
      </c>
      <c r="B258" s="442">
        <v>1750</v>
      </c>
      <c r="C258" s="426" t="s">
        <v>321</v>
      </c>
      <c r="D258" s="438" t="s">
        <v>1756</v>
      </c>
      <c r="E258" s="439" t="s">
        <v>1</v>
      </c>
      <c r="F258" s="440">
        <f>'MC HIDRO'!E366</f>
        <v>1</v>
      </c>
      <c r="G258" s="439">
        <v>753.64</v>
      </c>
      <c r="H258" s="441">
        <f t="shared" si="181"/>
        <v>753.64</v>
      </c>
      <c r="I258" s="441">
        <f>IF($G258="SEM",0,G258*(1+'BDI SERVIÇOS'!$Z$21))</f>
        <v>921.17417199999988</v>
      </c>
      <c r="J258" s="441">
        <f t="shared" si="182"/>
        <v>921.17417199999988</v>
      </c>
      <c r="K258" s="444"/>
      <c r="L258" s="491"/>
    </row>
    <row r="259" spans="1:14" ht="40.15" customHeight="1" x14ac:dyDescent="0.25">
      <c r="A259" s="497" t="s">
        <v>604</v>
      </c>
      <c r="B259" s="442">
        <v>94792</v>
      </c>
      <c r="C259" s="426" t="s">
        <v>321</v>
      </c>
      <c r="D259" s="438" t="s">
        <v>104</v>
      </c>
      <c r="E259" s="439" t="s">
        <v>1</v>
      </c>
      <c r="F259" s="440">
        <f>'MC HIDRO'!E250</f>
        <v>2</v>
      </c>
      <c r="G259" s="439">
        <v>182.76</v>
      </c>
      <c r="H259" s="441">
        <f t="shared" ref="H259:H264" si="191">IF($G259="SEM",0,F259*G259)</f>
        <v>365.52</v>
      </c>
      <c r="I259" s="441">
        <f>IF($G259="SEM",0,G259*(1+'BDI SERVIÇOS'!$Z$21))</f>
        <v>223.38754799999998</v>
      </c>
      <c r="J259" s="441">
        <f t="shared" ref="J259:J264" si="192">F259*I259</f>
        <v>446.77509599999996</v>
      </c>
      <c r="K259" s="444"/>
      <c r="L259" s="491"/>
    </row>
    <row r="260" spans="1:14" ht="40.15" customHeight="1" x14ac:dyDescent="0.25">
      <c r="A260" s="497" t="s">
        <v>605</v>
      </c>
      <c r="B260" s="442">
        <v>94498</v>
      </c>
      <c r="C260" s="426" t="s">
        <v>321</v>
      </c>
      <c r="D260" s="438" t="s">
        <v>102</v>
      </c>
      <c r="E260" s="439" t="s">
        <v>1</v>
      </c>
      <c r="F260" s="440">
        <f>'MC HIDRO'!E143</f>
        <v>1</v>
      </c>
      <c r="G260" s="439">
        <v>232.22</v>
      </c>
      <c r="H260" s="441">
        <f t="shared" si="191"/>
        <v>232.22</v>
      </c>
      <c r="I260" s="441">
        <f>IF($G260="SEM",0,G260*(1+'BDI SERVIÇOS'!$Z$21))</f>
        <v>283.84250599999996</v>
      </c>
      <c r="J260" s="441">
        <f t="shared" si="192"/>
        <v>283.84250599999996</v>
      </c>
      <c r="K260" s="444"/>
      <c r="L260" s="491"/>
    </row>
    <row r="261" spans="1:14" ht="40.15" customHeight="1" x14ac:dyDescent="0.25">
      <c r="A261" s="497" t="s">
        <v>606</v>
      </c>
      <c r="B261" s="442">
        <v>94499</v>
      </c>
      <c r="C261" s="426" t="s">
        <v>321</v>
      </c>
      <c r="D261" s="438" t="s">
        <v>103</v>
      </c>
      <c r="E261" s="439" t="s">
        <v>1</v>
      </c>
      <c r="F261" s="440">
        <f>'MC HIDRO'!E144</f>
        <v>1</v>
      </c>
      <c r="G261" s="439">
        <v>467.59</v>
      </c>
      <c r="H261" s="441">
        <f t="shared" ref="H261:H262" si="193">IF($G261="SEM",0,F261*G261)</f>
        <v>467.59</v>
      </c>
      <c r="I261" s="441">
        <f>IF($G261="SEM",0,G261*(1+'BDI SERVIÇOS'!$Z$21))</f>
        <v>571.53525699999989</v>
      </c>
      <c r="J261" s="441">
        <f t="shared" ref="J261:J262" si="194">F261*I261</f>
        <v>571.53525699999989</v>
      </c>
      <c r="K261" s="444"/>
      <c r="L261" s="491"/>
    </row>
    <row r="262" spans="1:14" ht="40.15" customHeight="1" x14ac:dyDescent="0.25">
      <c r="A262" s="497" t="s">
        <v>607</v>
      </c>
      <c r="B262" s="442">
        <v>86881</v>
      </c>
      <c r="C262" s="426" t="s">
        <v>321</v>
      </c>
      <c r="D262" s="438" t="s">
        <v>98</v>
      </c>
      <c r="E262" s="439" t="s">
        <v>1</v>
      </c>
      <c r="F262" s="440">
        <f>'MC HIDRO'!E217</f>
        <v>2</v>
      </c>
      <c r="G262" s="439">
        <v>254.27</v>
      </c>
      <c r="H262" s="441">
        <f t="shared" si="193"/>
        <v>508.54</v>
      </c>
      <c r="I262" s="441">
        <f>IF($G262="SEM",0,G262*(1+'BDI SERVIÇOS'!$Z$21))</f>
        <v>310.79422099999999</v>
      </c>
      <c r="J262" s="441">
        <f t="shared" si="194"/>
        <v>621.58844199999999</v>
      </c>
      <c r="K262" s="444"/>
      <c r="L262" s="491"/>
    </row>
    <row r="263" spans="1:14" ht="40.15" customHeight="1" x14ac:dyDescent="0.25">
      <c r="A263" s="497" t="s">
        <v>608</v>
      </c>
      <c r="B263" s="442">
        <v>86882</v>
      </c>
      <c r="C263" s="426" t="s">
        <v>321</v>
      </c>
      <c r="D263" s="438" t="s">
        <v>1747</v>
      </c>
      <c r="E263" s="439" t="s">
        <v>1</v>
      </c>
      <c r="F263" s="440">
        <f>'MC HIDRO'!E181</f>
        <v>7</v>
      </c>
      <c r="G263" s="439">
        <v>24.86</v>
      </c>
      <c r="H263" s="441">
        <f t="shared" si="191"/>
        <v>174.01999999999998</v>
      </c>
      <c r="I263" s="441">
        <f>IF($G263="SEM",0,G263*(1+'BDI SERVIÇOS'!$Z$21))</f>
        <v>30.386377999999997</v>
      </c>
      <c r="J263" s="441">
        <f t="shared" si="192"/>
        <v>212.70464599999997</v>
      </c>
      <c r="K263" s="444"/>
      <c r="L263" s="491"/>
    </row>
    <row r="264" spans="1:14" ht="40.15" customHeight="1" x14ac:dyDescent="0.25">
      <c r="A264" s="542" t="s">
        <v>609</v>
      </c>
      <c r="B264" s="543">
        <v>21112</v>
      </c>
      <c r="C264" s="544" t="s">
        <v>321</v>
      </c>
      <c r="D264" s="545" t="s">
        <v>1771</v>
      </c>
      <c r="E264" s="546" t="s">
        <v>1</v>
      </c>
      <c r="F264" s="547">
        <f>'MC HIDRO'!E110</f>
        <v>2</v>
      </c>
      <c r="G264" s="546">
        <v>300.51</v>
      </c>
      <c r="H264" s="548">
        <f t="shared" si="191"/>
        <v>601.02</v>
      </c>
      <c r="I264" s="548">
        <f>IF($G264="SEM",0,G264*(1+'BDI EQUIPAMENTOS'!$K$36))</f>
        <v>349.28277300000002</v>
      </c>
      <c r="J264" s="548">
        <f t="shared" si="192"/>
        <v>698.56554600000004</v>
      </c>
      <c r="K264" s="549"/>
      <c r="L264" s="550"/>
    </row>
    <row r="265" spans="1:14" ht="40.15" customHeight="1" x14ac:dyDescent="0.25">
      <c r="A265" s="542" t="s">
        <v>610</v>
      </c>
      <c r="B265" s="543">
        <v>11781</v>
      </c>
      <c r="C265" s="544" t="s">
        <v>321</v>
      </c>
      <c r="D265" s="545" t="s">
        <v>1772</v>
      </c>
      <c r="E265" s="546" t="s">
        <v>1</v>
      </c>
      <c r="F265" s="547">
        <f>'MC HIDRO'!E145</f>
        <v>6</v>
      </c>
      <c r="G265" s="546">
        <v>282.81</v>
      </c>
      <c r="H265" s="548">
        <f t="shared" ref="H265" si="195">IF($G265="SEM",0,F265*G265)</f>
        <v>1696.8600000000001</v>
      </c>
      <c r="I265" s="548">
        <f>IF($G265="SEM",0,G265*(1+'BDI EQUIPAMENTOS'!$K$36))</f>
        <v>328.71006300000005</v>
      </c>
      <c r="J265" s="548">
        <f t="shared" ref="J265" si="196">F265*I265</f>
        <v>1972.2603780000004</v>
      </c>
      <c r="K265" s="549"/>
      <c r="L265" s="550"/>
    </row>
    <row r="266" spans="1:14" ht="25.15" customHeight="1" x14ac:dyDescent="0.25">
      <c r="A266" s="488">
        <v>8</v>
      </c>
      <c r="B266" s="433"/>
      <c r="C266" s="434"/>
      <c r="D266" s="432" t="s">
        <v>611</v>
      </c>
      <c r="E266" s="433"/>
      <c r="F266" s="435"/>
      <c r="G266" s="436"/>
      <c r="H266" s="436"/>
      <c r="I266" s="436"/>
      <c r="J266" s="436"/>
      <c r="K266" s="437">
        <f>SUM(K267+K272+K277)</f>
        <v>95241.098844869994</v>
      </c>
      <c r="L266" s="489">
        <f>K266/$K$375</f>
        <v>2.2736925621873027E-2</v>
      </c>
    </row>
    <row r="267" spans="1:14" ht="25.15" customHeight="1" x14ac:dyDescent="0.25">
      <c r="A267" s="493" t="s">
        <v>612</v>
      </c>
      <c r="B267" s="445"/>
      <c r="C267" s="446"/>
      <c r="D267" s="447" t="s">
        <v>613</v>
      </c>
      <c r="E267" s="447"/>
      <c r="F267" s="448"/>
      <c r="G267" s="447"/>
      <c r="H267" s="449"/>
      <c r="I267" s="449"/>
      <c r="J267" s="449"/>
      <c r="K267" s="450">
        <f>SUM(J268:J271)</f>
        <v>48686.341791270002</v>
      </c>
      <c r="L267" s="494">
        <f>K267/$K$375</f>
        <v>1.1622899625635934E-2</v>
      </c>
    </row>
    <row r="268" spans="1:14" ht="40.15" customHeight="1" x14ac:dyDescent="0.25">
      <c r="A268" s="497" t="s">
        <v>614</v>
      </c>
      <c r="B268" s="442">
        <v>91927</v>
      </c>
      <c r="C268" s="426" t="s">
        <v>321</v>
      </c>
      <c r="D268" s="438" t="s">
        <v>68</v>
      </c>
      <c r="E268" s="439" t="s">
        <v>0</v>
      </c>
      <c r="F268" s="440">
        <v>5424.71</v>
      </c>
      <c r="G268" s="439">
        <v>5.19</v>
      </c>
      <c r="H268" s="441">
        <f t="shared" ref="H268:H281" si="197">IF($G268="SEM",0,F268*G268)</f>
        <v>28154.244900000002</v>
      </c>
      <c r="I268" s="441">
        <f>IF($G268="SEM",0,G268*(1+'BDI SERVIÇOS'!$Z$21))</f>
        <v>6.343737</v>
      </c>
      <c r="J268" s="441">
        <f t="shared" ref="J268:J281" si="198">F268*I268</f>
        <v>34412.933541270002</v>
      </c>
      <c r="K268" s="444"/>
      <c r="L268" s="491"/>
    </row>
    <row r="269" spans="1:14" ht="40.15" customHeight="1" x14ac:dyDescent="0.25">
      <c r="A269" s="497" t="s">
        <v>615</v>
      </c>
      <c r="B269" s="442">
        <v>91933</v>
      </c>
      <c r="C269" s="426" t="s">
        <v>321</v>
      </c>
      <c r="D269" s="438" t="s">
        <v>69</v>
      </c>
      <c r="E269" s="439" t="s">
        <v>0</v>
      </c>
      <c r="F269" s="440">
        <v>240</v>
      </c>
      <c r="G269" s="439">
        <v>17.22</v>
      </c>
      <c r="H269" s="441">
        <f t="shared" si="197"/>
        <v>4132.7999999999993</v>
      </c>
      <c r="I269" s="441">
        <f>IF($G269="SEM",0,G269*(1+'BDI SERVIÇOS'!$Z$21))</f>
        <v>21.048005999999997</v>
      </c>
      <c r="J269" s="441">
        <f t="shared" si="198"/>
        <v>5051.5214399999995</v>
      </c>
      <c r="K269" s="444"/>
      <c r="L269" s="491"/>
    </row>
    <row r="270" spans="1:14" ht="55.15" customHeight="1" x14ac:dyDescent="0.25">
      <c r="A270" s="497" t="s">
        <v>616</v>
      </c>
      <c r="B270" s="425">
        <v>92984</v>
      </c>
      <c r="C270" s="426" t="s">
        <v>321</v>
      </c>
      <c r="D270" s="438" t="s">
        <v>70</v>
      </c>
      <c r="E270" s="439" t="s">
        <v>0</v>
      </c>
      <c r="F270" s="440">
        <v>20</v>
      </c>
      <c r="G270" s="439">
        <v>29.43</v>
      </c>
      <c r="H270" s="441">
        <f t="shared" si="197"/>
        <v>588.6</v>
      </c>
      <c r="I270" s="441">
        <f>IF($G270="SEM",0,G270*(1+'BDI SERVIÇOS'!$Z$21))</f>
        <v>35.972288999999996</v>
      </c>
      <c r="J270" s="441">
        <f t="shared" si="198"/>
        <v>719.4457799999999</v>
      </c>
      <c r="K270" s="444"/>
      <c r="L270" s="491"/>
      <c r="N270" s="101"/>
    </row>
    <row r="271" spans="1:14" ht="55.15" customHeight="1" x14ac:dyDescent="0.25">
      <c r="A271" s="497" t="s">
        <v>617</v>
      </c>
      <c r="B271" s="425">
        <v>92988</v>
      </c>
      <c r="C271" s="426" t="s">
        <v>321</v>
      </c>
      <c r="D271" s="438" t="s">
        <v>71</v>
      </c>
      <c r="E271" s="439" t="s">
        <v>0</v>
      </c>
      <c r="F271" s="440">
        <v>118</v>
      </c>
      <c r="G271" s="439">
        <v>58.95</v>
      </c>
      <c r="H271" s="441">
        <f t="shared" si="197"/>
        <v>6956.1</v>
      </c>
      <c r="I271" s="441">
        <f>IF($G271="SEM",0,G271*(1+'BDI SERVIÇOS'!$Z$21))</f>
        <v>72.054585000000003</v>
      </c>
      <c r="J271" s="441">
        <f t="shared" si="198"/>
        <v>8502.44103</v>
      </c>
      <c r="K271" s="444"/>
      <c r="L271" s="491"/>
      <c r="N271" s="101"/>
    </row>
    <row r="272" spans="1:14" ht="25.15" customHeight="1" x14ac:dyDescent="0.25">
      <c r="A272" s="493" t="s">
        <v>618</v>
      </c>
      <c r="B272" s="445"/>
      <c r="C272" s="446"/>
      <c r="D272" s="447" t="s">
        <v>619</v>
      </c>
      <c r="E272" s="447"/>
      <c r="F272" s="448"/>
      <c r="G272" s="447"/>
      <c r="H272" s="449"/>
      <c r="I272" s="449"/>
      <c r="J272" s="449"/>
      <c r="K272" s="450">
        <f>SUM(J273:J276)</f>
        <v>9040.8764029999984</v>
      </c>
      <c r="L272" s="494">
        <f>K272/$K$375</f>
        <v>2.1583301413434937E-3</v>
      </c>
    </row>
    <row r="273" spans="1:14" ht="24" customHeight="1" x14ac:dyDescent="0.25">
      <c r="A273" s="492" t="s">
        <v>620</v>
      </c>
      <c r="B273" s="425">
        <v>39390</v>
      </c>
      <c r="C273" s="426" t="s">
        <v>321</v>
      </c>
      <c r="D273" s="438" t="s">
        <v>1764</v>
      </c>
      <c r="E273" s="439" t="s">
        <v>1</v>
      </c>
      <c r="F273" s="440">
        <v>6</v>
      </c>
      <c r="G273" s="439">
        <v>26.13</v>
      </c>
      <c r="H273" s="441">
        <f t="shared" si="197"/>
        <v>156.78</v>
      </c>
      <c r="I273" s="441">
        <f>IF($G273="SEM",0,G273*(1+'BDI SERVIÇOS'!$Z$21))</f>
        <v>31.938698999999996</v>
      </c>
      <c r="J273" s="441">
        <f t="shared" si="198"/>
        <v>191.63219399999997</v>
      </c>
      <c r="K273" s="441"/>
      <c r="L273" s="491"/>
    </row>
    <row r="274" spans="1:14" ht="40.15" customHeight="1" x14ac:dyDescent="0.25">
      <c r="A274" s="492" t="s">
        <v>621</v>
      </c>
      <c r="B274" s="442">
        <v>100903</v>
      </c>
      <c r="C274" s="426" t="s">
        <v>321</v>
      </c>
      <c r="D274" s="438" t="s">
        <v>1739</v>
      </c>
      <c r="E274" s="439" t="s">
        <v>1</v>
      </c>
      <c r="F274" s="440">
        <v>148</v>
      </c>
      <c r="G274" s="439">
        <v>31.26</v>
      </c>
      <c r="H274" s="441">
        <f t="shared" si="197"/>
        <v>4626.4800000000005</v>
      </c>
      <c r="I274" s="441">
        <f>IF($G274="SEM",0,G274*(1+'BDI SERVIÇOS'!$Z$21))</f>
        <v>38.209097999999997</v>
      </c>
      <c r="J274" s="441">
        <f t="shared" si="198"/>
        <v>5654.9465039999995</v>
      </c>
      <c r="K274" s="444"/>
      <c r="L274" s="491"/>
    </row>
    <row r="275" spans="1:14" ht="40.15" customHeight="1" x14ac:dyDescent="0.25">
      <c r="A275" s="492" t="s">
        <v>622</v>
      </c>
      <c r="B275" s="442">
        <v>100619</v>
      </c>
      <c r="C275" s="426" t="s">
        <v>321</v>
      </c>
      <c r="D275" s="438" t="s">
        <v>1751</v>
      </c>
      <c r="E275" s="439" t="s">
        <v>1</v>
      </c>
      <c r="F275" s="440">
        <v>4</v>
      </c>
      <c r="G275" s="439">
        <v>592.35</v>
      </c>
      <c r="H275" s="441">
        <f t="shared" si="197"/>
        <v>2369.4</v>
      </c>
      <c r="I275" s="441">
        <f>IF($G275="SEM",0,G275*(1+'BDI SERVIÇOS'!$Z$21))</f>
        <v>724.029405</v>
      </c>
      <c r="J275" s="441">
        <f t="shared" si="198"/>
        <v>2896.11762</v>
      </c>
      <c r="K275" s="444"/>
      <c r="L275" s="491"/>
    </row>
    <row r="276" spans="1:14" ht="40.15" customHeight="1" x14ac:dyDescent="0.25">
      <c r="A276" s="492" t="s">
        <v>623</v>
      </c>
      <c r="B276" s="442">
        <v>97610</v>
      </c>
      <c r="C276" s="426" t="s">
        <v>321</v>
      </c>
      <c r="D276" s="438" t="s">
        <v>1738</v>
      </c>
      <c r="E276" s="439" t="s">
        <v>1</v>
      </c>
      <c r="F276" s="440">
        <v>17</v>
      </c>
      <c r="G276" s="439">
        <v>14.35</v>
      </c>
      <c r="H276" s="441">
        <f t="shared" si="197"/>
        <v>243.95</v>
      </c>
      <c r="I276" s="441">
        <f>IF($G276="SEM",0,G276*(1+'BDI SERVIÇOS'!$Z$21))</f>
        <v>17.540004999999997</v>
      </c>
      <c r="J276" s="441">
        <f t="shared" si="198"/>
        <v>298.18008499999996</v>
      </c>
      <c r="K276" s="444"/>
      <c r="L276" s="491"/>
    </row>
    <row r="277" spans="1:14" ht="25.15" customHeight="1" x14ac:dyDescent="0.25">
      <c r="A277" s="493" t="s">
        <v>624</v>
      </c>
      <c r="B277" s="445"/>
      <c r="C277" s="446"/>
      <c r="D277" s="447" t="s">
        <v>625</v>
      </c>
      <c r="E277" s="447"/>
      <c r="F277" s="448"/>
      <c r="G277" s="447"/>
      <c r="H277" s="449"/>
      <c r="I277" s="449"/>
      <c r="J277" s="449"/>
      <c r="K277" s="450">
        <f>SUM(J278:J294)</f>
        <v>37513.880650599996</v>
      </c>
      <c r="L277" s="494">
        <f>K277/$K$375</f>
        <v>8.9556958548936E-3</v>
      </c>
    </row>
    <row r="278" spans="1:14" ht="55.15" customHeight="1" x14ac:dyDescent="0.25">
      <c r="A278" s="492" t="s">
        <v>626</v>
      </c>
      <c r="B278" s="425">
        <v>43096</v>
      </c>
      <c r="C278" s="426" t="s">
        <v>321</v>
      </c>
      <c r="D278" s="438" t="s">
        <v>1757</v>
      </c>
      <c r="E278" s="439" t="s">
        <v>1</v>
      </c>
      <c r="F278" s="440">
        <v>3</v>
      </c>
      <c r="G278" s="439">
        <v>261.43</v>
      </c>
      <c r="H278" s="441">
        <f t="shared" si="197"/>
        <v>784.29</v>
      </c>
      <c r="I278" s="441">
        <f>IF($G278="SEM",0,G278*(1+'BDI SERVIÇOS'!$Z$21))</f>
        <v>319.54588899999999</v>
      </c>
      <c r="J278" s="441">
        <f t="shared" si="198"/>
        <v>958.63766699999996</v>
      </c>
      <c r="K278" s="444"/>
      <c r="L278" s="491"/>
      <c r="N278" s="101"/>
    </row>
    <row r="279" spans="1:14" ht="55.15" customHeight="1" x14ac:dyDescent="0.25">
      <c r="A279" s="492" t="s">
        <v>627</v>
      </c>
      <c r="B279" s="425">
        <v>11251</v>
      </c>
      <c r="C279" s="426" t="s">
        <v>321</v>
      </c>
      <c r="D279" s="438" t="s">
        <v>1758</v>
      </c>
      <c r="E279" s="439" t="s">
        <v>1</v>
      </c>
      <c r="F279" s="440">
        <v>2</v>
      </c>
      <c r="G279" s="439">
        <v>140.80000000000001</v>
      </c>
      <c r="H279" s="441">
        <f t="shared" ref="H279:H280" si="199">IF($G279="SEM",0,F279*G279)</f>
        <v>281.60000000000002</v>
      </c>
      <c r="I279" s="441">
        <f>IF($G279="SEM",0,G279*(1+'BDI SERVIÇOS'!$Z$21))</f>
        <v>172.09984</v>
      </c>
      <c r="J279" s="441">
        <f t="shared" ref="J279:J280" si="200">F279*I279</f>
        <v>344.19968</v>
      </c>
      <c r="K279" s="444"/>
      <c r="L279" s="491"/>
      <c r="M279" s="567" t="s">
        <v>628</v>
      </c>
      <c r="N279" s="101"/>
    </row>
    <row r="280" spans="1:14" ht="55.15" customHeight="1" x14ac:dyDescent="0.25">
      <c r="A280" s="492" t="s">
        <v>629</v>
      </c>
      <c r="B280" s="425">
        <v>101883</v>
      </c>
      <c r="C280" s="426" t="s">
        <v>321</v>
      </c>
      <c r="D280" s="438" t="s">
        <v>1740</v>
      </c>
      <c r="E280" s="439" t="s">
        <v>1</v>
      </c>
      <c r="F280" s="440">
        <v>2</v>
      </c>
      <c r="G280" s="439">
        <v>626.12</v>
      </c>
      <c r="H280" s="441">
        <f t="shared" si="199"/>
        <v>1252.24</v>
      </c>
      <c r="I280" s="441">
        <f>IF($G280="SEM",0,G280*(1+'BDI SERVIÇOS'!$Z$21))</f>
        <v>765.30647599999998</v>
      </c>
      <c r="J280" s="441">
        <f t="shared" si="200"/>
        <v>1530.612952</v>
      </c>
      <c r="K280" s="444"/>
      <c r="L280" s="491"/>
      <c r="N280" s="101"/>
    </row>
    <row r="281" spans="1:14" ht="24" customHeight="1" x14ac:dyDescent="0.25">
      <c r="A281" s="492" t="s">
        <v>630</v>
      </c>
      <c r="B281" s="425">
        <v>39600</v>
      </c>
      <c r="C281" s="426" t="s">
        <v>321</v>
      </c>
      <c r="D281" s="438" t="s">
        <v>1760</v>
      </c>
      <c r="E281" s="439" t="s">
        <v>1</v>
      </c>
      <c r="F281" s="440">
        <f>27*2</f>
        <v>54</v>
      </c>
      <c r="G281" s="439">
        <v>14.52</v>
      </c>
      <c r="H281" s="441">
        <f t="shared" si="197"/>
        <v>784.07999999999993</v>
      </c>
      <c r="I281" s="441">
        <f>IF($G281="SEM",0,G281*(1+'BDI SERVIÇOS'!$Z$21))</f>
        <v>17.747795999999997</v>
      </c>
      <c r="J281" s="441">
        <f t="shared" si="198"/>
        <v>958.3809839999999</v>
      </c>
      <c r="K281" s="441"/>
      <c r="L281" s="491"/>
    </row>
    <row r="282" spans="1:14" ht="55.15" customHeight="1" x14ac:dyDescent="0.25">
      <c r="A282" s="492" t="s">
        <v>631</v>
      </c>
      <c r="B282" s="425" t="s">
        <v>227</v>
      </c>
      <c r="C282" s="426" t="s">
        <v>323</v>
      </c>
      <c r="D282" s="438" t="s">
        <v>228</v>
      </c>
      <c r="E282" s="439" t="s">
        <v>157</v>
      </c>
      <c r="F282" s="440">
        <v>1</v>
      </c>
      <c r="G282" s="439">
        <v>209.71</v>
      </c>
      <c r="H282" s="441">
        <f t="shared" ref="H282" si="201">IF($G282="SEM",0,F282*G282)</f>
        <v>209.71</v>
      </c>
      <c r="I282" s="441">
        <f>IF($G282="SEM",0,G282*(1+'BDI SERVIÇOS'!$Z$21))</f>
        <v>256.32853299999999</v>
      </c>
      <c r="J282" s="441">
        <f t="shared" ref="J282" si="202">F282*I282</f>
        <v>256.32853299999999</v>
      </c>
      <c r="K282" s="444"/>
      <c r="L282" s="491"/>
      <c r="N282" s="101"/>
    </row>
    <row r="283" spans="1:14" ht="24" customHeight="1" x14ac:dyDescent="0.25">
      <c r="A283" s="492" t="s">
        <v>632</v>
      </c>
      <c r="B283" s="425">
        <v>98305</v>
      </c>
      <c r="C283" s="426" t="s">
        <v>321</v>
      </c>
      <c r="D283" s="438" t="s">
        <v>78</v>
      </c>
      <c r="E283" s="439" t="s">
        <v>1</v>
      </c>
      <c r="F283" s="440">
        <v>1</v>
      </c>
      <c r="G283" s="439">
        <v>2833.53</v>
      </c>
      <c r="H283" s="441">
        <f t="shared" ref="H283" si="203">IF($G283="SEM",0,F283*G283)</f>
        <v>2833.53</v>
      </c>
      <c r="I283" s="441">
        <f>IF($G283="SEM",0,G283*(1+'BDI SERVIÇOS'!$Z$21))</f>
        <v>3463.4237189999999</v>
      </c>
      <c r="J283" s="441">
        <f t="shared" ref="J283" si="204">F283*I283</f>
        <v>3463.4237189999999</v>
      </c>
      <c r="K283" s="441"/>
      <c r="L283" s="491"/>
    </row>
    <row r="284" spans="1:14" ht="40.15" customHeight="1" x14ac:dyDescent="0.25">
      <c r="A284" s="492" t="s">
        <v>633</v>
      </c>
      <c r="B284" s="442">
        <v>95796</v>
      </c>
      <c r="C284" s="426" t="s">
        <v>321</v>
      </c>
      <c r="D284" s="438" t="s">
        <v>73</v>
      </c>
      <c r="E284" s="439" t="s">
        <v>1</v>
      </c>
      <c r="F284" s="440">
        <f>16+35</f>
        <v>51</v>
      </c>
      <c r="G284" s="439">
        <v>56.72</v>
      </c>
      <c r="H284" s="441">
        <f t="shared" ref="H284" si="205">IF($G284="SEM",0,F284*G284)</f>
        <v>2892.72</v>
      </c>
      <c r="I284" s="441">
        <f>IF($G284="SEM",0,G284*(1+'BDI SERVIÇOS'!$Z$21))</f>
        <v>69.328856000000002</v>
      </c>
      <c r="J284" s="441">
        <f t="shared" ref="J284" si="206">F284*I284</f>
        <v>3535.7716559999999</v>
      </c>
      <c r="K284" s="444"/>
      <c r="L284" s="491"/>
    </row>
    <row r="285" spans="1:14" ht="40.15" customHeight="1" x14ac:dyDescent="0.25">
      <c r="A285" s="492" t="s">
        <v>634</v>
      </c>
      <c r="B285" s="442">
        <v>95789</v>
      </c>
      <c r="C285" s="426" t="s">
        <v>321</v>
      </c>
      <c r="D285" s="438" t="s">
        <v>72</v>
      </c>
      <c r="E285" s="439" t="s">
        <v>1</v>
      </c>
      <c r="F285" s="440">
        <f>9+15</f>
        <v>24</v>
      </c>
      <c r="G285" s="439">
        <v>48.24</v>
      </c>
      <c r="H285" s="441">
        <f t="shared" ref="H285" si="207">IF($G285="SEM",0,F285*G285)</f>
        <v>1157.76</v>
      </c>
      <c r="I285" s="441">
        <f>IF($G285="SEM",0,G285*(1+'BDI SERVIÇOS'!$Z$21))</f>
        <v>58.963751999999999</v>
      </c>
      <c r="J285" s="441">
        <f t="shared" ref="J285" si="208">F285*I285</f>
        <v>1415.130048</v>
      </c>
      <c r="K285" s="444"/>
      <c r="L285" s="491"/>
    </row>
    <row r="286" spans="1:14" ht="40.15" customHeight="1" x14ac:dyDescent="0.25">
      <c r="A286" s="492" t="s">
        <v>635</v>
      </c>
      <c r="B286" s="442">
        <v>95809</v>
      </c>
      <c r="C286" s="426" t="s">
        <v>321</v>
      </c>
      <c r="D286" s="438" t="s">
        <v>75</v>
      </c>
      <c r="E286" s="439" t="s">
        <v>1</v>
      </c>
      <c r="F286" s="440">
        <v>12</v>
      </c>
      <c r="G286" s="439">
        <v>41.81</v>
      </c>
      <c r="H286" s="441">
        <f t="shared" ref="H286" si="209">IF($G286="SEM",0,F286*G286)</f>
        <v>501.72</v>
      </c>
      <c r="I286" s="441">
        <f>IF($G286="SEM",0,G286*(1+'BDI SERVIÇOS'!$Z$21))</f>
        <v>51.104362999999999</v>
      </c>
      <c r="J286" s="441">
        <f t="shared" ref="J286" si="210">F286*I286</f>
        <v>613.25235599999996</v>
      </c>
      <c r="K286" s="444"/>
      <c r="L286" s="491"/>
    </row>
    <row r="287" spans="1:14" ht="40.15" customHeight="1" x14ac:dyDescent="0.25">
      <c r="A287" s="492" t="s">
        <v>636</v>
      </c>
      <c r="B287" s="442">
        <v>95802</v>
      </c>
      <c r="C287" s="426" t="s">
        <v>321</v>
      </c>
      <c r="D287" s="438" t="s">
        <v>74</v>
      </c>
      <c r="E287" s="439" t="s">
        <v>1</v>
      </c>
      <c r="F287" s="440">
        <v>15</v>
      </c>
      <c r="G287" s="439">
        <v>59.28</v>
      </c>
      <c r="H287" s="441">
        <f t="shared" ref="H287" si="211">IF($G287="SEM",0,F287*G287)</f>
        <v>889.2</v>
      </c>
      <c r="I287" s="441">
        <f>IF($G287="SEM",0,G287*(1+'BDI SERVIÇOS'!$Z$21))</f>
        <v>72.457943999999998</v>
      </c>
      <c r="J287" s="441">
        <f t="shared" ref="J287" si="212">F287*I287</f>
        <v>1086.86916</v>
      </c>
      <c r="K287" s="444"/>
      <c r="L287" s="491"/>
    </row>
    <row r="288" spans="1:14" ht="40.15" customHeight="1" x14ac:dyDescent="0.25">
      <c r="A288" s="492" t="s">
        <v>637</v>
      </c>
      <c r="B288" s="442">
        <v>98402</v>
      </c>
      <c r="C288" s="426" t="s">
        <v>321</v>
      </c>
      <c r="D288" s="438" t="s">
        <v>77</v>
      </c>
      <c r="E288" s="439" t="s">
        <v>0</v>
      </c>
      <c r="F288" s="440">
        <f>30+215</f>
        <v>245</v>
      </c>
      <c r="G288" s="439">
        <v>23.96</v>
      </c>
      <c r="H288" s="441">
        <f t="shared" ref="H288" si="213">IF($G288="SEM",0,F288*G288)</f>
        <v>5870.2</v>
      </c>
      <c r="I288" s="441">
        <f>IF($G288="SEM",0,G288*(1+'BDI SERVIÇOS'!$Z$21))</f>
        <v>29.286307999999998</v>
      </c>
      <c r="J288" s="441">
        <f t="shared" ref="J288" si="214">F288*I288</f>
        <v>7175.1454599999997</v>
      </c>
      <c r="K288" s="444"/>
      <c r="L288" s="491"/>
    </row>
    <row r="289" spans="1:14" ht="40.15" customHeight="1" x14ac:dyDescent="0.25">
      <c r="A289" s="492" t="s">
        <v>638</v>
      </c>
      <c r="B289" s="442">
        <v>101548</v>
      </c>
      <c r="C289" s="426" t="s">
        <v>321</v>
      </c>
      <c r="D289" s="438" t="s">
        <v>76</v>
      </c>
      <c r="E289" s="439" t="s">
        <v>1</v>
      </c>
      <c r="F289" s="440">
        <v>2</v>
      </c>
      <c r="G289" s="439">
        <v>8.0399999999999991</v>
      </c>
      <c r="H289" s="441">
        <f t="shared" ref="H289" si="215">IF($G289="SEM",0,F289*G289)</f>
        <v>16.079999999999998</v>
      </c>
      <c r="I289" s="441">
        <f>IF($G289="SEM",0,G289*(1+'BDI SERVIÇOS'!$Z$21))</f>
        <v>9.8272919999999981</v>
      </c>
      <c r="J289" s="441">
        <f t="shared" ref="J289" si="216">F289*I289</f>
        <v>19.654583999999996</v>
      </c>
      <c r="K289" s="444"/>
      <c r="L289" s="491"/>
    </row>
    <row r="290" spans="1:14" ht="40.15" customHeight="1" x14ac:dyDescent="0.25">
      <c r="A290" s="492" t="s">
        <v>639</v>
      </c>
      <c r="B290" s="442" t="s">
        <v>229</v>
      </c>
      <c r="C290" s="426" t="s">
        <v>323</v>
      </c>
      <c r="D290" s="438" t="s">
        <v>230</v>
      </c>
      <c r="E290" s="439" t="s">
        <v>158</v>
      </c>
      <c r="F290" s="440">
        <v>476</v>
      </c>
      <c r="G290" s="439">
        <v>21.2</v>
      </c>
      <c r="H290" s="441">
        <f t="shared" ref="H290" si="217">IF($G290="SEM",0,F290*G290)</f>
        <v>10091.199999999999</v>
      </c>
      <c r="I290" s="441">
        <f>IF($G290="SEM",0,G290*(1+'BDI SERVIÇOS'!$Z$21))</f>
        <v>25.912759999999999</v>
      </c>
      <c r="J290" s="441">
        <f t="shared" ref="J290" si="218">F290*I290</f>
        <v>12334.473759999999</v>
      </c>
      <c r="K290" s="444"/>
      <c r="L290" s="491"/>
    </row>
    <row r="291" spans="1:14" ht="55.15" customHeight="1" x14ac:dyDescent="0.25">
      <c r="A291" s="492" t="s">
        <v>640</v>
      </c>
      <c r="B291" s="425" t="s">
        <v>231</v>
      </c>
      <c r="C291" s="426" t="s">
        <v>323</v>
      </c>
      <c r="D291" s="438" t="s">
        <v>232</v>
      </c>
      <c r="E291" s="439" t="s">
        <v>158</v>
      </c>
      <c r="F291" s="440">
        <v>10.7</v>
      </c>
      <c r="G291" s="439">
        <v>89.46</v>
      </c>
      <c r="H291" s="441">
        <f t="shared" ref="H291" si="219">IF($G291="SEM",0,F291*G291)</f>
        <v>957.22199999999987</v>
      </c>
      <c r="I291" s="441">
        <f>IF($G291="SEM",0,G291*(1+'BDI SERVIÇOS'!$Z$21))</f>
        <v>109.34695799999999</v>
      </c>
      <c r="J291" s="441">
        <f t="shared" ref="J291" si="220">F291*I291</f>
        <v>1170.0124505999997</v>
      </c>
      <c r="K291" s="444"/>
      <c r="L291" s="491"/>
      <c r="N291" s="101"/>
    </row>
    <row r="292" spans="1:14" ht="55.15" customHeight="1" x14ac:dyDescent="0.25">
      <c r="A292" s="492" t="s">
        <v>641</v>
      </c>
      <c r="B292" s="425">
        <v>91893</v>
      </c>
      <c r="C292" s="426" t="s">
        <v>321</v>
      </c>
      <c r="D292" s="438" t="s">
        <v>65</v>
      </c>
      <c r="E292" s="439" t="s">
        <v>1</v>
      </c>
      <c r="F292" s="440">
        <v>60</v>
      </c>
      <c r="G292" s="439">
        <v>18.79</v>
      </c>
      <c r="H292" s="441">
        <f t="shared" ref="H292" si="221">IF($G292="SEM",0,F292*G292)</f>
        <v>1127.3999999999999</v>
      </c>
      <c r="I292" s="441">
        <f>IF($G292="SEM",0,G292*(1+'BDI SERVIÇOS'!$Z$21))</f>
        <v>22.967016999999998</v>
      </c>
      <c r="J292" s="441">
        <f t="shared" ref="J292" si="222">F292*I292</f>
        <v>1378.0210199999999</v>
      </c>
      <c r="K292" s="444"/>
      <c r="L292" s="491"/>
      <c r="N292" s="101"/>
    </row>
    <row r="293" spans="1:14" ht="55.15" customHeight="1" x14ac:dyDescent="0.25">
      <c r="A293" s="492" t="s">
        <v>642</v>
      </c>
      <c r="B293" s="425">
        <v>93020</v>
      </c>
      <c r="C293" s="426" t="s">
        <v>321</v>
      </c>
      <c r="D293" s="438" t="s">
        <v>66</v>
      </c>
      <c r="E293" s="439" t="s">
        <v>1</v>
      </c>
      <c r="F293" s="440">
        <v>26</v>
      </c>
      <c r="G293" s="439">
        <v>33.380000000000003</v>
      </c>
      <c r="H293" s="441">
        <f t="shared" ref="H293" si="223">IF($G293="SEM",0,F293*G293)</f>
        <v>867.88000000000011</v>
      </c>
      <c r="I293" s="441">
        <f>IF($G293="SEM",0,G293*(1+'BDI SERVIÇOS'!$Z$21))</f>
        <v>40.800373999999998</v>
      </c>
      <c r="J293" s="441">
        <f t="shared" ref="J293" si="224">F293*I293</f>
        <v>1060.809724</v>
      </c>
      <c r="K293" s="444"/>
      <c r="L293" s="491"/>
      <c r="N293" s="101"/>
    </row>
    <row r="294" spans="1:14" ht="55.15" customHeight="1" x14ac:dyDescent="0.25">
      <c r="A294" s="492" t="s">
        <v>643</v>
      </c>
      <c r="B294" s="425">
        <v>93024</v>
      </c>
      <c r="C294" s="426" t="s">
        <v>321</v>
      </c>
      <c r="D294" s="438" t="s">
        <v>67</v>
      </c>
      <c r="E294" s="439" t="s">
        <v>1</v>
      </c>
      <c r="F294" s="440">
        <v>3</v>
      </c>
      <c r="G294" s="439">
        <v>58.13</v>
      </c>
      <c r="H294" s="441">
        <f t="shared" ref="H294" si="225">IF($G294="SEM",0,F294*G294)</f>
        <v>174.39000000000001</v>
      </c>
      <c r="I294" s="441">
        <f>IF($G294="SEM",0,G294*(1+'BDI SERVIÇOS'!$Z$21))</f>
        <v>71.052299000000005</v>
      </c>
      <c r="J294" s="441">
        <f t="shared" ref="J294" si="226">F294*I294</f>
        <v>213.15689700000001</v>
      </c>
      <c r="K294" s="444"/>
      <c r="L294" s="491"/>
      <c r="N294" s="101"/>
    </row>
    <row r="295" spans="1:14" ht="24" customHeight="1" x14ac:dyDescent="0.25">
      <c r="A295" s="488">
        <v>9</v>
      </c>
      <c r="B295" s="433"/>
      <c r="C295" s="434"/>
      <c r="D295" s="432" t="s">
        <v>644</v>
      </c>
      <c r="E295" s="433"/>
      <c r="F295" s="435"/>
      <c r="G295" s="436"/>
      <c r="H295" s="436"/>
      <c r="I295" s="436"/>
      <c r="J295" s="436"/>
      <c r="K295" s="437">
        <f>SUM(K296+K303+K307+K312)</f>
        <v>227403.22978572996</v>
      </c>
      <c r="L295" s="489">
        <f>K295/$K$375</f>
        <v>5.4288016250563668E-2</v>
      </c>
    </row>
    <row r="296" spans="1:14" ht="25.15" customHeight="1" x14ac:dyDescent="0.25">
      <c r="A296" s="493" t="s">
        <v>645</v>
      </c>
      <c r="B296" s="445"/>
      <c r="C296" s="446"/>
      <c r="D296" s="447" t="s">
        <v>208</v>
      </c>
      <c r="E296" s="447"/>
      <c r="F296" s="448"/>
      <c r="G296" s="447"/>
      <c r="H296" s="449"/>
      <c r="I296" s="449"/>
      <c r="J296" s="449"/>
      <c r="K296" s="450">
        <f>SUM(J297:J302)</f>
        <v>127618.58636911039</v>
      </c>
      <c r="L296" s="494">
        <f>K296/$K$375</f>
        <v>3.0466409369859289E-2</v>
      </c>
    </row>
    <row r="297" spans="1:14" ht="51" x14ac:dyDescent="0.25">
      <c r="A297" s="497" t="s">
        <v>646</v>
      </c>
      <c r="B297" s="442">
        <v>87700</v>
      </c>
      <c r="C297" s="426" t="s">
        <v>321</v>
      </c>
      <c r="D297" s="438" t="s">
        <v>125</v>
      </c>
      <c r="E297" s="439" t="s">
        <v>2</v>
      </c>
      <c r="F297" s="440">
        <f>'MC PISO'!E42</f>
        <v>66.1096</v>
      </c>
      <c r="G297" s="439">
        <v>59.67</v>
      </c>
      <c r="H297" s="441">
        <f t="shared" ref="H297" si="227">IF($G297="SEM",0,F297*G297)</f>
        <v>3944.7598320000002</v>
      </c>
      <c r="I297" s="441">
        <f>IF($G297="SEM",0,G297*(1+'BDI SERVIÇOS'!$Z$21))</f>
        <v>72.934640999999999</v>
      </c>
      <c r="J297" s="441">
        <f t="shared" ref="J297" si="228">F297*I297</f>
        <v>4821.6799426535999</v>
      </c>
      <c r="K297" s="441"/>
      <c r="L297" s="491"/>
    </row>
    <row r="298" spans="1:14" ht="70.150000000000006" customHeight="1" x14ac:dyDescent="0.25">
      <c r="A298" s="497" t="s">
        <v>647</v>
      </c>
      <c r="B298" s="442">
        <v>87735</v>
      </c>
      <c r="C298" s="426" t="s">
        <v>321</v>
      </c>
      <c r="D298" s="438" t="s">
        <v>126</v>
      </c>
      <c r="E298" s="439" t="s">
        <v>2</v>
      </c>
      <c r="F298" s="443">
        <f>'MC PISO'!E47</f>
        <v>386.79999999999995</v>
      </c>
      <c r="G298" s="439">
        <v>47.74</v>
      </c>
      <c r="H298" s="441">
        <f t="shared" ref="H298" si="229">IF($G298="SEM",0,F298*G298)</f>
        <v>18465.831999999999</v>
      </c>
      <c r="I298" s="441">
        <f>IF($G298="SEM",0,G298*(1+'BDI SERVIÇOS'!$Z$21))</f>
        <v>58.352601999999997</v>
      </c>
      <c r="J298" s="441">
        <f t="shared" ref="J298" si="230">F298*I298</f>
        <v>22570.786453599998</v>
      </c>
      <c r="K298" s="441"/>
      <c r="L298" s="491"/>
    </row>
    <row r="299" spans="1:14" ht="24" customHeight="1" x14ac:dyDescent="0.25">
      <c r="A299" s="497" t="s">
        <v>648</v>
      </c>
      <c r="B299" s="425">
        <v>99811</v>
      </c>
      <c r="C299" s="426" t="s">
        <v>321</v>
      </c>
      <c r="D299" s="438" t="s">
        <v>129</v>
      </c>
      <c r="E299" s="439" t="s">
        <v>2</v>
      </c>
      <c r="F299" s="440">
        <f>'MC PISO'!E47</f>
        <v>386.79999999999995</v>
      </c>
      <c r="G299" s="439">
        <v>3.73</v>
      </c>
      <c r="H299" s="441">
        <f>IF($G299="SEM",0,F299*G299)</f>
        <v>1442.7639999999999</v>
      </c>
      <c r="I299" s="441">
        <f>IF($G299="SEM",0,G299*(1+'BDI SERVIÇOS'!$Z$21))</f>
        <v>4.5591789999999994</v>
      </c>
      <c r="J299" s="441">
        <f t="shared" ref="J299" si="231">F299*I299</f>
        <v>1763.4904371999996</v>
      </c>
      <c r="K299" s="441"/>
      <c r="L299" s="491"/>
    </row>
    <row r="300" spans="1:14" ht="70.150000000000006" customHeight="1" x14ac:dyDescent="0.25">
      <c r="A300" s="497" t="s">
        <v>649</v>
      </c>
      <c r="B300" s="442" t="s">
        <v>209</v>
      </c>
      <c r="C300" s="426" t="s">
        <v>323</v>
      </c>
      <c r="D300" s="438" t="s">
        <v>1717</v>
      </c>
      <c r="E300" s="439" t="s">
        <v>156</v>
      </c>
      <c r="F300" s="443">
        <f>('MC PISO'!E48)</f>
        <v>452.90959999999995</v>
      </c>
      <c r="G300" s="439">
        <v>147.47</v>
      </c>
      <c r="H300" s="441">
        <f t="shared" ref="H300" si="232">IF($G300="SEM",0,F300*G300)</f>
        <v>66790.578711999988</v>
      </c>
      <c r="I300" s="441">
        <f>IF($G300="SEM",0,G300*(1+'BDI SERVIÇOS'!$Z$21))</f>
        <v>180.25258099999999</v>
      </c>
      <c r="J300" s="441">
        <f t="shared" ref="J300" si="233">F300*I300</f>
        <v>81638.124359677589</v>
      </c>
      <c r="K300" s="441"/>
      <c r="L300" s="491"/>
    </row>
    <row r="301" spans="1:14" ht="55.15" customHeight="1" x14ac:dyDescent="0.25">
      <c r="A301" s="497" t="s">
        <v>650</v>
      </c>
      <c r="B301" s="425" t="s">
        <v>210</v>
      </c>
      <c r="C301" s="426" t="s">
        <v>323</v>
      </c>
      <c r="D301" s="438" t="s">
        <v>1718</v>
      </c>
      <c r="E301" s="439" t="s">
        <v>158</v>
      </c>
      <c r="F301" s="440">
        <v>238.5</v>
      </c>
      <c r="G301" s="439">
        <v>39.6</v>
      </c>
      <c r="H301" s="441">
        <f t="shared" ref="H301" si="234">IF($G301="SEM",0,F301*G301)</f>
        <v>9444.6</v>
      </c>
      <c r="I301" s="441">
        <f>IF($G301="SEM",0,G301*(1+'BDI SERVIÇOS'!$Z$21))</f>
        <v>48.403080000000003</v>
      </c>
      <c r="J301" s="441">
        <f t="shared" ref="J301" si="235">F301*I301</f>
        <v>11544.13458</v>
      </c>
      <c r="K301" s="444"/>
      <c r="L301" s="491"/>
      <c r="N301" s="101"/>
    </row>
    <row r="302" spans="1:14" ht="55.15" customHeight="1" x14ac:dyDescent="0.25">
      <c r="A302" s="492" t="s">
        <v>651</v>
      </c>
      <c r="B302" s="425" t="s">
        <v>212</v>
      </c>
      <c r="C302" s="426" t="s">
        <v>323</v>
      </c>
      <c r="D302" s="438" t="s">
        <v>1720</v>
      </c>
      <c r="E302" s="439" t="s">
        <v>158</v>
      </c>
      <c r="F302" s="440">
        <f>('MC PISO'!E182)</f>
        <v>198.8048</v>
      </c>
      <c r="G302" s="439">
        <v>21.73</v>
      </c>
      <c r="H302" s="441">
        <f t="shared" ref="H302" si="236">IF($G302="SEM",0,F302*G302)</f>
        <v>4320.0283040000004</v>
      </c>
      <c r="I302" s="441">
        <f>IF($G302="SEM",0,G302*(1+'BDI SERVIÇOS'!$Z$21))</f>
        <v>26.560579000000001</v>
      </c>
      <c r="J302" s="441">
        <f t="shared" ref="J302" si="237">F302*I302</f>
        <v>5280.3705959792005</v>
      </c>
      <c r="K302" s="444"/>
      <c r="L302" s="491"/>
      <c r="N302" s="101"/>
    </row>
    <row r="303" spans="1:14" ht="25.15" customHeight="1" x14ac:dyDescent="0.25">
      <c r="A303" s="493" t="s">
        <v>652</v>
      </c>
      <c r="B303" s="445"/>
      <c r="C303" s="446"/>
      <c r="D303" s="447" t="s">
        <v>653</v>
      </c>
      <c r="E303" s="447"/>
      <c r="F303" s="448"/>
      <c r="G303" s="447"/>
      <c r="H303" s="449"/>
      <c r="I303" s="449"/>
      <c r="J303" s="449"/>
      <c r="K303" s="450">
        <f>SUM(J304:J306)</f>
        <v>68763.005194359226</v>
      </c>
      <c r="L303" s="494">
        <f>K303/$K$375</f>
        <v>1.6415805294174506E-2</v>
      </c>
    </row>
    <row r="304" spans="1:14" ht="51" x14ac:dyDescent="0.25">
      <c r="A304" s="497" t="s">
        <v>654</v>
      </c>
      <c r="B304" s="442">
        <v>87700</v>
      </c>
      <c r="C304" s="426" t="s">
        <v>321</v>
      </c>
      <c r="D304" s="438" t="s">
        <v>125</v>
      </c>
      <c r="E304" s="439" t="s">
        <v>2</v>
      </c>
      <c r="F304" s="443">
        <f>'MC PISO'!E77</f>
        <v>86.76</v>
      </c>
      <c r="G304" s="439">
        <v>59.67</v>
      </c>
      <c r="H304" s="441">
        <f>IF($G304="SEM",0,F304*G304)</f>
        <v>5176.9692000000005</v>
      </c>
      <c r="I304" s="441">
        <f>IF($G304="SEM",0,G304*(1+'BDI SERVIÇOS'!$Z$21))</f>
        <v>72.934640999999999</v>
      </c>
      <c r="J304" s="441">
        <f t="shared" ref="J304" si="238">F304*I304</f>
        <v>6327.80945316</v>
      </c>
      <c r="K304" s="441"/>
      <c r="L304" s="491"/>
    </row>
    <row r="305" spans="1:14" ht="24" customHeight="1" x14ac:dyDescent="0.25">
      <c r="A305" s="497" t="s">
        <v>655</v>
      </c>
      <c r="B305" s="425">
        <v>99811</v>
      </c>
      <c r="C305" s="426" t="s">
        <v>321</v>
      </c>
      <c r="D305" s="438" t="s">
        <v>129</v>
      </c>
      <c r="E305" s="439" t="s">
        <v>2</v>
      </c>
      <c r="F305" s="440">
        <f>'MC PISO'!E77</f>
        <v>86.76</v>
      </c>
      <c r="G305" s="439">
        <v>3.73</v>
      </c>
      <c r="H305" s="441">
        <f t="shared" ref="H305" si="239">IF($G305="SEM",0,F305*G305)</f>
        <v>323.6148</v>
      </c>
      <c r="I305" s="441">
        <f>IF($G305="SEM",0,G305*(1+'BDI SERVIÇOS'!$Z$21))</f>
        <v>4.5591789999999994</v>
      </c>
      <c r="J305" s="441">
        <f t="shared" ref="J305" si="240">F305*I305</f>
        <v>395.55437003999998</v>
      </c>
      <c r="K305" s="441"/>
      <c r="L305" s="491"/>
    </row>
    <row r="306" spans="1:14" ht="24" customHeight="1" x14ac:dyDescent="0.25">
      <c r="A306" s="497" t="s">
        <v>656</v>
      </c>
      <c r="B306" s="425" t="s">
        <v>657</v>
      </c>
      <c r="C306" s="426" t="s">
        <v>358</v>
      </c>
      <c r="D306" s="438" t="s">
        <v>658</v>
      </c>
      <c r="E306" s="439" t="s">
        <v>540</v>
      </c>
      <c r="F306" s="440">
        <f>'MC PISO'!E77</f>
        <v>86.76</v>
      </c>
      <c r="G306" s="439">
        <v>585.02162999999996</v>
      </c>
      <c r="H306" s="441">
        <f t="shared" ref="H306" si="241">IF($G306="SEM",0,F306*G306)</f>
        <v>50756.476618799999</v>
      </c>
      <c r="I306" s="441">
        <f>IF($G306="SEM",0,G306*(1+'BDI SERVIÇOS'!$Z$21))</f>
        <v>715.07193834899988</v>
      </c>
      <c r="J306" s="441">
        <f t="shared" ref="J306" si="242">F306*I306</f>
        <v>62039.641371159232</v>
      </c>
      <c r="K306" s="441"/>
      <c r="L306" s="491"/>
    </row>
    <row r="307" spans="1:14" ht="25.15" customHeight="1" x14ac:dyDescent="0.25">
      <c r="A307" s="493" t="s">
        <v>659</v>
      </c>
      <c r="B307" s="445"/>
      <c r="C307" s="446"/>
      <c r="D307" s="447" t="s">
        <v>660</v>
      </c>
      <c r="E307" s="447"/>
      <c r="F307" s="448"/>
      <c r="G307" s="447"/>
      <c r="H307" s="449"/>
      <c r="I307" s="449"/>
      <c r="J307" s="449"/>
      <c r="K307" s="450">
        <f>SUM(J308:J311)</f>
        <v>21714.604038580354</v>
      </c>
      <c r="L307" s="494">
        <f>K307/$K$375</f>
        <v>5.1839315476379421E-3</v>
      </c>
    </row>
    <row r="308" spans="1:14" ht="51" x14ac:dyDescent="0.25">
      <c r="A308" s="497" t="s">
        <v>661</v>
      </c>
      <c r="B308" s="442">
        <v>87700</v>
      </c>
      <c r="C308" s="426" t="s">
        <v>321</v>
      </c>
      <c r="D308" s="438" t="s">
        <v>125</v>
      </c>
      <c r="E308" s="439" t="s">
        <v>2</v>
      </c>
      <c r="F308" s="443">
        <f>'MC PISO'!E110</f>
        <v>104.48</v>
      </c>
      <c r="G308" s="439">
        <v>59.67</v>
      </c>
      <c r="H308" s="441">
        <f>IF($G308="SEM",0,F308*G308)</f>
        <v>6234.3216000000002</v>
      </c>
      <c r="I308" s="441">
        <f>IF($G308="SEM",0,G308*(1+'BDI SERVIÇOS'!$Z$21))</f>
        <v>72.934640999999999</v>
      </c>
      <c r="J308" s="441">
        <f t="shared" ref="J308" si="243">F308*I308</f>
        <v>7620.2112916800006</v>
      </c>
      <c r="K308" s="441"/>
      <c r="L308" s="491"/>
    </row>
    <row r="309" spans="1:14" ht="24" customHeight="1" x14ac:dyDescent="0.25">
      <c r="A309" s="497" t="s">
        <v>662</v>
      </c>
      <c r="B309" s="425">
        <v>99811</v>
      </c>
      <c r="C309" s="426" t="s">
        <v>321</v>
      </c>
      <c r="D309" s="438" t="s">
        <v>129</v>
      </c>
      <c r="E309" s="439" t="s">
        <v>2</v>
      </c>
      <c r="F309" s="440">
        <f>'MC PISO'!E110</f>
        <v>104.48</v>
      </c>
      <c r="G309" s="439">
        <v>3.73</v>
      </c>
      <c r="H309" s="441">
        <f>IF($G309="SEM",0,F309*G309)</f>
        <v>389.71039999999999</v>
      </c>
      <c r="I309" s="441">
        <f>IF($G309="SEM",0,G309*(1+'BDI SERVIÇOS'!$Z$21))</f>
        <v>4.5591789999999994</v>
      </c>
      <c r="J309" s="441">
        <f t="shared" ref="J309" si="244">F309*I309</f>
        <v>476.34302191999996</v>
      </c>
      <c r="K309" s="441"/>
      <c r="L309" s="491"/>
    </row>
    <row r="310" spans="1:14" ht="70.150000000000006" customHeight="1" x14ac:dyDescent="0.25">
      <c r="A310" s="497" t="s">
        <v>663</v>
      </c>
      <c r="B310" s="442">
        <v>104162</v>
      </c>
      <c r="C310" s="426" t="s">
        <v>321</v>
      </c>
      <c r="D310" s="438" t="s">
        <v>123</v>
      </c>
      <c r="E310" s="439" t="s">
        <v>2</v>
      </c>
      <c r="F310" s="443">
        <f>('MC PISO'!E110)</f>
        <v>104.48</v>
      </c>
      <c r="G310" s="439">
        <v>102.87</v>
      </c>
      <c r="H310" s="441">
        <f t="shared" ref="H310" si="245">IF($G310="SEM",0,F310*G310)</f>
        <v>10747.857600000001</v>
      </c>
      <c r="I310" s="441">
        <f>IF($G310="SEM",0,G310*(1+'BDI SERVIÇOS'!$Z$21))</f>
        <v>125.738001</v>
      </c>
      <c r="J310" s="441">
        <f t="shared" ref="J310" si="246">F310*I310</f>
        <v>13137.10634448</v>
      </c>
      <c r="K310" s="441"/>
      <c r="L310" s="491"/>
    </row>
    <row r="311" spans="1:14" ht="40.15" customHeight="1" x14ac:dyDescent="0.25">
      <c r="A311" s="497" t="s">
        <v>664</v>
      </c>
      <c r="B311" s="442" t="s">
        <v>211</v>
      </c>
      <c r="C311" s="426" t="s">
        <v>323</v>
      </c>
      <c r="D311" s="438" t="s">
        <v>1719</v>
      </c>
      <c r="E311" s="439" t="s">
        <v>158</v>
      </c>
      <c r="F311" s="443">
        <f>('MC PISO'!E216)+('MC PISO'!E216)*0.1</f>
        <v>6.094704000000001</v>
      </c>
      <c r="G311" s="439">
        <v>64.56</v>
      </c>
      <c r="H311" s="441">
        <f t="shared" ref="H311" si="247">IF($G311="SEM",0,F311*G311)</f>
        <v>393.47409024000007</v>
      </c>
      <c r="I311" s="441">
        <f>IF($G311="SEM",0,G311*(1+'BDI SERVIÇOS'!$Z$21))</f>
        <v>78.911687999999998</v>
      </c>
      <c r="J311" s="441">
        <f t="shared" ref="J311" si="248">F311*I311</f>
        <v>480.94338050035208</v>
      </c>
      <c r="K311" s="441"/>
      <c r="L311" s="491"/>
    </row>
    <row r="312" spans="1:14" ht="25.15" customHeight="1" x14ac:dyDescent="0.25">
      <c r="A312" s="493" t="s">
        <v>665</v>
      </c>
      <c r="B312" s="445"/>
      <c r="C312" s="446"/>
      <c r="D312" s="447" t="s">
        <v>666</v>
      </c>
      <c r="E312" s="447"/>
      <c r="F312" s="448"/>
      <c r="G312" s="447"/>
      <c r="H312" s="449"/>
      <c r="I312" s="449"/>
      <c r="J312" s="449"/>
      <c r="K312" s="450">
        <f>SUM(J313:J315)</f>
        <v>9307.0341836800017</v>
      </c>
      <c r="L312" s="494">
        <f>K312/$K$375</f>
        <v>2.2218700388919352E-3</v>
      </c>
    </row>
    <row r="313" spans="1:14" ht="51" x14ac:dyDescent="0.25">
      <c r="A313" s="497" t="s">
        <v>667</v>
      </c>
      <c r="B313" s="442">
        <v>87640</v>
      </c>
      <c r="C313" s="426" t="s">
        <v>321</v>
      </c>
      <c r="D313" s="438" t="s">
        <v>124</v>
      </c>
      <c r="E313" s="439" t="s">
        <v>2</v>
      </c>
      <c r="F313" s="443">
        <f>'MC PISO'!E146</f>
        <v>51.2</v>
      </c>
      <c r="G313" s="439">
        <v>52.39</v>
      </c>
      <c r="H313" s="441">
        <f>IF($G313="SEM",0,F313*G313)</f>
        <v>2682.3680000000004</v>
      </c>
      <c r="I313" s="441">
        <f>IF($G313="SEM",0,G313*(1+'BDI SERVIÇOS'!$Z$21))</f>
        <v>64.036297000000005</v>
      </c>
      <c r="J313" s="441">
        <f t="shared" ref="J313" si="249">F313*I313</f>
        <v>3278.6584064000003</v>
      </c>
      <c r="K313" s="441"/>
      <c r="L313" s="491"/>
    </row>
    <row r="314" spans="1:14" ht="24" customHeight="1" x14ac:dyDescent="0.25">
      <c r="A314" s="497" t="s">
        <v>668</v>
      </c>
      <c r="B314" s="425">
        <v>99811</v>
      </c>
      <c r="C314" s="426" t="s">
        <v>321</v>
      </c>
      <c r="D314" s="438" t="s">
        <v>129</v>
      </c>
      <c r="E314" s="439" t="s">
        <v>2</v>
      </c>
      <c r="F314" s="440">
        <f>'MC PISO'!E146</f>
        <v>51.2</v>
      </c>
      <c r="G314" s="439">
        <v>3.73</v>
      </c>
      <c r="H314" s="441">
        <f>IF($G314="SEM",0,F314*G314)</f>
        <v>190.976</v>
      </c>
      <c r="I314" s="441">
        <f>IF($G314="SEM",0,G314*(1+'BDI SERVIÇOS'!$Z$21))</f>
        <v>4.5591789999999994</v>
      </c>
      <c r="J314" s="441">
        <f t="shared" ref="J314" si="250">F314*I314</f>
        <v>233.42996479999999</v>
      </c>
      <c r="K314" s="441"/>
      <c r="L314" s="491"/>
    </row>
    <row r="315" spans="1:14" ht="70.150000000000006" customHeight="1" x14ac:dyDescent="0.25">
      <c r="A315" s="497" t="s">
        <v>669</v>
      </c>
      <c r="B315" s="442" t="s">
        <v>204</v>
      </c>
      <c r="C315" s="426" t="s">
        <v>323</v>
      </c>
      <c r="D315" s="438" t="s">
        <v>205</v>
      </c>
      <c r="E315" s="439" t="s">
        <v>156</v>
      </c>
      <c r="F315" s="443">
        <f>('MC PISO'!E146)+('MC PISO'!E146)*0.1</f>
        <v>56.320000000000007</v>
      </c>
      <c r="G315" s="439">
        <v>84.18</v>
      </c>
      <c r="H315" s="441">
        <f>IF($G315="SEM",0,F315*G315)</f>
        <v>4741.017600000001</v>
      </c>
      <c r="I315" s="441">
        <f>IF($G315="SEM",0,G315*(1+'BDI SERVIÇOS'!$Z$21))</f>
        <v>102.893214</v>
      </c>
      <c r="J315" s="441">
        <f t="shared" ref="J315" si="251">F315*I315</f>
        <v>5794.9458124800012</v>
      </c>
      <c r="K315" s="441"/>
      <c r="L315" s="491"/>
    </row>
    <row r="316" spans="1:14" ht="25.15" customHeight="1" x14ac:dyDescent="0.25">
      <c r="A316" s="488">
        <v>10</v>
      </c>
      <c r="B316" s="433"/>
      <c r="C316" s="434"/>
      <c r="D316" s="432" t="s">
        <v>670</v>
      </c>
      <c r="E316" s="433"/>
      <c r="F316" s="435"/>
      <c r="G316" s="436"/>
      <c r="H316" s="436"/>
      <c r="I316" s="436"/>
      <c r="J316" s="436"/>
      <c r="K316" s="437">
        <f>SUM(J317:J320)</f>
        <v>113352.48203632</v>
      </c>
      <c r="L316" s="489">
        <f>K316/$K$375</f>
        <v>2.7060659572107904E-2</v>
      </c>
    </row>
    <row r="317" spans="1:14" ht="55.15" customHeight="1" x14ac:dyDescent="0.25">
      <c r="A317" s="492" t="s">
        <v>671</v>
      </c>
      <c r="B317" s="425" t="s">
        <v>213</v>
      </c>
      <c r="C317" s="426" t="s">
        <v>323</v>
      </c>
      <c r="D317" s="438" t="s">
        <v>214</v>
      </c>
      <c r="E317" s="439" t="s">
        <v>156</v>
      </c>
      <c r="F317" s="440">
        <f>SUM('MC ALVENARIA'!E47+'MC ALVENARIA'!E88+'MC ALVENARIA'!E128+'MC ALVENARIA'!E178+'MC ALVENARIA'!E208)*2</f>
        <v>542.55959999999993</v>
      </c>
      <c r="G317" s="439">
        <v>10.199999999999999</v>
      </c>
      <c r="H317" s="441">
        <f>IF($G317="SEM",0,F317*G317)</f>
        <v>5534.1079199999986</v>
      </c>
      <c r="I317" s="441">
        <f>IF($G317="SEM",0,G317*(1+'BDI SERVIÇOS'!$Z$21))</f>
        <v>12.467459999999999</v>
      </c>
      <c r="J317" s="441">
        <f t="shared" ref="J317:J318" si="252">F317*I317</f>
        <v>6764.340110615999</v>
      </c>
      <c r="K317" s="444"/>
      <c r="L317" s="491"/>
      <c r="N317" s="101"/>
    </row>
    <row r="318" spans="1:14" ht="55.15" customHeight="1" x14ac:dyDescent="0.25">
      <c r="A318" s="492" t="s">
        <v>672</v>
      </c>
      <c r="B318" s="425" t="s">
        <v>215</v>
      </c>
      <c r="C318" s="426" t="s">
        <v>323</v>
      </c>
      <c r="D318" s="438" t="s">
        <v>216</v>
      </c>
      <c r="E318" s="439" t="s">
        <v>156</v>
      </c>
      <c r="F318" s="440">
        <f>(('MC ALVENARIA'!E47+'MC ALVENARIA'!E178+'MC ALVENARIA'!E208)*2.5)+(('MC ALVENARIA'!E88)*4)+(('MC ALVENARIA'!E128)*3.5)</f>
        <v>717.34129999999993</v>
      </c>
      <c r="G318" s="439">
        <v>35</v>
      </c>
      <c r="H318" s="441">
        <f>IF($G318="SEM",0,F318*G318)</f>
        <v>25106.945499999998</v>
      </c>
      <c r="I318" s="441">
        <f>IF($G318="SEM",0,G318*(1+'BDI SERVIÇOS'!$Z$21))</f>
        <v>42.780499999999996</v>
      </c>
      <c r="J318" s="441">
        <f t="shared" si="252"/>
        <v>30688.219484649995</v>
      </c>
      <c r="K318" s="444"/>
      <c r="L318" s="491"/>
      <c r="N318" s="101"/>
    </row>
    <row r="319" spans="1:14" ht="24" customHeight="1" x14ac:dyDescent="0.25">
      <c r="A319" s="492" t="s">
        <v>673</v>
      </c>
      <c r="B319" s="425">
        <v>11617</v>
      </c>
      <c r="C319" s="426" t="s">
        <v>539</v>
      </c>
      <c r="D319" s="438" t="s">
        <v>674</v>
      </c>
      <c r="E319" s="439" t="s">
        <v>540</v>
      </c>
      <c r="F319" s="440">
        <f>'MC REVESTIMENTOS'!E100</f>
        <v>96.34</v>
      </c>
      <c r="G319" s="439">
        <v>506.71</v>
      </c>
      <c r="H319" s="441">
        <f t="shared" ref="H319" si="253">IF($G319="SEM",0,F319*G319)</f>
        <v>48816.441400000003</v>
      </c>
      <c r="I319" s="441">
        <f>IF($G319="SEM",0,G319*(1+'BDI SERVIÇOS'!$Z$21))</f>
        <v>619.35163299999999</v>
      </c>
      <c r="J319" s="441">
        <f t="shared" ref="J319" si="254">F319*I319</f>
        <v>59668.336323219999</v>
      </c>
      <c r="K319" s="441"/>
      <c r="L319" s="491"/>
    </row>
    <row r="320" spans="1:14" ht="70.150000000000006" customHeight="1" x14ac:dyDescent="0.25">
      <c r="A320" s="497" t="s">
        <v>675</v>
      </c>
      <c r="B320" s="442" t="s">
        <v>217</v>
      </c>
      <c r="C320" s="426" t="s">
        <v>323</v>
      </c>
      <c r="D320" s="438" t="s">
        <v>218</v>
      </c>
      <c r="E320" s="439" t="s">
        <v>156</v>
      </c>
      <c r="F320" s="443">
        <f>'MC REVESTIMENTOS'!E151</f>
        <v>174.93799999999999</v>
      </c>
      <c r="G320" s="439">
        <v>75.91</v>
      </c>
      <c r="H320" s="441">
        <f>IF($G320="SEM",0,F320*G320)</f>
        <v>13279.543579999998</v>
      </c>
      <c r="I320" s="441">
        <f>IF($G320="SEM",0,G320*(1+'BDI SERVIÇOS'!$Z$21))</f>
        <v>92.784792999999993</v>
      </c>
      <c r="J320" s="441">
        <f t="shared" ref="J320" si="255">F320*I320</f>
        <v>16231.586117833998</v>
      </c>
      <c r="K320" s="441"/>
      <c r="L320" s="491"/>
    </row>
    <row r="321" spans="1:14" ht="25.15" customHeight="1" x14ac:dyDescent="0.25">
      <c r="A321" s="488">
        <v>11</v>
      </c>
      <c r="B321" s="433"/>
      <c r="C321" s="434"/>
      <c r="D321" s="432" t="s">
        <v>676</v>
      </c>
      <c r="E321" s="433"/>
      <c r="F321" s="435"/>
      <c r="G321" s="436"/>
      <c r="H321" s="436"/>
      <c r="I321" s="436"/>
      <c r="J321" s="436"/>
      <c r="K321" s="437">
        <f>SUM(J322:J333)</f>
        <v>149427.63850868202</v>
      </c>
      <c r="L321" s="489">
        <f>K321/$K$375</f>
        <v>3.5672888530590856E-2</v>
      </c>
    </row>
    <row r="322" spans="1:14" ht="24" customHeight="1" x14ac:dyDescent="0.25">
      <c r="A322" s="492" t="s">
        <v>677</v>
      </c>
      <c r="B322" s="425">
        <v>1796</v>
      </c>
      <c r="C322" s="426" t="s">
        <v>539</v>
      </c>
      <c r="D322" s="438" t="s">
        <v>1826</v>
      </c>
      <c r="E322" s="439" t="s">
        <v>540</v>
      </c>
      <c r="F322" s="440">
        <f>'MC ESQUADRIAS'!G50</f>
        <v>50.604000000000013</v>
      </c>
      <c r="G322" s="439">
        <v>1655.52</v>
      </c>
      <c r="H322" s="441">
        <f t="shared" ref="H322:H333" si="256">IF($G322="SEM",0,F322*G322)</f>
        <v>83775.934080000021</v>
      </c>
      <c r="I322" s="441">
        <f>IF($G322="SEM",0,G322*(1+'BDI SERVIÇOS'!$Z$21))</f>
        <v>2023.5420959999999</v>
      </c>
      <c r="J322" s="441">
        <f t="shared" ref="J322" si="257">F322*I322</f>
        <v>102399.32422598402</v>
      </c>
      <c r="K322" s="441"/>
      <c r="L322" s="491"/>
    </row>
    <row r="323" spans="1:14" ht="24" customHeight="1" x14ac:dyDescent="0.25">
      <c r="A323" s="492" t="s">
        <v>678</v>
      </c>
      <c r="B323" s="425">
        <v>112603</v>
      </c>
      <c r="C323" s="426" t="s">
        <v>448</v>
      </c>
      <c r="D323" s="438" t="s">
        <v>679</v>
      </c>
      <c r="E323" s="439" t="s">
        <v>680</v>
      </c>
      <c r="F323" s="440">
        <f>'MC ESQUADRIAS'!G51</f>
        <v>9.2622</v>
      </c>
      <c r="G323" s="439">
        <v>1932.3</v>
      </c>
      <c r="H323" s="441">
        <f t="shared" si="256"/>
        <v>17897.34906</v>
      </c>
      <c r="I323" s="441">
        <f>IF($G323="SEM",0,G323*(1+'BDI SERVIÇOS'!$Z$21))</f>
        <v>2361.8502899999999</v>
      </c>
      <c r="J323" s="441">
        <f t="shared" ref="J323" si="258">F323*I323</f>
        <v>21875.929756038</v>
      </c>
      <c r="K323" s="441"/>
      <c r="L323" s="491"/>
    </row>
    <row r="324" spans="1:14" ht="40.15" customHeight="1" x14ac:dyDescent="0.25">
      <c r="A324" s="492" t="s">
        <v>681</v>
      </c>
      <c r="B324" s="442">
        <v>91341</v>
      </c>
      <c r="C324" s="426" t="s">
        <v>321</v>
      </c>
      <c r="D324" s="438" t="s">
        <v>17</v>
      </c>
      <c r="E324" s="439" t="s">
        <v>2</v>
      </c>
      <c r="F324" s="443">
        <f>'MC ESQUADRIAS'!G104</f>
        <v>4.8</v>
      </c>
      <c r="G324" s="439">
        <v>645.64</v>
      </c>
      <c r="H324" s="441">
        <f t="shared" si="256"/>
        <v>3099.0719999999997</v>
      </c>
      <c r="I324" s="441">
        <f>IF($G324="SEM",0,G324*(1+'BDI SERVIÇOS'!$Z$21))</f>
        <v>789.16577199999995</v>
      </c>
      <c r="J324" s="441">
        <f t="shared" ref="J324" si="259">F324*I324</f>
        <v>3787.9957055999994</v>
      </c>
      <c r="K324" s="441"/>
      <c r="L324" s="491"/>
    </row>
    <row r="325" spans="1:14" ht="24" customHeight="1" x14ac:dyDescent="0.25">
      <c r="A325" s="492" t="s">
        <v>682</v>
      </c>
      <c r="B325" s="425">
        <v>100705</v>
      </c>
      <c r="C325" s="426" t="s">
        <v>321</v>
      </c>
      <c r="D325" s="438" t="s">
        <v>18</v>
      </c>
      <c r="E325" s="439" t="s">
        <v>1</v>
      </c>
      <c r="F325" s="440">
        <f>'MC ESQUADRIAS'!F104</f>
        <v>5</v>
      </c>
      <c r="G325" s="439">
        <v>93.37</v>
      </c>
      <c r="H325" s="441">
        <f t="shared" si="256"/>
        <v>466.85</v>
      </c>
      <c r="I325" s="441">
        <f>IF($G325="SEM",0,G325*(1+'BDI SERVIÇOS'!$Z$21))</f>
        <v>114.12615100000001</v>
      </c>
      <c r="J325" s="441">
        <f t="shared" ref="J325" si="260">F325*I325</f>
        <v>570.63075500000002</v>
      </c>
      <c r="K325" s="441"/>
      <c r="L325" s="491"/>
    </row>
    <row r="326" spans="1:14" ht="40.15" customHeight="1" x14ac:dyDescent="0.25">
      <c r="A326" s="492" t="s">
        <v>683</v>
      </c>
      <c r="B326" s="442">
        <v>100701</v>
      </c>
      <c r="C326" s="426" t="s">
        <v>321</v>
      </c>
      <c r="D326" s="438" t="s">
        <v>16</v>
      </c>
      <c r="E326" s="439" t="s">
        <v>2</v>
      </c>
      <c r="F326" s="443">
        <f>'MC ESQUADRIAS'!G103</f>
        <v>2.94</v>
      </c>
      <c r="G326" s="439">
        <v>531.20000000000005</v>
      </c>
      <c r="H326" s="441">
        <f t="shared" si="256"/>
        <v>1561.7280000000001</v>
      </c>
      <c r="I326" s="441">
        <f>IF($G326="SEM",0,G326*(1+'BDI SERVIÇOS'!$Z$21))</f>
        <v>649.28575999999998</v>
      </c>
      <c r="J326" s="441">
        <f t="shared" ref="J326" si="261">F326*I326</f>
        <v>1908.9001343999998</v>
      </c>
      <c r="K326" s="441"/>
      <c r="L326" s="491"/>
    </row>
    <row r="327" spans="1:14" ht="55.15" customHeight="1" x14ac:dyDescent="0.25">
      <c r="A327" s="492" t="s">
        <v>684</v>
      </c>
      <c r="B327" s="425">
        <v>90830</v>
      </c>
      <c r="C327" s="426" t="s">
        <v>321</v>
      </c>
      <c r="D327" s="438" t="s">
        <v>14</v>
      </c>
      <c r="E327" s="439" t="s">
        <v>1</v>
      </c>
      <c r="F327" s="440">
        <v>1</v>
      </c>
      <c r="G327" s="439">
        <v>184.62</v>
      </c>
      <c r="H327" s="441">
        <f t="shared" si="256"/>
        <v>184.62</v>
      </c>
      <c r="I327" s="441">
        <f>IF($G327="SEM",0,G327*(1+'BDI SERVIÇOS'!$Z$21))</f>
        <v>225.66102599999999</v>
      </c>
      <c r="J327" s="441">
        <f t="shared" ref="J327" si="262">F327*I327</f>
        <v>225.66102599999999</v>
      </c>
      <c r="K327" s="444"/>
      <c r="L327" s="491"/>
      <c r="N327" s="101"/>
    </row>
    <row r="328" spans="1:14" ht="24" customHeight="1" x14ac:dyDescent="0.25">
      <c r="A328" s="492" t="s">
        <v>685</v>
      </c>
      <c r="B328" s="425">
        <v>112227</v>
      </c>
      <c r="C328" s="426" t="s">
        <v>448</v>
      </c>
      <c r="D328" s="438" t="s">
        <v>686</v>
      </c>
      <c r="E328" s="439" t="s">
        <v>540</v>
      </c>
      <c r="F328" s="440">
        <f>'MC ESQUADRIAS'!G102</f>
        <v>5.04</v>
      </c>
      <c r="G328" s="439">
        <v>70.63</v>
      </c>
      <c r="H328" s="441">
        <f t="shared" si="256"/>
        <v>355.97519999999997</v>
      </c>
      <c r="I328" s="441">
        <f>IF($G328="SEM",0,G328*(1+'BDI SERVIÇOS'!$Z$21))</f>
        <v>86.331048999999993</v>
      </c>
      <c r="J328" s="441">
        <f t="shared" ref="J328" si="263">F328*I328</f>
        <v>435.10848695999999</v>
      </c>
      <c r="K328" s="441"/>
      <c r="L328" s="491"/>
    </row>
    <row r="329" spans="1:14" ht="70.150000000000006" customHeight="1" x14ac:dyDescent="0.25">
      <c r="A329" s="492" t="s">
        <v>687</v>
      </c>
      <c r="B329" s="442">
        <v>90789</v>
      </c>
      <c r="C329" s="426" t="s">
        <v>321</v>
      </c>
      <c r="D329" s="438" t="s">
        <v>11</v>
      </c>
      <c r="E329" s="439" t="s">
        <v>1</v>
      </c>
      <c r="F329" s="443">
        <v>7</v>
      </c>
      <c r="G329" s="439">
        <v>756.92</v>
      </c>
      <c r="H329" s="441">
        <f t="shared" si="256"/>
        <v>5298.44</v>
      </c>
      <c r="I329" s="441">
        <f>IF($G329="SEM",0,G329*(1+'BDI SERVIÇOS'!$Z$21))</f>
        <v>925.18331599999988</v>
      </c>
      <c r="J329" s="441">
        <f t="shared" ref="J329" si="264">F329*I329</f>
        <v>6476.2832119999994</v>
      </c>
      <c r="K329" s="441"/>
      <c r="L329" s="491"/>
    </row>
    <row r="330" spans="1:14" ht="70.150000000000006" customHeight="1" x14ac:dyDescent="0.25">
      <c r="A330" s="492" t="s">
        <v>688</v>
      </c>
      <c r="B330" s="442">
        <v>90790</v>
      </c>
      <c r="C330" s="426" t="s">
        <v>321</v>
      </c>
      <c r="D330" s="438" t="s">
        <v>12</v>
      </c>
      <c r="E330" s="439" t="s">
        <v>1</v>
      </c>
      <c r="F330" s="443">
        <v>6</v>
      </c>
      <c r="G330" s="439">
        <v>781.12</v>
      </c>
      <c r="H330" s="441">
        <f t="shared" si="256"/>
        <v>4686.72</v>
      </c>
      <c r="I330" s="441">
        <f>IF($G330="SEM",0,G330*(1+'BDI SERVIÇOS'!$Z$21))</f>
        <v>954.76297599999998</v>
      </c>
      <c r="J330" s="441">
        <f t="shared" ref="J330" si="265">F330*I330</f>
        <v>5728.5778559999999</v>
      </c>
      <c r="K330" s="441"/>
      <c r="L330" s="491"/>
    </row>
    <row r="331" spans="1:14" ht="70.150000000000006" customHeight="1" x14ac:dyDescent="0.25">
      <c r="A331" s="492" t="s">
        <v>689</v>
      </c>
      <c r="B331" s="442">
        <v>90793</v>
      </c>
      <c r="C331" s="426" t="s">
        <v>321</v>
      </c>
      <c r="D331" s="438" t="s">
        <v>13</v>
      </c>
      <c r="E331" s="439" t="s">
        <v>1</v>
      </c>
      <c r="F331" s="443">
        <v>2</v>
      </c>
      <c r="G331" s="439">
        <v>971.16</v>
      </c>
      <c r="H331" s="441">
        <f t="shared" si="256"/>
        <v>1942.32</v>
      </c>
      <c r="I331" s="441">
        <f>IF($G331="SEM",0,G331*(1+'BDI SERVIÇOS'!$Z$21))</f>
        <v>1187.0488679999999</v>
      </c>
      <c r="J331" s="441">
        <f t="shared" ref="J331" si="266">F331*I331</f>
        <v>2374.0977359999997</v>
      </c>
      <c r="K331" s="441"/>
      <c r="L331" s="491"/>
    </row>
    <row r="332" spans="1:14" ht="55.15" customHeight="1" x14ac:dyDescent="0.25">
      <c r="A332" s="492" t="s">
        <v>690</v>
      </c>
      <c r="B332" s="425">
        <v>91306</v>
      </c>
      <c r="C332" s="426" t="s">
        <v>321</v>
      </c>
      <c r="D332" s="438" t="s">
        <v>15</v>
      </c>
      <c r="E332" s="439" t="s">
        <v>1</v>
      </c>
      <c r="F332" s="440">
        <v>16</v>
      </c>
      <c r="G332" s="439">
        <v>160.81</v>
      </c>
      <c r="H332" s="441">
        <f t="shared" si="256"/>
        <v>2572.96</v>
      </c>
      <c r="I332" s="441">
        <f>IF($G332="SEM",0,G332*(1+'BDI SERVIÇOS'!$Z$21))</f>
        <v>196.558063</v>
      </c>
      <c r="J332" s="441">
        <f t="shared" ref="J332" si="267">F332*I332</f>
        <v>3144.9290080000001</v>
      </c>
      <c r="K332" s="444"/>
      <c r="L332" s="491"/>
      <c r="N332" s="101"/>
    </row>
    <row r="333" spans="1:14" ht="24" customHeight="1" x14ac:dyDescent="0.25">
      <c r="A333" s="492" t="s">
        <v>691</v>
      </c>
      <c r="B333" s="425" t="s">
        <v>692</v>
      </c>
      <c r="C333" s="426" t="s">
        <v>358</v>
      </c>
      <c r="D333" s="438" t="s">
        <v>752</v>
      </c>
      <c r="E333" s="439" t="s">
        <v>1</v>
      </c>
      <c r="F333" s="440">
        <v>1</v>
      </c>
      <c r="G333" s="439">
        <v>409.22899999999998</v>
      </c>
      <c r="H333" s="441">
        <f t="shared" si="256"/>
        <v>409.22899999999998</v>
      </c>
      <c r="I333" s="441">
        <f>IF($G333="SEM",0,G333*(1+'BDI SERVIÇOS'!$Z$21))</f>
        <v>500.20060669999998</v>
      </c>
      <c r="J333" s="441">
        <f t="shared" ref="J333" si="268">F333*I333</f>
        <v>500.20060669999998</v>
      </c>
      <c r="K333" s="441"/>
      <c r="L333" s="491"/>
    </row>
    <row r="334" spans="1:14" ht="25.15" customHeight="1" x14ac:dyDescent="0.25">
      <c r="A334" s="488">
        <v>12</v>
      </c>
      <c r="B334" s="433"/>
      <c r="C334" s="434"/>
      <c r="D334" s="432" t="s">
        <v>693</v>
      </c>
      <c r="E334" s="433"/>
      <c r="F334" s="435"/>
      <c r="G334" s="436"/>
      <c r="H334" s="436"/>
      <c r="I334" s="436"/>
      <c r="J334" s="436"/>
      <c r="K334" s="437">
        <f>SUM(J335:J336)</f>
        <v>42027.660568418003</v>
      </c>
      <c r="L334" s="489">
        <f>K334/$K$375</f>
        <v>1.0033271392236953E-2</v>
      </c>
    </row>
    <row r="335" spans="1:14" ht="55.15" customHeight="1" x14ac:dyDescent="0.25">
      <c r="A335" s="492" t="s">
        <v>694</v>
      </c>
      <c r="B335" s="425" t="s">
        <v>219</v>
      </c>
      <c r="C335" s="426" t="s">
        <v>323</v>
      </c>
      <c r="D335" s="438" t="s">
        <v>220</v>
      </c>
      <c r="E335" s="439" t="s">
        <v>156</v>
      </c>
      <c r="F335" s="440">
        <f>'MC FORRO'!E84</f>
        <v>457.03</v>
      </c>
      <c r="G335" s="439">
        <v>64.650000000000006</v>
      </c>
      <c r="H335" s="441">
        <f t="shared" ref="H335" si="269">IF($G335="SEM",0,F335*G335)</f>
        <v>29546.9895</v>
      </c>
      <c r="I335" s="441">
        <f>IF($G335="SEM",0,G335*(1+'BDI SERVIÇOS'!$Z$21))</f>
        <v>79.021695000000008</v>
      </c>
      <c r="J335" s="441">
        <f t="shared" ref="J335" si="270">F335*I335</f>
        <v>36115.285265850005</v>
      </c>
      <c r="K335" s="444"/>
      <c r="L335" s="491"/>
      <c r="N335" s="101"/>
    </row>
    <row r="336" spans="1:14" ht="55.15" customHeight="1" x14ac:dyDescent="0.25">
      <c r="A336" s="492" t="s">
        <v>695</v>
      </c>
      <c r="B336" s="425" t="s">
        <v>221</v>
      </c>
      <c r="C336" s="426" t="s">
        <v>323</v>
      </c>
      <c r="D336" s="438" t="s">
        <v>222</v>
      </c>
      <c r="E336" s="439" t="s">
        <v>158</v>
      </c>
      <c r="F336" s="440">
        <f>'MC FORRO'!E83</f>
        <v>283.202</v>
      </c>
      <c r="G336" s="439">
        <v>17.079999999999998</v>
      </c>
      <c r="H336" s="441">
        <f t="shared" ref="H336" si="271">IF($G336="SEM",0,F336*G336)</f>
        <v>4837.0901599999997</v>
      </c>
      <c r="I336" s="441">
        <f>IF($G336="SEM",0,G336*(1+'BDI SERVIÇOS'!$Z$21))</f>
        <v>20.876883999999997</v>
      </c>
      <c r="J336" s="441">
        <f t="shared" ref="J336" si="272">F336*I336</f>
        <v>5912.3753025679989</v>
      </c>
      <c r="K336" s="444"/>
      <c r="L336" s="491"/>
      <c r="N336" s="101"/>
    </row>
    <row r="337" spans="1:14" ht="25.15" customHeight="1" x14ac:dyDescent="0.25">
      <c r="A337" s="488">
        <v>13</v>
      </c>
      <c r="B337" s="433"/>
      <c r="C337" s="434"/>
      <c r="D337" s="432" t="s">
        <v>696</v>
      </c>
      <c r="E337" s="433"/>
      <c r="F337" s="435"/>
      <c r="G337" s="436"/>
      <c r="H337" s="436"/>
      <c r="I337" s="436"/>
      <c r="J337" s="436"/>
      <c r="K337" s="437">
        <f>SUM(J338:J344)</f>
        <v>53188.874354052648</v>
      </c>
      <c r="L337" s="489">
        <f>K337/$K$375</f>
        <v>1.2697790079774837E-2</v>
      </c>
    </row>
    <row r="338" spans="1:14" ht="24" customHeight="1" x14ac:dyDescent="0.25">
      <c r="A338" s="492" t="s">
        <v>697</v>
      </c>
      <c r="B338" s="425">
        <v>190398</v>
      </c>
      <c r="C338" s="426" t="s">
        <v>448</v>
      </c>
      <c r="D338" s="438" t="s">
        <v>698</v>
      </c>
      <c r="E338" s="439" t="s">
        <v>540</v>
      </c>
      <c r="F338" s="440">
        <f>'MC PEDRAS'!E40+'MC PEDRAS'!E98+'MC PEDRAS'!E129+'MC PEDRAS'!E286</f>
        <v>14.6206</v>
      </c>
      <c r="G338" s="439">
        <v>658.29</v>
      </c>
      <c r="H338" s="441">
        <f t="shared" ref="H338" si="273">IF($G338="SEM",0,F338*G338)</f>
        <v>9624.5947739999992</v>
      </c>
      <c r="I338" s="441">
        <f>IF($G338="SEM",0,G338*(1+'BDI SERVIÇOS'!$Z$21))</f>
        <v>804.62786699999992</v>
      </c>
      <c r="J338" s="441">
        <f t="shared" ref="J338" si="274">F338*I338</f>
        <v>11764.142192260198</v>
      </c>
      <c r="K338" s="441"/>
      <c r="L338" s="491"/>
    </row>
    <row r="339" spans="1:14" ht="24" customHeight="1" x14ac:dyDescent="0.25">
      <c r="A339" s="492" t="s">
        <v>1855</v>
      </c>
      <c r="B339" s="425">
        <v>190397</v>
      </c>
      <c r="C339" s="426" t="s">
        <v>448</v>
      </c>
      <c r="D339" s="438" t="s">
        <v>699</v>
      </c>
      <c r="E339" s="439" t="s">
        <v>540</v>
      </c>
      <c r="F339" s="440">
        <v>23.459999999999997</v>
      </c>
      <c r="G339" s="439">
        <v>61.04</v>
      </c>
      <c r="H339" s="441">
        <f t="shared" ref="H339" si="275">IF($G339="SEM",0,F339*G339)</f>
        <v>1431.9983999999997</v>
      </c>
      <c r="I339" s="441">
        <f>IF($G339="SEM",0,G339*(1+'BDI SERVIÇOS'!$Z$21))</f>
        <v>74.609191999999993</v>
      </c>
      <c r="J339" s="441">
        <f t="shared" ref="J339" si="276">F339*I339</f>
        <v>1750.3316443199997</v>
      </c>
      <c r="K339" s="441"/>
      <c r="L339" s="491"/>
    </row>
    <row r="340" spans="1:14" ht="55.15" customHeight="1" x14ac:dyDescent="0.25">
      <c r="A340" s="492" t="s">
        <v>1856</v>
      </c>
      <c r="B340" s="425">
        <v>8365</v>
      </c>
      <c r="C340" s="426" t="s">
        <v>539</v>
      </c>
      <c r="D340" s="438" t="s">
        <v>1827</v>
      </c>
      <c r="E340" s="439" t="s">
        <v>0</v>
      </c>
      <c r="F340" s="440">
        <f>'MC PEDRAS'!E69</f>
        <v>7.75</v>
      </c>
      <c r="G340" s="439">
        <v>1106.51</v>
      </c>
      <c r="H340" s="441">
        <f t="shared" ref="H340" si="277">IF($G340="SEM",0,F340*G340)</f>
        <v>8575.4524999999994</v>
      </c>
      <c r="I340" s="441">
        <f>IF($G340="SEM",0,G340*(1+'BDI SERVIÇOS'!$Z$21))</f>
        <v>1352.487173</v>
      </c>
      <c r="J340" s="441">
        <f t="shared" ref="J340" si="278">F340*I340</f>
        <v>10481.77559075</v>
      </c>
      <c r="K340" s="444"/>
      <c r="L340" s="491"/>
      <c r="N340" s="101"/>
    </row>
    <row r="341" spans="1:14" ht="24" customHeight="1" x14ac:dyDescent="0.25">
      <c r="A341" s="492" t="s">
        <v>1857</v>
      </c>
      <c r="B341" s="425">
        <v>170306</v>
      </c>
      <c r="C341" s="426" t="s">
        <v>448</v>
      </c>
      <c r="D341" s="438" t="s">
        <v>700</v>
      </c>
      <c r="E341" s="439" t="s">
        <v>540</v>
      </c>
      <c r="F341" s="440">
        <f>'MC PEDRAS'!E163+'MC PEDRAS'!E193</f>
        <v>2.0170999999999997</v>
      </c>
      <c r="G341" s="439">
        <v>490.91</v>
      </c>
      <c r="H341" s="441">
        <f t="shared" ref="H341" si="279">IF($G341="SEM",0,F341*G341)</f>
        <v>990.21456099999989</v>
      </c>
      <c r="I341" s="441">
        <f>IF($G341="SEM",0,G341*(1+'BDI SERVIÇOS'!$Z$21))</f>
        <v>600.03929300000004</v>
      </c>
      <c r="J341" s="441">
        <f t="shared" ref="J341" si="280">F341*I341</f>
        <v>1210.3392579102999</v>
      </c>
      <c r="K341" s="441"/>
      <c r="L341" s="491"/>
    </row>
    <row r="342" spans="1:14" ht="70.150000000000006" customHeight="1" x14ac:dyDescent="0.25">
      <c r="A342" s="492" t="s">
        <v>1858</v>
      </c>
      <c r="B342" s="442">
        <v>104162</v>
      </c>
      <c r="C342" s="426" t="s">
        <v>321</v>
      </c>
      <c r="D342" s="438" t="s">
        <v>123</v>
      </c>
      <c r="E342" s="439" t="s">
        <v>2</v>
      </c>
      <c r="F342" s="443">
        <f>('MC PEDRAS'!E223)+('MC PEDRAS'!E223)*0.1</f>
        <v>0.37224000000000002</v>
      </c>
      <c r="G342" s="439">
        <v>102.87</v>
      </c>
      <c r="H342" s="441">
        <f t="shared" ref="H342" si="281">IF($G342="SEM",0,F342*G342)</f>
        <v>38.2923288</v>
      </c>
      <c r="I342" s="441">
        <f>IF($G342="SEM",0,G342*(1+'BDI SERVIÇOS'!$Z$21))</f>
        <v>125.738001</v>
      </c>
      <c r="J342" s="441">
        <f t="shared" ref="J342" si="282">F342*I342</f>
        <v>46.804713492239998</v>
      </c>
      <c r="K342" s="441"/>
      <c r="L342" s="491"/>
    </row>
    <row r="343" spans="1:14" ht="55.15" customHeight="1" x14ac:dyDescent="0.25">
      <c r="A343" s="492" t="s">
        <v>701</v>
      </c>
      <c r="B343" s="425" t="s">
        <v>702</v>
      </c>
      <c r="C343" s="426" t="s">
        <v>358</v>
      </c>
      <c r="D343" s="438" t="s">
        <v>1828</v>
      </c>
      <c r="E343" s="439" t="s">
        <v>540</v>
      </c>
      <c r="F343" s="440">
        <f>('MC PEDRAS'!E256)+('MC PEDRAS'!E256)*0.1</f>
        <v>13.068000000000001</v>
      </c>
      <c r="G343" s="439">
        <v>781.95175240100002</v>
      </c>
      <c r="H343" s="441">
        <f t="shared" ref="H343:H344" si="283">IF($G343="SEM",0,F343*G343)</f>
        <v>10218.545500376269</v>
      </c>
      <c r="I343" s="441">
        <f>IF($G343="SEM",0,G343*(1+'BDI SERVIÇOS'!$Z$21))</f>
        <v>955.77962695974225</v>
      </c>
      <c r="J343" s="441">
        <f t="shared" ref="J343" si="284">F343*I343</f>
        <v>12490.128165109913</v>
      </c>
      <c r="K343" s="444"/>
      <c r="L343" s="491"/>
      <c r="N343" s="101"/>
    </row>
    <row r="344" spans="1:14" ht="24" customHeight="1" x14ac:dyDescent="0.25">
      <c r="A344" s="492" t="s">
        <v>703</v>
      </c>
      <c r="B344" s="425" t="s">
        <v>704</v>
      </c>
      <c r="C344" s="426" t="s">
        <v>358</v>
      </c>
      <c r="D344" s="438" t="s">
        <v>766</v>
      </c>
      <c r="E344" s="439" t="s">
        <v>540</v>
      </c>
      <c r="F344" s="440">
        <f>'MC PEDRAS'!E327</f>
        <v>29.129999999999995</v>
      </c>
      <c r="G344" s="439">
        <v>433.79</v>
      </c>
      <c r="H344" s="441">
        <f t="shared" si="283"/>
        <v>12636.302699999998</v>
      </c>
      <c r="I344" s="441">
        <f>IF($G344="SEM",0,G344*(1+'BDI SERVIÇOS'!$Z$21))</f>
        <v>530.22151699999995</v>
      </c>
      <c r="J344" s="441">
        <f t="shared" ref="J344" si="285">F344*I344</f>
        <v>15445.352790209996</v>
      </c>
      <c r="K344" s="441"/>
      <c r="L344" s="491"/>
    </row>
    <row r="345" spans="1:14" ht="25.15" customHeight="1" x14ac:dyDescent="0.25">
      <c r="A345" s="488">
        <v>14</v>
      </c>
      <c r="B345" s="433"/>
      <c r="C345" s="434"/>
      <c r="D345" s="432" t="s">
        <v>705</v>
      </c>
      <c r="E345" s="433"/>
      <c r="F345" s="435"/>
      <c r="G345" s="436"/>
      <c r="H345" s="436"/>
      <c r="I345" s="436"/>
      <c r="J345" s="436"/>
      <c r="K345" s="437">
        <f>SUM(J346:J348)</f>
        <v>31908.818165279994</v>
      </c>
      <c r="L345" s="489">
        <f>K345/$K$375</f>
        <v>7.6175982228802322E-3</v>
      </c>
    </row>
    <row r="346" spans="1:14" ht="40.15" customHeight="1" x14ac:dyDescent="0.25">
      <c r="A346" s="497" t="s">
        <v>706</v>
      </c>
      <c r="B346" s="442">
        <v>88496</v>
      </c>
      <c r="C346" s="426" t="s">
        <v>321</v>
      </c>
      <c r="D346" s="438" t="s">
        <v>121</v>
      </c>
      <c r="E346" s="439" t="s">
        <v>2</v>
      </c>
      <c r="F346" s="443">
        <f>'MC FORRO'!E84</f>
        <v>457.03</v>
      </c>
      <c r="G346" s="439">
        <v>35.200000000000003</v>
      </c>
      <c r="H346" s="441">
        <f t="shared" ref="H346" si="286">IF($G346="SEM",0,F346*G346)</f>
        <v>16087.456</v>
      </c>
      <c r="I346" s="441">
        <f>IF($G346="SEM",0,G346*(1+'BDI SERVIÇOS'!$Z$21))</f>
        <v>43.02496</v>
      </c>
      <c r="J346" s="441">
        <f t="shared" ref="J346" si="287">F346*I346</f>
        <v>19663.697468799997</v>
      </c>
      <c r="K346" s="441"/>
      <c r="L346" s="491"/>
    </row>
    <row r="347" spans="1:14" ht="40.15" customHeight="1" x14ac:dyDescent="0.25">
      <c r="A347" s="497" t="s">
        <v>707</v>
      </c>
      <c r="B347" s="442">
        <v>88484</v>
      </c>
      <c r="C347" s="426" t="s">
        <v>321</v>
      </c>
      <c r="D347" s="438" t="s">
        <v>117</v>
      </c>
      <c r="E347" s="439" t="s">
        <v>2</v>
      </c>
      <c r="F347" s="443">
        <f>F346</f>
        <v>457.03</v>
      </c>
      <c r="G347" s="439">
        <v>5.79</v>
      </c>
      <c r="H347" s="441">
        <f t="shared" ref="H347" si="288">IF($G347="SEM",0,F347*G347)</f>
        <v>2646.2037</v>
      </c>
      <c r="I347" s="441">
        <f>IF($G347="SEM",0,G347*(1+'BDI SERVIÇOS'!$Z$21))</f>
        <v>7.0771169999999994</v>
      </c>
      <c r="J347" s="441">
        <f t="shared" ref="J347" si="289">F347*I347</f>
        <v>3234.4547825099994</v>
      </c>
      <c r="K347" s="441"/>
      <c r="L347" s="491"/>
    </row>
    <row r="348" spans="1:14" ht="40.15" customHeight="1" x14ac:dyDescent="0.25">
      <c r="A348" s="497" t="s">
        <v>708</v>
      </c>
      <c r="B348" s="442">
        <v>88488</v>
      </c>
      <c r="C348" s="426" t="s">
        <v>321</v>
      </c>
      <c r="D348" s="438" t="s">
        <v>119</v>
      </c>
      <c r="E348" s="439" t="s">
        <v>2</v>
      </c>
      <c r="F348" s="443">
        <f>F346</f>
        <v>457.03</v>
      </c>
      <c r="G348" s="439">
        <v>16.13</v>
      </c>
      <c r="H348" s="441">
        <f t="shared" ref="H348" si="290">IF($G348="SEM",0,F348*G348)</f>
        <v>7371.8938999999991</v>
      </c>
      <c r="I348" s="441">
        <f>IF($G348="SEM",0,G348*(1+'BDI SERVIÇOS'!$Z$21))</f>
        <v>19.715698999999997</v>
      </c>
      <c r="J348" s="441">
        <f t="shared" ref="J348" si="291">F348*I348</f>
        <v>9010.6659139699987</v>
      </c>
      <c r="K348" s="441"/>
      <c r="L348" s="491"/>
    </row>
    <row r="349" spans="1:14" ht="25.15" customHeight="1" x14ac:dyDescent="0.25">
      <c r="A349" s="488">
        <v>15</v>
      </c>
      <c r="B349" s="433"/>
      <c r="C349" s="434"/>
      <c r="D349" s="432" t="s">
        <v>709</v>
      </c>
      <c r="E349" s="433"/>
      <c r="F349" s="435"/>
      <c r="G349" s="436"/>
      <c r="H349" s="436"/>
      <c r="I349" s="436"/>
      <c r="J349" s="436"/>
      <c r="K349" s="437">
        <f>SUM(J350:J352)</f>
        <v>61016.990698085734</v>
      </c>
      <c r="L349" s="489">
        <f>K349/$K$375</f>
        <v>1.4566597781831666E-2</v>
      </c>
    </row>
    <row r="350" spans="1:14" ht="40.15" customHeight="1" x14ac:dyDescent="0.25">
      <c r="A350" s="497" t="s">
        <v>710</v>
      </c>
      <c r="B350" s="442">
        <v>88497</v>
      </c>
      <c r="C350" s="426" t="s">
        <v>321</v>
      </c>
      <c r="D350" s="438" t="s">
        <v>122</v>
      </c>
      <c r="E350" s="439" t="s">
        <v>2</v>
      </c>
      <c r="F350" s="443">
        <f>SUM('MC PINTURA'!E68+'MC PINTURA'!E113)</f>
        <v>1309.8875800000001</v>
      </c>
      <c r="G350" s="439">
        <v>19.82</v>
      </c>
      <c r="H350" s="441">
        <f t="shared" ref="H350" si="292">IF($G350="SEM",0,F350*G350)</f>
        <v>25961.971835600001</v>
      </c>
      <c r="I350" s="441">
        <f>IF($G350="SEM",0,G350*(1+'BDI SERVIÇOS'!$Z$21))</f>
        <v>24.225985999999999</v>
      </c>
      <c r="J350" s="441">
        <f t="shared" ref="J350" si="293">F350*I350</f>
        <v>31733.318174653879</v>
      </c>
      <c r="K350" s="441"/>
      <c r="L350" s="491"/>
    </row>
    <row r="351" spans="1:14" ht="40.15" customHeight="1" x14ac:dyDescent="0.25">
      <c r="A351" s="497" t="s">
        <v>711</v>
      </c>
      <c r="B351" s="442">
        <v>88485</v>
      </c>
      <c r="C351" s="426" t="s">
        <v>321</v>
      </c>
      <c r="D351" s="438" t="s">
        <v>118</v>
      </c>
      <c r="E351" s="439" t="s">
        <v>2</v>
      </c>
      <c r="F351" s="443">
        <f>SUM('MC PINTURA'!E68+'MC PINTURA'!E113)</f>
        <v>1309.8875800000001</v>
      </c>
      <c r="G351" s="439">
        <v>4.74</v>
      </c>
      <c r="H351" s="441">
        <f t="shared" ref="H351" si="294">IF($G351="SEM",0,F351*G351)</f>
        <v>6208.8671292000008</v>
      </c>
      <c r="I351" s="441">
        <f>IF($G351="SEM",0,G351*(1+'BDI SERVIÇOS'!$Z$21))</f>
        <v>5.7937019999999997</v>
      </c>
      <c r="J351" s="441">
        <f t="shared" ref="J351" si="295">F351*I351</f>
        <v>7589.09829202116</v>
      </c>
      <c r="K351" s="441"/>
      <c r="L351" s="491"/>
    </row>
    <row r="352" spans="1:14" ht="40.15" customHeight="1" x14ac:dyDescent="0.25">
      <c r="A352" s="497" t="s">
        <v>712</v>
      </c>
      <c r="B352" s="442">
        <v>88489</v>
      </c>
      <c r="C352" s="426" t="s">
        <v>321</v>
      </c>
      <c r="D352" s="438" t="s">
        <v>120</v>
      </c>
      <c r="E352" s="439" t="s">
        <v>2</v>
      </c>
      <c r="F352" s="443">
        <f>SUM('MC PINTURA'!E68+'MC PINTURA'!E113)</f>
        <v>1309.8875800000001</v>
      </c>
      <c r="G352" s="439">
        <v>13.55</v>
      </c>
      <c r="H352" s="441">
        <f t="shared" ref="H352" si="296">IF($G352="SEM",0,F352*G352)</f>
        <v>17748.976709000002</v>
      </c>
      <c r="I352" s="441">
        <f>IF($G352="SEM",0,G352*(1+'BDI SERVIÇOS'!$Z$21))</f>
        <v>16.562165</v>
      </c>
      <c r="J352" s="441">
        <f t="shared" ref="J352" si="297">F352*I352</f>
        <v>21694.574231410701</v>
      </c>
      <c r="K352" s="441"/>
      <c r="L352" s="491"/>
    </row>
    <row r="353" spans="1:14" ht="25.15" customHeight="1" x14ac:dyDescent="0.25">
      <c r="A353" s="488">
        <v>16</v>
      </c>
      <c r="B353" s="433"/>
      <c r="C353" s="434"/>
      <c r="D353" s="432" t="s">
        <v>713</v>
      </c>
      <c r="E353" s="433"/>
      <c r="F353" s="435"/>
      <c r="G353" s="436"/>
      <c r="H353" s="436"/>
      <c r="I353" s="436"/>
      <c r="J353" s="436"/>
      <c r="K353" s="437">
        <f>SUM(J354)</f>
        <v>20733.609367547997</v>
      </c>
      <c r="L353" s="489">
        <f>K353/$K$375</f>
        <v>4.949738503445468E-3</v>
      </c>
    </row>
    <row r="354" spans="1:14" ht="24" customHeight="1" x14ac:dyDescent="0.25">
      <c r="A354" s="492" t="s">
        <v>714</v>
      </c>
      <c r="B354" s="425">
        <v>8759</v>
      </c>
      <c r="C354" s="426" t="s">
        <v>539</v>
      </c>
      <c r="D354" s="438" t="s">
        <v>1829</v>
      </c>
      <c r="E354" s="439" t="s">
        <v>0</v>
      </c>
      <c r="F354" s="440">
        <f>'MC CORRIMÃO E GUARDA CORPO'!E36</f>
        <v>55.211999999999996</v>
      </c>
      <c r="G354" s="439">
        <v>307.23</v>
      </c>
      <c r="H354" s="441">
        <f t="shared" ref="H354" si="298">IF($G354="SEM",0,F354*G354)</f>
        <v>16962.782759999998</v>
      </c>
      <c r="I354" s="441">
        <f>IF($G354="SEM",0,G354*(1+'BDI SERVIÇOS'!$Z$21))</f>
        <v>375.52722899999998</v>
      </c>
      <c r="J354" s="441">
        <f t="shared" ref="J354" si="299">F354*I354</f>
        <v>20733.609367547997</v>
      </c>
      <c r="K354" s="441"/>
      <c r="L354" s="491"/>
    </row>
    <row r="355" spans="1:14" ht="25.15" customHeight="1" x14ac:dyDescent="0.25">
      <c r="A355" s="488">
        <v>17</v>
      </c>
      <c r="B355" s="433"/>
      <c r="C355" s="434"/>
      <c r="D355" s="432" t="s">
        <v>715</v>
      </c>
      <c r="E355" s="433"/>
      <c r="F355" s="435"/>
      <c r="G355" s="436"/>
      <c r="H355" s="436"/>
      <c r="I355" s="436"/>
      <c r="J355" s="436"/>
      <c r="K355" s="437">
        <f>SUM(J356:J356)</f>
        <v>15948.208599199999</v>
      </c>
      <c r="L355" s="489">
        <f>K355/$K$375</f>
        <v>3.8073188688504699E-3</v>
      </c>
    </row>
    <row r="356" spans="1:14" ht="70.150000000000006" customHeight="1" x14ac:dyDescent="0.25">
      <c r="A356" s="497" t="s">
        <v>716</v>
      </c>
      <c r="B356" s="442" t="s">
        <v>223</v>
      </c>
      <c r="C356" s="426" t="s">
        <v>323</v>
      </c>
      <c r="D356" s="438" t="s">
        <v>1721</v>
      </c>
      <c r="E356" s="439" t="s">
        <v>158</v>
      </c>
      <c r="F356" s="443">
        <f>'MC CORRIMÃO E GUARDA CORPO'!E62</f>
        <v>16.558</v>
      </c>
      <c r="G356" s="439">
        <v>788</v>
      </c>
      <c r="H356" s="441">
        <f t="shared" ref="H356" si="300">IF($G356="SEM",0,F356*G356)</f>
        <v>13047.704</v>
      </c>
      <c r="I356" s="441">
        <f>IF($G356="SEM",0,G356*(1+'BDI SERVIÇOS'!$Z$21))</f>
        <v>963.17239999999993</v>
      </c>
      <c r="J356" s="441">
        <f t="shared" ref="J356" si="301">F356*I356</f>
        <v>15948.208599199999</v>
      </c>
      <c r="K356" s="441"/>
      <c r="L356" s="491"/>
    </row>
    <row r="357" spans="1:14" ht="25.15" customHeight="1" x14ac:dyDescent="0.25">
      <c r="A357" s="488">
        <v>18</v>
      </c>
      <c r="B357" s="433"/>
      <c r="C357" s="434"/>
      <c r="D357" s="432" t="s">
        <v>717</v>
      </c>
      <c r="E357" s="433"/>
      <c r="F357" s="435"/>
      <c r="G357" s="436"/>
      <c r="H357" s="436"/>
      <c r="I357" s="436"/>
      <c r="J357" s="436"/>
      <c r="K357" s="437">
        <f>SUM(J358)</f>
        <v>63555.933099999995</v>
      </c>
      <c r="L357" s="489">
        <f>K357/$K$375</f>
        <v>1.5172719983808482E-2</v>
      </c>
    </row>
    <row r="358" spans="1:14" ht="40.15" customHeight="1" x14ac:dyDescent="0.25">
      <c r="A358" s="497" t="s">
        <v>718</v>
      </c>
      <c r="B358" s="442">
        <v>13303</v>
      </c>
      <c r="C358" s="426" t="s">
        <v>539</v>
      </c>
      <c r="D358" s="438" t="s">
        <v>719</v>
      </c>
      <c r="E358" s="439" t="s">
        <v>1</v>
      </c>
      <c r="F358" s="443">
        <v>1</v>
      </c>
      <c r="G358" s="439">
        <v>51997</v>
      </c>
      <c r="H358" s="441">
        <f t="shared" ref="H358" si="302">IF($G358="SEM",0,F358*G358)</f>
        <v>51997</v>
      </c>
      <c r="I358" s="441">
        <f>IF($G358="SEM",0,G358*(1+'BDI SERVIÇOS'!$Z$21))</f>
        <v>63555.933099999995</v>
      </c>
      <c r="J358" s="441">
        <f t="shared" ref="J358" si="303">F358*I358</f>
        <v>63555.933099999995</v>
      </c>
      <c r="K358" s="441"/>
      <c r="L358" s="491"/>
    </row>
    <row r="359" spans="1:14" ht="25.15" customHeight="1" x14ac:dyDescent="0.25">
      <c r="A359" s="488">
        <v>19</v>
      </c>
      <c r="B359" s="433"/>
      <c r="C359" s="434"/>
      <c r="D359" s="432" t="s">
        <v>720</v>
      </c>
      <c r="E359" s="433"/>
      <c r="F359" s="435"/>
      <c r="G359" s="436"/>
      <c r="H359" s="436"/>
      <c r="I359" s="436"/>
      <c r="J359" s="436"/>
      <c r="K359" s="437">
        <f>SUM(J360:J362)</f>
        <v>24608.373965286748</v>
      </c>
      <c r="L359" s="489">
        <f>K359/$K$375</f>
        <v>5.8747617920212498E-3</v>
      </c>
    </row>
    <row r="360" spans="1:14" ht="24" customHeight="1" x14ac:dyDescent="0.25">
      <c r="A360" s="492" t="s">
        <v>721</v>
      </c>
      <c r="B360" s="425" t="s">
        <v>722</v>
      </c>
      <c r="C360" s="426" t="s">
        <v>358</v>
      </c>
      <c r="D360" s="438" t="s">
        <v>723</v>
      </c>
      <c r="E360" s="439" t="s">
        <v>0</v>
      </c>
      <c r="F360" s="440">
        <f>'MC DIVERSOS'!E36</f>
        <v>14.462999999999997</v>
      </c>
      <c r="G360" s="439">
        <v>282.3075</v>
      </c>
      <c r="H360" s="441">
        <f t="shared" ref="H360" si="304">IF($G360="SEM",0,F360*G360)</f>
        <v>4083.0133724999992</v>
      </c>
      <c r="I360" s="441">
        <f>IF($G360="SEM",0,G360*(1+'BDI SERVIÇOS'!$Z$21))</f>
        <v>345.06445724999998</v>
      </c>
      <c r="J360" s="441">
        <f t="shared" ref="J360" si="305">F360*I360</f>
        <v>4990.6672452067487</v>
      </c>
      <c r="K360" s="441"/>
      <c r="L360" s="491"/>
    </row>
    <row r="361" spans="1:14" ht="55.15" customHeight="1" x14ac:dyDescent="0.25">
      <c r="A361" s="492" t="s">
        <v>1853</v>
      </c>
      <c r="B361" s="425">
        <v>103314</v>
      </c>
      <c r="C361" s="426" t="s">
        <v>321</v>
      </c>
      <c r="D361" s="438" t="s">
        <v>140</v>
      </c>
      <c r="E361" s="439" t="s">
        <v>2</v>
      </c>
      <c r="F361" s="440">
        <f>'MC DIVERSOS'!E64</f>
        <v>37.44</v>
      </c>
      <c r="G361" s="439">
        <v>346.59</v>
      </c>
      <c r="H361" s="441">
        <f t="shared" ref="H361" si="306">IF($G361="SEM",0,F361*G361)</f>
        <v>12976.329599999999</v>
      </c>
      <c r="I361" s="441">
        <f>IF($G361="SEM",0,G361*(1+'BDI SERVIÇOS'!$Z$21))</f>
        <v>423.63695699999994</v>
      </c>
      <c r="J361" s="441">
        <f t="shared" ref="J361" si="307">F361*I361</f>
        <v>15860.967670079997</v>
      </c>
      <c r="K361" s="444"/>
      <c r="L361" s="491"/>
      <c r="N361" s="101"/>
    </row>
    <row r="362" spans="1:14" ht="24" customHeight="1" x14ac:dyDescent="0.25">
      <c r="A362" s="492" t="s">
        <v>1854</v>
      </c>
      <c r="B362" s="425" t="s">
        <v>725</v>
      </c>
      <c r="C362" s="426" t="s">
        <v>358</v>
      </c>
      <c r="D362" s="438" t="s">
        <v>726</v>
      </c>
      <c r="E362" s="439" t="s">
        <v>1</v>
      </c>
      <c r="F362" s="440">
        <v>1</v>
      </c>
      <c r="G362" s="439">
        <v>3073.5</v>
      </c>
      <c r="H362" s="441">
        <f t="shared" ref="H362" si="308">IF($G362="SEM",0,F362*G362)</f>
        <v>3073.5</v>
      </c>
      <c r="I362" s="441">
        <f>IF($G362="SEM",0,G362*(1+'BDI SERVIÇOS'!$Z$21))</f>
        <v>3756.7390499999997</v>
      </c>
      <c r="J362" s="441">
        <f t="shared" ref="J362" si="309">F362*I362</f>
        <v>3756.7390499999997</v>
      </c>
      <c r="K362" s="441"/>
      <c r="L362" s="491"/>
    </row>
    <row r="363" spans="1:14" ht="25.15" customHeight="1" x14ac:dyDescent="0.25">
      <c r="A363" s="488">
        <v>20</v>
      </c>
      <c r="B363" s="433"/>
      <c r="C363" s="434"/>
      <c r="D363" s="432" t="s">
        <v>727</v>
      </c>
      <c r="E363" s="433"/>
      <c r="F363" s="435"/>
      <c r="G363" s="436"/>
      <c r="H363" s="436"/>
      <c r="I363" s="436"/>
      <c r="J363" s="436"/>
      <c r="K363" s="437">
        <f>SUM(J364:J367)</f>
        <v>10421.095668434999</v>
      </c>
      <c r="L363" s="489">
        <f>K363/$K$375</f>
        <v>2.4878301488054735E-3</v>
      </c>
    </row>
    <row r="364" spans="1:14" ht="24" customHeight="1" x14ac:dyDescent="0.25">
      <c r="A364" s="492" t="s">
        <v>728</v>
      </c>
      <c r="B364" s="425">
        <v>98509</v>
      </c>
      <c r="C364" s="426" t="s">
        <v>321</v>
      </c>
      <c r="D364" s="438" t="s">
        <v>1749</v>
      </c>
      <c r="E364" s="439" t="s">
        <v>1</v>
      </c>
      <c r="F364" s="440">
        <f>'MC DIVERSOS'!E108</f>
        <v>85</v>
      </c>
      <c r="G364" s="439">
        <v>57.97</v>
      </c>
      <c r="H364" s="441">
        <f t="shared" ref="H364" si="310">IF($G364="SEM",0,F364*G364)</f>
        <v>4927.45</v>
      </c>
      <c r="I364" s="441">
        <f>IF($G364="SEM",0,G364*(1+'BDI SERVIÇOS'!$Z$21))</f>
        <v>70.856730999999996</v>
      </c>
      <c r="J364" s="441">
        <f t="shared" ref="J364" si="311">F364*I364</f>
        <v>6022.8221349999994</v>
      </c>
      <c r="K364" s="441"/>
      <c r="L364" s="491"/>
    </row>
    <row r="365" spans="1:14" ht="40.15" customHeight="1" x14ac:dyDescent="0.25">
      <c r="A365" s="492" t="s">
        <v>729</v>
      </c>
      <c r="B365" s="442">
        <v>98511</v>
      </c>
      <c r="C365" s="426" t="s">
        <v>321</v>
      </c>
      <c r="D365" s="438" t="s">
        <v>1750</v>
      </c>
      <c r="E365" s="439" t="s">
        <v>1</v>
      </c>
      <c r="F365" s="443">
        <v>14</v>
      </c>
      <c r="G365" s="439">
        <v>172.25</v>
      </c>
      <c r="H365" s="441">
        <f t="shared" ref="H365" si="312">IF($G365="SEM",0,F365*G365)</f>
        <v>2411.5</v>
      </c>
      <c r="I365" s="441">
        <f>IF($G365="SEM",0,G365*(1+'BDI SERVIÇOS'!$Z$21))</f>
        <v>210.54117499999998</v>
      </c>
      <c r="J365" s="441">
        <f t="shared" ref="J365" si="313">F365*I365</f>
        <v>2947.5764499999996</v>
      </c>
      <c r="K365" s="441"/>
      <c r="L365" s="491"/>
    </row>
    <row r="366" spans="1:14" ht="40.15" customHeight="1" x14ac:dyDescent="0.25">
      <c r="A366" s="492" t="s">
        <v>730</v>
      </c>
      <c r="B366" s="442" t="s">
        <v>244</v>
      </c>
      <c r="C366" s="426" t="s">
        <v>323</v>
      </c>
      <c r="D366" s="438" t="s">
        <v>1791</v>
      </c>
      <c r="E366" s="439" t="s">
        <v>157</v>
      </c>
      <c r="F366" s="443">
        <v>14</v>
      </c>
      <c r="G366" s="439">
        <v>16.38</v>
      </c>
      <c r="H366" s="441">
        <f t="shared" ref="H366" si="314">IF($G366="SEM",0,F366*G366)</f>
        <v>229.32</v>
      </c>
      <c r="I366" s="441">
        <f>IF($G366="SEM",0,G366*(1+'BDI SERVIÇOS'!$Z$21))</f>
        <v>20.021273999999998</v>
      </c>
      <c r="J366" s="441">
        <f t="shared" ref="J366" si="315">F366*I366</f>
        <v>280.29783599999996</v>
      </c>
      <c r="K366" s="441"/>
      <c r="L366" s="491"/>
    </row>
    <row r="367" spans="1:14" ht="24" customHeight="1" x14ac:dyDescent="0.25">
      <c r="A367" s="492" t="s">
        <v>1852</v>
      </c>
      <c r="B367" s="425">
        <v>98520</v>
      </c>
      <c r="C367" s="426" t="s">
        <v>321</v>
      </c>
      <c r="D367" s="438" t="s">
        <v>1748</v>
      </c>
      <c r="E367" s="439" t="s">
        <v>2</v>
      </c>
      <c r="F367" s="440">
        <f>'MC DIVERSOS'!E142</f>
        <v>167.69499999999999</v>
      </c>
      <c r="G367" s="439">
        <v>5.71</v>
      </c>
      <c r="H367" s="441">
        <f t="shared" ref="H367" si="316">IF($G367="SEM",0,F367*G367)</f>
        <v>957.53845000000001</v>
      </c>
      <c r="I367" s="441">
        <f>IF($G367="SEM",0,G367*(1+'BDI SERVIÇOS'!$Z$21))</f>
        <v>6.9793329999999996</v>
      </c>
      <c r="J367" s="441">
        <f t="shared" ref="J367" si="317">F367*I367</f>
        <v>1170.3992474349998</v>
      </c>
      <c r="K367" s="441"/>
      <c r="L367" s="491"/>
    </row>
    <row r="368" spans="1:14" ht="24" customHeight="1" x14ac:dyDescent="0.25">
      <c r="A368" s="488">
        <v>21</v>
      </c>
      <c r="B368" s="433"/>
      <c r="C368" s="434"/>
      <c r="D368" s="432" t="s">
        <v>1840</v>
      </c>
      <c r="E368" s="433"/>
      <c r="F368" s="435"/>
      <c r="G368" s="436"/>
      <c r="H368" s="436"/>
      <c r="I368" s="436"/>
      <c r="J368" s="436"/>
      <c r="K368" s="437">
        <f>SUM(J369:J371)</f>
        <v>95922.395052879991</v>
      </c>
      <c r="L368" s="489">
        <f>K368/$K$375</f>
        <v>2.2899571595049153E-2</v>
      </c>
    </row>
    <row r="369" spans="1:16384" customFormat="1" ht="24" customHeight="1" x14ac:dyDescent="0.25">
      <c r="A369" s="497" t="s">
        <v>731</v>
      </c>
      <c r="B369" s="584" t="s">
        <v>247</v>
      </c>
      <c r="C369" s="426" t="s">
        <v>323</v>
      </c>
      <c r="D369" s="438" t="s">
        <v>248</v>
      </c>
      <c r="E369" s="439" t="s">
        <v>188</v>
      </c>
      <c r="F369" s="440">
        <v>15</v>
      </c>
      <c r="G369" s="439">
        <v>2492.6</v>
      </c>
      <c r="H369" s="441">
        <f t="shared" ref="H369:H370" si="318">IF($G369="SEM",0,F369*G369)</f>
        <v>37389</v>
      </c>
      <c r="I369" s="441">
        <f>IF($G369="SEM",0,G369*(1+'BDI SERVIÇOS'!$Z$21))</f>
        <v>3046.7049799999995</v>
      </c>
      <c r="J369" s="441">
        <f>F369*I369</f>
        <v>45700.57469999999</v>
      </c>
      <c r="K369" s="441"/>
      <c r="L369" s="491"/>
    </row>
    <row r="370" spans="1:16384" customFormat="1" ht="55.15" customHeight="1" x14ac:dyDescent="0.25">
      <c r="A370" s="497" t="s">
        <v>1785</v>
      </c>
      <c r="B370" s="425">
        <v>6259</v>
      </c>
      <c r="C370" s="426" t="s">
        <v>321</v>
      </c>
      <c r="D370" s="438" t="s">
        <v>6</v>
      </c>
      <c r="E370" s="439" t="s">
        <v>4</v>
      </c>
      <c r="F370" s="440">
        <f>2*22*3</f>
        <v>132</v>
      </c>
      <c r="G370" s="439">
        <v>256.35000000000002</v>
      </c>
      <c r="H370" s="441">
        <f t="shared" si="318"/>
        <v>33838.200000000004</v>
      </c>
      <c r="I370" s="441">
        <f>IF($G370="SEM",0,G370*(1+'BDI SERVIÇOS'!$Z$21))</f>
        <v>313.33660500000002</v>
      </c>
      <c r="J370" s="441">
        <f t="shared" ref="J370" si="319">F370*I370</f>
        <v>41360.431860000004</v>
      </c>
      <c r="K370" s="444"/>
      <c r="L370" s="491"/>
      <c r="N370" s="101"/>
    </row>
    <row r="371" spans="1:16384" customFormat="1" ht="24" customHeight="1" thickBot="1" x14ac:dyDescent="0.3">
      <c r="A371" s="498" t="s">
        <v>1843</v>
      </c>
      <c r="B371" s="499" t="s">
        <v>250</v>
      </c>
      <c r="C371" s="500" t="s">
        <v>323</v>
      </c>
      <c r="D371" s="501" t="s">
        <v>249</v>
      </c>
      <c r="E371" s="502" t="s">
        <v>156</v>
      </c>
      <c r="F371" s="503">
        <v>870.32</v>
      </c>
      <c r="G371" s="502">
        <v>8.33</v>
      </c>
      <c r="H371" s="504">
        <f t="shared" ref="H371" si="320">IF($G371="SEM",0,F371*G371)</f>
        <v>7249.7656000000006</v>
      </c>
      <c r="I371" s="504">
        <f>IF($G371="SEM",0,G371*(1+'BDI SERVIÇOS'!$Z$21))</f>
        <v>10.181759</v>
      </c>
      <c r="J371" s="504">
        <f t="shared" ref="J371" si="321">F371*I371</f>
        <v>8861.3884928799998</v>
      </c>
      <c r="K371" s="504"/>
      <c r="L371" s="505"/>
    </row>
    <row r="372" spans="1:16384" customFormat="1" x14ac:dyDescent="0.25">
      <c r="A372" s="65"/>
      <c r="B372" s="65"/>
      <c r="C372" s="65"/>
      <c r="D372" s="65"/>
      <c r="E372" s="65"/>
      <c r="F372" s="65"/>
      <c r="G372" s="65"/>
      <c r="H372" s="65"/>
      <c r="I372" s="65"/>
      <c r="J372" s="65"/>
      <c r="K372" s="65"/>
      <c r="L372" s="65"/>
    </row>
    <row r="373" spans="1:16384" customFormat="1" x14ac:dyDescent="0.25">
      <c r="A373" s="65"/>
      <c r="B373" s="65"/>
      <c r="C373" s="65"/>
      <c r="D373" s="65"/>
      <c r="E373" s="65"/>
      <c r="F373" s="65"/>
      <c r="G373" s="65"/>
      <c r="H373" s="65"/>
      <c r="I373" s="671" t="s">
        <v>306</v>
      </c>
      <c r="J373" s="671"/>
      <c r="K373" s="553">
        <f>SUM(H14:H371)</f>
        <v>3427813.3051133906</v>
      </c>
      <c r="L373" s="109">
        <f>K373/K375</f>
        <v>0.81832252157208196</v>
      </c>
      <c r="M373" s="100"/>
    </row>
    <row r="374" spans="1:16384" customFormat="1" x14ac:dyDescent="0.25">
      <c r="A374" s="65"/>
      <c r="B374" s="65"/>
      <c r="C374" s="65"/>
      <c r="D374" s="65"/>
      <c r="E374" s="65"/>
      <c r="F374" s="65"/>
      <c r="G374" s="65"/>
      <c r="H374" s="65"/>
      <c r="I374" s="671" t="s">
        <v>307</v>
      </c>
      <c r="J374" s="671"/>
      <c r="K374" s="553">
        <f>K375-K373</f>
        <v>761015.93366670283</v>
      </c>
      <c r="L374" s="109">
        <f>K374/K375</f>
        <v>0.18167747842791807</v>
      </c>
    </row>
    <row r="375" spans="1:16384" customFormat="1" x14ac:dyDescent="0.25">
      <c r="A375" s="65"/>
      <c r="B375" s="65"/>
      <c r="C375" s="65"/>
      <c r="D375" s="65"/>
      <c r="E375" s="65"/>
      <c r="F375" s="65"/>
      <c r="G375" s="65"/>
      <c r="H375" s="65"/>
      <c r="I375" s="671" t="s">
        <v>308</v>
      </c>
      <c r="J375" s="671"/>
      <c r="K375" s="553">
        <f>SUM(J14:J371)</f>
        <v>4188829.2387800934</v>
      </c>
      <c r="L375" s="110">
        <f>SUM(L373:L374)</f>
        <v>1</v>
      </c>
    </row>
    <row r="376" spans="1:16384" customFormat="1" x14ac:dyDescent="0.25">
      <c r="A376" s="65"/>
      <c r="B376" s="65"/>
      <c r="C376" s="65"/>
      <c r="D376" s="65"/>
      <c r="E376" s="65"/>
      <c r="F376" s="65"/>
      <c r="G376" s="65"/>
      <c r="H376" s="65"/>
      <c r="I376" s="108"/>
      <c r="J376" s="108"/>
      <c r="K376" s="553"/>
      <c r="L376" s="110"/>
    </row>
    <row r="377" spans="1:16384" customFormat="1" x14ac:dyDescent="0.25">
      <c r="A377" s="65"/>
      <c r="B377" s="65"/>
      <c r="C377" s="65"/>
      <c r="D377" s="65"/>
      <c r="E377" s="65"/>
      <c r="F377" s="65"/>
      <c r="G377" s="65"/>
      <c r="H377" s="65"/>
      <c r="I377" s="108"/>
      <c r="J377" s="108"/>
      <c r="K377" s="553"/>
      <c r="L377" s="110"/>
    </row>
    <row r="378" spans="1:16384" customFormat="1" ht="14.45" customHeight="1" x14ac:dyDescent="0.25">
      <c r="A378" s="118"/>
      <c r="B378" s="668" t="s">
        <v>1818</v>
      </c>
      <c r="C378" s="668"/>
      <c r="D378" s="668"/>
      <c r="E378" s="668"/>
      <c r="F378" s="116"/>
      <c r="G378" s="65"/>
      <c r="H378" s="466"/>
      <c r="I378" s="466"/>
      <c r="J378" s="466"/>
      <c r="K378" s="116"/>
      <c r="L378" s="108"/>
      <c r="M378" s="111"/>
      <c r="T378" s="600"/>
    </row>
    <row r="379" spans="1:16384" customFormat="1" ht="14.45" customHeight="1" x14ac:dyDescent="0.25">
      <c r="A379" s="601"/>
      <c r="B379" s="668" t="s">
        <v>1819</v>
      </c>
      <c r="C379" s="668"/>
      <c r="D379" s="668"/>
      <c r="E379" s="668"/>
      <c r="F379" s="115"/>
      <c r="G379" s="65"/>
      <c r="H379" s="466"/>
      <c r="I379" s="466"/>
      <c r="J379" s="466"/>
      <c r="K379" s="115"/>
      <c r="L379" s="108"/>
      <c r="M379" s="111"/>
      <c r="T379" s="600"/>
    </row>
    <row r="380" spans="1:16384" customFormat="1" ht="14.45" customHeight="1" x14ac:dyDescent="0.25">
      <c r="A380" s="601"/>
      <c r="B380" s="668" t="s">
        <v>1820</v>
      </c>
      <c r="C380" s="668"/>
      <c r="D380" s="668"/>
      <c r="E380" s="668"/>
      <c r="F380" s="669"/>
      <c r="G380" s="669"/>
      <c r="H380" s="669"/>
      <c r="I380" s="669"/>
      <c r="J380" s="669"/>
      <c r="K380" s="601"/>
      <c r="L380" s="601"/>
      <c r="M380" s="601"/>
      <c r="N380" s="601"/>
      <c r="O380" s="601"/>
      <c r="P380" s="669"/>
      <c r="Q380" s="669"/>
      <c r="R380" s="669"/>
      <c r="S380" s="669"/>
      <c r="T380" s="670"/>
      <c r="U380" s="669"/>
      <c r="V380" s="669"/>
      <c r="W380" s="669"/>
      <c r="X380" s="669"/>
      <c r="Y380" s="669"/>
      <c r="Z380" s="669"/>
      <c r="AA380" s="669"/>
      <c r="AB380" s="669"/>
      <c r="AC380" s="669"/>
      <c r="AD380" s="669"/>
      <c r="AE380" s="669"/>
      <c r="AF380" s="669"/>
      <c r="AG380" s="669"/>
      <c r="AH380" s="669"/>
      <c r="AI380" s="669"/>
      <c r="AJ380" s="669"/>
      <c r="AK380" s="669"/>
      <c r="AL380" s="669"/>
      <c r="AM380" s="669"/>
      <c r="AN380" s="669"/>
      <c r="AO380" s="669"/>
      <c r="AP380" s="669"/>
      <c r="AQ380" s="669"/>
      <c r="AR380" s="669"/>
      <c r="AS380" s="669"/>
      <c r="AT380" s="669"/>
      <c r="AU380" s="669"/>
      <c r="AV380" s="669"/>
      <c r="AW380" s="669"/>
      <c r="AX380" s="669"/>
      <c r="AY380" s="669"/>
      <c r="AZ380" s="669"/>
      <c r="BA380" s="669"/>
      <c r="BB380" s="669"/>
      <c r="BC380" s="669"/>
      <c r="BD380" s="669"/>
      <c r="BE380" s="669"/>
      <c r="BF380" s="669"/>
      <c r="BG380" s="669"/>
      <c r="BH380" s="669"/>
      <c r="BI380" s="669"/>
      <c r="BJ380" s="669"/>
      <c r="BK380" s="669"/>
      <c r="BL380" s="669"/>
      <c r="BM380" s="669"/>
      <c r="BN380" s="669"/>
      <c r="BO380" s="669"/>
      <c r="BP380" s="669"/>
      <c r="BQ380" s="669"/>
      <c r="BR380" s="669"/>
      <c r="BS380" s="669"/>
      <c r="BT380" s="669"/>
      <c r="BU380" s="669"/>
      <c r="BV380" s="669"/>
      <c r="BW380" s="669"/>
      <c r="BX380" s="669"/>
      <c r="BY380" s="669"/>
      <c r="BZ380" s="669"/>
      <c r="CA380" s="669"/>
      <c r="CB380" s="669"/>
      <c r="CC380" s="669"/>
      <c r="CD380" s="669"/>
      <c r="CE380" s="669"/>
      <c r="CF380" s="669"/>
      <c r="CG380" s="669"/>
      <c r="CH380" s="669"/>
      <c r="CI380" s="669"/>
      <c r="CJ380" s="669"/>
      <c r="CK380" s="669"/>
      <c r="CL380" s="669"/>
      <c r="CM380" s="669"/>
      <c r="CN380" s="669"/>
      <c r="CO380" s="669"/>
      <c r="CP380" s="669"/>
      <c r="CQ380" s="669"/>
      <c r="CR380" s="669"/>
      <c r="CS380" s="669"/>
      <c r="CT380" s="669"/>
      <c r="CU380" s="669"/>
      <c r="CV380" s="669"/>
      <c r="CW380" s="669"/>
      <c r="CX380" s="669"/>
      <c r="CY380" s="669"/>
      <c r="CZ380" s="669"/>
      <c r="DA380" s="669"/>
      <c r="DB380" s="669"/>
      <c r="DC380" s="669"/>
      <c r="DD380" s="669"/>
      <c r="DE380" s="669"/>
      <c r="DF380" s="669"/>
      <c r="DG380" s="669"/>
      <c r="DH380" s="669"/>
      <c r="DI380" s="669"/>
      <c r="DJ380" s="669"/>
      <c r="DK380" s="669"/>
      <c r="DL380" s="669"/>
      <c r="DM380" s="669"/>
      <c r="DN380" s="669"/>
      <c r="DO380" s="669"/>
      <c r="DP380" s="669"/>
      <c r="DQ380" s="669"/>
      <c r="DR380" s="669"/>
      <c r="DS380" s="669"/>
      <c r="DT380" s="669"/>
      <c r="DU380" s="669"/>
      <c r="DV380" s="669"/>
      <c r="DW380" s="669"/>
      <c r="DX380" s="669"/>
      <c r="DY380" s="669"/>
      <c r="DZ380" s="669"/>
      <c r="EA380" s="669"/>
      <c r="EB380" s="669"/>
      <c r="EC380" s="669"/>
      <c r="ED380" s="669"/>
      <c r="EE380" s="669"/>
      <c r="EF380" s="669"/>
      <c r="EG380" s="669"/>
      <c r="EH380" s="669"/>
      <c r="EI380" s="669"/>
      <c r="EJ380" s="669"/>
      <c r="EK380" s="669"/>
      <c r="EL380" s="669"/>
      <c r="EM380" s="669"/>
      <c r="EN380" s="669"/>
      <c r="EO380" s="669"/>
      <c r="EP380" s="669"/>
      <c r="EQ380" s="669"/>
      <c r="ER380" s="669"/>
      <c r="ES380" s="669"/>
      <c r="ET380" s="669"/>
      <c r="EU380" s="669"/>
      <c r="EV380" s="669"/>
      <c r="EW380" s="669"/>
      <c r="EX380" s="669"/>
      <c r="EY380" s="669"/>
      <c r="EZ380" s="669"/>
      <c r="FA380" s="669"/>
      <c r="FB380" s="669"/>
      <c r="FC380" s="669"/>
      <c r="FD380" s="669"/>
      <c r="FE380" s="669"/>
      <c r="FF380" s="669"/>
      <c r="FG380" s="669"/>
      <c r="FH380" s="669"/>
      <c r="FI380" s="669"/>
      <c r="FJ380" s="669"/>
      <c r="FK380" s="669"/>
      <c r="FL380" s="669"/>
      <c r="FM380" s="669"/>
      <c r="FN380" s="669"/>
      <c r="FO380" s="669"/>
      <c r="FP380" s="669"/>
      <c r="FQ380" s="669"/>
      <c r="FR380" s="669"/>
      <c r="FS380" s="669"/>
      <c r="FT380" s="669"/>
      <c r="FU380" s="669"/>
      <c r="FV380" s="669"/>
      <c r="FW380" s="669"/>
      <c r="FX380" s="669"/>
      <c r="FY380" s="669"/>
      <c r="FZ380" s="669"/>
      <c r="GA380" s="669"/>
      <c r="GB380" s="669"/>
      <c r="GC380" s="669"/>
      <c r="GD380" s="669"/>
      <c r="GE380" s="669"/>
      <c r="GF380" s="669"/>
      <c r="GG380" s="669"/>
      <c r="GH380" s="669"/>
      <c r="GI380" s="669"/>
      <c r="GJ380" s="669"/>
      <c r="GK380" s="669"/>
      <c r="GL380" s="669"/>
      <c r="GM380" s="669"/>
      <c r="GN380" s="669"/>
      <c r="GO380" s="669"/>
      <c r="GP380" s="669"/>
      <c r="GQ380" s="669"/>
      <c r="GR380" s="669"/>
      <c r="GS380" s="669"/>
      <c r="GT380" s="669"/>
      <c r="GU380" s="669"/>
      <c r="GV380" s="669"/>
      <c r="GW380" s="669"/>
      <c r="GX380" s="669"/>
      <c r="GY380" s="669"/>
      <c r="GZ380" s="669"/>
      <c r="HA380" s="669"/>
      <c r="HB380" s="669"/>
      <c r="HC380" s="669"/>
      <c r="HD380" s="669"/>
      <c r="HE380" s="669"/>
      <c r="HF380" s="669"/>
      <c r="HG380" s="669"/>
      <c r="HH380" s="669"/>
      <c r="HI380" s="669"/>
      <c r="HJ380" s="669"/>
      <c r="HK380" s="669"/>
      <c r="HL380" s="669"/>
      <c r="HM380" s="669"/>
      <c r="HN380" s="669"/>
      <c r="HO380" s="669"/>
      <c r="HP380" s="669"/>
      <c r="HQ380" s="669"/>
      <c r="HR380" s="669"/>
      <c r="HS380" s="669"/>
      <c r="HT380" s="669"/>
      <c r="HU380" s="669"/>
      <c r="HV380" s="669"/>
      <c r="HW380" s="669"/>
      <c r="HX380" s="669"/>
      <c r="HY380" s="669"/>
      <c r="HZ380" s="669"/>
      <c r="IA380" s="669"/>
      <c r="IB380" s="669"/>
      <c r="IC380" s="669"/>
      <c r="ID380" s="669"/>
      <c r="IE380" s="669"/>
      <c r="IF380" s="669"/>
      <c r="IG380" s="669"/>
      <c r="IH380" s="669"/>
      <c r="II380" s="669"/>
      <c r="IJ380" s="669"/>
      <c r="IK380" s="669"/>
      <c r="IL380" s="669"/>
      <c r="IM380" s="669"/>
      <c r="IN380" s="669"/>
      <c r="IO380" s="669"/>
      <c r="IP380" s="669"/>
      <c r="IQ380" s="669"/>
      <c r="IR380" s="669"/>
      <c r="IS380" s="669"/>
      <c r="IT380" s="669"/>
      <c r="IU380" s="669"/>
      <c r="IV380" s="669"/>
      <c r="IW380" s="669"/>
      <c r="IX380" s="669"/>
      <c r="IY380" s="669"/>
      <c r="IZ380" s="669"/>
      <c r="JA380" s="669"/>
      <c r="JB380" s="669"/>
      <c r="JC380" s="669"/>
      <c r="JD380" s="669"/>
      <c r="JE380" s="669"/>
      <c r="JF380" s="669"/>
      <c r="JG380" s="669"/>
      <c r="JH380" s="669"/>
      <c r="JI380" s="669"/>
      <c r="JJ380" s="669"/>
      <c r="JK380" s="669"/>
      <c r="JL380" s="669"/>
      <c r="JM380" s="669"/>
      <c r="JN380" s="669"/>
      <c r="JO380" s="669"/>
      <c r="JP380" s="669"/>
      <c r="JQ380" s="669"/>
      <c r="JR380" s="669"/>
      <c r="JS380" s="669"/>
      <c r="JT380" s="669"/>
      <c r="JU380" s="669"/>
      <c r="JV380" s="669"/>
      <c r="JW380" s="669"/>
      <c r="JX380" s="669"/>
      <c r="JY380" s="669"/>
      <c r="JZ380" s="669"/>
      <c r="KA380" s="669"/>
      <c r="KB380" s="669"/>
      <c r="KC380" s="669"/>
      <c r="KD380" s="669"/>
      <c r="KE380" s="669"/>
      <c r="KF380" s="669"/>
      <c r="KG380" s="669"/>
      <c r="KH380" s="669"/>
      <c r="KI380" s="669"/>
      <c r="KJ380" s="669"/>
      <c r="KK380" s="669"/>
      <c r="KL380" s="669"/>
      <c r="KM380" s="669"/>
      <c r="KN380" s="669"/>
      <c r="KO380" s="669"/>
      <c r="KP380" s="669"/>
      <c r="KQ380" s="669"/>
      <c r="KR380" s="669"/>
      <c r="KS380" s="669"/>
      <c r="KT380" s="669"/>
      <c r="KU380" s="669"/>
      <c r="KV380" s="669"/>
      <c r="KW380" s="669"/>
      <c r="KX380" s="669"/>
      <c r="KY380" s="669"/>
      <c r="KZ380" s="669"/>
      <c r="LA380" s="669"/>
      <c r="LB380" s="669"/>
      <c r="LC380" s="669"/>
      <c r="LD380" s="669"/>
      <c r="LE380" s="669"/>
      <c r="LF380" s="669"/>
      <c r="LG380" s="669"/>
      <c r="LH380" s="669"/>
      <c r="LI380" s="669"/>
      <c r="LJ380" s="669"/>
      <c r="LK380" s="669"/>
      <c r="LL380" s="669"/>
      <c r="LM380" s="669"/>
      <c r="LN380" s="669"/>
      <c r="LO380" s="669"/>
      <c r="LP380" s="669"/>
      <c r="LQ380" s="669"/>
      <c r="LR380" s="669"/>
      <c r="LS380" s="669"/>
      <c r="LT380" s="669"/>
      <c r="LU380" s="669"/>
      <c r="LV380" s="669"/>
      <c r="LW380" s="669"/>
      <c r="LX380" s="669"/>
      <c r="LY380" s="669"/>
      <c r="LZ380" s="669"/>
      <c r="MA380" s="669"/>
      <c r="MB380" s="669"/>
      <c r="MC380" s="669"/>
      <c r="MD380" s="669"/>
      <c r="ME380" s="669"/>
      <c r="MF380" s="669"/>
      <c r="MG380" s="669"/>
      <c r="MH380" s="669"/>
      <c r="MI380" s="669"/>
      <c r="MJ380" s="669"/>
      <c r="MK380" s="669"/>
      <c r="ML380" s="669"/>
      <c r="MM380" s="669"/>
      <c r="MN380" s="669"/>
      <c r="MO380" s="669"/>
      <c r="MP380" s="669"/>
      <c r="MQ380" s="669"/>
      <c r="MR380" s="669"/>
      <c r="MS380" s="669"/>
      <c r="MT380" s="669"/>
      <c r="MU380" s="669"/>
      <c r="MV380" s="669"/>
      <c r="MW380" s="669"/>
      <c r="MX380" s="669"/>
      <c r="MY380" s="669"/>
      <c r="MZ380" s="669"/>
      <c r="NA380" s="669"/>
      <c r="NB380" s="669"/>
      <c r="NC380" s="669"/>
      <c r="ND380" s="669"/>
      <c r="NE380" s="669"/>
      <c r="NF380" s="669"/>
      <c r="NG380" s="669"/>
      <c r="NH380" s="669"/>
      <c r="NI380" s="669"/>
      <c r="NJ380" s="669"/>
      <c r="NK380" s="669"/>
      <c r="NL380" s="669"/>
      <c r="NM380" s="669"/>
      <c r="NN380" s="669"/>
      <c r="NO380" s="669"/>
      <c r="NP380" s="669"/>
      <c r="NQ380" s="669"/>
      <c r="NR380" s="669"/>
      <c r="NS380" s="669"/>
      <c r="NT380" s="669"/>
      <c r="NU380" s="669"/>
      <c r="NV380" s="669"/>
      <c r="NW380" s="669"/>
      <c r="NX380" s="669"/>
      <c r="NY380" s="669"/>
      <c r="NZ380" s="669"/>
      <c r="OA380" s="669"/>
      <c r="OB380" s="669"/>
      <c r="OC380" s="669"/>
      <c r="OD380" s="669"/>
      <c r="OE380" s="669"/>
      <c r="OF380" s="669"/>
      <c r="OG380" s="669"/>
      <c r="OH380" s="669"/>
      <c r="OI380" s="669"/>
      <c r="OJ380" s="669"/>
      <c r="OK380" s="669"/>
      <c r="OL380" s="669"/>
      <c r="OM380" s="669"/>
      <c r="ON380" s="669"/>
      <c r="OO380" s="669"/>
      <c r="OP380" s="669"/>
      <c r="OQ380" s="669"/>
      <c r="OR380" s="669"/>
      <c r="OS380" s="669"/>
      <c r="OT380" s="669"/>
      <c r="OU380" s="669"/>
      <c r="OV380" s="669"/>
      <c r="OW380" s="669"/>
      <c r="OX380" s="669"/>
      <c r="OY380" s="669"/>
      <c r="OZ380" s="669"/>
      <c r="PA380" s="669"/>
      <c r="PB380" s="669"/>
      <c r="PC380" s="669"/>
      <c r="PD380" s="669"/>
      <c r="PE380" s="669"/>
      <c r="PF380" s="669"/>
      <c r="PG380" s="669"/>
      <c r="PH380" s="669"/>
      <c r="PI380" s="669"/>
      <c r="PJ380" s="669"/>
      <c r="PK380" s="669"/>
      <c r="PL380" s="669"/>
      <c r="PM380" s="669"/>
      <c r="PN380" s="669"/>
      <c r="PO380" s="669"/>
      <c r="PP380" s="669"/>
      <c r="PQ380" s="669"/>
      <c r="PR380" s="669"/>
      <c r="PS380" s="669"/>
      <c r="PT380" s="669"/>
      <c r="PU380" s="669"/>
      <c r="PV380" s="669"/>
      <c r="PW380" s="669"/>
      <c r="PX380" s="669"/>
      <c r="PY380" s="669"/>
      <c r="PZ380" s="669"/>
      <c r="QA380" s="669"/>
      <c r="QB380" s="669"/>
      <c r="QC380" s="669"/>
      <c r="QD380" s="669"/>
      <c r="QE380" s="669"/>
      <c r="QF380" s="669"/>
      <c r="QG380" s="669"/>
      <c r="QH380" s="669"/>
      <c r="QI380" s="669"/>
      <c r="QJ380" s="669"/>
      <c r="QK380" s="669"/>
      <c r="QL380" s="669"/>
      <c r="QM380" s="669"/>
      <c r="QN380" s="669"/>
      <c r="QO380" s="669"/>
      <c r="QP380" s="669"/>
      <c r="QQ380" s="669"/>
      <c r="QR380" s="669"/>
      <c r="QS380" s="669"/>
      <c r="QT380" s="669"/>
      <c r="QU380" s="669"/>
      <c r="QV380" s="669"/>
      <c r="QW380" s="669"/>
      <c r="QX380" s="669"/>
      <c r="QY380" s="669"/>
      <c r="QZ380" s="669"/>
      <c r="RA380" s="669"/>
      <c r="RB380" s="669"/>
      <c r="RC380" s="669"/>
      <c r="RD380" s="669"/>
      <c r="RE380" s="669"/>
      <c r="RF380" s="669"/>
      <c r="RG380" s="669"/>
      <c r="RH380" s="669"/>
      <c r="RI380" s="669"/>
      <c r="RJ380" s="669"/>
      <c r="RK380" s="669"/>
      <c r="RL380" s="669"/>
      <c r="RM380" s="669"/>
      <c r="RN380" s="669"/>
      <c r="RO380" s="669"/>
      <c r="RP380" s="669"/>
      <c r="RQ380" s="669"/>
      <c r="RR380" s="669"/>
      <c r="RS380" s="669"/>
      <c r="RT380" s="669"/>
      <c r="RU380" s="669"/>
      <c r="RV380" s="669"/>
      <c r="RW380" s="669"/>
      <c r="RX380" s="669"/>
      <c r="RY380" s="669"/>
      <c r="RZ380" s="669"/>
      <c r="SA380" s="669"/>
      <c r="SB380" s="669"/>
      <c r="SC380" s="669"/>
      <c r="SD380" s="669"/>
      <c r="SE380" s="669"/>
      <c r="SF380" s="669"/>
      <c r="SG380" s="669"/>
      <c r="SH380" s="669"/>
      <c r="SI380" s="669"/>
      <c r="SJ380" s="669"/>
      <c r="SK380" s="669"/>
      <c r="SL380" s="669"/>
      <c r="SM380" s="669"/>
      <c r="SN380" s="669"/>
      <c r="SO380" s="669"/>
      <c r="SP380" s="669"/>
      <c r="SQ380" s="669"/>
      <c r="SR380" s="669"/>
      <c r="SS380" s="669"/>
      <c r="ST380" s="669"/>
      <c r="SU380" s="669"/>
      <c r="SV380" s="669"/>
      <c r="SW380" s="669"/>
      <c r="SX380" s="669"/>
      <c r="SY380" s="669"/>
      <c r="SZ380" s="669"/>
      <c r="TA380" s="669"/>
      <c r="TB380" s="669"/>
      <c r="TC380" s="669"/>
      <c r="TD380" s="669"/>
      <c r="TE380" s="669"/>
      <c r="TF380" s="669"/>
      <c r="TG380" s="669"/>
      <c r="TH380" s="669"/>
      <c r="TI380" s="669"/>
      <c r="TJ380" s="669"/>
      <c r="TK380" s="669"/>
      <c r="TL380" s="669"/>
      <c r="TM380" s="669"/>
      <c r="TN380" s="669"/>
      <c r="TO380" s="669"/>
      <c r="TP380" s="669"/>
      <c r="TQ380" s="669"/>
      <c r="TR380" s="669"/>
      <c r="TS380" s="669"/>
      <c r="TT380" s="669"/>
      <c r="TU380" s="669"/>
      <c r="TV380" s="669"/>
      <c r="TW380" s="669"/>
      <c r="TX380" s="669"/>
      <c r="TY380" s="669"/>
      <c r="TZ380" s="669"/>
      <c r="UA380" s="669"/>
      <c r="UB380" s="669"/>
      <c r="UC380" s="669"/>
      <c r="UD380" s="669"/>
      <c r="UE380" s="669"/>
      <c r="UF380" s="669"/>
      <c r="UG380" s="669"/>
      <c r="UH380" s="669"/>
      <c r="UI380" s="669"/>
      <c r="UJ380" s="669"/>
      <c r="UK380" s="669"/>
      <c r="UL380" s="669"/>
      <c r="UM380" s="669"/>
      <c r="UN380" s="669"/>
      <c r="UO380" s="669"/>
      <c r="UP380" s="669"/>
      <c r="UQ380" s="669"/>
      <c r="UR380" s="669"/>
      <c r="US380" s="669"/>
      <c r="UT380" s="669"/>
      <c r="UU380" s="669"/>
      <c r="UV380" s="669"/>
      <c r="UW380" s="669"/>
      <c r="UX380" s="669"/>
      <c r="UY380" s="669"/>
      <c r="UZ380" s="669"/>
      <c r="VA380" s="669"/>
      <c r="VB380" s="669"/>
      <c r="VC380" s="669"/>
      <c r="VD380" s="669"/>
      <c r="VE380" s="669"/>
      <c r="VF380" s="669"/>
      <c r="VG380" s="669"/>
      <c r="VH380" s="669"/>
      <c r="VI380" s="669"/>
      <c r="VJ380" s="669"/>
      <c r="VK380" s="669"/>
      <c r="VL380" s="669"/>
      <c r="VM380" s="669"/>
      <c r="VN380" s="669"/>
      <c r="VO380" s="669"/>
      <c r="VP380" s="669"/>
      <c r="VQ380" s="669"/>
      <c r="VR380" s="669"/>
      <c r="VS380" s="669"/>
      <c r="VT380" s="669"/>
      <c r="VU380" s="669"/>
      <c r="VV380" s="669"/>
      <c r="VW380" s="669"/>
      <c r="VX380" s="669"/>
      <c r="VY380" s="669"/>
      <c r="VZ380" s="669"/>
      <c r="WA380" s="669"/>
      <c r="WB380" s="669"/>
      <c r="WC380" s="669"/>
      <c r="WD380" s="669"/>
      <c r="WE380" s="669"/>
      <c r="WF380" s="669"/>
      <c r="WG380" s="669"/>
      <c r="WH380" s="669"/>
      <c r="WI380" s="669"/>
      <c r="WJ380" s="669"/>
      <c r="WK380" s="669"/>
      <c r="WL380" s="669"/>
      <c r="WM380" s="669"/>
      <c r="WN380" s="669"/>
      <c r="WO380" s="669"/>
      <c r="WP380" s="669"/>
      <c r="WQ380" s="669"/>
      <c r="WR380" s="669"/>
      <c r="WS380" s="669"/>
      <c r="WT380" s="669"/>
      <c r="WU380" s="669"/>
      <c r="WV380" s="669"/>
      <c r="WW380" s="669"/>
      <c r="WX380" s="669"/>
      <c r="WY380" s="669"/>
      <c r="WZ380" s="669"/>
      <c r="XA380" s="669"/>
      <c r="XB380" s="669"/>
      <c r="XC380" s="669"/>
      <c r="XD380" s="669"/>
      <c r="XE380" s="669"/>
      <c r="XF380" s="669"/>
      <c r="XG380" s="669"/>
      <c r="XH380" s="669"/>
      <c r="XI380" s="669"/>
      <c r="XJ380" s="669"/>
      <c r="XK380" s="669"/>
      <c r="XL380" s="669"/>
      <c r="XM380" s="669"/>
      <c r="XN380" s="669"/>
      <c r="XO380" s="669"/>
      <c r="XP380" s="669"/>
      <c r="XQ380" s="669"/>
      <c r="XR380" s="669"/>
      <c r="XS380" s="669"/>
      <c r="XT380" s="669"/>
      <c r="XU380" s="669"/>
      <c r="XV380" s="669"/>
      <c r="XW380" s="669"/>
      <c r="XX380" s="669"/>
      <c r="XY380" s="669"/>
      <c r="XZ380" s="669"/>
      <c r="YA380" s="669"/>
      <c r="YB380" s="669"/>
      <c r="YC380" s="669"/>
      <c r="YD380" s="669"/>
      <c r="YE380" s="669"/>
      <c r="YF380" s="669"/>
      <c r="YG380" s="669"/>
      <c r="YH380" s="669"/>
      <c r="YI380" s="669"/>
      <c r="YJ380" s="669"/>
      <c r="YK380" s="669"/>
      <c r="YL380" s="669"/>
      <c r="YM380" s="669"/>
      <c r="YN380" s="669"/>
      <c r="YO380" s="669"/>
      <c r="YP380" s="669"/>
      <c r="YQ380" s="669"/>
      <c r="YR380" s="669"/>
      <c r="YS380" s="669"/>
      <c r="YT380" s="669"/>
      <c r="YU380" s="669"/>
      <c r="YV380" s="669"/>
      <c r="YW380" s="669"/>
      <c r="YX380" s="669"/>
      <c r="YY380" s="669"/>
      <c r="YZ380" s="669"/>
      <c r="ZA380" s="669"/>
      <c r="ZB380" s="669"/>
      <c r="ZC380" s="669"/>
      <c r="ZD380" s="669"/>
      <c r="ZE380" s="669"/>
      <c r="ZF380" s="669"/>
      <c r="ZG380" s="669"/>
      <c r="ZH380" s="669"/>
      <c r="ZI380" s="669"/>
      <c r="ZJ380" s="669"/>
      <c r="ZK380" s="669"/>
      <c r="ZL380" s="669"/>
      <c r="ZM380" s="669"/>
      <c r="ZN380" s="669"/>
      <c r="ZO380" s="669"/>
      <c r="ZP380" s="669"/>
      <c r="ZQ380" s="669"/>
      <c r="ZR380" s="669"/>
      <c r="ZS380" s="669"/>
      <c r="ZT380" s="669"/>
      <c r="ZU380" s="669"/>
      <c r="ZV380" s="669"/>
      <c r="ZW380" s="669"/>
      <c r="ZX380" s="669"/>
      <c r="ZY380" s="669"/>
      <c r="ZZ380" s="669"/>
      <c r="AAA380" s="669"/>
      <c r="AAB380" s="669"/>
      <c r="AAC380" s="669"/>
      <c r="AAD380" s="669"/>
      <c r="AAE380" s="669"/>
      <c r="AAF380" s="669"/>
      <c r="AAG380" s="669"/>
      <c r="AAH380" s="669"/>
      <c r="AAI380" s="669"/>
      <c r="AAJ380" s="669"/>
      <c r="AAK380" s="669"/>
      <c r="AAL380" s="669"/>
      <c r="AAM380" s="669"/>
      <c r="AAN380" s="669"/>
      <c r="AAO380" s="669"/>
      <c r="AAP380" s="669"/>
      <c r="AAQ380" s="669"/>
      <c r="AAR380" s="669"/>
      <c r="AAS380" s="669"/>
      <c r="AAT380" s="669"/>
      <c r="AAU380" s="669"/>
      <c r="AAV380" s="669"/>
      <c r="AAW380" s="669"/>
      <c r="AAX380" s="669"/>
      <c r="AAY380" s="669"/>
      <c r="AAZ380" s="669"/>
      <c r="ABA380" s="669"/>
      <c r="ABB380" s="669"/>
      <c r="ABC380" s="669"/>
      <c r="ABD380" s="669"/>
      <c r="ABE380" s="669"/>
      <c r="ABF380" s="669"/>
      <c r="ABG380" s="669"/>
      <c r="ABH380" s="669"/>
      <c r="ABI380" s="669"/>
      <c r="ABJ380" s="669"/>
      <c r="ABK380" s="669"/>
      <c r="ABL380" s="669"/>
      <c r="ABM380" s="669"/>
      <c r="ABN380" s="669"/>
      <c r="ABO380" s="669"/>
      <c r="ABP380" s="669"/>
      <c r="ABQ380" s="669"/>
      <c r="ABR380" s="669"/>
      <c r="ABS380" s="669"/>
      <c r="ABT380" s="669"/>
      <c r="ABU380" s="669"/>
      <c r="ABV380" s="669"/>
      <c r="ABW380" s="669"/>
      <c r="ABX380" s="669"/>
      <c r="ABY380" s="669"/>
      <c r="ABZ380" s="669"/>
      <c r="ACA380" s="669"/>
      <c r="ACB380" s="669"/>
      <c r="ACC380" s="669"/>
      <c r="ACD380" s="669"/>
      <c r="ACE380" s="669"/>
      <c r="ACF380" s="669"/>
      <c r="ACG380" s="669"/>
      <c r="ACH380" s="669"/>
      <c r="ACI380" s="669"/>
      <c r="ACJ380" s="669"/>
      <c r="ACK380" s="669"/>
      <c r="ACL380" s="669"/>
      <c r="ACM380" s="669"/>
      <c r="ACN380" s="669"/>
      <c r="ACO380" s="669"/>
      <c r="ACP380" s="669"/>
      <c r="ACQ380" s="669"/>
      <c r="ACR380" s="669"/>
      <c r="ACS380" s="669"/>
      <c r="ACT380" s="669"/>
      <c r="ACU380" s="669"/>
      <c r="ACV380" s="669"/>
      <c r="ACW380" s="669"/>
      <c r="ACX380" s="669"/>
      <c r="ACY380" s="669"/>
      <c r="ACZ380" s="669"/>
      <c r="ADA380" s="669"/>
      <c r="ADB380" s="669"/>
      <c r="ADC380" s="669"/>
      <c r="ADD380" s="669"/>
      <c r="ADE380" s="669"/>
      <c r="ADF380" s="669"/>
      <c r="ADG380" s="669"/>
      <c r="ADH380" s="669"/>
      <c r="ADI380" s="669"/>
      <c r="ADJ380" s="669"/>
      <c r="ADK380" s="669"/>
      <c r="ADL380" s="669"/>
      <c r="ADM380" s="669"/>
      <c r="ADN380" s="669"/>
      <c r="ADO380" s="669"/>
      <c r="ADP380" s="669"/>
      <c r="ADQ380" s="669"/>
      <c r="ADR380" s="669"/>
      <c r="ADS380" s="669"/>
      <c r="ADT380" s="669"/>
      <c r="ADU380" s="669"/>
      <c r="ADV380" s="669"/>
      <c r="ADW380" s="669"/>
      <c r="ADX380" s="669"/>
      <c r="ADY380" s="669"/>
      <c r="ADZ380" s="669"/>
      <c r="AEA380" s="669"/>
      <c r="AEB380" s="669"/>
      <c r="AEC380" s="669"/>
      <c r="AED380" s="669"/>
      <c r="AEE380" s="669"/>
      <c r="AEF380" s="669"/>
      <c r="AEG380" s="669"/>
      <c r="AEH380" s="669"/>
      <c r="AEI380" s="669"/>
      <c r="AEJ380" s="669"/>
      <c r="AEK380" s="669"/>
      <c r="AEL380" s="669"/>
      <c r="AEM380" s="669"/>
      <c r="AEN380" s="669"/>
      <c r="AEO380" s="669"/>
      <c r="AEP380" s="669"/>
      <c r="AEQ380" s="669"/>
      <c r="AER380" s="669"/>
      <c r="AES380" s="669"/>
      <c r="AET380" s="669"/>
      <c r="AEU380" s="669"/>
      <c r="AEV380" s="669"/>
      <c r="AEW380" s="669"/>
      <c r="AEX380" s="669"/>
      <c r="AEY380" s="669"/>
      <c r="AEZ380" s="669"/>
      <c r="AFA380" s="669"/>
      <c r="AFB380" s="669"/>
      <c r="AFC380" s="669"/>
      <c r="AFD380" s="669"/>
      <c r="AFE380" s="669"/>
      <c r="AFF380" s="669"/>
      <c r="AFG380" s="669"/>
      <c r="AFH380" s="669"/>
      <c r="AFI380" s="669"/>
      <c r="AFJ380" s="669"/>
      <c r="AFK380" s="669"/>
      <c r="AFL380" s="669"/>
      <c r="AFM380" s="669"/>
      <c r="AFN380" s="669"/>
      <c r="AFO380" s="669"/>
      <c r="AFP380" s="669"/>
      <c r="AFQ380" s="669"/>
      <c r="AFR380" s="669"/>
      <c r="AFS380" s="669"/>
      <c r="AFT380" s="669"/>
      <c r="AFU380" s="669"/>
      <c r="AFV380" s="669"/>
      <c r="AFW380" s="669"/>
      <c r="AFX380" s="669"/>
      <c r="AFY380" s="669"/>
      <c r="AFZ380" s="669"/>
      <c r="AGA380" s="669"/>
      <c r="AGB380" s="669"/>
      <c r="AGC380" s="669"/>
      <c r="AGD380" s="669"/>
      <c r="AGE380" s="669"/>
      <c r="AGF380" s="669"/>
      <c r="AGG380" s="669"/>
      <c r="AGH380" s="669"/>
      <c r="AGI380" s="669"/>
      <c r="AGJ380" s="669"/>
      <c r="AGK380" s="669"/>
      <c r="AGL380" s="669"/>
      <c r="AGM380" s="669"/>
      <c r="AGN380" s="669"/>
      <c r="AGO380" s="669"/>
      <c r="AGP380" s="669"/>
      <c r="AGQ380" s="669"/>
      <c r="AGR380" s="669"/>
      <c r="AGS380" s="669"/>
      <c r="AGT380" s="669"/>
      <c r="AGU380" s="669"/>
      <c r="AGV380" s="669"/>
      <c r="AGW380" s="669"/>
      <c r="AGX380" s="669"/>
      <c r="AGY380" s="669"/>
      <c r="AGZ380" s="669"/>
      <c r="AHA380" s="669"/>
      <c r="AHB380" s="669"/>
      <c r="AHC380" s="669"/>
      <c r="AHD380" s="669"/>
      <c r="AHE380" s="669"/>
      <c r="AHF380" s="669"/>
      <c r="AHG380" s="669"/>
      <c r="AHH380" s="669"/>
      <c r="AHI380" s="669"/>
      <c r="AHJ380" s="669"/>
      <c r="AHK380" s="669"/>
      <c r="AHL380" s="669"/>
      <c r="AHM380" s="669"/>
      <c r="AHN380" s="669"/>
      <c r="AHO380" s="669"/>
      <c r="AHP380" s="669"/>
      <c r="AHQ380" s="669"/>
      <c r="AHR380" s="669"/>
      <c r="AHS380" s="669"/>
      <c r="AHT380" s="669"/>
      <c r="AHU380" s="669"/>
      <c r="AHV380" s="669"/>
      <c r="AHW380" s="669"/>
      <c r="AHX380" s="669"/>
      <c r="AHY380" s="669"/>
      <c r="AHZ380" s="669"/>
      <c r="AIA380" s="669"/>
      <c r="AIB380" s="669"/>
      <c r="AIC380" s="669"/>
      <c r="AID380" s="669"/>
      <c r="AIE380" s="669"/>
      <c r="AIF380" s="669"/>
      <c r="AIG380" s="669"/>
      <c r="AIH380" s="669"/>
      <c r="AII380" s="669"/>
      <c r="AIJ380" s="669"/>
      <c r="AIK380" s="669"/>
      <c r="AIL380" s="669"/>
      <c r="AIM380" s="669"/>
      <c r="AIN380" s="669"/>
      <c r="AIO380" s="669"/>
      <c r="AIP380" s="669"/>
      <c r="AIQ380" s="669"/>
      <c r="AIR380" s="669"/>
      <c r="AIS380" s="669"/>
      <c r="AIT380" s="669"/>
      <c r="AIU380" s="669"/>
      <c r="AIV380" s="669"/>
      <c r="AIW380" s="669"/>
      <c r="AIX380" s="669"/>
      <c r="AIY380" s="669"/>
      <c r="AIZ380" s="669"/>
      <c r="AJA380" s="669"/>
      <c r="AJB380" s="669"/>
      <c r="AJC380" s="669"/>
      <c r="AJD380" s="669"/>
      <c r="AJE380" s="669"/>
      <c r="AJF380" s="669"/>
      <c r="AJG380" s="669"/>
      <c r="AJH380" s="669"/>
      <c r="AJI380" s="669"/>
      <c r="AJJ380" s="669"/>
      <c r="AJK380" s="669"/>
      <c r="AJL380" s="669"/>
      <c r="AJM380" s="669"/>
      <c r="AJN380" s="669"/>
      <c r="AJO380" s="669"/>
      <c r="AJP380" s="669"/>
      <c r="AJQ380" s="669"/>
      <c r="AJR380" s="669"/>
      <c r="AJS380" s="669"/>
      <c r="AJT380" s="669"/>
      <c r="AJU380" s="669"/>
      <c r="AJV380" s="669"/>
      <c r="AJW380" s="669"/>
      <c r="AJX380" s="669"/>
      <c r="AJY380" s="669"/>
      <c r="AJZ380" s="669"/>
      <c r="AKA380" s="669"/>
      <c r="AKB380" s="669"/>
      <c r="AKC380" s="669"/>
      <c r="AKD380" s="669"/>
      <c r="AKE380" s="669"/>
      <c r="AKF380" s="669"/>
      <c r="AKG380" s="669"/>
      <c r="AKH380" s="669"/>
      <c r="AKI380" s="669"/>
      <c r="AKJ380" s="669"/>
      <c r="AKK380" s="669"/>
      <c r="AKL380" s="669"/>
      <c r="AKM380" s="669"/>
      <c r="AKN380" s="669"/>
      <c r="AKO380" s="669"/>
      <c r="AKP380" s="669"/>
      <c r="AKQ380" s="669"/>
      <c r="AKR380" s="669"/>
      <c r="AKS380" s="669"/>
      <c r="AKT380" s="669"/>
      <c r="AKU380" s="669"/>
      <c r="AKV380" s="669"/>
      <c r="AKW380" s="669"/>
      <c r="AKX380" s="669"/>
      <c r="AKY380" s="669"/>
      <c r="AKZ380" s="669"/>
      <c r="ALA380" s="669"/>
      <c r="ALB380" s="669"/>
      <c r="ALC380" s="669"/>
      <c r="ALD380" s="669"/>
      <c r="ALE380" s="669"/>
      <c r="ALF380" s="669"/>
      <c r="ALG380" s="669"/>
      <c r="ALH380" s="669"/>
      <c r="ALI380" s="669"/>
      <c r="ALJ380" s="669"/>
      <c r="ALK380" s="669"/>
      <c r="ALL380" s="669"/>
      <c r="ALM380" s="669"/>
      <c r="ALN380" s="669"/>
      <c r="ALO380" s="669"/>
      <c r="ALP380" s="669"/>
      <c r="ALQ380" s="669"/>
      <c r="ALR380" s="669"/>
      <c r="ALS380" s="669"/>
      <c r="ALT380" s="669"/>
      <c r="ALU380" s="669"/>
      <c r="ALV380" s="669"/>
      <c r="ALW380" s="669"/>
      <c r="ALX380" s="669"/>
      <c r="ALY380" s="669"/>
      <c r="ALZ380" s="669"/>
      <c r="AMA380" s="669"/>
      <c r="AMB380" s="669"/>
      <c r="AMC380" s="669"/>
      <c r="AMD380" s="669"/>
      <c r="AME380" s="669"/>
      <c r="AMF380" s="669"/>
      <c r="AMG380" s="669"/>
      <c r="AMH380" s="669"/>
      <c r="AMI380" s="669"/>
      <c r="AMJ380" s="669"/>
      <c r="AMK380" s="669"/>
      <c r="AML380" s="669"/>
      <c r="AMM380" s="669"/>
      <c r="AMN380" s="669"/>
      <c r="AMO380" s="669"/>
      <c r="AMP380" s="669"/>
      <c r="AMQ380" s="669"/>
      <c r="AMR380" s="669"/>
      <c r="AMS380" s="669"/>
      <c r="AMT380" s="669"/>
      <c r="AMU380" s="669"/>
      <c r="AMV380" s="669"/>
      <c r="AMW380" s="669"/>
      <c r="AMX380" s="669"/>
      <c r="AMY380" s="669"/>
      <c r="AMZ380" s="669"/>
      <c r="ANA380" s="669"/>
      <c r="ANB380" s="669"/>
      <c r="ANC380" s="669"/>
      <c r="AND380" s="669"/>
      <c r="ANE380" s="669"/>
      <c r="ANF380" s="669"/>
      <c r="ANG380" s="669"/>
      <c r="ANH380" s="669"/>
      <c r="ANI380" s="669"/>
      <c r="ANJ380" s="669"/>
      <c r="ANK380" s="669"/>
      <c r="ANL380" s="669"/>
      <c r="ANM380" s="669"/>
      <c r="ANN380" s="669"/>
      <c r="ANO380" s="669"/>
      <c r="ANP380" s="669"/>
      <c r="ANQ380" s="669"/>
      <c r="ANR380" s="669"/>
      <c r="ANS380" s="669"/>
      <c r="ANT380" s="669"/>
      <c r="ANU380" s="669"/>
      <c r="ANV380" s="669"/>
      <c r="ANW380" s="669"/>
      <c r="ANX380" s="669"/>
      <c r="ANY380" s="669"/>
      <c r="ANZ380" s="669"/>
      <c r="AOA380" s="669"/>
      <c r="AOB380" s="669"/>
      <c r="AOC380" s="669"/>
      <c r="AOD380" s="669"/>
      <c r="AOE380" s="669"/>
      <c r="AOF380" s="669"/>
      <c r="AOG380" s="669"/>
      <c r="AOH380" s="669"/>
      <c r="AOI380" s="669"/>
      <c r="AOJ380" s="669"/>
      <c r="AOK380" s="669"/>
      <c r="AOL380" s="669"/>
      <c r="AOM380" s="669"/>
      <c r="AON380" s="669"/>
      <c r="AOO380" s="669"/>
      <c r="AOP380" s="669"/>
      <c r="AOQ380" s="669"/>
      <c r="AOR380" s="669"/>
      <c r="AOS380" s="669"/>
      <c r="AOT380" s="669"/>
      <c r="AOU380" s="669"/>
      <c r="AOV380" s="669"/>
      <c r="AOW380" s="669"/>
      <c r="AOX380" s="669"/>
      <c r="AOY380" s="669"/>
      <c r="AOZ380" s="669"/>
      <c r="APA380" s="669"/>
      <c r="APB380" s="669"/>
      <c r="APC380" s="669"/>
      <c r="APD380" s="669"/>
      <c r="APE380" s="669"/>
      <c r="APF380" s="669"/>
      <c r="APG380" s="669"/>
      <c r="APH380" s="669"/>
      <c r="API380" s="669"/>
      <c r="APJ380" s="669"/>
      <c r="APK380" s="669"/>
      <c r="APL380" s="669"/>
      <c r="APM380" s="669"/>
      <c r="APN380" s="669"/>
      <c r="APO380" s="669"/>
      <c r="APP380" s="669"/>
      <c r="APQ380" s="669"/>
      <c r="APR380" s="669"/>
      <c r="APS380" s="669"/>
      <c r="APT380" s="669"/>
      <c r="APU380" s="669"/>
      <c r="APV380" s="669"/>
      <c r="APW380" s="669"/>
      <c r="APX380" s="669"/>
      <c r="APY380" s="669"/>
      <c r="APZ380" s="669"/>
      <c r="AQA380" s="669"/>
      <c r="AQB380" s="669"/>
      <c r="AQC380" s="669"/>
      <c r="AQD380" s="669"/>
      <c r="AQE380" s="669"/>
      <c r="AQF380" s="669"/>
      <c r="AQG380" s="669"/>
      <c r="AQH380" s="669"/>
      <c r="AQI380" s="669"/>
      <c r="AQJ380" s="669"/>
      <c r="AQK380" s="669"/>
      <c r="AQL380" s="669"/>
      <c r="AQM380" s="669"/>
      <c r="AQN380" s="669"/>
      <c r="AQO380" s="669"/>
      <c r="AQP380" s="669"/>
      <c r="AQQ380" s="669"/>
      <c r="AQR380" s="669"/>
      <c r="AQS380" s="669"/>
      <c r="AQT380" s="669"/>
      <c r="AQU380" s="669"/>
      <c r="AQV380" s="669"/>
      <c r="AQW380" s="669"/>
      <c r="AQX380" s="669"/>
      <c r="AQY380" s="669"/>
      <c r="AQZ380" s="669"/>
      <c r="ARA380" s="669"/>
      <c r="ARB380" s="669"/>
      <c r="ARC380" s="669"/>
      <c r="ARD380" s="669"/>
      <c r="ARE380" s="669"/>
      <c r="ARF380" s="669"/>
      <c r="ARG380" s="669"/>
      <c r="ARH380" s="669"/>
      <c r="ARI380" s="669"/>
      <c r="ARJ380" s="669"/>
      <c r="ARK380" s="669"/>
      <c r="ARL380" s="669"/>
      <c r="ARM380" s="669"/>
      <c r="ARN380" s="669"/>
      <c r="ARO380" s="669"/>
      <c r="ARP380" s="669"/>
      <c r="ARQ380" s="669"/>
      <c r="ARR380" s="669"/>
      <c r="ARS380" s="669"/>
      <c r="ART380" s="669"/>
      <c r="ARU380" s="669"/>
      <c r="ARV380" s="669"/>
      <c r="ARW380" s="669"/>
      <c r="ARX380" s="669"/>
      <c r="ARY380" s="669"/>
      <c r="ARZ380" s="669"/>
      <c r="ASA380" s="669"/>
      <c r="ASB380" s="669"/>
      <c r="ASC380" s="669"/>
      <c r="ASD380" s="669"/>
      <c r="ASE380" s="669"/>
      <c r="ASF380" s="669"/>
      <c r="ASG380" s="669"/>
      <c r="ASH380" s="669"/>
      <c r="ASI380" s="669"/>
      <c r="ASJ380" s="669"/>
      <c r="ASK380" s="669"/>
      <c r="ASL380" s="669"/>
      <c r="ASM380" s="669"/>
      <c r="ASN380" s="669"/>
      <c r="ASO380" s="669"/>
      <c r="ASP380" s="669"/>
      <c r="ASQ380" s="669"/>
      <c r="ASR380" s="669"/>
      <c r="ASS380" s="669"/>
      <c r="AST380" s="669"/>
      <c r="ASU380" s="669"/>
      <c r="ASV380" s="669"/>
      <c r="ASW380" s="669"/>
      <c r="ASX380" s="669"/>
      <c r="ASY380" s="669"/>
      <c r="ASZ380" s="669"/>
      <c r="ATA380" s="669"/>
      <c r="ATB380" s="669"/>
      <c r="ATC380" s="669"/>
      <c r="ATD380" s="669"/>
      <c r="ATE380" s="669"/>
      <c r="ATF380" s="669"/>
      <c r="ATG380" s="669"/>
      <c r="ATH380" s="669"/>
      <c r="ATI380" s="669"/>
      <c r="ATJ380" s="669"/>
      <c r="ATK380" s="669"/>
      <c r="ATL380" s="669"/>
      <c r="ATM380" s="669"/>
      <c r="ATN380" s="669"/>
      <c r="ATO380" s="669"/>
      <c r="ATP380" s="669"/>
      <c r="ATQ380" s="669"/>
      <c r="ATR380" s="669"/>
      <c r="ATS380" s="669"/>
      <c r="ATT380" s="669"/>
      <c r="ATU380" s="669"/>
      <c r="ATV380" s="669"/>
      <c r="ATW380" s="669"/>
      <c r="ATX380" s="669"/>
      <c r="ATY380" s="669"/>
      <c r="ATZ380" s="669"/>
      <c r="AUA380" s="669"/>
      <c r="AUB380" s="669"/>
      <c r="AUC380" s="669"/>
      <c r="AUD380" s="669"/>
      <c r="AUE380" s="669"/>
      <c r="AUF380" s="669"/>
      <c r="AUG380" s="669"/>
      <c r="AUH380" s="669"/>
      <c r="AUI380" s="669"/>
      <c r="AUJ380" s="669"/>
      <c r="AUK380" s="669"/>
      <c r="AUL380" s="669"/>
      <c r="AUM380" s="669"/>
      <c r="AUN380" s="669"/>
      <c r="AUO380" s="669"/>
      <c r="AUP380" s="669"/>
      <c r="AUQ380" s="669"/>
      <c r="AUR380" s="669"/>
      <c r="AUS380" s="669"/>
      <c r="AUT380" s="669"/>
      <c r="AUU380" s="669"/>
      <c r="AUV380" s="669"/>
      <c r="AUW380" s="669"/>
      <c r="AUX380" s="669"/>
      <c r="AUY380" s="669"/>
      <c r="AUZ380" s="669"/>
      <c r="AVA380" s="669"/>
      <c r="AVB380" s="669"/>
      <c r="AVC380" s="669"/>
      <c r="AVD380" s="669"/>
      <c r="AVE380" s="669"/>
      <c r="AVF380" s="669"/>
      <c r="AVG380" s="669"/>
      <c r="AVH380" s="669"/>
      <c r="AVI380" s="669"/>
      <c r="AVJ380" s="669"/>
      <c r="AVK380" s="669"/>
      <c r="AVL380" s="669"/>
      <c r="AVM380" s="669"/>
      <c r="AVN380" s="669"/>
      <c r="AVO380" s="669"/>
      <c r="AVP380" s="669"/>
      <c r="AVQ380" s="669"/>
      <c r="AVR380" s="669"/>
      <c r="AVS380" s="669"/>
      <c r="AVT380" s="669"/>
      <c r="AVU380" s="669"/>
      <c r="AVV380" s="669"/>
      <c r="AVW380" s="669"/>
      <c r="AVX380" s="669"/>
      <c r="AVY380" s="669"/>
      <c r="AVZ380" s="669"/>
      <c r="AWA380" s="669"/>
      <c r="AWB380" s="669"/>
      <c r="AWC380" s="669"/>
      <c r="AWD380" s="669"/>
      <c r="AWE380" s="669"/>
      <c r="AWF380" s="669"/>
      <c r="AWG380" s="669"/>
      <c r="AWH380" s="669"/>
      <c r="AWI380" s="669"/>
      <c r="AWJ380" s="669"/>
      <c r="AWK380" s="669"/>
      <c r="AWL380" s="669"/>
      <c r="AWM380" s="669"/>
      <c r="AWN380" s="669"/>
      <c r="AWO380" s="669"/>
      <c r="AWP380" s="669"/>
      <c r="AWQ380" s="669"/>
      <c r="AWR380" s="669"/>
      <c r="AWS380" s="669"/>
      <c r="AWT380" s="669"/>
      <c r="AWU380" s="669"/>
      <c r="AWV380" s="669"/>
      <c r="AWW380" s="669"/>
      <c r="AWX380" s="669"/>
      <c r="AWY380" s="669"/>
      <c r="AWZ380" s="669"/>
      <c r="AXA380" s="669"/>
      <c r="AXB380" s="669"/>
      <c r="AXC380" s="669"/>
      <c r="AXD380" s="669"/>
      <c r="AXE380" s="669"/>
      <c r="AXF380" s="669"/>
      <c r="AXG380" s="669"/>
      <c r="AXH380" s="669"/>
      <c r="AXI380" s="669"/>
      <c r="AXJ380" s="669"/>
      <c r="AXK380" s="669"/>
      <c r="AXL380" s="669"/>
      <c r="AXM380" s="669"/>
      <c r="AXN380" s="669"/>
      <c r="AXO380" s="669"/>
      <c r="AXP380" s="669"/>
      <c r="AXQ380" s="669"/>
      <c r="AXR380" s="669"/>
      <c r="AXS380" s="669"/>
      <c r="AXT380" s="669"/>
      <c r="AXU380" s="669"/>
      <c r="AXV380" s="669"/>
      <c r="AXW380" s="669"/>
      <c r="AXX380" s="669"/>
      <c r="AXY380" s="669"/>
      <c r="AXZ380" s="669"/>
      <c r="AYA380" s="669"/>
      <c r="AYB380" s="669"/>
      <c r="AYC380" s="669"/>
      <c r="AYD380" s="669"/>
      <c r="AYE380" s="669"/>
      <c r="AYF380" s="669"/>
      <c r="AYG380" s="669"/>
      <c r="AYH380" s="669"/>
      <c r="AYI380" s="669"/>
      <c r="AYJ380" s="669"/>
      <c r="AYK380" s="669"/>
      <c r="AYL380" s="669"/>
      <c r="AYM380" s="669"/>
      <c r="AYN380" s="669"/>
      <c r="AYO380" s="669"/>
      <c r="AYP380" s="669"/>
      <c r="AYQ380" s="669"/>
      <c r="AYR380" s="669"/>
      <c r="AYS380" s="669"/>
      <c r="AYT380" s="669"/>
      <c r="AYU380" s="669"/>
      <c r="AYV380" s="669"/>
      <c r="AYW380" s="669"/>
      <c r="AYX380" s="669"/>
      <c r="AYY380" s="669"/>
      <c r="AYZ380" s="669"/>
      <c r="AZA380" s="669"/>
      <c r="AZB380" s="669"/>
      <c r="AZC380" s="669"/>
      <c r="AZD380" s="669"/>
      <c r="AZE380" s="669"/>
      <c r="AZF380" s="669"/>
      <c r="AZG380" s="669"/>
      <c r="AZH380" s="669"/>
      <c r="AZI380" s="669"/>
      <c r="AZJ380" s="669"/>
      <c r="AZK380" s="669"/>
      <c r="AZL380" s="669"/>
      <c r="AZM380" s="669"/>
      <c r="AZN380" s="669"/>
      <c r="AZO380" s="669"/>
      <c r="AZP380" s="669"/>
      <c r="AZQ380" s="669"/>
      <c r="AZR380" s="669"/>
      <c r="AZS380" s="669"/>
      <c r="AZT380" s="669"/>
      <c r="AZU380" s="669"/>
      <c r="AZV380" s="669"/>
      <c r="AZW380" s="669"/>
      <c r="AZX380" s="669"/>
      <c r="AZY380" s="669"/>
      <c r="AZZ380" s="669"/>
      <c r="BAA380" s="669"/>
      <c r="BAB380" s="669"/>
      <c r="BAC380" s="669"/>
      <c r="BAD380" s="669"/>
      <c r="BAE380" s="669"/>
      <c r="BAF380" s="669"/>
      <c r="BAG380" s="669"/>
      <c r="BAH380" s="669"/>
      <c r="BAI380" s="669"/>
      <c r="BAJ380" s="669"/>
      <c r="BAK380" s="669"/>
      <c r="BAL380" s="669"/>
      <c r="BAM380" s="669"/>
      <c r="BAN380" s="669"/>
      <c r="BAO380" s="669"/>
      <c r="BAP380" s="669"/>
      <c r="BAQ380" s="669"/>
      <c r="BAR380" s="669"/>
      <c r="BAS380" s="669"/>
      <c r="BAT380" s="669"/>
      <c r="BAU380" s="669"/>
      <c r="BAV380" s="669"/>
      <c r="BAW380" s="669"/>
      <c r="BAX380" s="669"/>
      <c r="BAY380" s="669"/>
      <c r="BAZ380" s="669"/>
      <c r="BBA380" s="669"/>
      <c r="BBB380" s="669"/>
      <c r="BBC380" s="669"/>
      <c r="BBD380" s="669"/>
      <c r="BBE380" s="669"/>
      <c r="BBF380" s="669"/>
      <c r="BBG380" s="669"/>
      <c r="BBH380" s="669"/>
      <c r="BBI380" s="669"/>
      <c r="BBJ380" s="669"/>
      <c r="BBK380" s="669"/>
      <c r="BBL380" s="669"/>
      <c r="BBM380" s="669"/>
      <c r="BBN380" s="669"/>
      <c r="BBO380" s="669"/>
      <c r="BBP380" s="669"/>
      <c r="BBQ380" s="669"/>
      <c r="BBR380" s="669"/>
      <c r="BBS380" s="669"/>
      <c r="BBT380" s="669"/>
      <c r="BBU380" s="669"/>
      <c r="BBV380" s="669"/>
      <c r="BBW380" s="669"/>
      <c r="BBX380" s="669"/>
      <c r="BBY380" s="669"/>
      <c r="BBZ380" s="669"/>
      <c r="BCA380" s="669"/>
      <c r="BCB380" s="669"/>
      <c r="BCC380" s="669"/>
      <c r="BCD380" s="669"/>
      <c r="BCE380" s="669"/>
      <c r="BCF380" s="669"/>
      <c r="BCG380" s="669"/>
      <c r="BCH380" s="669"/>
      <c r="BCI380" s="669"/>
      <c r="BCJ380" s="669"/>
      <c r="BCK380" s="669"/>
      <c r="BCL380" s="669"/>
      <c r="BCM380" s="669"/>
      <c r="BCN380" s="669"/>
      <c r="BCO380" s="669"/>
      <c r="BCP380" s="669"/>
      <c r="BCQ380" s="669"/>
      <c r="BCR380" s="669"/>
      <c r="BCS380" s="669"/>
      <c r="BCT380" s="669"/>
      <c r="BCU380" s="669"/>
      <c r="BCV380" s="669"/>
      <c r="BCW380" s="669"/>
      <c r="BCX380" s="669"/>
      <c r="BCY380" s="669"/>
      <c r="BCZ380" s="669"/>
      <c r="BDA380" s="669"/>
      <c r="BDB380" s="669"/>
      <c r="BDC380" s="669"/>
      <c r="BDD380" s="669"/>
      <c r="BDE380" s="669"/>
      <c r="BDF380" s="669"/>
      <c r="BDG380" s="669"/>
      <c r="BDH380" s="669"/>
      <c r="BDI380" s="669"/>
      <c r="BDJ380" s="669"/>
      <c r="BDK380" s="669"/>
      <c r="BDL380" s="669"/>
      <c r="BDM380" s="669"/>
      <c r="BDN380" s="669"/>
      <c r="BDO380" s="669"/>
      <c r="BDP380" s="669"/>
      <c r="BDQ380" s="669"/>
      <c r="BDR380" s="669"/>
      <c r="BDS380" s="669"/>
      <c r="BDT380" s="669"/>
      <c r="BDU380" s="669"/>
      <c r="BDV380" s="669"/>
      <c r="BDW380" s="669"/>
      <c r="BDX380" s="669"/>
      <c r="BDY380" s="669"/>
      <c r="BDZ380" s="669"/>
      <c r="BEA380" s="669"/>
      <c r="BEB380" s="669"/>
      <c r="BEC380" s="669"/>
      <c r="BED380" s="669"/>
      <c r="BEE380" s="669"/>
      <c r="BEF380" s="669"/>
      <c r="BEG380" s="669"/>
      <c r="BEH380" s="669"/>
      <c r="BEI380" s="669"/>
      <c r="BEJ380" s="669"/>
      <c r="BEK380" s="669"/>
      <c r="BEL380" s="669"/>
      <c r="BEM380" s="669"/>
      <c r="BEN380" s="669"/>
      <c r="BEO380" s="669"/>
      <c r="BEP380" s="669"/>
      <c r="BEQ380" s="669"/>
      <c r="BER380" s="669"/>
      <c r="BES380" s="669"/>
      <c r="BET380" s="669"/>
      <c r="BEU380" s="669"/>
      <c r="BEV380" s="669"/>
      <c r="BEW380" s="669"/>
      <c r="BEX380" s="669"/>
      <c r="BEY380" s="669"/>
      <c r="BEZ380" s="669"/>
      <c r="BFA380" s="669"/>
      <c r="BFB380" s="669"/>
      <c r="BFC380" s="669"/>
      <c r="BFD380" s="669"/>
      <c r="BFE380" s="669"/>
      <c r="BFF380" s="669"/>
      <c r="BFG380" s="669"/>
      <c r="BFH380" s="669"/>
      <c r="BFI380" s="669"/>
      <c r="BFJ380" s="669"/>
      <c r="BFK380" s="669"/>
      <c r="BFL380" s="669"/>
      <c r="BFM380" s="669"/>
      <c r="BFN380" s="669"/>
      <c r="BFO380" s="669"/>
      <c r="BFP380" s="669"/>
      <c r="BFQ380" s="669"/>
      <c r="BFR380" s="669"/>
      <c r="BFS380" s="669"/>
      <c r="BFT380" s="669"/>
      <c r="BFU380" s="669"/>
      <c r="BFV380" s="669"/>
      <c r="BFW380" s="669"/>
      <c r="BFX380" s="669"/>
      <c r="BFY380" s="669"/>
      <c r="BFZ380" s="669"/>
      <c r="BGA380" s="669"/>
      <c r="BGB380" s="669"/>
      <c r="BGC380" s="669"/>
      <c r="BGD380" s="669"/>
      <c r="BGE380" s="669"/>
      <c r="BGF380" s="669"/>
      <c r="BGG380" s="669"/>
      <c r="BGH380" s="669"/>
      <c r="BGI380" s="669"/>
      <c r="BGJ380" s="669"/>
      <c r="BGK380" s="669"/>
      <c r="BGL380" s="669"/>
      <c r="BGM380" s="669"/>
      <c r="BGN380" s="669"/>
      <c r="BGO380" s="669"/>
      <c r="BGP380" s="669"/>
      <c r="BGQ380" s="669"/>
      <c r="BGR380" s="669"/>
      <c r="BGS380" s="669"/>
      <c r="BGT380" s="669"/>
      <c r="BGU380" s="669"/>
      <c r="BGV380" s="669"/>
      <c r="BGW380" s="669"/>
      <c r="BGX380" s="669"/>
      <c r="BGY380" s="669"/>
      <c r="BGZ380" s="669"/>
      <c r="BHA380" s="669"/>
      <c r="BHB380" s="669"/>
      <c r="BHC380" s="669"/>
      <c r="BHD380" s="669"/>
      <c r="BHE380" s="669"/>
      <c r="BHF380" s="669"/>
      <c r="BHG380" s="669"/>
      <c r="BHH380" s="669"/>
      <c r="BHI380" s="669"/>
      <c r="BHJ380" s="669"/>
      <c r="BHK380" s="669"/>
      <c r="BHL380" s="669"/>
      <c r="BHM380" s="669"/>
      <c r="BHN380" s="669"/>
      <c r="BHO380" s="669"/>
      <c r="BHP380" s="669"/>
      <c r="BHQ380" s="669"/>
      <c r="BHR380" s="669"/>
      <c r="BHS380" s="669"/>
      <c r="BHT380" s="669"/>
      <c r="BHU380" s="669"/>
      <c r="BHV380" s="669"/>
      <c r="BHW380" s="669"/>
      <c r="BHX380" s="669"/>
      <c r="BHY380" s="669"/>
      <c r="BHZ380" s="669"/>
      <c r="BIA380" s="669"/>
      <c r="BIB380" s="669"/>
      <c r="BIC380" s="669"/>
      <c r="BID380" s="669"/>
      <c r="BIE380" s="669"/>
      <c r="BIF380" s="669"/>
      <c r="BIG380" s="669"/>
      <c r="BIH380" s="669"/>
      <c r="BII380" s="669"/>
      <c r="BIJ380" s="669"/>
      <c r="BIK380" s="669"/>
      <c r="BIL380" s="669"/>
      <c r="BIM380" s="669"/>
      <c r="BIN380" s="669"/>
      <c r="BIO380" s="669"/>
      <c r="BIP380" s="669"/>
      <c r="BIQ380" s="669"/>
      <c r="BIR380" s="669"/>
      <c r="BIS380" s="669"/>
      <c r="BIT380" s="669"/>
      <c r="BIU380" s="669"/>
      <c r="BIV380" s="669"/>
      <c r="BIW380" s="669"/>
      <c r="BIX380" s="669"/>
      <c r="BIY380" s="669"/>
      <c r="BIZ380" s="669"/>
      <c r="BJA380" s="669"/>
      <c r="BJB380" s="669"/>
      <c r="BJC380" s="669"/>
      <c r="BJD380" s="669"/>
      <c r="BJE380" s="669"/>
      <c r="BJF380" s="669"/>
      <c r="BJG380" s="669"/>
      <c r="BJH380" s="669"/>
      <c r="BJI380" s="669"/>
      <c r="BJJ380" s="669"/>
      <c r="BJK380" s="669"/>
      <c r="BJL380" s="669"/>
      <c r="BJM380" s="669"/>
      <c r="BJN380" s="669"/>
      <c r="BJO380" s="669"/>
      <c r="BJP380" s="669"/>
      <c r="BJQ380" s="669"/>
      <c r="BJR380" s="669"/>
      <c r="BJS380" s="669"/>
      <c r="BJT380" s="669"/>
      <c r="BJU380" s="669"/>
      <c r="BJV380" s="669"/>
      <c r="BJW380" s="669"/>
      <c r="BJX380" s="669"/>
      <c r="BJY380" s="669"/>
      <c r="BJZ380" s="669"/>
      <c r="BKA380" s="669"/>
      <c r="BKB380" s="669"/>
      <c r="BKC380" s="669"/>
      <c r="BKD380" s="669"/>
      <c r="BKE380" s="669"/>
      <c r="BKF380" s="669"/>
      <c r="BKG380" s="669"/>
      <c r="BKH380" s="669"/>
      <c r="BKI380" s="669"/>
      <c r="BKJ380" s="669"/>
      <c r="BKK380" s="669"/>
      <c r="BKL380" s="669"/>
      <c r="BKM380" s="669"/>
      <c r="BKN380" s="669"/>
      <c r="BKO380" s="669"/>
      <c r="BKP380" s="669"/>
      <c r="BKQ380" s="669"/>
      <c r="BKR380" s="669"/>
      <c r="BKS380" s="669"/>
      <c r="BKT380" s="669"/>
      <c r="BKU380" s="669"/>
      <c r="BKV380" s="669"/>
      <c r="BKW380" s="669"/>
      <c r="BKX380" s="669"/>
      <c r="BKY380" s="669"/>
      <c r="BKZ380" s="669"/>
      <c r="BLA380" s="669"/>
      <c r="BLB380" s="669"/>
      <c r="BLC380" s="669"/>
      <c r="BLD380" s="669"/>
      <c r="BLE380" s="669"/>
      <c r="BLF380" s="669"/>
      <c r="BLG380" s="669"/>
      <c r="BLH380" s="669"/>
      <c r="BLI380" s="669"/>
      <c r="BLJ380" s="669"/>
      <c r="BLK380" s="669"/>
      <c r="BLL380" s="669"/>
      <c r="BLM380" s="669"/>
      <c r="BLN380" s="669"/>
      <c r="BLO380" s="669"/>
      <c r="BLP380" s="669"/>
      <c r="BLQ380" s="669"/>
      <c r="BLR380" s="669"/>
      <c r="BLS380" s="669"/>
      <c r="BLT380" s="669"/>
      <c r="BLU380" s="669"/>
      <c r="BLV380" s="669"/>
      <c r="BLW380" s="669"/>
      <c r="BLX380" s="669"/>
      <c r="BLY380" s="669"/>
      <c r="BLZ380" s="669"/>
      <c r="BMA380" s="669"/>
      <c r="BMB380" s="669"/>
      <c r="BMC380" s="669"/>
      <c r="BMD380" s="669"/>
      <c r="BME380" s="669"/>
      <c r="BMF380" s="669"/>
      <c r="BMG380" s="669"/>
      <c r="BMH380" s="669"/>
      <c r="BMI380" s="669"/>
      <c r="BMJ380" s="669"/>
      <c r="BMK380" s="669"/>
      <c r="BML380" s="669"/>
      <c r="BMM380" s="669"/>
      <c r="BMN380" s="669"/>
      <c r="BMO380" s="669"/>
      <c r="BMP380" s="669"/>
      <c r="BMQ380" s="669"/>
      <c r="BMR380" s="669"/>
      <c r="BMS380" s="669"/>
      <c r="BMT380" s="669"/>
      <c r="BMU380" s="669"/>
      <c r="BMV380" s="669"/>
      <c r="BMW380" s="669"/>
      <c r="BMX380" s="669"/>
      <c r="BMY380" s="669"/>
      <c r="BMZ380" s="669"/>
      <c r="BNA380" s="669"/>
      <c r="BNB380" s="669"/>
      <c r="BNC380" s="669"/>
      <c r="BND380" s="669"/>
      <c r="BNE380" s="669"/>
      <c r="BNF380" s="669"/>
      <c r="BNG380" s="669"/>
      <c r="BNH380" s="669"/>
      <c r="BNI380" s="669"/>
      <c r="BNJ380" s="669"/>
      <c r="BNK380" s="669"/>
      <c r="BNL380" s="669"/>
      <c r="BNM380" s="669"/>
      <c r="BNN380" s="669"/>
      <c r="BNO380" s="669"/>
      <c r="BNP380" s="669"/>
      <c r="BNQ380" s="669"/>
      <c r="BNR380" s="669"/>
      <c r="BNS380" s="669"/>
      <c r="BNT380" s="669"/>
      <c r="BNU380" s="669"/>
      <c r="BNV380" s="669"/>
      <c r="BNW380" s="669"/>
      <c r="BNX380" s="669"/>
      <c r="BNY380" s="669"/>
      <c r="BNZ380" s="669"/>
      <c r="BOA380" s="669"/>
      <c r="BOB380" s="669"/>
      <c r="BOC380" s="669"/>
      <c r="BOD380" s="669"/>
      <c r="BOE380" s="669"/>
      <c r="BOF380" s="669"/>
      <c r="BOG380" s="669"/>
      <c r="BOH380" s="669"/>
      <c r="BOI380" s="669"/>
      <c r="BOJ380" s="669"/>
      <c r="BOK380" s="669"/>
      <c r="BOL380" s="669"/>
      <c r="BOM380" s="669"/>
      <c r="BON380" s="669"/>
      <c r="BOO380" s="669"/>
      <c r="BOP380" s="669"/>
      <c r="BOQ380" s="669"/>
      <c r="BOR380" s="669"/>
      <c r="BOS380" s="669"/>
      <c r="BOT380" s="669"/>
      <c r="BOU380" s="669"/>
      <c r="BOV380" s="669"/>
      <c r="BOW380" s="669"/>
      <c r="BOX380" s="669"/>
      <c r="BOY380" s="669"/>
      <c r="BOZ380" s="669"/>
      <c r="BPA380" s="669"/>
      <c r="BPB380" s="669"/>
      <c r="BPC380" s="669"/>
      <c r="BPD380" s="669"/>
      <c r="BPE380" s="669"/>
      <c r="BPF380" s="669"/>
      <c r="BPG380" s="669"/>
      <c r="BPH380" s="669"/>
      <c r="BPI380" s="669"/>
      <c r="BPJ380" s="669"/>
      <c r="BPK380" s="669"/>
      <c r="BPL380" s="669"/>
      <c r="BPM380" s="669"/>
      <c r="BPN380" s="669"/>
      <c r="BPO380" s="669"/>
      <c r="BPP380" s="669"/>
      <c r="BPQ380" s="669"/>
      <c r="BPR380" s="669"/>
      <c r="BPS380" s="669"/>
      <c r="BPT380" s="669"/>
      <c r="BPU380" s="669"/>
      <c r="BPV380" s="669"/>
      <c r="BPW380" s="669"/>
      <c r="BPX380" s="669"/>
      <c r="BPY380" s="669"/>
      <c r="BPZ380" s="669"/>
      <c r="BQA380" s="669"/>
      <c r="BQB380" s="669"/>
      <c r="BQC380" s="669"/>
      <c r="BQD380" s="669"/>
      <c r="BQE380" s="669"/>
      <c r="BQF380" s="669"/>
      <c r="BQG380" s="669"/>
      <c r="BQH380" s="669"/>
      <c r="BQI380" s="669"/>
      <c r="BQJ380" s="669"/>
      <c r="BQK380" s="669"/>
      <c r="BQL380" s="669"/>
      <c r="BQM380" s="669"/>
      <c r="BQN380" s="669"/>
      <c r="BQO380" s="669"/>
      <c r="BQP380" s="669"/>
      <c r="BQQ380" s="669"/>
      <c r="BQR380" s="669"/>
      <c r="BQS380" s="669"/>
      <c r="BQT380" s="669"/>
      <c r="BQU380" s="669"/>
      <c r="BQV380" s="669"/>
      <c r="BQW380" s="669"/>
      <c r="BQX380" s="669"/>
      <c r="BQY380" s="669"/>
      <c r="BQZ380" s="669"/>
      <c r="BRA380" s="669"/>
      <c r="BRB380" s="669"/>
      <c r="BRC380" s="669"/>
      <c r="BRD380" s="669"/>
      <c r="BRE380" s="669"/>
      <c r="BRF380" s="669"/>
      <c r="BRG380" s="669"/>
      <c r="BRH380" s="669"/>
      <c r="BRI380" s="669"/>
      <c r="BRJ380" s="669"/>
      <c r="BRK380" s="669"/>
      <c r="BRL380" s="669"/>
      <c r="BRM380" s="669"/>
      <c r="BRN380" s="669"/>
      <c r="BRO380" s="669"/>
      <c r="BRP380" s="669"/>
      <c r="BRQ380" s="669"/>
      <c r="BRR380" s="669"/>
      <c r="BRS380" s="669"/>
      <c r="BRT380" s="669"/>
      <c r="BRU380" s="669"/>
      <c r="BRV380" s="669"/>
      <c r="BRW380" s="669"/>
      <c r="BRX380" s="669"/>
      <c r="BRY380" s="669"/>
      <c r="BRZ380" s="669"/>
      <c r="BSA380" s="669"/>
      <c r="BSB380" s="669"/>
      <c r="BSC380" s="669"/>
      <c r="BSD380" s="669"/>
      <c r="BSE380" s="669"/>
      <c r="BSF380" s="669"/>
      <c r="BSG380" s="669"/>
      <c r="BSH380" s="669"/>
      <c r="BSI380" s="669"/>
      <c r="BSJ380" s="669"/>
      <c r="BSK380" s="669"/>
      <c r="BSL380" s="669"/>
      <c r="BSM380" s="669"/>
      <c r="BSN380" s="669"/>
      <c r="BSO380" s="669"/>
      <c r="BSP380" s="669"/>
      <c r="BSQ380" s="669"/>
      <c r="BSR380" s="669"/>
      <c r="BSS380" s="669"/>
      <c r="BST380" s="669"/>
      <c r="BSU380" s="669"/>
      <c r="BSV380" s="669"/>
      <c r="BSW380" s="669"/>
      <c r="BSX380" s="669"/>
      <c r="BSY380" s="669"/>
      <c r="BSZ380" s="669"/>
      <c r="BTA380" s="669"/>
      <c r="BTB380" s="669"/>
      <c r="BTC380" s="669"/>
      <c r="BTD380" s="669"/>
      <c r="BTE380" s="669"/>
      <c r="BTF380" s="669"/>
      <c r="BTG380" s="669"/>
      <c r="BTH380" s="669"/>
      <c r="BTI380" s="669"/>
      <c r="BTJ380" s="669"/>
      <c r="BTK380" s="669"/>
      <c r="BTL380" s="669"/>
      <c r="BTM380" s="669"/>
      <c r="BTN380" s="669"/>
      <c r="BTO380" s="669"/>
      <c r="BTP380" s="669"/>
      <c r="BTQ380" s="669"/>
      <c r="BTR380" s="669"/>
      <c r="BTS380" s="669"/>
      <c r="BTT380" s="669"/>
      <c r="BTU380" s="669"/>
      <c r="BTV380" s="669"/>
      <c r="BTW380" s="669"/>
      <c r="BTX380" s="669"/>
      <c r="BTY380" s="669"/>
      <c r="BTZ380" s="669"/>
      <c r="BUA380" s="669"/>
      <c r="BUB380" s="669"/>
      <c r="BUC380" s="669"/>
      <c r="BUD380" s="669"/>
      <c r="BUE380" s="669"/>
      <c r="BUF380" s="669"/>
      <c r="BUG380" s="669"/>
      <c r="BUH380" s="669"/>
      <c r="BUI380" s="669"/>
      <c r="BUJ380" s="669"/>
      <c r="BUK380" s="669"/>
      <c r="BUL380" s="669"/>
      <c r="BUM380" s="669"/>
      <c r="BUN380" s="669"/>
      <c r="BUO380" s="669"/>
      <c r="BUP380" s="669"/>
      <c r="BUQ380" s="669"/>
      <c r="BUR380" s="669"/>
      <c r="BUS380" s="669"/>
      <c r="BUT380" s="669"/>
      <c r="BUU380" s="669"/>
      <c r="BUV380" s="669"/>
      <c r="BUW380" s="669"/>
      <c r="BUX380" s="669"/>
      <c r="BUY380" s="669"/>
      <c r="BUZ380" s="669"/>
      <c r="BVA380" s="669"/>
      <c r="BVB380" s="669"/>
      <c r="BVC380" s="669"/>
      <c r="BVD380" s="669"/>
      <c r="BVE380" s="669"/>
      <c r="BVF380" s="669"/>
      <c r="BVG380" s="669"/>
      <c r="BVH380" s="669"/>
      <c r="BVI380" s="669"/>
      <c r="BVJ380" s="669"/>
      <c r="BVK380" s="669"/>
      <c r="BVL380" s="669"/>
      <c r="BVM380" s="669"/>
      <c r="BVN380" s="669"/>
      <c r="BVO380" s="669"/>
      <c r="BVP380" s="669"/>
      <c r="BVQ380" s="669"/>
      <c r="BVR380" s="669"/>
      <c r="BVS380" s="669"/>
      <c r="BVT380" s="669"/>
      <c r="BVU380" s="669"/>
      <c r="BVV380" s="669"/>
      <c r="BVW380" s="669"/>
      <c r="BVX380" s="669"/>
      <c r="BVY380" s="669"/>
      <c r="BVZ380" s="669"/>
      <c r="BWA380" s="669"/>
      <c r="BWB380" s="669"/>
      <c r="BWC380" s="669"/>
      <c r="BWD380" s="669"/>
      <c r="BWE380" s="669"/>
      <c r="BWF380" s="669"/>
      <c r="BWG380" s="669"/>
      <c r="BWH380" s="669"/>
      <c r="BWI380" s="669"/>
      <c r="BWJ380" s="669"/>
      <c r="BWK380" s="669"/>
      <c r="BWL380" s="669"/>
      <c r="BWM380" s="669"/>
      <c r="BWN380" s="669"/>
      <c r="BWO380" s="669"/>
      <c r="BWP380" s="669"/>
      <c r="BWQ380" s="669"/>
      <c r="BWR380" s="669"/>
      <c r="BWS380" s="669"/>
      <c r="BWT380" s="669"/>
      <c r="BWU380" s="669"/>
      <c r="BWV380" s="669"/>
      <c r="BWW380" s="669"/>
      <c r="BWX380" s="669"/>
      <c r="BWY380" s="669"/>
      <c r="BWZ380" s="669"/>
      <c r="BXA380" s="669"/>
      <c r="BXB380" s="669"/>
      <c r="BXC380" s="669"/>
      <c r="BXD380" s="669"/>
      <c r="BXE380" s="669"/>
      <c r="BXF380" s="669"/>
      <c r="BXG380" s="669"/>
      <c r="BXH380" s="669"/>
      <c r="BXI380" s="669"/>
      <c r="BXJ380" s="669"/>
      <c r="BXK380" s="669"/>
      <c r="BXL380" s="669"/>
      <c r="BXM380" s="669"/>
      <c r="BXN380" s="669"/>
      <c r="BXO380" s="669"/>
      <c r="BXP380" s="669"/>
      <c r="BXQ380" s="669"/>
      <c r="BXR380" s="669"/>
      <c r="BXS380" s="669"/>
      <c r="BXT380" s="669"/>
      <c r="BXU380" s="669"/>
      <c r="BXV380" s="669"/>
      <c r="BXW380" s="669"/>
      <c r="BXX380" s="669"/>
      <c r="BXY380" s="669"/>
      <c r="BXZ380" s="669"/>
      <c r="BYA380" s="669"/>
      <c r="BYB380" s="669"/>
      <c r="BYC380" s="669"/>
      <c r="BYD380" s="669"/>
      <c r="BYE380" s="669"/>
      <c r="BYF380" s="669"/>
      <c r="BYG380" s="669"/>
      <c r="BYH380" s="669"/>
      <c r="BYI380" s="669"/>
      <c r="BYJ380" s="669"/>
      <c r="BYK380" s="669"/>
      <c r="BYL380" s="669"/>
      <c r="BYM380" s="669"/>
      <c r="BYN380" s="669"/>
      <c r="BYO380" s="669"/>
      <c r="BYP380" s="669"/>
      <c r="BYQ380" s="669"/>
      <c r="BYR380" s="669"/>
      <c r="BYS380" s="669"/>
      <c r="BYT380" s="669"/>
      <c r="BYU380" s="669"/>
      <c r="BYV380" s="669"/>
      <c r="BYW380" s="669"/>
      <c r="BYX380" s="669"/>
      <c r="BYY380" s="669"/>
      <c r="BYZ380" s="669"/>
      <c r="BZA380" s="669"/>
      <c r="BZB380" s="669"/>
      <c r="BZC380" s="669"/>
      <c r="BZD380" s="669"/>
      <c r="BZE380" s="669"/>
      <c r="BZF380" s="669"/>
      <c r="BZG380" s="669"/>
      <c r="BZH380" s="669"/>
      <c r="BZI380" s="669"/>
      <c r="BZJ380" s="669"/>
      <c r="BZK380" s="669"/>
      <c r="BZL380" s="669"/>
      <c r="BZM380" s="669"/>
      <c r="BZN380" s="669"/>
      <c r="BZO380" s="669"/>
      <c r="BZP380" s="669"/>
      <c r="BZQ380" s="669"/>
      <c r="BZR380" s="669"/>
      <c r="BZS380" s="669"/>
      <c r="BZT380" s="669"/>
      <c r="BZU380" s="669"/>
      <c r="BZV380" s="669"/>
      <c r="BZW380" s="669"/>
      <c r="BZX380" s="669"/>
      <c r="BZY380" s="669"/>
      <c r="BZZ380" s="669"/>
      <c r="CAA380" s="669"/>
      <c r="CAB380" s="669"/>
      <c r="CAC380" s="669"/>
      <c r="CAD380" s="669"/>
      <c r="CAE380" s="669"/>
      <c r="CAF380" s="669"/>
      <c r="CAG380" s="669"/>
      <c r="CAH380" s="669"/>
      <c r="CAI380" s="669"/>
      <c r="CAJ380" s="669"/>
      <c r="CAK380" s="669"/>
      <c r="CAL380" s="669"/>
      <c r="CAM380" s="669"/>
      <c r="CAN380" s="669"/>
      <c r="CAO380" s="669"/>
      <c r="CAP380" s="669"/>
      <c r="CAQ380" s="669"/>
      <c r="CAR380" s="669"/>
      <c r="CAS380" s="669"/>
      <c r="CAT380" s="669"/>
      <c r="CAU380" s="669"/>
      <c r="CAV380" s="669"/>
      <c r="CAW380" s="669"/>
      <c r="CAX380" s="669"/>
      <c r="CAY380" s="669"/>
      <c r="CAZ380" s="669"/>
      <c r="CBA380" s="669"/>
      <c r="CBB380" s="669"/>
      <c r="CBC380" s="669"/>
      <c r="CBD380" s="669"/>
      <c r="CBE380" s="669"/>
      <c r="CBF380" s="669"/>
      <c r="CBG380" s="669"/>
      <c r="CBH380" s="669"/>
      <c r="CBI380" s="669"/>
      <c r="CBJ380" s="669"/>
      <c r="CBK380" s="669"/>
      <c r="CBL380" s="669"/>
      <c r="CBM380" s="669"/>
      <c r="CBN380" s="669"/>
      <c r="CBO380" s="669"/>
      <c r="CBP380" s="669"/>
      <c r="CBQ380" s="669"/>
      <c r="CBR380" s="669"/>
      <c r="CBS380" s="669"/>
      <c r="CBT380" s="669"/>
      <c r="CBU380" s="669"/>
      <c r="CBV380" s="669"/>
      <c r="CBW380" s="669"/>
      <c r="CBX380" s="669"/>
      <c r="CBY380" s="669"/>
      <c r="CBZ380" s="669"/>
      <c r="CCA380" s="669"/>
      <c r="CCB380" s="669"/>
      <c r="CCC380" s="669"/>
      <c r="CCD380" s="669"/>
      <c r="CCE380" s="669"/>
      <c r="CCF380" s="669"/>
      <c r="CCG380" s="669"/>
      <c r="CCH380" s="669"/>
      <c r="CCI380" s="669"/>
      <c r="CCJ380" s="669"/>
      <c r="CCK380" s="669"/>
      <c r="CCL380" s="669"/>
      <c r="CCM380" s="669"/>
      <c r="CCN380" s="669"/>
      <c r="CCO380" s="669"/>
      <c r="CCP380" s="669"/>
      <c r="CCQ380" s="669"/>
      <c r="CCR380" s="669"/>
      <c r="CCS380" s="669"/>
      <c r="CCT380" s="669"/>
      <c r="CCU380" s="669"/>
      <c r="CCV380" s="669"/>
      <c r="CCW380" s="669"/>
      <c r="CCX380" s="669"/>
      <c r="CCY380" s="669"/>
      <c r="CCZ380" s="669"/>
      <c r="CDA380" s="669"/>
      <c r="CDB380" s="669"/>
      <c r="CDC380" s="669"/>
      <c r="CDD380" s="669"/>
      <c r="CDE380" s="669"/>
      <c r="CDF380" s="669"/>
      <c r="CDG380" s="669"/>
      <c r="CDH380" s="669"/>
      <c r="CDI380" s="669"/>
      <c r="CDJ380" s="669"/>
      <c r="CDK380" s="669"/>
      <c r="CDL380" s="669"/>
      <c r="CDM380" s="669"/>
      <c r="CDN380" s="669"/>
      <c r="CDO380" s="669"/>
      <c r="CDP380" s="669"/>
      <c r="CDQ380" s="669"/>
      <c r="CDR380" s="669"/>
      <c r="CDS380" s="669"/>
      <c r="CDT380" s="669"/>
      <c r="CDU380" s="669"/>
      <c r="CDV380" s="669"/>
      <c r="CDW380" s="669"/>
      <c r="CDX380" s="669"/>
      <c r="CDY380" s="669"/>
      <c r="CDZ380" s="669"/>
      <c r="CEA380" s="669"/>
      <c r="CEB380" s="669"/>
      <c r="CEC380" s="669"/>
      <c r="CED380" s="669"/>
      <c r="CEE380" s="669"/>
      <c r="CEF380" s="669"/>
      <c r="CEG380" s="669"/>
      <c r="CEH380" s="669"/>
      <c r="CEI380" s="669"/>
      <c r="CEJ380" s="669"/>
      <c r="CEK380" s="669"/>
      <c r="CEL380" s="669"/>
      <c r="CEM380" s="669"/>
      <c r="CEN380" s="669"/>
      <c r="CEO380" s="669"/>
      <c r="CEP380" s="669"/>
      <c r="CEQ380" s="669"/>
      <c r="CER380" s="669"/>
      <c r="CES380" s="669"/>
      <c r="CET380" s="669"/>
      <c r="CEU380" s="669"/>
      <c r="CEV380" s="669"/>
      <c r="CEW380" s="669"/>
      <c r="CEX380" s="669"/>
      <c r="CEY380" s="669"/>
      <c r="CEZ380" s="669"/>
      <c r="CFA380" s="669"/>
      <c r="CFB380" s="669"/>
      <c r="CFC380" s="669"/>
      <c r="CFD380" s="669"/>
      <c r="CFE380" s="669"/>
      <c r="CFF380" s="669"/>
      <c r="CFG380" s="669"/>
      <c r="CFH380" s="669"/>
      <c r="CFI380" s="669"/>
      <c r="CFJ380" s="669"/>
      <c r="CFK380" s="669"/>
      <c r="CFL380" s="669"/>
      <c r="CFM380" s="669"/>
      <c r="CFN380" s="669"/>
      <c r="CFO380" s="669"/>
      <c r="CFP380" s="669"/>
      <c r="CFQ380" s="669"/>
      <c r="CFR380" s="669"/>
      <c r="CFS380" s="669"/>
      <c r="CFT380" s="669"/>
      <c r="CFU380" s="669"/>
      <c r="CFV380" s="669"/>
      <c r="CFW380" s="669"/>
      <c r="CFX380" s="669"/>
      <c r="CFY380" s="669"/>
      <c r="CFZ380" s="669"/>
      <c r="CGA380" s="669"/>
      <c r="CGB380" s="669"/>
      <c r="CGC380" s="669"/>
      <c r="CGD380" s="669"/>
      <c r="CGE380" s="669"/>
      <c r="CGF380" s="669"/>
      <c r="CGG380" s="669"/>
      <c r="CGH380" s="669"/>
      <c r="CGI380" s="669"/>
      <c r="CGJ380" s="669"/>
      <c r="CGK380" s="669"/>
      <c r="CGL380" s="669"/>
      <c r="CGM380" s="669"/>
      <c r="CGN380" s="669"/>
      <c r="CGO380" s="669"/>
      <c r="CGP380" s="669"/>
      <c r="CGQ380" s="669"/>
      <c r="CGR380" s="669"/>
      <c r="CGS380" s="669"/>
      <c r="CGT380" s="669"/>
      <c r="CGU380" s="669"/>
      <c r="CGV380" s="669"/>
      <c r="CGW380" s="669"/>
      <c r="CGX380" s="669"/>
      <c r="CGY380" s="669"/>
      <c r="CGZ380" s="669"/>
      <c r="CHA380" s="669"/>
      <c r="CHB380" s="669"/>
      <c r="CHC380" s="669"/>
      <c r="CHD380" s="669"/>
      <c r="CHE380" s="669"/>
      <c r="CHF380" s="669"/>
      <c r="CHG380" s="669"/>
      <c r="CHH380" s="669"/>
      <c r="CHI380" s="669"/>
      <c r="CHJ380" s="669"/>
      <c r="CHK380" s="669"/>
      <c r="CHL380" s="669"/>
      <c r="CHM380" s="669"/>
      <c r="CHN380" s="669"/>
      <c r="CHO380" s="669"/>
      <c r="CHP380" s="669"/>
      <c r="CHQ380" s="669"/>
      <c r="CHR380" s="669"/>
      <c r="CHS380" s="669"/>
      <c r="CHT380" s="669"/>
      <c r="CHU380" s="669"/>
      <c r="CHV380" s="669"/>
      <c r="CHW380" s="669"/>
      <c r="CHX380" s="669"/>
      <c r="CHY380" s="669"/>
      <c r="CHZ380" s="669"/>
      <c r="CIA380" s="669"/>
      <c r="CIB380" s="669"/>
      <c r="CIC380" s="669"/>
      <c r="CID380" s="669"/>
      <c r="CIE380" s="669"/>
      <c r="CIF380" s="669"/>
      <c r="CIG380" s="669"/>
      <c r="CIH380" s="669"/>
      <c r="CII380" s="669"/>
      <c r="CIJ380" s="669"/>
      <c r="CIK380" s="669"/>
      <c r="CIL380" s="669"/>
      <c r="CIM380" s="669"/>
      <c r="CIN380" s="669"/>
      <c r="CIO380" s="669"/>
      <c r="CIP380" s="669"/>
      <c r="CIQ380" s="669"/>
      <c r="CIR380" s="669"/>
      <c r="CIS380" s="669"/>
      <c r="CIT380" s="669"/>
      <c r="CIU380" s="669"/>
      <c r="CIV380" s="669"/>
      <c r="CIW380" s="669"/>
      <c r="CIX380" s="669"/>
      <c r="CIY380" s="669"/>
      <c r="CIZ380" s="669"/>
      <c r="CJA380" s="669"/>
      <c r="CJB380" s="669"/>
      <c r="CJC380" s="669"/>
      <c r="CJD380" s="669"/>
      <c r="CJE380" s="669"/>
      <c r="CJF380" s="669"/>
      <c r="CJG380" s="669"/>
      <c r="CJH380" s="669"/>
      <c r="CJI380" s="669"/>
      <c r="CJJ380" s="669"/>
      <c r="CJK380" s="669"/>
      <c r="CJL380" s="669"/>
      <c r="CJM380" s="669"/>
      <c r="CJN380" s="669"/>
      <c r="CJO380" s="669"/>
      <c r="CJP380" s="669"/>
      <c r="CJQ380" s="669"/>
      <c r="CJR380" s="669"/>
      <c r="CJS380" s="669"/>
      <c r="CJT380" s="669"/>
      <c r="CJU380" s="669"/>
      <c r="CJV380" s="669"/>
      <c r="CJW380" s="669"/>
      <c r="CJX380" s="669"/>
      <c r="CJY380" s="669"/>
      <c r="CJZ380" s="669"/>
      <c r="CKA380" s="669"/>
      <c r="CKB380" s="669"/>
      <c r="CKC380" s="669"/>
      <c r="CKD380" s="669"/>
      <c r="CKE380" s="669"/>
      <c r="CKF380" s="669"/>
      <c r="CKG380" s="669"/>
      <c r="CKH380" s="669"/>
      <c r="CKI380" s="669"/>
      <c r="CKJ380" s="669"/>
      <c r="CKK380" s="669"/>
      <c r="CKL380" s="669"/>
      <c r="CKM380" s="669"/>
      <c r="CKN380" s="669"/>
      <c r="CKO380" s="669"/>
      <c r="CKP380" s="669"/>
      <c r="CKQ380" s="669"/>
      <c r="CKR380" s="669"/>
      <c r="CKS380" s="669"/>
      <c r="CKT380" s="669"/>
      <c r="CKU380" s="669"/>
      <c r="CKV380" s="669"/>
      <c r="CKW380" s="669"/>
      <c r="CKX380" s="669"/>
      <c r="CKY380" s="669"/>
      <c r="CKZ380" s="669"/>
      <c r="CLA380" s="669"/>
      <c r="CLB380" s="669"/>
      <c r="CLC380" s="669"/>
      <c r="CLD380" s="669"/>
      <c r="CLE380" s="669"/>
      <c r="CLF380" s="669"/>
      <c r="CLG380" s="669"/>
      <c r="CLH380" s="669"/>
      <c r="CLI380" s="669"/>
      <c r="CLJ380" s="669"/>
      <c r="CLK380" s="669"/>
      <c r="CLL380" s="669"/>
      <c r="CLM380" s="669"/>
      <c r="CLN380" s="669"/>
      <c r="CLO380" s="669"/>
      <c r="CLP380" s="669"/>
      <c r="CLQ380" s="669"/>
      <c r="CLR380" s="669"/>
      <c r="CLS380" s="669"/>
      <c r="CLT380" s="669"/>
      <c r="CLU380" s="669"/>
      <c r="CLV380" s="669"/>
      <c r="CLW380" s="669"/>
      <c r="CLX380" s="669"/>
      <c r="CLY380" s="669"/>
      <c r="CLZ380" s="669"/>
      <c r="CMA380" s="669"/>
      <c r="CMB380" s="669"/>
      <c r="CMC380" s="669"/>
      <c r="CMD380" s="669"/>
      <c r="CME380" s="669"/>
      <c r="CMF380" s="669"/>
      <c r="CMG380" s="669"/>
      <c r="CMH380" s="669"/>
      <c r="CMI380" s="669"/>
      <c r="CMJ380" s="669"/>
      <c r="CMK380" s="669"/>
      <c r="CML380" s="669"/>
      <c r="CMM380" s="669"/>
      <c r="CMN380" s="669"/>
      <c r="CMO380" s="669"/>
      <c r="CMP380" s="669"/>
      <c r="CMQ380" s="669"/>
      <c r="CMR380" s="669"/>
      <c r="CMS380" s="669"/>
      <c r="CMT380" s="669"/>
      <c r="CMU380" s="669"/>
      <c r="CMV380" s="669"/>
      <c r="CMW380" s="669"/>
      <c r="CMX380" s="669"/>
      <c r="CMY380" s="669"/>
      <c r="CMZ380" s="669"/>
      <c r="CNA380" s="669"/>
      <c r="CNB380" s="669"/>
      <c r="CNC380" s="669"/>
      <c r="CND380" s="669"/>
      <c r="CNE380" s="669"/>
      <c r="CNF380" s="669"/>
      <c r="CNG380" s="669"/>
      <c r="CNH380" s="669"/>
      <c r="CNI380" s="669"/>
      <c r="CNJ380" s="669"/>
      <c r="CNK380" s="669"/>
      <c r="CNL380" s="669"/>
      <c r="CNM380" s="669"/>
      <c r="CNN380" s="669"/>
      <c r="CNO380" s="669"/>
      <c r="CNP380" s="669"/>
      <c r="CNQ380" s="669"/>
      <c r="CNR380" s="669"/>
      <c r="CNS380" s="669"/>
      <c r="CNT380" s="669"/>
      <c r="CNU380" s="669"/>
      <c r="CNV380" s="669"/>
      <c r="CNW380" s="669"/>
      <c r="CNX380" s="669"/>
      <c r="CNY380" s="669"/>
      <c r="CNZ380" s="669"/>
      <c r="COA380" s="669"/>
      <c r="COB380" s="669"/>
      <c r="COC380" s="669"/>
      <c r="COD380" s="669"/>
      <c r="COE380" s="669"/>
      <c r="COF380" s="669"/>
      <c r="COG380" s="669"/>
      <c r="COH380" s="669"/>
      <c r="COI380" s="669"/>
      <c r="COJ380" s="669"/>
      <c r="COK380" s="669"/>
      <c r="COL380" s="669"/>
      <c r="COM380" s="669"/>
      <c r="CON380" s="669"/>
      <c r="COO380" s="669"/>
      <c r="COP380" s="669"/>
      <c r="COQ380" s="669"/>
      <c r="COR380" s="669"/>
      <c r="COS380" s="669"/>
      <c r="COT380" s="669"/>
      <c r="COU380" s="669"/>
      <c r="COV380" s="669"/>
      <c r="COW380" s="669"/>
      <c r="COX380" s="669"/>
      <c r="COY380" s="669"/>
      <c r="COZ380" s="669"/>
      <c r="CPA380" s="669"/>
      <c r="CPB380" s="669"/>
      <c r="CPC380" s="669"/>
      <c r="CPD380" s="669"/>
      <c r="CPE380" s="669"/>
      <c r="CPF380" s="669"/>
      <c r="CPG380" s="669"/>
      <c r="CPH380" s="669"/>
      <c r="CPI380" s="669"/>
      <c r="CPJ380" s="669"/>
      <c r="CPK380" s="669"/>
      <c r="CPL380" s="669"/>
      <c r="CPM380" s="669"/>
      <c r="CPN380" s="669"/>
      <c r="CPO380" s="669"/>
      <c r="CPP380" s="669"/>
      <c r="CPQ380" s="669"/>
      <c r="CPR380" s="669"/>
      <c r="CPS380" s="669"/>
      <c r="CPT380" s="669"/>
      <c r="CPU380" s="669"/>
      <c r="CPV380" s="669"/>
      <c r="CPW380" s="669"/>
      <c r="CPX380" s="669"/>
      <c r="CPY380" s="669"/>
      <c r="CPZ380" s="669"/>
      <c r="CQA380" s="669"/>
      <c r="CQB380" s="669"/>
      <c r="CQC380" s="669"/>
      <c r="CQD380" s="669"/>
      <c r="CQE380" s="669"/>
      <c r="CQF380" s="669"/>
      <c r="CQG380" s="669"/>
      <c r="CQH380" s="669"/>
      <c r="CQI380" s="669"/>
      <c r="CQJ380" s="669"/>
      <c r="CQK380" s="669"/>
      <c r="CQL380" s="669"/>
      <c r="CQM380" s="669"/>
      <c r="CQN380" s="669"/>
      <c r="CQO380" s="669"/>
      <c r="CQP380" s="669"/>
      <c r="CQQ380" s="669"/>
      <c r="CQR380" s="669"/>
      <c r="CQS380" s="669"/>
      <c r="CQT380" s="669"/>
      <c r="CQU380" s="669"/>
      <c r="CQV380" s="669"/>
      <c r="CQW380" s="669"/>
      <c r="CQX380" s="669"/>
      <c r="CQY380" s="669"/>
      <c r="CQZ380" s="669"/>
      <c r="CRA380" s="669"/>
      <c r="CRB380" s="669"/>
      <c r="CRC380" s="669"/>
      <c r="CRD380" s="669"/>
      <c r="CRE380" s="669"/>
      <c r="CRF380" s="669"/>
      <c r="CRG380" s="669"/>
      <c r="CRH380" s="669"/>
      <c r="CRI380" s="669"/>
      <c r="CRJ380" s="669"/>
      <c r="CRK380" s="669"/>
      <c r="CRL380" s="669"/>
      <c r="CRM380" s="669"/>
      <c r="CRN380" s="669"/>
      <c r="CRO380" s="669"/>
      <c r="CRP380" s="669"/>
      <c r="CRQ380" s="669"/>
      <c r="CRR380" s="669"/>
      <c r="CRS380" s="669"/>
      <c r="CRT380" s="669"/>
      <c r="CRU380" s="669"/>
      <c r="CRV380" s="669"/>
      <c r="CRW380" s="669"/>
      <c r="CRX380" s="669"/>
      <c r="CRY380" s="669"/>
      <c r="CRZ380" s="669"/>
      <c r="CSA380" s="669"/>
      <c r="CSB380" s="669"/>
      <c r="CSC380" s="669"/>
      <c r="CSD380" s="669"/>
      <c r="CSE380" s="669"/>
      <c r="CSF380" s="669"/>
      <c r="CSG380" s="669"/>
      <c r="CSH380" s="669"/>
      <c r="CSI380" s="669"/>
      <c r="CSJ380" s="669"/>
      <c r="CSK380" s="669"/>
      <c r="CSL380" s="669"/>
      <c r="CSM380" s="669"/>
      <c r="CSN380" s="669"/>
      <c r="CSO380" s="669"/>
      <c r="CSP380" s="669"/>
      <c r="CSQ380" s="669"/>
      <c r="CSR380" s="669"/>
      <c r="CSS380" s="669"/>
      <c r="CST380" s="669"/>
      <c r="CSU380" s="669"/>
      <c r="CSV380" s="669"/>
      <c r="CSW380" s="669"/>
      <c r="CSX380" s="669"/>
      <c r="CSY380" s="669"/>
      <c r="CSZ380" s="669"/>
      <c r="CTA380" s="669"/>
      <c r="CTB380" s="669"/>
      <c r="CTC380" s="669"/>
      <c r="CTD380" s="669"/>
      <c r="CTE380" s="669"/>
      <c r="CTF380" s="669"/>
      <c r="CTG380" s="669"/>
      <c r="CTH380" s="669"/>
      <c r="CTI380" s="669"/>
      <c r="CTJ380" s="669"/>
      <c r="CTK380" s="669"/>
      <c r="CTL380" s="669"/>
      <c r="CTM380" s="669"/>
      <c r="CTN380" s="669"/>
      <c r="CTO380" s="669"/>
      <c r="CTP380" s="669"/>
      <c r="CTQ380" s="669"/>
      <c r="CTR380" s="669"/>
      <c r="CTS380" s="669"/>
      <c r="CTT380" s="669"/>
      <c r="CTU380" s="669"/>
      <c r="CTV380" s="669"/>
      <c r="CTW380" s="669"/>
      <c r="CTX380" s="669"/>
      <c r="CTY380" s="669"/>
      <c r="CTZ380" s="669"/>
      <c r="CUA380" s="669"/>
      <c r="CUB380" s="669"/>
      <c r="CUC380" s="669"/>
      <c r="CUD380" s="669"/>
      <c r="CUE380" s="669"/>
      <c r="CUF380" s="669"/>
      <c r="CUG380" s="669"/>
      <c r="CUH380" s="669"/>
      <c r="CUI380" s="669"/>
      <c r="CUJ380" s="669"/>
      <c r="CUK380" s="669"/>
      <c r="CUL380" s="669"/>
      <c r="CUM380" s="669"/>
      <c r="CUN380" s="669"/>
      <c r="CUO380" s="669"/>
      <c r="CUP380" s="669"/>
      <c r="CUQ380" s="669"/>
      <c r="CUR380" s="669"/>
      <c r="CUS380" s="669"/>
      <c r="CUT380" s="669"/>
      <c r="CUU380" s="669"/>
      <c r="CUV380" s="669"/>
      <c r="CUW380" s="669"/>
      <c r="CUX380" s="669"/>
      <c r="CUY380" s="669"/>
      <c r="CUZ380" s="669"/>
      <c r="CVA380" s="669"/>
      <c r="CVB380" s="669"/>
      <c r="CVC380" s="669"/>
      <c r="CVD380" s="669"/>
      <c r="CVE380" s="669"/>
      <c r="CVF380" s="669"/>
      <c r="CVG380" s="669"/>
      <c r="CVH380" s="669"/>
      <c r="CVI380" s="669"/>
      <c r="CVJ380" s="669"/>
      <c r="CVK380" s="669"/>
      <c r="CVL380" s="669"/>
      <c r="CVM380" s="669"/>
      <c r="CVN380" s="669"/>
      <c r="CVO380" s="669"/>
      <c r="CVP380" s="669"/>
      <c r="CVQ380" s="669"/>
      <c r="CVR380" s="669"/>
      <c r="CVS380" s="669"/>
      <c r="CVT380" s="669"/>
      <c r="CVU380" s="669"/>
      <c r="CVV380" s="669"/>
      <c r="CVW380" s="669"/>
      <c r="CVX380" s="669"/>
      <c r="CVY380" s="669"/>
      <c r="CVZ380" s="669"/>
      <c r="CWA380" s="669"/>
      <c r="CWB380" s="669"/>
      <c r="CWC380" s="669"/>
      <c r="CWD380" s="669"/>
      <c r="CWE380" s="669"/>
      <c r="CWF380" s="669"/>
      <c r="CWG380" s="669"/>
      <c r="CWH380" s="669"/>
      <c r="CWI380" s="669"/>
      <c r="CWJ380" s="669"/>
      <c r="CWK380" s="669"/>
      <c r="CWL380" s="669"/>
      <c r="CWM380" s="669"/>
      <c r="CWN380" s="669"/>
      <c r="CWO380" s="669"/>
      <c r="CWP380" s="669"/>
      <c r="CWQ380" s="669"/>
      <c r="CWR380" s="669"/>
      <c r="CWS380" s="669"/>
      <c r="CWT380" s="669"/>
      <c r="CWU380" s="669"/>
      <c r="CWV380" s="669"/>
      <c r="CWW380" s="669"/>
      <c r="CWX380" s="669"/>
      <c r="CWY380" s="669"/>
      <c r="CWZ380" s="669"/>
      <c r="CXA380" s="669"/>
      <c r="CXB380" s="669"/>
      <c r="CXC380" s="669"/>
      <c r="CXD380" s="669"/>
      <c r="CXE380" s="669"/>
      <c r="CXF380" s="669"/>
      <c r="CXG380" s="669"/>
      <c r="CXH380" s="669"/>
      <c r="CXI380" s="669"/>
      <c r="CXJ380" s="669"/>
      <c r="CXK380" s="669"/>
      <c r="CXL380" s="669"/>
      <c r="CXM380" s="669"/>
      <c r="CXN380" s="669"/>
      <c r="CXO380" s="669"/>
      <c r="CXP380" s="669"/>
      <c r="CXQ380" s="669"/>
      <c r="CXR380" s="669"/>
      <c r="CXS380" s="669"/>
      <c r="CXT380" s="669"/>
      <c r="CXU380" s="669"/>
      <c r="CXV380" s="669"/>
      <c r="CXW380" s="669"/>
      <c r="CXX380" s="669"/>
      <c r="CXY380" s="669"/>
      <c r="CXZ380" s="669"/>
      <c r="CYA380" s="669"/>
      <c r="CYB380" s="669"/>
      <c r="CYC380" s="669"/>
      <c r="CYD380" s="669"/>
      <c r="CYE380" s="669"/>
      <c r="CYF380" s="669"/>
      <c r="CYG380" s="669"/>
      <c r="CYH380" s="669"/>
      <c r="CYI380" s="669"/>
      <c r="CYJ380" s="669"/>
      <c r="CYK380" s="669"/>
      <c r="CYL380" s="669"/>
      <c r="CYM380" s="669"/>
      <c r="CYN380" s="669"/>
      <c r="CYO380" s="669"/>
      <c r="CYP380" s="669"/>
      <c r="CYQ380" s="669"/>
      <c r="CYR380" s="669"/>
      <c r="CYS380" s="669"/>
      <c r="CYT380" s="669"/>
      <c r="CYU380" s="669"/>
      <c r="CYV380" s="669"/>
      <c r="CYW380" s="669"/>
      <c r="CYX380" s="669"/>
      <c r="CYY380" s="669"/>
      <c r="CYZ380" s="669"/>
      <c r="CZA380" s="669"/>
      <c r="CZB380" s="669"/>
      <c r="CZC380" s="669"/>
      <c r="CZD380" s="669"/>
      <c r="CZE380" s="669"/>
      <c r="CZF380" s="669"/>
      <c r="CZG380" s="669"/>
      <c r="CZH380" s="669"/>
      <c r="CZI380" s="669"/>
      <c r="CZJ380" s="669"/>
      <c r="CZK380" s="669"/>
      <c r="CZL380" s="669"/>
      <c r="CZM380" s="669"/>
      <c r="CZN380" s="669"/>
      <c r="CZO380" s="669"/>
      <c r="CZP380" s="669"/>
      <c r="CZQ380" s="669"/>
      <c r="CZR380" s="669"/>
      <c r="CZS380" s="669"/>
      <c r="CZT380" s="669"/>
      <c r="CZU380" s="669"/>
      <c r="CZV380" s="669"/>
      <c r="CZW380" s="669"/>
      <c r="CZX380" s="669"/>
      <c r="CZY380" s="669"/>
      <c r="CZZ380" s="669"/>
      <c r="DAA380" s="669"/>
      <c r="DAB380" s="669"/>
      <c r="DAC380" s="669"/>
      <c r="DAD380" s="669"/>
      <c r="DAE380" s="669"/>
      <c r="DAF380" s="669"/>
      <c r="DAG380" s="669"/>
      <c r="DAH380" s="669"/>
      <c r="DAI380" s="669"/>
      <c r="DAJ380" s="669"/>
      <c r="DAK380" s="669"/>
      <c r="DAL380" s="669"/>
      <c r="DAM380" s="669"/>
      <c r="DAN380" s="669"/>
      <c r="DAO380" s="669"/>
      <c r="DAP380" s="669"/>
      <c r="DAQ380" s="669"/>
      <c r="DAR380" s="669"/>
      <c r="DAS380" s="669"/>
      <c r="DAT380" s="669"/>
      <c r="DAU380" s="669"/>
      <c r="DAV380" s="669"/>
      <c r="DAW380" s="669"/>
      <c r="DAX380" s="669"/>
      <c r="DAY380" s="669"/>
      <c r="DAZ380" s="669"/>
      <c r="DBA380" s="669"/>
      <c r="DBB380" s="669"/>
      <c r="DBC380" s="669"/>
      <c r="DBD380" s="669"/>
      <c r="DBE380" s="669"/>
      <c r="DBF380" s="669"/>
      <c r="DBG380" s="669"/>
      <c r="DBH380" s="669"/>
      <c r="DBI380" s="669"/>
      <c r="DBJ380" s="669"/>
      <c r="DBK380" s="669"/>
      <c r="DBL380" s="669"/>
      <c r="DBM380" s="669"/>
      <c r="DBN380" s="669"/>
      <c r="DBO380" s="669"/>
      <c r="DBP380" s="669"/>
      <c r="DBQ380" s="669"/>
      <c r="DBR380" s="669"/>
      <c r="DBS380" s="669"/>
      <c r="DBT380" s="669"/>
      <c r="DBU380" s="669"/>
      <c r="DBV380" s="669"/>
      <c r="DBW380" s="669"/>
      <c r="DBX380" s="669"/>
      <c r="DBY380" s="669"/>
      <c r="DBZ380" s="669"/>
      <c r="DCA380" s="669"/>
      <c r="DCB380" s="669"/>
      <c r="DCC380" s="669"/>
      <c r="DCD380" s="669"/>
      <c r="DCE380" s="669"/>
      <c r="DCF380" s="669"/>
      <c r="DCG380" s="669"/>
      <c r="DCH380" s="669"/>
      <c r="DCI380" s="669"/>
      <c r="DCJ380" s="669"/>
      <c r="DCK380" s="669"/>
      <c r="DCL380" s="669"/>
      <c r="DCM380" s="669"/>
      <c r="DCN380" s="669"/>
      <c r="DCO380" s="669"/>
      <c r="DCP380" s="669"/>
      <c r="DCQ380" s="669"/>
      <c r="DCR380" s="669"/>
      <c r="DCS380" s="669"/>
      <c r="DCT380" s="669"/>
      <c r="DCU380" s="669"/>
      <c r="DCV380" s="669"/>
      <c r="DCW380" s="669"/>
      <c r="DCX380" s="669"/>
      <c r="DCY380" s="669"/>
      <c r="DCZ380" s="669"/>
      <c r="DDA380" s="669"/>
      <c r="DDB380" s="669"/>
      <c r="DDC380" s="669"/>
      <c r="DDD380" s="669"/>
      <c r="DDE380" s="669"/>
      <c r="DDF380" s="669"/>
      <c r="DDG380" s="669"/>
      <c r="DDH380" s="669"/>
      <c r="DDI380" s="669"/>
      <c r="DDJ380" s="669"/>
      <c r="DDK380" s="669"/>
      <c r="DDL380" s="669"/>
      <c r="DDM380" s="669"/>
      <c r="DDN380" s="669"/>
      <c r="DDO380" s="669"/>
      <c r="DDP380" s="669"/>
      <c r="DDQ380" s="669"/>
      <c r="DDR380" s="669"/>
      <c r="DDS380" s="669"/>
      <c r="DDT380" s="669"/>
      <c r="DDU380" s="669"/>
      <c r="DDV380" s="669"/>
      <c r="DDW380" s="669"/>
      <c r="DDX380" s="669"/>
      <c r="DDY380" s="669"/>
      <c r="DDZ380" s="669"/>
      <c r="DEA380" s="669"/>
      <c r="DEB380" s="669"/>
      <c r="DEC380" s="669"/>
      <c r="DED380" s="669"/>
      <c r="DEE380" s="669"/>
      <c r="DEF380" s="669"/>
      <c r="DEG380" s="669"/>
      <c r="DEH380" s="669"/>
      <c r="DEI380" s="669"/>
      <c r="DEJ380" s="669"/>
      <c r="DEK380" s="669"/>
      <c r="DEL380" s="669"/>
      <c r="DEM380" s="669"/>
      <c r="DEN380" s="669"/>
      <c r="DEO380" s="669"/>
      <c r="DEP380" s="669"/>
      <c r="DEQ380" s="669"/>
      <c r="DER380" s="669"/>
      <c r="DES380" s="669"/>
      <c r="DET380" s="669"/>
      <c r="DEU380" s="669"/>
      <c r="DEV380" s="669"/>
      <c r="DEW380" s="669"/>
      <c r="DEX380" s="669"/>
      <c r="DEY380" s="669"/>
      <c r="DEZ380" s="669"/>
      <c r="DFA380" s="669"/>
      <c r="DFB380" s="669"/>
      <c r="DFC380" s="669"/>
      <c r="DFD380" s="669"/>
      <c r="DFE380" s="669"/>
      <c r="DFF380" s="669"/>
      <c r="DFG380" s="669"/>
      <c r="DFH380" s="669"/>
      <c r="DFI380" s="669"/>
      <c r="DFJ380" s="669"/>
      <c r="DFK380" s="669"/>
      <c r="DFL380" s="669"/>
      <c r="DFM380" s="669"/>
      <c r="DFN380" s="669"/>
      <c r="DFO380" s="669"/>
      <c r="DFP380" s="669"/>
      <c r="DFQ380" s="669"/>
      <c r="DFR380" s="669"/>
      <c r="DFS380" s="669"/>
      <c r="DFT380" s="669"/>
      <c r="DFU380" s="669"/>
      <c r="DFV380" s="669"/>
      <c r="DFW380" s="669"/>
      <c r="DFX380" s="669"/>
      <c r="DFY380" s="669"/>
      <c r="DFZ380" s="669"/>
      <c r="DGA380" s="669"/>
      <c r="DGB380" s="669"/>
      <c r="DGC380" s="669"/>
      <c r="DGD380" s="669"/>
      <c r="DGE380" s="669"/>
      <c r="DGF380" s="669"/>
      <c r="DGG380" s="669"/>
      <c r="DGH380" s="669"/>
      <c r="DGI380" s="669"/>
      <c r="DGJ380" s="669"/>
      <c r="DGK380" s="669"/>
      <c r="DGL380" s="669"/>
      <c r="DGM380" s="669"/>
      <c r="DGN380" s="669"/>
      <c r="DGO380" s="669"/>
      <c r="DGP380" s="669"/>
      <c r="DGQ380" s="669"/>
      <c r="DGR380" s="669"/>
      <c r="DGS380" s="669"/>
      <c r="DGT380" s="669"/>
      <c r="DGU380" s="669"/>
      <c r="DGV380" s="669"/>
      <c r="DGW380" s="669"/>
      <c r="DGX380" s="669"/>
      <c r="DGY380" s="669"/>
      <c r="DGZ380" s="669"/>
      <c r="DHA380" s="669"/>
      <c r="DHB380" s="669"/>
      <c r="DHC380" s="669"/>
      <c r="DHD380" s="669"/>
      <c r="DHE380" s="669"/>
      <c r="DHF380" s="669"/>
      <c r="DHG380" s="669"/>
      <c r="DHH380" s="669"/>
      <c r="DHI380" s="669"/>
      <c r="DHJ380" s="669"/>
      <c r="DHK380" s="669"/>
      <c r="DHL380" s="669"/>
      <c r="DHM380" s="669"/>
      <c r="DHN380" s="669"/>
      <c r="DHO380" s="669"/>
      <c r="DHP380" s="669"/>
      <c r="DHQ380" s="669"/>
      <c r="DHR380" s="669"/>
      <c r="DHS380" s="669"/>
      <c r="DHT380" s="669"/>
      <c r="DHU380" s="669"/>
      <c r="DHV380" s="669"/>
      <c r="DHW380" s="669"/>
      <c r="DHX380" s="669"/>
      <c r="DHY380" s="669"/>
      <c r="DHZ380" s="669"/>
      <c r="DIA380" s="669"/>
      <c r="DIB380" s="669"/>
      <c r="DIC380" s="669"/>
      <c r="DID380" s="669"/>
      <c r="DIE380" s="669"/>
      <c r="DIF380" s="669"/>
      <c r="DIG380" s="669"/>
      <c r="DIH380" s="669"/>
      <c r="DII380" s="669"/>
      <c r="DIJ380" s="669"/>
      <c r="DIK380" s="669"/>
      <c r="DIL380" s="669"/>
      <c r="DIM380" s="669"/>
      <c r="DIN380" s="669"/>
      <c r="DIO380" s="669"/>
      <c r="DIP380" s="669"/>
      <c r="DIQ380" s="669"/>
      <c r="DIR380" s="669"/>
      <c r="DIS380" s="669"/>
      <c r="DIT380" s="669"/>
      <c r="DIU380" s="669"/>
      <c r="DIV380" s="669"/>
      <c r="DIW380" s="669"/>
      <c r="DIX380" s="669"/>
      <c r="DIY380" s="669"/>
      <c r="DIZ380" s="669"/>
      <c r="DJA380" s="669"/>
      <c r="DJB380" s="669"/>
      <c r="DJC380" s="669"/>
      <c r="DJD380" s="669"/>
      <c r="DJE380" s="669"/>
      <c r="DJF380" s="669"/>
      <c r="DJG380" s="669"/>
      <c r="DJH380" s="669"/>
      <c r="DJI380" s="669"/>
      <c r="DJJ380" s="669"/>
      <c r="DJK380" s="669"/>
      <c r="DJL380" s="669"/>
      <c r="DJM380" s="669"/>
      <c r="DJN380" s="669"/>
      <c r="DJO380" s="669"/>
      <c r="DJP380" s="669"/>
      <c r="DJQ380" s="669"/>
      <c r="DJR380" s="669"/>
      <c r="DJS380" s="669"/>
      <c r="DJT380" s="669"/>
      <c r="DJU380" s="669"/>
      <c r="DJV380" s="669"/>
      <c r="DJW380" s="669"/>
      <c r="DJX380" s="669"/>
      <c r="DJY380" s="669"/>
      <c r="DJZ380" s="669"/>
      <c r="DKA380" s="669"/>
      <c r="DKB380" s="669"/>
      <c r="DKC380" s="669"/>
      <c r="DKD380" s="669"/>
      <c r="DKE380" s="669"/>
      <c r="DKF380" s="669"/>
      <c r="DKG380" s="669"/>
      <c r="DKH380" s="669"/>
      <c r="DKI380" s="669"/>
      <c r="DKJ380" s="669"/>
      <c r="DKK380" s="669"/>
      <c r="DKL380" s="669"/>
      <c r="DKM380" s="669"/>
      <c r="DKN380" s="669"/>
      <c r="DKO380" s="669"/>
      <c r="DKP380" s="669"/>
      <c r="DKQ380" s="669"/>
      <c r="DKR380" s="669"/>
      <c r="DKS380" s="669"/>
      <c r="DKT380" s="669"/>
      <c r="DKU380" s="669"/>
      <c r="DKV380" s="669"/>
      <c r="DKW380" s="669"/>
      <c r="DKX380" s="669"/>
      <c r="DKY380" s="669"/>
      <c r="DKZ380" s="669"/>
      <c r="DLA380" s="669"/>
      <c r="DLB380" s="669"/>
      <c r="DLC380" s="669"/>
      <c r="DLD380" s="669"/>
      <c r="DLE380" s="669"/>
      <c r="DLF380" s="669"/>
      <c r="DLG380" s="669"/>
      <c r="DLH380" s="669"/>
      <c r="DLI380" s="669"/>
      <c r="DLJ380" s="669"/>
      <c r="DLK380" s="669"/>
      <c r="DLL380" s="669"/>
      <c r="DLM380" s="669"/>
      <c r="DLN380" s="669"/>
      <c r="DLO380" s="669"/>
      <c r="DLP380" s="669"/>
      <c r="DLQ380" s="669"/>
      <c r="DLR380" s="669"/>
      <c r="DLS380" s="669"/>
      <c r="DLT380" s="669"/>
      <c r="DLU380" s="669"/>
      <c r="DLV380" s="669"/>
      <c r="DLW380" s="669"/>
      <c r="DLX380" s="669"/>
      <c r="DLY380" s="669"/>
      <c r="DLZ380" s="669"/>
      <c r="DMA380" s="669"/>
      <c r="DMB380" s="669"/>
      <c r="DMC380" s="669"/>
      <c r="DMD380" s="669"/>
      <c r="DME380" s="669"/>
      <c r="DMF380" s="669"/>
      <c r="DMG380" s="669"/>
      <c r="DMH380" s="669"/>
      <c r="DMI380" s="669"/>
      <c r="DMJ380" s="669"/>
      <c r="DMK380" s="669"/>
      <c r="DML380" s="669"/>
      <c r="DMM380" s="669"/>
      <c r="DMN380" s="669"/>
      <c r="DMO380" s="669"/>
      <c r="DMP380" s="669"/>
      <c r="DMQ380" s="669"/>
      <c r="DMR380" s="669"/>
      <c r="DMS380" s="669"/>
      <c r="DMT380" s="669"/>
      <c r="DMU380" s="669"/>
      <c r="DMV380" s="669"/>
      <c r="DMW380" s="669"/>
      <c r="DMX380" s="669"/>
      <c r="DMY380" s="669"/>
      <c r="DMZ380" s="669"/>
      <c r="DNA380" s="669"/>
      <c r="DNB380" s="669"/>
      <c r="DNC380" s="669"/>
      <c r="DND380" s="669"/>
      <c r="DNE380" s="669"/>
      <c r="DNF380" s="669"/>
      <c r="DNG380" s="669"/>
      <c r="DNH380" s="669"/>
      <c r="DNI380" s="669"/>
      <c r="DNJ380" s="669"/>
      <c r="DNK380" s="669"/>
      <c r="DNL380" s="669"/>
      <c r="DNM380" s="669"/>
      <c r="DNN380" s="669"/>
      <c r="DNO380" s="669"/>
      <c r="DNP380" s="669"/>
      <c r="DNQ380" s="669"/>
      <c r="DNR380" s="669"/>
      <c r="DNS380" s="669"/>
      <c r="DNT380" s="669"/>
      <c r="DNU380" s="669"/>
      <c r="DNV380" s="669"/>
      <c r="DNW380" s="669"/>
      <c r="DNX380" s="669"/>
      <c r="DNY380" s="669"/>
      <c r="DNZ380" s="669"/>
      <c r="DOA380" s="669"/>
      <c r="DOB380" s="669"/>
      <c r="DOC380" s="669"/>
      <c r="DOD380" s="669"/>
      <c r="DOE380" s="669"/>
      <c r="DOF380" s="669"/>
      <c r="DOG380" s="669"/>
      <c r="DOH380" s="669"/>
      <c r="DOI380" s="669"/>
      <c r="DOJ380" s="669"/>
      <c r="DOK380" s="669"/>
      <c r="DOL380" s="669"/>
      <c r="DOM380" s="669"/>
      <c r="DON380" s="669"/>
      <c r="DOO380" s="669"/>
      <c r="DOP380" s="669"/>
      <c r="DOQ380" s="669"/>
      <c r="DOR380" s="669"/>
      <c r="DOS380" s="669"/>
      <c r="DOT380" s="669"/>
      <c r="DOU380" s="669"/>
      <c r="DOV380" s="669"/>
      <c r="DOW380" s="669"/>
      <c r="DOX380" s="669"/>
      <c r="DOY380" s="669"/>
      <c r="DOZ380" s="669"/>
      <c r="DPA380" s="669"/>
      <c r="DPB380" s="669"/>
      <c r="DPC380" s="669"/>
      <c r="DPD380" s="669"/>
      <c r="DPE380" s="669"/>
      <c r="DPF380" s="669"/>
      <c r="DPG380" s="669"/>
      <c r="DPH380" s="669"/>
      <c r="DPI380" s="669"/>
      <c r="DPJ380" s="669"/>
      <c r="DPK380" s="669"/>
      <c r="DPL380" s="669"/>
      <c r="DPM380" s="669"/>
      <c r="DPN380" s="669"/>
      <c r="DPO380" s="669"/>
      <c r="DPP380" s="669"/>
      <c r="DPQ380" s="669"/>
      <c r="DPR380" s="669"/>
      <c r="DPS380" s="669"/>
      <c r="DPT380" s="669"/>
      <c r="DPU380" s="669"/>
      <c r="DPV380" s="669"/>
      <c r="DPW380" s="669"/>
      <c r="DPX380" s="669"/>
      <c r="DPY380" s="669"/>
      <c r="DPZ380" s="669"/>
      <c r="DQA380" s="669"/>
      <c r="DQB380" s="669"/>
      <c r="DQC380" s="669"/>
      <c r="DQD380" s="669"/>
      <c r="DQE380" s="669"/>
      <c r="DQF380" s="669"/>
      <c r="DQG380" s="669"/>
      <c r="DQH380" s="669"/>
      <c r="DQI380" s="669"/>
      <c r="DQJ380" s="669"/>
      <c r="DQK380" s="669"/>
      <c r="DQL380" s="669"/>
      <c r="DQM380" s="669"/>
      <c r="DQN380" s="669"/>
      <c r="DQO380" s="669"/>
      <c r="DQP380" s="669"/>
      <c r="DQQ380" s="669"/>
      <c r="DQR380" s="669"/>
      <c r="DQS380" s="669"/>
      <c r="DQT380" s="669"/>
      <c r="DQU380" s="669"/>
      <c r="DQV380" s="669"/>
      <c r="DQW380" s="669"/>
      <c r="DQX380" s="669"/>
      <c r="DQY380" s="669"/>
      <c r="DQZ380" s="669"/>
      <c r="DRA380" s="669"/>
      <c r="DRB380" s="669"/>
      <c r="DRC380" s="669"/>
      <c r="DRD380" s="669"/>
      <c r="DRE380" s="669"/>
      <c r="DRF380" s="669"/>
      <c r="DRG380" s="669"/>
      <c r="DRH380" s="669"/>
      <c r="DRI380" s="669"/>
      <c r="DRJ380" s="669"/>
      <c r="DRK380" s="669"/>
      <c r="DRL380" s="669"/>
      <c r="DRM380" s="669"/>
      <c r="DRN380" s="669"/>
      <c r="DRO380" s="669"/>
      <c r="DRP380" s="669"/>
      <c r="DRQ380" s="669"/>
      <c r="DRR380" s="669"/>
      <c r="DRS380" s="669"/>
      <c r="DRT380" s="669"/>
      <c r="DRU380" s="669"/>
      <c r="DRV380" s="669"/>
      <c r="DRW380" s="669"/>
      <c r="DRX380" s="669"/>
      <c r="DRY380" s="669"/>
      <c r="DRZ380" s="669"/>
      <c r="DSA380" s="669"/>
      <c r="DSB380" s="669"/>
      <c r="DSC380" s="669"/>
      <c r="DSD380" s="669"/>
      <c r="DSE380" s="669"/>
      <c r="DSF380" s="669"/>
      <c r="DSG380" s="669"/>
      <c r="DSH380" s="669"/>
      <c r="DSI380" s="669"/>
      <c r="DSJ380" s="669"/>
      <c r="DSK380" s="669"/>
      <c r="DSL380" s="669"/>
      <c r="DSM380" s="669"/>
      <c r="DSN380" s="669"/>
      <c r="DSO380" s="669"/>
      <c r="DSP380" s="669"/>
      <c r="DSQ380" s="669"/>
      <c r="DSR380" s="669"/>
      <c r="DSS380" s="669"/>
      <c r="DST380" s="669"/>
      <c r="DSU380" s="669"/>
      <c r="DSV380" s="669"/>
      <c r="DSW380" s="669"/>
      <c r="DSX380" s="669"/>
      <c r="DSY380" s="669"/>
      <c r="DSZ380" s="669"/>
      <c r="DTA380" s="669"/>
      <c r="DTB380" s="669"/>
      <c r="DTC380" s="669"/>
      <c r="DTD380" s="669"/>
      <c r="DTE380" s="669"/>
      <c r="DTF380" s="669"/>
      <c r="DTG380" s="669"/>
      <c r="DTH380" s="669"/>
      <c r="DTI380" s="669"/>
      <c r="DTJ380" s="669"/>
      <c r="DTK380" s="669"/>
      <c r="DTL380" s="669"/>
      <c r="DTM380" s="669"/>
      <c r="DTN380" s="669"/>
      <c r="DTO380" s="669"/>
      <c r="DTP380" s="669"/>
      <c r="DTQ380" s="669"/>
      <c r="DTR380" s="669"/>
      <c r="DTS380" s="669"/>
      <c r="DTT380" s="669"/>
      <c r="DTU380" s="669"/>
      <c r="DTV380" s="669"/>
      <c r="DTW380" s="669"/>
      <c r="DTX380" s="669"/>
      <c r="DTY380" s="669"/>
      <c r="DTZ380" s="669"/>
      <c r="DUA380" s="669"/>
      <c r="DUB380" s="669"/>
      <c r="DUC380" s="669"/>
      <c r="DUD380" s="669"/>
      <c r="DUE380" s="669"/>
      <c r="DUF380" s="669"/>
      <c r="DUG380" s="669"/>
      <c r="DUH380" s="669"/>
      <c r="DUI380" s="669"/>
      <c r="DUJ380" s="669"/>
      <c r="DUK380" s="669"/>
      <c r="DUL380" s="669"/>
      <c r="DUM380" s="669"/>
      <c r="DUN380" s="669"/>
      <c r="DUO380" s="669"/>
      <c r="DUP380" s="669"/>
      <c r="DUQ380" s="669"/>
      <c r="DUR380" s="669"/>
      <c r="DUS380" s="669"/>
      <c r="DUT380" s="669"/>
      <c r="DUU380" s="669"/>
      <c r="DUV380" s="669"/>
      <c r="DUW380" s="669"/>
      <c r="DUX380" s="669"/>
      <c r="DUY380" s="669"/>
      <c r="DUZ380" s="669"/>
      <c r="DVA380" s="669"/>
      <c r="DVB380" s="669"/>
      <c r="DVC380" s="669"/>
      <c r="DVD380" s="669"/>
      <c r="DVE380" s="669"/>
      <c r="DVF380" s="669"/>
      <c r="DVG380" s="669"/>
      <c r="DVH380" s="669"/>
      <c r="DVI380" s="669"/>
      <c r="DVJ380" s="669"/>
      <c r="DVK380" s="669"/>
      <c r="DVL380" s="669"/>
      <c r="DVM380" s="669"/>
      <c r="DVN380" s="669"/>
      <c r="DVO380" s="669"/>
      <c r="DVP380" s="669"/>
      <c r="DVQ380" s="669"/>
      <c r="DVR380" s="669"/>
      <c r="DVS380" s="669"/>
      <c r="DVT380" s="669"/>
      <c r="DVU380" s="669"/>
      <c r="DVV380" s="669"/>
      <c r="DVW380" s="669"/>
      <c r="DVX380" s="669"/>
      <c r="DVY380" s="669"/>
      <c r="DVZ380" s="669"/>
      <c r="DWA380" s="669"/>
      <c r="DWB380" s="669"/>
      <c r="DWC380" s="669"/>
      <c r="DWD380" s="669"/>
      <c r="DWE380" s="669"/>
      <c r="DWF380" s="669"/>
      <c r="DWG380" s="669"/>
      <c r="DWH380" s="669"/>
      <c r="DWI380" s="669"/>
      <c r="DWJ380" s="669"/>
      <c r="DWK380" s="669"/>
      <c r="DWL380" s="669"/>
      <c r="DWM380" s="669"/>
      <c r="DWN380" s="669"/>
      <c r="DWO380" s="669"/>
      <c r="DWP380" s="669"/>
      <c r="DWQ380" s="669"/>
      <c r="DWR380" s="669"/>
      <c r="DWS380" s="669"/>
      <c r="DWT380" s="669"/>
      <c r="DWU380" s="669"/>
      <c r="DWV380" s="669"/>
      <c r="DWW380" s="669"/>
      <c r="DWX380" s="669"/>
      <c r="DWY380" s="669"/>
      <c r="DWZ380" s="669"/>
      <c r="DXA380" s="669"/>
      <c r="DXB380" s="669"/>
      <c r="DXC380" s="669"/>
      <c r="DXD380" s="669"/>
      <c r="DXE380" s="669"/>
      <c r="DXF380" s="669"/>
      <c r="DXG380" s="669"/>
      <c r="DXH380" s="669"/>
      <c r="DXI380" s="669"/>
      <c r="DXJ380" s="669"/>
      <c r="DXK380" s="669"/>
      <c r="DXL380" s="669"/>
      <c r="DXM380" s="669"/>
      <c r="DXN380" s="669"/>
      <c r="DXO380" s="669"/>
      <c r="DXP380" s="669"/>
      <c r="DXQ380" s="669"/>
      <c r="DXR380" s="669"/>
      <c r="DXS380" s="669"/>
      <c r="DXT380" s="669"/>
      <c r="DXU380" s="669"/>
      <c r="DXV380" s="669"/>
      <c r="DXW380" s="669"/>
      <c r="DXX380" s="669"/>
      <c r="DXY380" s="669"/>
      <c r="DXZ380" s="669"/>
      <c r="DYA380" s="669"/>
      <c r="DYB380" s="669"/>
      <c r="DYC380" s="669"/>
      <c r="DYD380" s="669"/>
      <c r="DYE380" s="669"/>
      <c r="DYF380" s="669"/>
      <c r="DYG380" s="669"/>
      <c r="DYH380" s="669"/>
      <c r="DYI380" s="669"/>
      <c r="DYJ380" s="669"/>
      <c r="DYK380" s="669"/>
      <c r="DYL380" s="669"/>
      <c r="DYM380" s="669"/>
      <c r="DYN380" s="669"/>
      <c r="DYO380" s="669"/>
      <c r="DYP380" s="669"/>
      <c r="DYQ380" s="669"/>
      <c r="DYR380" s="669"/>
      <c r="DYS380" s="669"/>
      <c r="DYT380" s="669"/>
      <c r="DYU380" s="669"/>
      <c r="DYV380" s="669"/>
      <c r="DYW380" s="669"/>
      <c r="DYX380" s="669"/>
      <c r="DYY380" s="669"/>
      <c r="DYZ380" s="669"/>
      <c r="DZA380" s="669"/>
      <c r="DZB380" s="669"/>
      <c r="DZC380" s="669"/>
      <c r="DZD380" s="669"/>
      <c r="DZE380" s="669"/>
      <c r="DZF380" s="669"/>
      <c r="DZG380" s="669"/>
      <c r="DZH380" s="669"/>
      <c r="DZI380" s="669"/>
      <c r="DZJ380" s="669"/>
      <c r="DZK380" s="669"/>
      <c r="DZL380" s="669"/>
      <c r="DZM380" s="669"/>
      <c r="DZN380" s="669"/>
      <c r="DZO380" s="669"/>
      <c r="DZP380" s="669"/>
      <c r="DZQ380" s="669"/>
      <c r="DZR380" s="669"/>
      <c r="DZS380" s="669"/>
      <c r="DZT380" s="669"/>
      <c r="DZU380" s="669"/>
      <c r="DZV380" s="669"/>
      <c r="DZW380" s="669"/>
      <c r="DZX380" s="669"/>
      <c r="DZY380" s="669"/>
      <c r="DZZ380" s="669"/>
      <c r="EAA380" s="669"/>
      <c r="EAB380" s="669"/>
      <c r="EAC380" s="669"/>
      <c r="EAD380" s="669"/>
      <c r="EAE380" s="669"/>
      <c r="EAF380" s="669"/>
      <c r="EAG380" s="669"/>
      <c r="EAH380" s="669"/>
      <c r="EAI380" s="669"/>
      <c r="EAJ380" s="669"/>
      <c r="EAK380" s="669"/>
      <c r="EAL380" s="669"/>
      <c r="EAM380" s="669"/>
      <c r="EAN380" s="669"/>
      <c r="EAO380" s="669"/>
      <c r="EAP380" s="669"/>
      <c r="EAQ380" s="669"/>
      <c r="EAR380" s="669"/>
      <c r="EAS380" s="669"/>
      <c r="EAT380" s="669"/>
      <c r="EAU380" s="669"/>
      <c r="EAV380" s="669"/>
      <c r="EAW380" s="669"/>
      <c r="EAX380" s="669"/>
      <c r="EAY380" s="669"/>
      <c r="EAZ380" s="669"/>
      <c r="EBA380" s="669"/>
      <c r="EBB380" s="669"/>
      <c r="EBC380" s="669"/>
      <c r="EBD380" s="669"/>
      <c r="EBE380" s="669"/>
      <c r="EBF380" s="669"/>
      <c r="EBG380" s="669"/>
      <c r="EBH380" s="669"/>
      <c r="EBI380" s="669"/>
      <c r="EBJ380" s="669"/>
      <c r="EBK380" s="669"/>
      <c r="EBL380" s="669"/>
      <c r="EBM380" s="669"/>
      <c r="EBN380" s="669"/>
      <c r="EBO380" s="669"/>
      <c r="EBP380" s="669"/>
      <c r="EBQ380" s="669"/>
      <c r="EBR380" s="669"/>
      <c r="EBS380" s="669"/>
      <c r="EBT380" s="669"/>
      <c r="EBU380" s="669"/>
      <c r="EBV380" s="669"/>
      <c r="EBW380" s="669"/>
      <c r="EBX380" s="669"/>
      <c r="EBY380" s="669"/>
      <c r="EBZ380" s="669"/>
      <c r="ECA380" s="669"/>
      <c r="ECB380" s="669"/>
      <c r="ECC380" s="669"/>
      <c r="ECD380" s="669"/>
      <c r="ECE380" s="669"/>
      <c r="ECF380" s="669"/>
      <c r="ECG380" s="669"/>
      <c r="ECH380" s="669"/>
      <c r="ECI380" s="669"/>
      <c r="ECJ380" s="669"/>
      <c r="ECK380" s="669"/>
      <c r="ECL380" s="669"/>
      <c r="ECM380" s="669"/>
      <c r="ECN380" s="669"/>
      <c r="ECO380" s="669"/>
      <c r="ECP380" s="669"/>
      <c r="ECQ380" s="669"/>
      <c r="ECR380" s="669"/>
      <c r="ECS380" s="669"/>
      <c r="ECT380" s="669"/>
      <c r="ECU380" s="669"/>
      <c r="ECV380" s="669"/>
      <c r="ECW380" s="669"/>
      <c r="ECX380" s="669"/>
      <c r="ECY380" s="669"/>
      <c r="ECZ380" s="669"/>
      <c r="EDA380" s="669"/>
      <c r="EDB380" s="669"/>
      <c r="EDC380" s="669"/>
      <c r="EDD380" s="669"/>
      <c r="EDE380" s="669"/>
      <c r="EDF380" s="669"/>
      <c r="EDG380" s="669"/>
      <c r="EDH380" s="669"/>
      <c r="EDI380" s="669"/>
      <c r="EDJ380" s="669"/>
      <c r="EDK380" s="669"/>
      <c r="EDL380" s="669"/>
      <c r="EDM380" s="669"/>
      <c r="EDN380" s="669"/>
      <c r="EDO380" s="669"/>
      <c r="EDP380" s="669"/>
      <c r="EDQ380" s="669"/>
      <c r="EDR380" s="669"/>
      <c r="EDS380" s="669"/>
      <c r="EDT380" s="669"/>
      <c r="EDU380" s="669"/>
      <c r="EDV380" s="669"/>
      <c r="EDW380" s="669"/>
      <c r="EDX380" s="669"/>
      <c r="EDY380" s="669"/>
      <c r="EDZ380" s="669"/>
      <c r="EEA380" s="669"/>
      <c r="EEB380" s="669"/>
      <c r="EEC380" s="669"/>
      <c r="EED380" s="669"/>
      <c r="EEE380" s="669"/>
      <c r="EEF380" s="669"/>
      <c r="EEG380" s="669"/>
      <c r="EEH380" s="669"/>
      <c r="EEI380" s="669"/>
      <c r="EEJ380" s="669"/>
      <c r="EEK380" s="669"/>
      <c r="EEL380" s="669"/>
      <c r="EEM380" s="669"/>
      <c r="EEN380" s="669"/>
      <c r="EEO380" s="669"/>
      <c r="EEP380" s="669"/>
      <c r="EEQ380" s="669"/>
      <c r="EER380" s="669"/>
      <c r="EES380" s="669"/>
      <c r="EET380" s="669"/>
      <c r="EEU380" s="669"/>
      <c r="EEV380" s="669"/>
      <c r="EEW380" s="669"/>
      <c r="EEX380" s="669"/>
      <c r="EEY380" s="669"/>
      <c r="EEZ380" s="669"/>
      <c r="EFA380" s="669"/>
      <c r="EFB380" s="669"/>
      <c r="EFC380" s="669"/>
      <c r="EFD380" s="669"/>
      <c r="EFE380" s="669"/>
      <c r="EFF380" s="669"/>
      <c r="EFG380" s="669"/>
      <c r="EFH380" s="669"/>
      <c r="EFI380" s="669"/>
      <c r="EFJ380" s="669"/>
      <c r="EFK380" s="669"/>
      <c r="EFL380" s="669"/>
      <c r="EFM380" s="669"/>
      <c r="EFN380" s="669"/>
      <c r="EFO380" s="669"/>
      <c r="EFP380" s="669"/>
      <c r="EFQ380" s="669"/>
      <c r="EFR380" s="669"/>
      <c r="EFS380" s="669"/>
      <c r="EFT380" s="669"/>
      <c r="EFU380" s="669"/>
      <c r="EFV380" s="669"/>
      <c r="EFW380" s="669"/>
      <c r="EFX380" s="669"/>
      <c r="EFY380" s="669"/>
      <c r="EFZ380" s="669"/>
      <c r="EGA380" s="669"/>
      <c r="EGB380" s="669"/>
      <c r="EGC380" s="669"/>
      <c r="EGD380" s="669"/>
      <c r="EGE380" s="669"/>
      <c r="EGF380" s="669"/>
      <c r="EGG380" s="669"/>
      <c r="EGH380" s="669"/>
      <c r="EGI380" s="669"/>
      <c r="EGJ380" s="669"/>
      <c r="EGK380" s="669"/>
      <c r="EGL380" s="669"/>
      <c r="EGM380" s="669"/>
      <c r="EGN380" s="669"/>
      <c r="EGO380" s="669"/>
      <c r="EGP380" s="669"/>
      <c r="EGQ380" s="669"/>
      <c r="EGR380" s="669"/>
      <c r="EGS380" s="669"/>
      <c r="EGT380" s="669"/>
      <c r="EGU380" s="669"/>
      <c r="EGV380" s="669"/>
      <c r="EGW380" s="669"/>
      <c r="EGX380" s="669"/>
      <c r="EGY380" s="669"/>
      <c r="EGZ380" s="669"/>
      <c r="EHA380" s="669"/>
      <c r="EHB380" s="669"/>
      <c r="EHC380" s="669"/>
      <c r="EHD380" s="669"/>
      <c r="EHE380" s="669"/>
      <c r="EHF380" s="669"/>
      <c r="EHG380" s="669"/>
      <c r="EHH380" s="669"/>
      <c r="EHI380" s="669"/>
      <c r="EHJ380" s="669"/>
      <c r="EHK380" s="669"/>
      <c r="EHL380" s="669"/>
      <c r="EHM380" s="669"/>
      <c r="EHN380" s="669"/>
      <c r="EHO380" s="669"/>
      <c r="EHP380" s="669"/>
      <c r="EHQ380" s="669"/>
      <c r="EHR380" s="669"/>
      <c r="EHS380" s="669"/>
      <c r="EHT380" s="669"/>
      <c r="EHU380" s="669"/>
      <c r="EHV380" s="669"/>
      <c r="EHW380" s="669"/>
      <c r="EHX380" s="669"/>
      <c r="EHY380" s="669"/>
      <c r="EHZ380" s="669"/>
      <c r="EIA380" s="669"/>
      <c r="EIB380" s="669"/>
      <c r="EIC380" s="669"/>
      <c r="EID380" s="669"/>
      <c r="EIE380" s="669"/>
      <c r="EIF380" s="669"/>
      <c r="EIG380" s="669"/>
      <c r="EIH380" s="669"/>
      <c r="EII380" s="669"/>
      <c r="EIJ380" s="669"/>
      <c r="EIK380" s="669"/>
      <c r="EIL380" s="669"/>
      <c r="EIM380" s="669"/>
      <c r="EIN380" s="669"/>
      <c r="EIO380" s="669"/>
      <c r="EIP380" s="669"/>
      <c r="EIQ380" s="669"/>
      <c r="EIR380" s="669"/>
      <c r="EIS380" s="669"/>
      <c r="EIT380" s="669"/>
      <c r="EIU380" s="669"/>
      <c r="EIV380" s="669"/>
      <c r="EIW380" s="669"/>
      <c r="EIX380" s="669"/>
      <c r="EIY380" s="669"/>
      <c r="EIZ380" s="669"/>
      <c r="EJA380" s="669"/>
      <c r="EJB380" s="669"/>
      <c r="EJC380" s="669"/>
      <c r="EJD380" s="669"/>
      <c r="EJE380" s="669"/>
      <c r="EJF380" s="669"/>
      <c r="EJG380" s="669"/>
      <c r="EJH380" s="669"/>
      <c r="EJI380" s="669"/>
      <c r="EJJ380" s="669"/>
      <c r="EJK380" s="669"/>
      <c r="EJL380" s="669"/>
      <c r="EJM380" s="669"/>
      <c r="EJN380" s="669"/>
      <c r="EJO380" s="669"/>
      <c r="EJP380" s="669"/>
      <c r="EJQ380" s="669"/>
      <c r="EJR380" s="669"/>
      <c r="EJS380" s="669"/>
      <c r="EJT380" s="669"/>
      <c r="EJU380" s="669"/>
      <c r="EJV380" s="669"/>
      <c r="EJW380" s="669"/>
      <c r="EJX380" s="669"/>
      <c r="EJY380" s="669"/>
      <c r="EJZ380" s="669"/>
      <c r="EKA380" s="669"/>
      <c r="EKB380" s="669"/>
      <c r="EKC380" s="669"/>
      <c r="EKD380" s="669"/>
      <c r="EKE380" s="669"/>
      <c r="EKF380" s="669"/>
      <c r="EKG380" s="669"/>
      <c r="EKH380" s="669"/>
      <c r="EKI380" s="669"/>
      <c r="EKJ380" s="669"/>
      <c r="EKK380" s="669"/>
      <c r="EKL380" s="669"/>
      <c r="EKM380" s="669"/>
      <c r="EKN380" s="669"/>
      <c r="EKO380" s="669"/>
      <c r="EKP380" s="669"/>
      <c r="EKQ380" s="669"/>
      <c r="EKR380" s="669"/>
      <c r="EKS380" s="669"/>
      <c r="EKT380" s="669"/>
      <c r="EKU380" s="669"/>
      <c r="EKV380" s="669"/>
      <c r="EKW380" s="669"/>
      <c r="EKX380" s="669"/>
      <c r="EKY380" s="669"/>
      <c r="EKZ380" s="669"/>
      <c r="ELA380" s="669"/>
      <c r="ELB380" s="669"/>
      <c r="ELC380" s="669"/>
      <c r="ELD380" s="669"/>
      <c r="ELE380" s="669"/>
      <c r="ELF380" s="669"/>
      <c r="ELG380" s="669"/>
      <c r="ELH380" s="669"/>
      <c r="ELI380" s="669"/>
      <c r="ELJ380" s="669"/>
      <c r="ELK380" s="669"/>
      <c r="ELL380" s="669"/>
      <c r="ELM380" s="669"/>
      <c r="ELN380" s="669"/>
      <c r="ELO380" s="669"/>
      <c r="ELP380" s="669"/>
      <c r="ELQ380" s="669"/>
      <c r="ELR380" s="669"/>
      <c r="ELS380" s="669"/>
      <c r="ELT380" s="669"/>
      <c r="ELU380" s="669"/>
      <c r="ELV380" s="669"/>
      <c r="ELW380" s="669"/>
      <c r="ELX380" s="669"/>
      <c r="ELY380" s="669"/>
      <c r="ELZ380" s="669"/>
      <c r="EMA380" s="669"/>
      <c r="EMB380" s="669"/>
      <c r="EMC380" s="669"/>
      <c r="EMD380" s="669"/>
      <c r="EME380" s="669"/>
      <c r="EMF380" s="669"/>
      <c r="EMG380" s="669"/>
      <c r="EMH380" s="669"/>
      <c r="EMI380" s="669"/>
      <c r="EMJ380" s="669"/>
      <c r="EMK380" s="669"/>
      <c r="EML380" s="669"/>
      <c r="EMM380" s="669"/>
      <c r="EMN380" s="669"/>
      <c r="EMO380" s="669"/>
      <c r="EMP380" s="669"/>
      <c r="EMQ380" s="669"/>
      <c r="EMR380" s="669"/>
      <c r="EMS380" s="669"/>
      <c r="EMT380" s="669"/>
      <c r="EMU380" s="669"/>
      <c r="EMV380" s="669"/>
      <c r="EMW380" s="669"/>
      <c r="EMX380" s="669"/>
      <c r="EMY380" s="669"/>
      <c r="EMZ380" s="669"/>
      <c r="ENA380" s="669"/>
      <c r="ENB380" s="669"/>
      <c r="ENC380" s="669"/>
      <c r="END380" s="669"/>
      <c r="ENE380" s="669"/>
      <c r="ENF380" s="669"/>
      <c r="ENG380" s="669"/>
      <c r="ENH380" s="669"/>
      <c r="ENI380" s="669"/>
      <c r="ENJ380" s="669"/>
      <c r="ENK380" s="669"/>
      <c r="ENL380" s="669"/>
      <c r="ENM380" s="669"/>
      <c r="ENN380" s="669"/>
      <c r="ENO380" s="669"/>
      <c r="ENP380" s="669"/>
      <c r="ENQ380" s="669"/>
      <c r="ENR380" s="669"/>
      <c r="ENS380" s="669"/>
      <c r="ENT380" s="669"/>
      <c r="ENU380" s="669"/>
      <c r="ENV380" s="669"/>
      <c r="ENW380" s="669"/>
      <c r="ENX380" s="669"/>
      <c r="ENY380" s="669"/>
      <c r="ENZ380" s="669"/>
      <c r="EOA380" s="669"/>
      <c r="EOB380" s="669"/>
      <c r="EOC380" s="669"/>
      <c r="EOD380" s="669"/>
      <c r="EOE380" s="669"/>
      <c r="EOF380" s="669"/>
      <c r="EOG380" s="669"/>
      <c r="EOH380" s="669"/>
      <c r="EOI380" s="669"/>
      <c r="EOJ380" s="669"/>
      <c r="EOK380" s="669"/>
      <c r="EOL380" s="669"/>
      <c r="EOM380" s="669"/>
      <c r="EON380" s="669"/>
      <c r="EOO380" s="669"/>
      <c r="EOP380" s="669"/>
      <c r="EOQ380" s="669"/>
      <c r="EOR380" s="669"/>
      <c r="EOS380" s="669"/>
      <c r="EOT380" s="669"/>
      <c r="EOU380" s="669"/>
      <c r="EOV380" s="669"/>
      <c r="EOW380" s="669"/>
      <c r="EOX380" s="669"/>
      <c r="EOY380" s="669"/>
      <c r="EOZ380" s="669"/>
      <c r="EPA380" s="669"/>
      <c r="EPB380" s="669"/>
      <c r="EPC380" s="669"/>
      <c r="EPD380" s="669"/>
      <c r="EPE380" s="669"/>
      <c r="EPF380" s="669"/>
      <c r="EPG380" s="669"/>
      <c r="EPH380" s="669"/>
      <c r="EPI380" s="669"/>
      <c r="EPJ380" s="669"/>
      <c r="EPK380" s="669"/>
      <c r="EPL380" s="669"/>
      <c r="EPM380" s="669"/>
      <c r="EPN380" s="669"/>
      <c r="EPO380" s="669"/>
      <c r="EPP380" s="669"/>
      <c r="EPQ380" s="669"/>
      <c r="EPR380" s="669"/>
      <c r="EPS380" s="669"/>
      <c r="EPT380" s="669"/>
      <c r="EPU380" s="669"/>
      <c r="EPV380" s="669"/>
      <c r="EPW380" s="669"/>
      <c r="EPX380" s="669"/>
      <c r="EPY380" s="669"/>
      <c r="EPZ380" s="669"/>
      <c r="EQA380" s="669"/>
      <c r="EQB380" s="669"/>
      <c r="EQC380" s="669"/>
      <c r="EQD380" s="669"/>
      <c r="EQE380" s="669"/>
      <c r="EQF380" s="669"/>
      <c r="EQG380" s="669"/>
      <c r="EQH380" s="669"/>
      <c r="EQI380" s="669"/>
      <c r="EQJ380" s="669"/>
      <c r="EQK380" s="669"/>
      <c r="EQL380" s="669"/>
      <c r="EQM380" s="669"/>
      <c r="EQN380" s="669"/>
      <c r="EQO380" s="669"/>
      <c r="EQP380" s="669"/>
      <c r="EQQ380" s="669"/>
      <c r="EQR380" s="669"/>
      <c r="EQS380" s="669"/>
      <c r="EQT380" s="669"/>
      <c r="EQU380" s="669"/>
      <c r="EQV380" s="669"/>
      <c r="EQW380" s="669"/>
      <c r="EQX380" s="669"/>
      <c r="EQY380" s="669"/>
      <c r="EQZ380" s="669"/>
      <c r="ERA380" s="669"/>
      <c r="ERB380" s="669"/>
      <c r="ERC380" s="669"/>
      <c r="ERD380" s="669"/>
      <c r="ERE380" s="669"/>
      <c r="ERF380" s="669"/>
      <c r="ERG380" s="669"/>
      <c r="ERH380" s="669"/>
      <c r="ERI380" s="669"/>
      <c r="ERJ380" s="669"/>
      <c r="ERK380" s="669"/>
      <c r="ERL380" s="669"/>
      <c r="ERM380" s="669"/>
      <c r="ERN380" s="669"/>
      <c r="ERO380" s="669"/>
      <c r="ERP380" s="669"/>
      <c r="ERQ380" s="669"/>
      <c r="ERR380" s="669"/>
      <c r="ERS380" s="669"/>
      <c r="ERT380" s="669"/>
      <c r="ERU380" s="669"/>
      <c r="ERV380" s="669"/>
      <c r="ERW380" s="669"/>
      <c r="ERX380" s="669"/>
      <c r="ERY380" s="669"/>
      <c r="ERZ380" s="669"/>
      <c r="ESA380" s="669"/>
      <c r="ESB380" s="669"/>
      <c r="ESC380" s="669"/>
      <c r="ESD380" s="669"/>
      <c r="ESE380" s="669"/>
      <c r="ESF380" s="669"/>
      <c r="ESG380" s="669"/>
      <c r="ESH380" s="669"/>
      <c r="ESI380" s="669"/>
      <c r="ESJ380" s="669"/>
      <c r="ESK380" s="669"/>
      <c r="ESL380" s="669"/>
      <c r="ESM380" s="669"/>
      <c r="ESN380" s="669"/>
      <c r="ESO380" s="669"/>
      <c r="ESP380" s="669"/>
      <c r="ESQ380" s="669"/>
      <c r="ESR380" s="669"/>
      <c r="ESS380" s="669"/>
      <c r="EST380" s="669"/>
      <c r="ESU380" s="669"/>
      <c r="ESV380" s="669"/>
      <c r="ESW380" s="669"/>
      <c r="ESX380" s="669"/>
      <c r="ESY380" s="669"/>
      <c r="ESZ380" s="669"/>
      <c r="ETA380" s="669"/>
      <c r="ETB380" s="669"/>
      <c r="ETC380" s="669"/>
      <c r="ETD380" s="669"/>
      <c r="ETE380" s="669"/>
      <c r="ETF380" s="669"/>
      <c r="ETG380" s="669"/>
      <c r="ETH380" s="669"/>
      <c r="ETI380" s="669"/>
      <c r="ETJ380" s="669"/>
      <c r="ETK380" s="669"/>
      <c r="ETL380" s="669"/>
      <c r="ETM380" s="669"/>
      <c r="ETN380" s="669"/>
      <c r="ETO380" s="669"/>
      <c r="ETP380" s="669"/>
      <c r="ETQ380" s="669"/>
      <c r="ETR380" s="669"/>
      <c r="ETS380" s="669"/>
      <c r="ETT380" s="669"/>
      <c r="ETU380" s="669"/>
      <c r="ETV380" s="669"/>
      <c r="ETW380" s="669"/>
      <c r="ETX380" s="669"/>
      <c r="ETY380" s="669"/>
      <c r="ETZ380" s="669"/>
      <c r="EUA380" s="669"/>
      <c r="EUB380" s="669"/>
      <c r="EUC380" s="669"/>
      <c r="EUD380" s="669"/>
      <c r="EUE380" s="669"/>
      <c r="EUF380" s="669"/>
      <c r="EUG380" s="669"/>
      <c r="EUH380" s="669"/>
      <c r="EUI380" s="669"/>
      <c r="EUJ380" s="669"/>
      <c r="EUK380" s="669"/>
      <c r="EUL380" s="669"/>
      <c r="EUM380" s="669"/>
      <c r="EUN380" s="669"/>
      <c r="EUO380" s="669"/>
      <c r="EUP380" s="669"/>
      <c r="EUQ380" s="669"/>
      <c r="EUR380" s="669"/>
      <c r="EUS380" s="669"/>
      <c r="EUT380" s="669"/>
      <c r="EUU380" s="669"/>
      <c r="EUV380" s="669"/>
      <c r="EUW380" s="669"/>
      <c r="EUX380" s="669"/>
      <c r="EUY380" s="669"/>
      <c r="EUZ380" s="669"/>
      <c r="EVA380" s="669"/>
      <c r="EVB380" s="669"/>
      <c r="EVC380" s="669"/>
      <c r="EVD380" s="669"/>
      <c r="EVE380" s="669"/>
      <c r="EVF380" s="669"/>
      <c r="EVG380" s="669"/>
      <c r="EVH380" s="669"/>
      <c r="EVI380" s="669"/>
      <c r="EVJ380" s="669"/>
      <c r="EVK380" s="669"/>
      <c r="EVL380" s="669"/>
      <c r="EVM380" s="669"/>
      <c r="EVN380" s="669"/>
      <c r="EVO380" s="669"/>
      <c r="EVP380" s="669"/>
      <c r="EVQ380" s="669"/>
      <c r="EVR380" s="669"/>
      <c r="EVS380" s="669"/>
      <c r="EVT380" s="669"/>
      <c r="EVU380" s="669"/>
      <c r="EVV380" s="669"/>
      <c r="EVW380" s="669"/>
      <c r="EVX380" s="669"/>
      <c r="EVY380" s="669"/>
      <c r="EVZ380" s="669"/>
      <c r="EWA380" s="669"/>
      <c r="EWB380" s="669"/>
      <c r="EWC380" s="669"/>
      <c r="EWD380" s="669"/>
      <c r="EWE380" s="669"/>
      <c r="EWF380" s="669"/>
      <c r="EWG380" s="669"/>
      <c r="EWH380" s="669"/>
      <c r="EWI380" s="669"/>
      <c r="EWJ380" s="669"/>
      <c r="EWK380" s="669"/>
      <c r="EWL380" s="669"/>
      <c r="EWM380" s="669"/>
      <c r="EWN380" s="669"/>
      <c r="EWO380" s="669"/>
      <c r="EWP380" s="669"/>
      <c r="EWQ380" s="669"/>
      <c r="EWR380" s="669"/>
      <c r="EWS380" s="669"/>
      <c r="EWT380" s="669"/>
      <c r="EWU380" s="669"/>
      <c r="EWV380" s="669"/>
      <c r="EWW380" s="669"/>
      <c r="EWX380" s="669"/>
      <c r="EWY380" s="669"/>
      <c r="EWZ380" s="669"/>
      <c r="EXA380" s="669"/>
      <c r="EXB380" s="669"/>
      <c r="EXC380" s="669"/>
      <c r="EXD380" s="669"/>
      <c r="EXE380" s="669"/>
      <c r="EXF380" s="669"/>
      <c r="EXG380" s="669"/>
      <c r="EXH380" s="669"/>
      <c r="EXI380" s="669"/>
      <c r="EXJ380" s="669"/>
      <c r="EXK380" s="669"/>
      <c r="EXL380" s="669"/>
      <c r="EXM380" s="669"/>
      <c r="EXN380" s="669"/>
      <c r="EXO380" s="669"/>
      <c r="EXP380" s="669"/>
      <c r="EXQ380" s="669"/>
      <c r="EXR380" s="669"/>
      <c r="EXS380" s="669"/>
      <c r="EXT380" s="669"/>
      <c r="EXU380" s="669"/>
      <c r="EXV380" s="669"/>
      <c r="EXW380" s="669"/>
      <c r="EXX380" s="669"/>
      <c r="EXY380" s="669"/>
      <c r="EXZ380" s="669"/>
      <c r="EYA380" s="669"/>
      <c r="EYB380" s="669"/>
      <c r="EYC380" s="669"/>
      <c r="EYD380" s="669"/>
      <c r="EYE380" s="669"/>
      <c r="EYF380" s="669"/>
      <c r="EYG380" s="669"/>
      <c r="EYH380" s="669"/>
      <c r="EYI380" s="669"/>
      <c r="EYJ380" s="669"/>
      <c r="EYK380" s="669"/>
      <c r="EYL380" s="669"/>
      <c r="EYM380" s="669"/>
      <c r="EYN380" s="669"/>
      <c r="EYO380" s="669"/>
      <c r="EYP380" s="669"/>
      <c r="EYQ380" s="669"/>
      <c r="EYR380" s="669"/>
      <c r="EYS380" s="669"/>
      <c r="EYT380" s="669"/>
      <c r="EYU380" s="669"/>
      <c r="EYV380" s="669"/>
      <c r="EYW380" s="669"/>
      <c r="EYX380" s="669"/>
      <c r="EYY380" s="669"/>
      <c r="EYZ380" s="669"/>
      <c r="EZA380" s="669"/>
      <c r="EZB380" s="669"/>
      <c r="EZC380" s="669"/>
      <c r="EZD380" s="669"/>
      <c r="EZE380" s="669"/>
      <c r="EZF380" s="669"/>
      <c r="EZG380" s="669"/>
      <c r="EZH380" s="669"/>
      <c r="EZI380" s="669"/>
      <c r="EZJ380" s="669"/>
      <c r="EZK380" s="669"/>
      <c r="EZL380" s="669"/>
      <c r="EZM380" s="669"/>
      <c r="EZN380" s="669"/>
      <c r="EZO380" s="669"/>
      <c r="EZP380" s="669"/>
      <c r="EZQ380" s="669"/>
      <c r="EZR380" s="669"/>
      <c r="EZS380" s="669"/>
      <c r="EZT380" s="669"/>
      <c r="EZU380" s="669"/>
      <c r="EZV380" s="669"/>
      <c r="EZW380" s="669"/>
      <c r="EZX380" s="669"/>
      <c r="EZY380" s="669"/>
      <c r="EZZ380" s="669"/>
      <c r="FAA380" s="669"/>
      <c r="FAB380" s="669"/>
      <c r="FAC380" s="669"/>
      <c r="FAD380" s="669"/>
      <c r="FAE380" s="669"/>
      <c r="FAF380" s="669"/>
      <c r="FAG380" s="669"/>
      <c r="FAH380" s="669"/>
      <c r="FAI380" s="669"/>
      <c r="FAJ380" s="669"/>
      <c r="FAK380" s="669"/>
      <c r="FAL380" s="669"/>
      <c r="FAM380" s="669"/>
      <c r="FAN380" s="669"/>
      <c r="FAO380" s="669"/>
      <c r="FAP380" s="669"/>
      <c r="FAQ380" s="669"/>
      <c r="FAR380" s="669"/>
      <c r="FAS380" s="669"/>
      <c r="FAT380" s="669"/>
      <c r="FAU380" s="669"/>
      <c r="FAV380" s="669"/>
      <c r="FAW380" s="669"/>
      <c r="FAX380" s="669"/>
      <c r="FAY380" s="669"/>
      <c r="FAZ380" s="669"/>
      <c r="FBA380" s="669"/>
      <c r="FBB380" s="669"/>
      <c r="FBC380" s="669"/>
      <c r="FBD380" s="669"/>
      <c r="FBE380" s="669"/>
      <c r="FBF380" s="669"/>
      <c r="FBG380" s="669"/>
      <c r="FBH380" s="669"/>
      <c r="FBI380" s="669"/>
      <c r="FBJ380" s="669"/>
      <c r="FBK380" s="669"/>
      <c r="FBL380" s="669"/>
      <c r="FBM380" s="669"/>
      <c r="FBN380" s="669"/>
      <c r="FBO380" s="669"/>
      <c r="FBP380" s="669"/>
      <c r="FBQ380" s="669"/>
      <c r="FBR380" s="669"/>
      <c r="FBS380" s="669"/>
      <c r="FBT380" s="669"/>
      <c r="FBU380" s="669"/>
      <c r="FBV380" s="669"/>
      <c r="FBW380" s="669"/>
      <c r="FBX380" s="669"/>
      <c r="FBY380" s="669"/>
      <c r="FBZ380" s="669"/>
      <c r="FCA380" s="669"/>
      <c r="FCB380" s="669"/>
      <c r="FCC380" s="669"/>
      <c r="FCD380" s="669"/>
      <c r="FCE380" s="669"/>
      <c r="FCF380" s="669"/>
      <c r="FCG380" s="669"/>
      <c r="FCH380" s="669"/>
      <c r="FCI380" s="669"/>
      <c r="FCJ380" s="669"/>
      <c r="FCK380" s="669"/>
      <c r="FCL380" s="669"/>
      <c r="FCM380" s="669"/>
      <c r="FCN380" s="669"/>
      <c r="FCO380" s="669"/>
      <c r="FCP380" s="669"/>
      <c r="FCQ380" s="669"/>
      <c r="FCR380" s="669"/>
      <c r="FCS380" s="669"/>
      <c r="FCT380" s="669"/>
      <c r="FCU380" s="669"/>
      <c r="FCV380" s="669"/>
      <c r="FCW380" s="669"/>
      <c r="FCX380" s="669"/>
      <c r="FCY380" s="669"/>
      <c r="FCZ380" s="669"/>
      <c r="FDA380" s="669"/>
      <c r="FDB380" s="669"/>
      <c r="FDC380" s="669"/>
      <c r="FDD380" s="669"/>
      <c r="FDE380" s="669"/>
      <c r="FDF380" s="669"/>
      <c r="FDG380" s="669"/>
      <c r="FDH380" s="669"/>
      <c r="FDI380" s="669"/>
      <c r="FDJ380" s="669"/>
      <c r="FDK380" s="669"/>
      <c r="FDL380" s="669"/>
      <c r="FDM380" s="669"/>
      <c r="FDN380" s="669"/>
      <c r="FDO380" s="669"/>
      <c r="FDP380" s="669"/>
      <c r="FDQ380" s="669"/>
      <c r="FDR380" s="669"/>
      <c r="FDS380" s="669"/>
      <c r="FDT380" s="669"/>
      <c r="FDU380" s="669"/>
      <c r="FDV380" s="669"/>
      <c r="FDW380" s="669"/>
      <c r="FDX380" s="669"/>
      <c r="FDY380" s="669"/>
      <c r="FDZ380" s="669"/>
      <c r="FEA380" s="669"/>
      <c r="FEB380" s="669"/>
      <c r="FEC380" s="669"/>
      <c r="FED380" s="669"/>
      <c r="FEE380" s="669"/>
      <c r="FEF380" s="669"/>
      <c r="FEG380" s="669"/>
      <c r="FEH380" s="669"/>
      <c r="FEI380" s="669"/>
      <c r="FEJ380" s="669"/>
      <c r="FEK380" s="669"/>
      <c r="FEL380" s="669"/>
      <c r="FEM380" s="669"/>
      <c r="FEN380" s="669"/>
      <c r="FEO380" s="669"/>
      <c r="FEP380" s="669"/>
      <c r="FEQ380" s="669"/>
      <c r="FER380" s="669"/>
      <c r="FES380" s="669"/>
      <c r="FET380" s="669"/>
      <c r="FEU380" s="669"/>
      <c r="FEV380" s="669"/>
      <c r="FEW380" s="669"/>
      <c r="FEX380" s="669"/>
      <c r="FEY380" s="669"/>
      <c r="FEZ380" s="669"/>
      <c r="FFA380" s="669"/>
      <c r="FFB380" s="669"/>
      <c r="FFC380" s="669"/>
      <c r="FFD380" s="669"/>
      <c r="FFE380" s="669"/>
      <c r="FFF380" s="669"/>
      <c r="FFG380" s="669"/>
      <c r="FFH380" s="669"/>
      <c r="FFI380" s="669"/>
      <c r="FFJ380" s="669"/>
      <c r="FFK380" s="669"/>
      <c r="FFL380" s="669"/>
      <c r="FFM380" s="669"/>
      <c r="FFN380" s="669"/>
      <c r="FFO380" s="669"/>
      <c r="FFP380" s="669"/>
      <c r="FFQ380" s="669"/>
      <c r="FFR380" s="669"/>
      <c r="FFS380" s="669"/>
      <c r="FFT380" s="669"/>
      <c r="FFU380" s="669"/>
      <c r="FFV380" s="669"/>
      <c r="FFW380" s="669"/>
      <c r="FFX380" s="669"/>
      <c r="FFY380" s="669"/>
      <c r="FFZ380" s="669"/>
      <c r="FGA380" s="669"/>
      <c r="FGB380" s="669"/>
      <c r="FGC380" s="669"/>
      <c r="FGD380" s="669"/>
      <c r="FGE380" s="669"/>
      <c r="FGF380" s="669"/>
      <c r="FGG380" s="669"/>
      <c r="FGH380" s="669"/>
      <c r="FGI380" s="669"/>
      <c r="FGJ380" s="669"/>
      <c r="FGK380" s="669"/>
      <c r="FGL380" s="669"/>
      <c r="FGM380" s="669"/>
      <c r="FGN380" s="669"/>
      <c r="FGO380" s="669"/>
      <c r="FGP380" s="669"/>
      <c r="FGQ380" s="669"/>
      <c r="FGR380" s="669"/>
      <c r="FGS380" s="669"/>
      <c r="FGT380" s="669"/>
      <c r="FGU380" s="669"/>
      <c r="FGV380" s="669"/>
      <c r="FGW380" s="669"/>
      <c r="FGX380" s="669"/>
      <c r="FGY380" s="669"/>
      <c r="FGZ380" s="669"/>
      <c r="FHA380" s="669"/>
      <c r="FHB380" s="669"/>
      <c r="FHC380" s="669"/>
      <c r="FHD380" s="669"/>
      <c r="FHE380" s="669"/>
      <c r="FHF380" s="669"/>
      <c r="FHG380" s="669"/>
      <c r="FHH380" s="669"/>
      <c r="FHI380" s="669"/>
      <c r="FHJ380" s="669"/>
      <c r="FHK380" s="669"/>
      <c r="FHL380" s="669"/>
      <c r="FHM380" s="669"/>
      <c r="FHN380" s="669"/>
      <c r="FHO380" s="669"/>
      <c r="FHP380" s="669"/>
      <c r="FHQ380" s="669"/>
      <c r="FHR380" s="669"/>
      <c r="FHS380" s="669"/>
      <c r="FHT380" s="669"/>
      <c r="FHU380" s="669"/>
      <c r="FHV380" s="669"/>
      <c r="FHW380" s="669"/>
      <c r="FHX380" s="669"/>
      <c r="FHY380" s="669"/>
      <c r="FHZ380" s="669"/>
      <c r="FIA380" s="669"/>
      <c r="FIB380" s="669"/>
      <c r="FIC380" s="669"/>
      <c r="FID380" s="669"/>
      <c r="FIE380" s="669"/>
      <c r="FIF380" s="669"/>
      <c r="FIG380" s="669"/>
      <c r="FIH380" s="669"/>
      <c r="FII380" s="669"/>
      <c r="FIJ380" s="669"/>
      <c r="FIK380" s="669"/>
      <c r="FIL380" s="669"/>
      <c r="FIM380" s="669"/>
      <c r="FIN380" s="669"/>
      <c r="FIO380" s="669"/>
      <c r="FIP380" s="669"/>
      <c r="FIQ380" s="669"/>
      <c r="FIR380" s="669"/>
      <c r="FIS380" s="669"/>
      <c r="FIT380" s="669"/>
      <c r="FIU380" s="669"/>
      <c r="FIV380" s="669"/>
      <c r="FIW380" s="669"/>
      <c r="FIX380" s="669"/>
      <c r="FIY380" s="669"/>
      <c r="FIZ380" s="669"/>
      <c r="FJA380" s="669"/>
      <c r="FJB380" s="669"/>
      <c r="FJC380" s="669"/>
      <c r="FJD380" s="669"/>
      <c r="FJE380" s="669"/>
      <c r="FJF380" s="669"/>
      <c r="FJG380" s="669"/>
      <c r="FJH380" s="669"/>
      <c r="FJI380" s="669"/>
      <c r="FJJ380" s="669"/>
      <c r="FJK380" s="669"/>
      <c r="FJL380" s="669"/>
      <c r="FJM380" s="669"/>
      <c r="FJN380" s="669"/>
      <c r="FJO380" s="669"/>
      <c r="FJP380" s="669"/>
      <c r="FJQ380" s="669"/>
      <c r="FJR380" s="669"/>
      <c r="FJS380" s="669"/>
      <c r="FJT380" s="669"/>
      <c r="FJU380" s="669"/>
      <c r="FJV380" s="669"/>
      <c r="FJW380" s="669"/>
      <c r="FJX380" s="669"/>
      <c r="FJY380" s="669"/>
      <c r="FJZ380" s="669"/>
      <c r="FKA380" s="669"/>
      <c r="FKB380" s="669"/>
      <c r="FKC380" s="669"/>
      <c r="FKD380" s="669"/>
      <c r="FKE380" s="669"/>
      <c r="FKF380" s="669"/>
      <c r="FKG380" s="669"/>
      <c r="FKH380" s="669"/>
      <c r="FKI380" s="669"/>
      <c r="FKJ380" s="669"/>
      <c r="FKK380" s="669"/>
      <c r="FKL380" s="669"/>
      <c r="FKM380" s="669"/>
      <c r="FKN380" s="669"/>
      <c r="FKO380" s="669"/>
      <c r="FKP380" s="669"/>
      <c r="FKQ380" s="669"/>
      <c r="FKR380" s="669"/>
      <c r="FKS380" s="669"/>
      <c r="FKT380" s="669"/>
      <c r="FKU380" s="669"/>
      <c r="FKV380" s="669"/>
      <c r="FKW380" s="669"/>
      <c r="FKX380" s="669"/>
      <c r="FKY380" s="669"/>
      <c r="FKZ380" s="669"/>
      <c r="FLA380" s="669"/>
      <c r="FLB380" s="669"/>
      <c r="FLC380" s="669"/>
      <c r="FLD380" s="669"/>
      <c r="FLE380" s="669"/>
      <c r="FLF380" s="669"/>
      <c r="FLG380" s="669"/>
      <c r="FLH380" s="669"/>
      <c r="FLI380" s="669"/>
      <c r="FLJ380" s="669"/>
      <c r="FLK380" s="669"/>
      <c r="FLL380" s="669"/>
      <c r="FLM380" s="669"/>
      <c r="FLN380" s="669"/>
      <c r="FLO380" s="669"/>
      <c r="FLP380" s="669"/>
      <c r="FLQ380" s="669"/>
      <c r="FLR380" s="669"/>
      <c r="FLS380" s="669"/>
      <c r="FLT380" s="669"/>
      <c r="FLU380" s="669"/>
      <c r="FLV380" s="669"/>
      <c r="FLW380" s="669"/>
      <c r="FLX380" s="669"/>
      <c r="FLY380" s="669"/>
      <c r="FLZ380" s="669"/>
      <c r="FMA380" s="669"/>
      <c r="FMB380" s="669"/>
      <c r="FMC380" s="669"/>
      <c r="FMD380" s="669"/>
      <c r="FME380" s="669"/>
      <c r="FMF380" s="669"/>
      <c r="FMG380" s="669"/>
      <c r="FMH380" s="669"/>
      <c r="FMI380" s="669"/>
      <c r="FMJ380" s="669"/>
      <c r="FMK380" s="669"/>
      <c r="FML380" s="669"/>
      <c r="FMM380" s="669"/>
      <c r="FMN380" s="669"/>
      <c r="FMO380" s="669"/>
      <c r="FMP380" s="669"/>
      <c r="FMQ380" s="669"/>
      <c r="FMR380" s="669"/>
      <c r="FMS380" s="669"/>
      <c r="FMT380" s="669"/>
      <c r="FMU380" s="669"/>
      <c r="FMV380" s="669"/>
      <c r="FMW380" s="669"/>
      <c r="FMX380" s="669"/>
      <c r="FMY380" s="669"/>
      <c r="FMZ380" s="669"/>
      <c r="FNA380" s="669"/>
      <c r="FNB380" s="669"/>
      <c r="FNC380" s="669"/>
      <c r="FND380" s="669"/>
      <c r="FNE380" s="669"/>
      <c r="FNF380" s="669"/>
      <c r="FNG380" s="669"/>
      <c r="FNH380" s="669"/>
      <c r="FNI380" s="669"/>
      <c r="FNJ380" s="669"/>
      <c r="FNK380" s="669"/>
      <c r="FNL380" s="669"/>
      <c r="FNM380" s="669"/>
      <c r="FNN380" s="669"/>
      <c r="FNO380" s="669"/>
      <c r="FNP380" s="669"/>
      <c r="FNQ380" s="669"/>
      <c r="FNR380" s="669"/>
      <c r="FNS380" s="669"/>
      <c r="FNT380" s="669"/>
      <c r="FNU380" s="669"/>
      <c r="FNV380" s="669"/>
      <c r="FNW380" s="669"/>
      <c r="FNX380" s="669"/>
      <c r="FNY380" s="669"/>
      <c r="FNZ380" s="669"/>
      <c r="FOA380" s="669"/>
      <c r="FOB380" s="669"/>
      <c r="FOC380" s="669"/>
      <c r="FOD380" s="669"/>
      <c r="FOE380" s="669"/>
      <c r="FOF380" s="669"/>
      <c r="FOG380" s="669"/>
      <c r="FOH380" s="669"/>
      <c r="FOI380" s="669"/>
      <c r="FOJ380" s="669"/>
      <c r="FOK380" s="669"/>
      <c r="FOL380" s="669"/>
      <c r="FOM380" s="669"/>
      <c r="FON380" s="669"/>
      <c r="FOO380" s="669"/>
      <c r="FOP380" s="669"/>
      <c r="FOQ380" s="669"/>
      <c r="FOR380" s="669"/>
      <c r="FOS380" s="669"/>
      <c r="FOT380" s="669"/>
      <c r="FOU380" s="669"/>
      <c r="FOV380" s="669"/>
      <c r="FOW380" s="669"/>
      <c r="FOX380" s="669"/>
      <c r="FOY380" s="669"/>
      <c r="FOZ380" s="669"/>
      <c r="FPA380" s="669"/>
      <c r="FPB380" s="669"/>
      <c r="FPC380" s="669"/>
      <c r="FPD380" s="669"/>
      <c r="FPE380" s="669"/>
      <c r="FPF380" s="669"/>
      <c r="FPG380" s="669"/>
      <c r="FPH380" s="669"/>
      <c r="FPI380" s="669"/>
      <c r="FPJ380" s="669"/>
      <c r="FPK380" s="669"/>
      <c r="FPL380" s="669"/>
      <c r="FPM380" s="669"/>
      <c r="FPN380" s="669"/>
      <c r="FPO380" s="669"/>
      <c r="FPP380" s="669"/>
      <c r="FPQ380" s="669"/>
      <c r="FPR380" s="669"/>
      <c r="FPS380" s="669"/>
      <c r="FPT380" s="669"/>
      <c r="FPU380" s="669"/>
      <c r="FPV380" s="669"/>
      <c r="FPW380" s="669"/>
      <c r="FPX380" s="669"/>
      <c r="FPY380" s="669"/>
      <c r="FPZ380" s="669"/>
      <c r="FQA380" s="669"/>
      <c r="FQB380" s="669"/>
      <c r="FQC380" s="669"/>
      <c r="FQD380" s="669"/>
      <c r="FQE380" s="669"/>
      <c r="FQF380" s="669"/>
      <c r="FQG380" s="669"/>
      <c r="FQH380" s="669"/>
      <c r="FQI380" s="669"/>
      <c r="FQJ380" s="669"/>
      <c r="FQK380" s="669"/>
      <c r="FQL380" s="669"/>
      <c r="FQM380" s="669"/>
      <c r="FQN380" s="669"/>
      <c r="FQO380" s="669"/>
      <c r="FQP380" s="669"/>
      <c r="FQQ380" s="669"/>
      <c r="FQR380" s="669"/>
      <c r="FQS380" s="669"/>
      <c r="FQT380" s="669"/>
      <c r="FQU380" s="669"/>
      <c r="FQV380" s="669"/>
      <c r="FQW380" s="669"/>
      <c r="FQX380" s="669"/>
      <c r="FQY380" s="669"/>
      <c r="FQZ380" s="669"/>
      <c r="FRA380" s="669"/>
      <c r="FRB380" s="669"/>
      <c r="FRC380" s="669"/>
      <c r="FRD380" s="669"/>
      <c r="FRE380" s="669"/>
      <c r="FRF380" s="669"/>
      <c r="FRG380" s="669"/>
      <c r="FRH380" s="669"/>
      <c r="FRI380" s="669"/>
      <c r="FRJ380" s="669"/>
      <c r="FRK380" s="669"/>
      <c r="FRL380" s="669"/>
      <c r="FRM380" s="669"/>
      <c r="FRN380" s="669"/>
      <c r="FRO380" s="669"/>
      <c r="FRP380" s="669"/>
      <c r="FRQ380" s="669"/>
      <c r="FRR380" s="669"/>
      <c r="FRS380" s="669"/>
      <c r="FRT380" s="669"/>
      <c r="FRU380" s="669"/>
      <c r="FRV380" s="669"/>
      <c r="FRW380" s="669"/>
      <c r="FRX380" s="669"/>
      <c r="FRY380" s="669"/>
      <c r="FRZ380" s="669"/>
      <c r="FSA380" s="669"/>
      <c r="FSB380" s="669"/>
      <c r="FSC380" s="669"/>
      <c r="FSD380" s="669"/>
      <c r="FSE380" s="669"/>
      <c r="FSF380" s="669"/>
      <c r="FSG380" s="669"/>
      <c r="FSH380" s="669"/>
      <c r="FSI380" s="669"/>
      <c r="FSJ380" s="669"/>
      <c r="FSK380" s="669"/>
      <c r="FSL380" s="669"/>
      <c r="FSM380" s="669"/>
      <c r="FSN380" s="669"/>
      <c r="FSO380" s="669"/>
      <c r="FSP380" s="669"/>
      <c r="FSQ380" s="669"/>
      <c r="FSR380" s="669"/>
      <c r="FSS380" s="669"/>
      <c r="FST380" s="669"/>
      <c r="FSU380" s="669"/>
      <c r="FSV380" s="669"/>
      <c r="FSW380" s="669"/>
      <c r="FSX380" s="669"/>
      <c r="FSY380" s="669"/>
      <c r="FSZ380" s="669"/>
      <c r="FTA380" s="669"/>
      <c r="FTB380" s="669"/>
      <c r="FTC380" s="669"/>
      <c r="FTD380" s="669"/>
      <c r="FTE380" s="669"/>
      <c r="FTF380" s="669"/>
      <c r="FTG380" s="669"/>
      <c r="FTH380" s="669"/>
      <c r="FTI380" s="669"/>
      <c r="FTJ380" s="669"/>
      <c r="FTK380" s="669"/>
      <c r="FTL380" s="669"/>
      <c r="FTM380" s="669"/>
      <c r="FTN380" s="669"/>
      <c r="FTO380" s="669"/>
      <c r="FTP380" s="669"/>
      <c r="FTQ380" s="669"/>
      <c r="FTR380" s="669"/>
      <c r="FTS380" s="669"/>
      <c r="FTT380" s="669"/>
      <c r="FTU380" s="669"/>
      <c r="FTV380" s="669"/>
      <c r="FTW380" s="669"/>
      <c r="FTX380" s="669"/>
      <c r="FTY380" s="669"/>
      <c r="FTZ380" s="669"/>
      <c r="FUA380" s="669"/>
      <c r="FUB380" s="669"/>
      <c r="FUC380" s="669"/>
      <c r="FUD380" s="669"/>
      <c r="FUE380" s="669"/>
      <c r="FUF380" s="669"/>
      <c r="FUG380" s="669"/>
      <c r="FUH380" s="669"/>
      <c r="FUI380" s="669"/>
      <c r="FUJ380" s="669"/>
      <c r="FUK380" s="669"/>
      <c r="FUL380" s="669"/>
      <c r="FUM380" s="669"/>
      <c r="FUN380" s="669"/>
      <c r="FUO380" s="669"/>
      <c r="FUP380" s="669"/>
      <c r="FUQ380" s="669"/>
      <c r="FUR380" s="669"/>
      <c r="FUS380" s="669"/>
      <c r="FUT380" s="669"/>
      <c r="FUU380" s="669"/>
      <c r="FUV380" s="669"/>
      <c r="FUW380" s="669"/>
      <c r="FUX380" s="669"/>
      <c r="FUY380" s="669"/>
      <c r="FUZ380" s="669"/>
      <c r="FVA380" s="669"/>
      <c r="FVB380" s="669"/>
      <c r="FVC380" s="669"/>
      <c r="FVD380" s="669"/>
      <c r="FVE380" s="669"/>
      <c r="FVF380" s="669"/>
      <c r="FVG380" s="669"/>
      <c r="FVH380" s="669"/>
      <c r="FVI380" s="669"/>
      <c r="FVJ380" s="669"/>
      <c r="FVK380" s="669"/>
      <c r="FVL380" s="669"/>
      <c r="FVM380" s="669"/>
      <c r="FVN380" s="669"/>
      <c r="FVO380" s="669"/>
      <c r="FVP380" s="669"/>
      <c r="FVQ380" s="669"/>
      <c r="FVR380" s="669"/>
      <c r="FVS380" s="669"/>
      <c r="FVT380" s="669"/>
      <c r="FVU380" s="669"/>
      <c r="FVV380" s="669"/>
      <c r="FVW380" s="669"/>
      <c r="FVX380" s="669"/>
      <c r="FVY380" s="669"/>
      <c r="FVZ380" s="669"/>
      <c r="FWA380" s="669"/>
      <c r="FWB380" s="669"/>
      <c r="FWC380" s="669"/>
      <c r="FWD380" s="669"/>
      <c r="FWE380" s="669"/>
      <c r="FWF380" s="669"/>
      <c r="FWG380" s="669"/>
      <c r="FWH380" s="669"/>
      <c r="FWI380" s="669"/>
      <c r="FWJ380" s="669"/>
      <c r="FWK380" s="669"/>
      <c r="FWL380" s="669"/>
      <c r="FWM380" s="669"/>
      <c r="FWN380" s="669"/>
      <c r="FWO380" s="669"/>
      <c r="FWP380" s="669"/>
      <c r="FWQ380" s="669"/>
      <c r="FWR380" s="669"/>
      <c r="FWS380" s="669"/>
      <c r="FWT380" s="669"/>
      <c r="FWU380" s="669"/>
      <c r="FWV380" s="669"/>
      <c r="FWW380" s="669"/>
      <c r="FWX380" s="669"/>
      <c r="FWY380" s="669"/>
      <c r="FWZ380" s="669"/>
      <c r="FXA380" s="669"/>
      <c r="FXB380" s="669"/>
      <c r="FXC380" s="669"/>
      <c r="FXD380" s="669"/>
      <c r="FXE380" s="669"/>
      <c r="FXF380" s="669"/>
      <c r="FXG380" s="669"/>
      <c r="FXH380" s="669"/>
      <c r="FXI380" s="669"/>
      <c r="FXJ380" s="669"/>
      <c r="FXK380" s="669"/>
      <c r="FXL380" s="669"/>
      <c r="FXM380" s="669"/>
      <c r="FXN380" s="669"/>
      <c r="FXO380" s="669"/>
      <c r="FXP380" s="669"/>
      <c r="FXQ380" s="669"/>
      <c r="FXR380" s="669"/>
      <c r="FXS380" s="669"/>
      <c r="FXT380" s="669"/>
      <c r="FXU380" s="669"/>
      <c r="FXV380" s="669"/>
      <c r="FXW380" s="669"/>
      <c r="FXX380" s="669"/>
      <c r="FXY380" s="669"/>
      <c r="FXZ380" s="669"/>
      <c r="FYA380" s="669"/>
      <c r="FYB380" s="669"/>
      <c r="FYC380" s="669"/>
      <c r="FYD380" s="669"/>
      <c r="FYE380" s="669"/>
      <c r="FYF380" s="669"/>
      <c r="FYG380" s="669"/>
      <c r="FYH380" s="669"/>
      <c r="FYI380" s="669"/>
      <c r="FYJ380" s="669"/>
      <c r="FYK380" s="669"/>
      <c r="FYL380" s="669"/>
      <c r="FYM380" s="669"/>
      <c r="FYN380" s="669"/>
      <c r="FYO380" s="669"/>
      <c r="FYP380" s="669"/>
      <c r="FYQ380" s="669"/>
      <c r="FYR380" s="669"/>
      <c r="FYS380" s="669"/>
      <c r="FYT380" s="669"/>
      <c r="FYU380" s="669"/>
      <c r="FYV380" s="669"/>
      <c r="FYW380" s="669"/>
      <c r="FYX380" s="669"/>
      <c r="FYY380" s="669"/>
      <c r="FYZ380" s="669"/>
      <c r="FZA380" s="669"/>
      <c r="FZB380" s="669"/>
      <c r="FZC380" s="669"/>
      <c r="FZD380" s="669"/>
      <c r="FZE380" s="669"/>
      <c r="FZF380" s="669"/>
      <c r="FZG380" s="669"/>
      <c r="FZH380" s="669"/>
      <c r="FZI380" s="669"/>
      <c r="FZJ380" s="669"/>
      <c r="FZK380" s="669"/>
      <c r="FZL380" s="669"/>
      <c r="FZM380" s="669"/>
      <c r="FZN380" s="669"/>
      <c r="FZO380" s="669"/>
      <c r="FZP380" s="669"/>
      <c r="FZQ380" s="669"/>
      <c r="FZR380" s="669"/>
      <c r="FZS380" s="669"/>
      <c r="FZT380" s="669"/>
      <c r="FZU380" s="669"/>
      <c r="FZV380" s="669"/>
      <c r="FZW380" s="669"/>
      <c r="FZX380" s="669"/>
      <c r="FZY380" s="669"/>
      <c r="FZZ380" s="669"/>
      <c r="GAA380" s="669"/>
      <c r="GAB380" s="669"/>
      <c r="GAC380" s="669"/>
      <c r="GAD380" s="669"/>
      <c r="GAE380" s="669"/>
      <c r="GAF380" s="669"/>
      <c r="GAG380" s="669"/>
      <c r="GAH380" s="669"/>
      <c r="GAI380" s="669"/>
      <c r="GAJ380" s="669"/>
      <c r="GAK380" s="669"/>
      <c r="GAL380" s="669"/>
      <c r="GAM380" s="669"/>
      <c r="GAN380" s="669"/>
      <c r="GAO380" s="669"/>
      <c r="GAP380" s="669"/>
      <c r="GAQ380" s="669"/>
      <c r="GAR380" s="669"/>
      <c r="GAS380" s="669"/>
      <c r="GAT380" s="669"/>
      <c r="GAU380" s="669"/>
      <c r="GAV380" s="669"/>
      <c r="GAW380" s="669"/>
      <c r="GAX380" s="669"/>
      <c r="GAY380" s="669"/>
      <c r="GAZ380" s="669"/>
      <c r="GBA380" s="669"/>
      <c r="GBB380" s="669"/>
      <c r="GBC380" s="669"/>
      <c r="GBD380" s="669"/>
      <c r="GBE380" s="669"/>
      <c r="GBF380" s="669"/>
      <c r="GBG380" s="669"/>
      <c r="GBH380" s="669"/>
      <c r="GBI380" s="669"/>
      <c r="GBJ380" s="669"/>
      <c r="GBK380" s="669"/>
      <c r="GBL380" s="669"/>
      <c r="GBM380" s="669"/>
      <c r="GBN380" s="669"/>
      <c r="GBO380" s="669"/>
      <c r="GBP380" s="669"/>
      <c r="GBQ380" s="669"/>
      <c r="GBR380" s="669"/>
      <c r="GBS380" s="669"/>
      <c r="GBT380" s="669"/>
      <c r="GBU380" s="669"/>
      <c r="GBV380" s="669"/>
      <c r="GBW380" s="669"/>
      <c r="GBX380" s="669"/>
      <c r="GBY380" s="669"/>
      <c r="GBZ380" s="669"/>
      <c r="GCA380" s="669"/>
      <c r="GCB380" s="669"/>
      <c r="GCC380" s="669"/>
      <c r="GCD380" s="669"/>
      <c r="GCE380" s="669"/>
      <c r="GCF380" s="669"/>
      <c r="GCG380" s="669"/>
      <c r="GCH380" s="669"/>
      <c r="GCI380" s="669"/>
      <c r="GCJ380" s="669"/>
      <c r="GCK380" s="669"/>
      <c r="GCL380" s="669"/>
      <c r="GCM380" s="669"/>
      <c r="GCN380" s="669"/>
      <c r="GCO380" s="669"/>
      <c r="GCP380" s="669"/>
      <c r="GCQ380" s="669"/>
      <c r="GCR380" s="669"/>
      <c r="GCS380" s="669"/>
      <c r="GCT380" s="669"/>
      <c r="GCU380" s="669"/>
      <c r="GCV380" s="669"/>
      <c r="GCW380" s="669"/>
      <c r="GCX380" s="669"/>
      <c r="GCY380" s="669"/>
      <c r="GCZ380" s="669"/>
      <c r="GDA380" s="669"/>
      <c r="GDB380" s="669"/>
      <c r="GDC380" s="669"/>
      <c r="GDD380" s="669"/>
      <c r="GDE380" s="669"/>
      <c r="GDF380" s="669"/>
      <c r="GDG380" s="669"/>
      <c r="GDH380" s="669"/>
      <c r="GDI380" s="669"/>
      <c r="GDJ380" s="669"/>
      <c r="GDK380" s="669"/>
      <c r="GDL380" s="669"/>
      <c r="GDM380" s="669"/>
      <c r="GDN380" s="669"/>
      <c r="GDO380" s="669"/>
      <c r="GDP380" s="669"/>
      <c r="GDQ380" s="669"/>
      <c r="GDR380" s="669"/>
      <c r="GDS380" s="669"/>
      <c r="GDT380" s="669"/>
      <c r="GDU380" s="669"/>
      <c r="GDV380" s="669"/>
      <c r="GDW380" s="669"/>
      <c r="GDX380" s="669"/>
      <c r="GDY380" s="669"/>
      <c r="GDZ380" s="669"/>
      <c r="GEA380" s="669"/>
      <c r="GEB380" s="669"/>
      <c r="GEC380" s="669"/>
      <c r="GED380" s="669"/>
      <c r="GEE380" s="669"/>
      <c r="GEF380" s="669"/>
      <c r="GEG380" s="669"/>
      <c r="GEH380" s="669"/>
      <c r="GEI380" s="669"/>
      <c r="GEJ380" s="669"/>
      <c r="GEK380" s="669"/>
      <c r="GEL380" s="669"/>
      <c r="GEM380" s="669"/>
      <c r="GEN380" s="669"/>
      <c r="GEO380" s="669"/>
      <c r="GEP380" s="669"/>
      <c r="GEQ380" s="669"/>
      <c r="GER380" s="669"/>
      <c r="GES380" s="669"/>
      <c r="GET380" s="669"/>
      <c r="GEU380" s="669"/>
      <c r="GEV380" s="669"/>
      <c r="GEW380" s="669"/>
      <c r="GEX380" s="669"/>
      <c r="GEY380" s="669"/>
      <c r="GEZ380" s="669"/>
      <c r="GFA380" s="669"/>
      <c r="GFB380" s="669"/>
      <c r="GFC380" s="669"/>
      <c r="GFD380" s="669"/>
      <c r="GFE380" s="669"/>
      <c r="GFF380" s="669"/>
      <c r="GFG380" s="669"/>
      <c r="GFH380" s="669"/>
      <c r="GFI380" s="669"/>
      <c r="GFJ380" s="669"/>
      <c r="GFK380" s="669"/>
      <c r="GFL380" s="669"/>
      <c r="GFM380" s="669"/>
      <c r="GFN380" s="669"/>
      <c r="GFO380" s="669"/>
      <c r="GFP380" s="669"/>
      <c r="GFQ380" s="669"/>
      <c r="GFR380" s="669"/>
      <c r="GFS380" s="669"/>
      <c r="GFT380" s="669"/>
      <c r="GFU380" s="669"/>
      <c r="GFV380" s="669"/>
      <c r="GFW380" s="669"/>
      <c r="GFX380" s="669"/>
      <c r="GFY380" s="669"/>
      <c r="GFZ380" s="669"/>
      <c r="GGA380" s="669"/>
      <c r="GGB380" s="669"/>
      <c r="GGC380" s="669"/>
      <c r="GGD380" s="669"/>
      <c r="GGE380" s="669"/>
      <c r="GGF380" s="669"/>
      <c r="GGG380" s="669"/>
      <c r="GGH380" s="669"/>
      <c r="GGI380" s="669"/>
      <c r="GGJ380" s="669"/>
      <c r="GGK380" s="669"/>
      <c r="GGL380" s="669"/>
      <c r="GGM380" s="669"/>
      <c r="GGN380" s="669"/>
      <c r="GGO380" s="669"/>
      <c r="GGP380" s="669"/>
      <c r="GGQ380" s="669"/>
      <c r="GGR380" s="669"/>
      <c r="GGS380" s="669"/>
      <c r="GGT380" s="669"/>
      <c r="GGU380" s="669"/>
      <c r="GGV380" s="669"/>
      <c r="GGW380" s="669"/>
      <c r="GGX380" s="669"/>
      <c r="GGY380" s="669"/>
      <c r="GGZ380" s="669"/>
      <c r="GHA380" s="669"/>
      <c r="GHB380" s="669"/>
      <c r="GHC380" s="669"/>
      <c r="GHD380" s="669"/>
      <c r="GHE380" s="669"/>
      <c r="GHF380" s="669"/>
      <c r="GHG380" s="669"/>
      <c r="GHH380" s="669"/>
      <c r="GHI380" s="669"/>
      <c r="GHJ380" s="669"/>
      <c r="GHK380" s="669"/>
      <c r="GHL380" s="669"/>
      <c r="GHM380" s="669"/>
      <c r="GHN380" s="669"/>
      <c r="GHO380" s="669"/>
      <c r="GHP380" s="669"/>
      <c r="GHQ380" s="669"/>
      <c r="GHR380" s="669"/>
      <c r="GHS380" s="669"/>
      <c r="GHT380" s="669"/>
      <c r="GHU380" s="669"/>
      <c r="GHV380" s="669"/>
      <c r="GHW380" s="669"/>
      <c r="GHX380" s="669"/>
      <c r="GHY380" s="669"/>
      <c r="GHZ380" s="669"/>
      <c r="GIA380" s="669"/>
      <c r="GIB380" s="669"/>
      <c r="GIC380" s="669"/>
      <c r="GID380" s="669"/>
      <c r="GIE380" s="669"/>
      <c r="GIF380" s="669"/>
      <c r="GIG380" s="669"/>
      <c r="GIH380" s="669"/>
      <c r="GII380" s="669"/>
      <c r="GIJ380" s="669"/>
      <c r="GIK380" s="669"/>
      <c r="GIL380" s="669"/>
      <c r="GIM380" s="669"/>
      <c r="GIN380" s="669"/>
      <c r="GIO380" s="669"/>
      <c r="GIP380" s="669"/>
      <c r="GIQ380" s="669"/>
      <c r="GIR380" s="669"/>
      <c r="GIS380" s="669"/>
      <c r="GIT380" s="669"/>
      <c r="GIU380" s="669"/>
      <c r="GIV380" s="669"/>
      <c r="GIW380" s="669"/>
      <c r="GIX380" s="669"/>
      <c r="GIY380" s="669"/>
      <c r="GIZ380" s="669"/>
      <c r="GJA380" s="669"/>
      <c r="GJB380" s="669"/>
      <c r="GJC380" s="669"/>
      <c r="GJD380" s="669"/>
      <c r="GJE380" s="669"/>
      <c r="GJF380" s="669"/>
      <c r="GJG380" s="669"/>
      <c r="GJH380" s="669"/>
      <c r="GJI380" s="669"/>
      <c r="GJJ380" s="669"/>
      <c r="GJK380" s="669"/>
      <c r="GJL380" s="669"/>
      <c r="GJM380" s="669"/>
      <c r="GJN380" s="669"/>
      <c r="GJO380" s="669"/>
      <c r="GJP380" s="669"/>
      <c r="GJQ380" s="669"/>
      <c r="GJR380" s="669"/>
      <c r="GJS380" s="669"/>
      <c r="GJT380" s="669"/>
      <c r="GJU380" s="669"/>
      <c r="GJV380" s="669"/>
      <c r="GJW380" s="669"/>
      <c r="GJX380" s="669"/>
      <c r="GJY380" s="669"/>
      <c r="GJZ380" s="669"/>
      <c r="GKA380" s="669"/>
      <c r="GKB380" s="669"/>
      <c r="GKC380" s="669"/>
      <c r="GKD380" s="669"/>
      <c r="GKE380" s="669"/>
      <c r="GKF380" s="669"/>
      <c r="GKG380" s="669"/>
      <c r="GKH380" s="669"/>
      <c r="GKI380" s="669"/>
      <c r="GKJ380" s="669"/>
      <c r="GKK380" s="669"/>
      <c r="GKL380" s="669"/>
      <c r="GKM380" s="669"/>
      <c r="GKN380" s="669"/>
      <c r="GKO380" s="669"/>
      <c r="GKP380" s="669"/>
      <c r="GKQ380" s="669"/>
      <c r="GKR380" s="669"/>
      <c r="GKS380" s="669"/>
      <c r="GKT380" s="669"/>
      <c r="GKU380" s="669"/>
      <c r="GKV380" s="669"/>
      <c r="GKW380" s="669"/>
      <c r="GKX380" s="669"/>
      <c r="GKY380" s="669"/>
      <c r="GKZ380" s="669"/>
      <c r="GLA380" s="669"/>
      <c r="GLB380" s="669"/>
      <c r="GLC380" s="669"/>
      <c r="GLD380" s="669"/>
      <c r="GLE380" s="669"/>
      <c r="GLF380" s="669"/>
      <c r="GLG380" s="669"/>
      <c r="GLH380" s="669"/>
      <c r="GLI380" s="669"/>
      <c r="GLJ380" s="669"/>
      <c r="GLK380" s="669"/>
      <c r="GLL380" s="669"/>
      <c r="GLM380" s="669"/>
      <c r="GLN380" s="669"/>
      <c r="GLO380" s="669"/>
      <c r="GLP380" s="669"/>
      <c r="GLQ380" s="669"/>
      <c r="GLR380" s="669"/>
      <c r="GLS380" s="669"/>
      <c r="GLT380" s="669"/>
      <c r="GLU380" s="669"/>
      <c r="GLV380" s="669"/>
      <c r="GLW380" s="669"/>
      <c r="GLX380" s="669"/>
      <c r="GLY380" s="669"/>
      <c r="GLZ380" s="669"/>
      <c r="GMA380" s="669"/>
      <c r="GMB380" s="669"/>
      <c r="GMC380" s="669"/>
      <c r="GMD380" s="669"/>
      <c r="GME380" s="669"/>
      <c r="GMF380" s="669"/>
      <c r="GMG380" s="669"/>
      <c r="GMH380" s="669"/>
      <c r="GMI380" s="669"/>
      <c r="GMJ380" s="669"/>
      <c r="GMK380" s="669"/>
      <c r="GML380" s="669"/>
      <c r="GMM380" s="669"/>
      <c r="GMN380" s="669"/>
      <c r="GMO380" s="669"/>
      <c r="GMP380" s="669"/>
      <c r="GMQ380" s="669"/>
      <c r="GMR380" s="669"/>
      <c r="GMS380" s="669"/>
      <c r="GMT380" s="669"/>
      <c r="GMU380" s="669"/>
      <c r="GMV380" s="669"/>
      <c r="GMW380" s="669"/>
      <c r="GMX380" s="669"/>
      <c r="GMY380" s="669"/>
      <c r="GMZ380" s="669"/>
      <c r="GNA380" s="669"/>
      <c r="GNB380" s="669"/>
      <c r="GNC380" s="669"/>
      <c r="GND380" s="669"/>
      <c r="GNE380" s="669"/>
      <c r="GNF380" s="669"/>
      <c r="GNG380" s="669"/>
      <c r="GNH380" s="669"/>
      <c r="GNI380" s="669"/>
      <c r="GNJ380" s="669"/>
      <c r="GNK380" s="669"/>
      <c r="GNL380" s="669"/>
      <c r="GNM380" s="669"/>
      <c r="GNN380" s="669"/>
      <c r="GNO380" s="669"/>
      <c r="GNP380" s="669"/>
      <c r="GNQ380" s="669"/>
      <c r="GNR380" s="669"/>
      <c r="GNS380" s="669"/>
      <c r="GNT380" s="669"/>
      <c r="GNU380" s="669"/>
      <c r="GNV380" s="669"/>
      <c r="GNW380" s="669"/>
      <c r="GNX380" s="669"/>
      <c r="GNY380" s="669"/>
      <c r="GNZ380" s="669"/>
      <c r="GOA380" s="669"/>
      <c r="GOB380" s="669"/>
      <c r="GOC380" s="669"/>
      <c r="GOD380" s="669"/>
      <c r="GOE380" s="669"/>
      <c r="GOF380" s="669"/>
      <c r="GOG380" s="669"/>
      <c r="GOH380" s="669"/>
      <c r="GOI380" s="669"/>
      <c r="GOJ380" s="669"/>
      <c r="GOK380" s="669"/>
      <c r="GOL380" s="669"/>
      <c r="GOM380" s="669"/>
      <c r="GON380" s="669"/>
      <c r="GOO380" s="669"/>
      <c r="GOP380" s="669"/>
      <c r="GOQ380" s="669"/>
      <c r="GOR380" s="669"/>
      <c r="GOS380" s="669"/>
      <c r="GOT380" s="669"/>
      <c r="GOU380" s="669"/>
      <c r="GOV380" s="669"/>
      <c r="GOW380" s="669"/>
      <c r="GOX380" s="669"/>
      <c r="GOY380" s="669"/>
      <c r="GOZ380" s="669"/>
      <c r="GPA380" s="669"/>
      <c r="GPB380" s="669"/>
      <c r="GPC380" s="669"/>
      <c r="GPD380" s="669"/>
      <c r="GPE380" s="669"/>
      <c r="GPF380" s="669"/>
      <c r="GPG380" s="669"/>
      <c r="GPH380" s="669"/>
      <c r="GPI380" s="669"/>
      <c r="GPJ380" s="669"/>
      <c r="GPK380" s="669"/>
      <c r="GPL380" s="669"/>
      <c r="GPM380" s="669"/>
      <c r="GPN380" s="669"/>
      <c r="GPO380" s="669"/>
      <c r="GPP380" s="669"/>
      <c r="GPQ380" s="669"/>
      <c r="GPR380" s="669"/>
      <c r="GPS380" s="669"/>
      <c r="GPT380" s="669"/>
      <c r="GPU380" s="669"/>
      <c r="GPV380" s="669"/>
      <c r="GPW380" s="669"/>
      <c r="GPX380" s="669"/>
      <c r="GPY380" s="669"/>
      <c r="GPZ380" s="669"/>
      <c r="GQA380" s="669"/>
      <c r="GQB380" s="669"/>
      <c r="GQC380" s="669"/>
      <c r="GQD380" s="669"/>
      <c r="GQE380" s="669"/>
      <c r="GQF380" s="669"/>
      <c r="GQG380" s="669"/>
      <c r="GQH380" s="669"/>
      <c r="GQI380" s="669"/>
      <c r="GQJ380" s="669"/>
      <c r="GQK380" s="669"/>
      <c r="GQL380" s="669"/>
      <c r="GQM380" s="669"/>
      <c r="GQN380" s="669"/>
      <c r="GQO380" s="669"/>
      <c r="GQP380" s="669"/>
      <c r="GQQ380" s="669"/>
      <c r="GQR380" s="669"/>
      <c r="GQS380" s="669"/>
      <c r="GQT380" s="669"/>
      <c r="GQU380" s="669"/>
      <c r="GQV380" s="669"/>
      <c r="GQW380" s="669"/>
      <c r="GQX380" s="669"/>
      <c r="GQY380" s="669"/>
      <c r="GQZ380" s="669"/>
      <c r="GRA380" s="669"/>
      <c r="GRB380" s="669"/>
      <c r="GRC380" s="669"/>
      <c r="GRD380" s="669"/>
      <c r="GRE380" s="669"/>
      <c r="GRF380" s="669"/>
      <c r="GRG380" s="669"/>
      <c r="GRH380" s="669"/>
      <c r="GRI380" s="669"/>
      <c r="GRJ380" s="669"/>
      <c r="GRK380" s="669"/>
      <c r="GRL380" s="669"/>
      <c r="GRM380" s="669"/>
      <c r="GRN380" s="669"/>
      <c r="GRO380" s="669"/>
      <c r="GRP380" s="669"/>
      <c r="GRQ380" s="669"/>
      <c r="GRR380" s="669"/>
      <c r="GRS380" s="669"/>
      <c r="GRT380" s="669"/>
      <c r="GRU380" s="669"/>
      <c r="GRV380" s="669"/>
      <c r="GRW380" s="669"/>
      <c r="GRX380" s="669"/>
      <c r="GRY380" s="669"/>
      <c r="GRZ380" s="669"/>
      <c r="GSA380" s="669"/>
      <c r="GSB380" s="669"/>
      <c r="GSC380" s="669"/>
      <c r="GSD380" s="669"/>
      <c r="GSE380" s="669"/>
      <c r="GSF380" s="669"/>
      <c r="GSG380" s="669"/>
      <c r="GSH380" s="669"/>
      <c r="GSI380" s="669"/>
      <c r="GSJ380" s="669"/>
      <c r="GSK380" s="669"/>
      <c r="GSL380" s="669"/>
      <c r="GSM380" s="669"/>
      <c r="GSN380" s="669"/>
      <c r="GSO380" s="669"/>
      <c r="GSP380" s="669"/>
      <c r="GSQ380" s="669"/>
      <c r="GSR380" s="669"/>
      <c r="GSS380" s="669"/>
      <c r="GST380" s="669"/>
      <c r="GSU380" s="669"/>
      <c r="GSV380" s="669"/>
      <c r="GSW380" s="669"/>
      <c r="GSX380" s="669"/>
      <c r="GSY380" s="669"/>
      <c r="GSZ380" s="669"/>
      <c r="GTA380" s="669"/>
      <c r="GTB380" s="669"/>
      <c r="GTC380" s="669"/>
      <c r="GTD380" s="669"/>
      <c r="GTE380" s="669"/>
      <c r="GTF380" s="669"/>
      <c r="GTG380" s="669"/>
      <c r="GTH380" s="669"/>
      <c r="GTI380" s="669"/>
      <c r="GTJ380" s="669"/>
      <c r="GTK380" s="669"/>
      <c r="GTL380" s="669"/>
      <c r="GTM380" s="669"/>
      <c r="GTN380" s="669"/>
      <c r="GTO380" s="669"/>
      <c r="GTP380" s="669"/>
      <c r="GTQ380" s="669"/>
      <c r="GTR380" s="669"/>
      <c r="GTS380" s="669"/>
      <c r="GTT380" s="669"/>
      <c r="GTU380" s="669"/>
      <c r="GTV380" s="669"/>
      <c r="GTW380" s="669"/>
      <c r="GTX380" s="669"/>
      <c r="GTY380" s="669"/>
      <c r="GTZ380" s="669"/>
      <c r="GUA380" s="669"/>
      <c r="GUB380" s="669"/>
      <c r="GUC380" s="669"/>
      <c r="GUD380" s="669"/>
      <c r="GUE380" s="669"/>
      <c r="GUF380" s="669"/>
      <c r="GUG380" s="669"/>
      <c r="GUH380" s="669"/>
      <c r="GUI380" s="669"/>
      <c r="GUJ380" s="669"/>
      <c r="GUK380" s="669"/>
      <c r="GUL380" s="669"/>
      <c r="GUM380" s="669"/>
      <c r="GUN380" s="669"/>
      <c r="GUO380" s="669"/>
      <c r="GUP380" s="669"/>
      <c r="GUQ380" s="669"/>
      <c r="GUR380" s="669"/>
      <c r="GUS380" s="669"/>
      <c r="GUT380" s="669"/>
      <c r="GUU380" s="669"/>
      <c r="GUV380" s="669"/>
      <c r="GUW380" s="669"/>
      <c r="GUX380" s="669"/>
      <c r="GUY380" s="669"/>
      <c r="GUZ380" s="669"/>
      <c r="GVA380" s="669"/>
      <c r="GVB380" s="669"/>
      <c r="GVC380" s="669"/>
      <c r="GVD380" s="669"/>
      <c r="GVE380" s="669"/>
      <c r="GVF380" s="669"/>
      <c r="GVG380" s="669"/>
      <c r="GVH380" s="669"/>
      <c r="GVI380" s="669"/>
      <c r="GVJ380" s="669"/>
      <c r="GVK380" s="669"/>
      <c r="GVL380" s="669"/>
      <c r="GVM380" s="669"/>
      <c r="GVN380" s="669"/>
      <c r="GVO380" s="669"/>
      <c r="GVP380" s="669"/>
      <c r="GVQ380" s="669"/>
      <c r="GVR380" s="669"/>
      <c r="GVS380" s="669"/>
      <c r="GVT380" s="669"/>
      <c r="GVU380" s="669"/>
      <c r="GVV380" s="669"/>
      <c r="GVW380" s="669"/>
      <c r="GVX380" s="669"/>
      <c r="GVY380" s="669"/>
      <c r="GVZ380" s="669"/>
      <c r="GWA380" s="669"/>
      <c r="GWB380" s="669"/>
      <c r="GWC380" s="669"/>
      <c r="GWD380" s="669"/>
      <c r="GWE380" s="669"/>
      <c r="GWF380" s="669"/>
      <c r="GWG380" s="669"/>
      <c r="GWH380" s="669"/>
      <c r="GWI380" s="669"/>
      <c r="GWJ380" s="669"/>
      <c r="GWK380" s="669"/>
      <c r="GWL380" s="669"/>
      <c r="GWM380" s="669"/>
      <c r="GWN380" s="669"/>
      <c r="GWO380" s="669"/>
      <c r="GWP380" s="669"/>
      <c r="GWQ380" s="669"/>
      <c r="GWR380" s="669"/>
      <c r="GWS380" s="669"/>
      <c r="GWT380" s="669"/>
      <c r="GWU380" s="669"/>
      <c r="GWV380" s="669"/>
      <c r="GWW380" s="669"/>
      <c r="GWX380" s="669"/>
      <c r="GWY380" s="669"/>
      <c r="GWZ380" s="669"/>
      <c r="GXA380" s="669"/>
      <c r="GXB380" s="669"/>
      <c r="GXC380" s="669"/>
      <c r="GXD380" s="669"/>
      <c r="GXE380" s="669"/>
      <c r="GXF380" s="669"/>
      <c r="GXG380" s="669"/>
      <c r="GXH380" s="669"/>
      <c r="GXI380" s="669"/>
      <c r="GXJ380" s="669"/>
      <c r="GXK380" s="669"/>
      <c r="GXL380" s="669"/>
      <c r="GXM380" s="669"/>
      <c r="GXN380" s="669"/>
      <c r="GXO380" s="669"/>
      <c r="GXP380" s="669"/>
      <c r="GXQ380" s="669"/>
      <c r="GXR380" s="669"/>
      <c r="GXS380" s="669"/>
      <c r="GXT380" s="669"/>
      <c r="GXU380" s="669"/>
      <c r="GXV380" s="669"/>
      <c r="GXW380" s="669"/>
      <c r="GXX380" s="669"/>
      <c r="GXY380" s="669"/>
      <c r="GXZ380" s="669"/>
      <c r="GYA380" s="669"/>
      <c r="GYB380" s="669"/>
      <c r="GYC380" s="669"/>
      <c r="GYD380" s="669"/>
      <c r="GYE380" s="669"/>
      <c r="GYF380" s="669"/>
      <c r="GYG380" s="669"/>
      <c r="GYH380" s="669"/>
      <c r="GYI380" s="669"/>
      <c r="GYJ380" s="669"/>
      <c r="GYK380" s="669"/>
      <c r="GYL380" s="669"/>
      <c r="GYM380" s="669"/>
      <c r="GYN380" s="669"/>
      <c r="GYO380" s="669"/>
      <c r="GYP380" s="669"/>
      <c r="GYQ380" s="669"/>
      <c r="GYR380" s="669"/>
      <c r="GYS380" s="669"/>
      <c r="GYT380" s="669"/>
      <c r="GYU380" s="669"/>
      <c r="GYV380" s="669"/>
      <c r="GYW380" s="669"/>
      <c r="GYX380" s="669"/>
      <c r="GYY380" s="669"/>
      <c r="GYZ380" s="669"/>
      <c r="GZA380" s="669"/>
      <c r="GZB380" s="669"/>
      <c r="GZC380" s="669"/>
      <c r="GZD380" s="669"/>
      <c r="GZE380" s="669"/>
      <c r="GZF380" s="669"/>
      <c r="GZG380" s="669"/>
      <c r="GZH380" s="669"/>
      <c r="GZI380" s="669"/>
      <c r="GZJ380" s="669"/>
      <c r="GZK380" s="669"/>
      <c r="GZL380" s="669"/>
      <c r="GZM380" s="669"/>
      <c r="GZN380" s="669"/>
      <c r="GZO380" s="669"/>
      <c r="GZP380" s="669"/>
      <c r="GZQ380" s="669"/>
      <c r="GZR380" s="669"/>
      <c r="GZS380" s="669"/>
      <c r="GZT380" s="669"/>
      <c r="GZU380" s="669"/>
      <c r="GZV380" s="669"/>
      <c r="GZW380" s="669"/>
      <c r="GZX380" s="669"/>
      <c r="GZY380" s="669"/>
      <c r="GZZ380" s="669"/>
      <c r="HAA380" s="669"/>
      <c r="HAB380" s="669"/>
      <c r="HAC380" s="669"/>
      <c r="HAD380" s="669"/>
      <c r="HAE380" s="669"/>
      <c r="HAF380" s="669"/>
      <c r="HAG380" s="669"/>
      <c r="HAH380" s="669"/>
      <c r="HAI380" s="669"/>
      <c r="HAJ380" s="669"/>
      <c r="HAK380" s="669"/>
      <c r="HAL380" s="669"/>
      <c r="HAM380" s="669"/>
      <c r="HAN380" s="669"/>
      <c r="HAO380" s="669"/>
      <c r="HAP380" s="669"/>
      <c r="HAQ380" s="669"/>
      <c r="HAR380" s="669"/>
      <c r="HAS380" s="669"/>
      <c r="HAT380" s="669"/>
      <c r="HAU380" s="669"/>
      <c r="HAV380" s="669"/>
      <c r="HAW380" s="669"/>
      <c r="HAX380" s="669"/>
      <c r="HAY380" s="669"/>
      <c r="HAZ380" s="669"/>
      <c r="HBA380" s="669"/>
      <c r="HBB380" s="669"/>
      <c r="HBC380" s="669"/>
      <c r="HBD380" s="669"/>
      <c r="HBE380" s="669"/>
      <c r="HBF380" s="669"/>
      <c r="HBG380" s="669"/>
      <c r="HBH380" s="669"/>
      <c r="HBI380" s="669"/>
      <c r="HBJ380" s="669"/>
      <c r="HBK380" s="669"/>
      <c r="HBL380" s="669"/>
      <c r="HBM380" s="669"/>
      <c r="HBN380" s="669"/>
      <c r="HBO380" s="669"/>
      <c r="HBP380" s="669"/>
      <c r="HBQ380" s="669"/>
      <c r="HBR380" s="669"/>
      <c r="HBS380" s="669"/>
      <c r="HBT380" s="669"/>
      <c r="HBU380" s="669"/>
      <c r="HBV380" s="669"/>
      <c r="HBW380" s="669"/>
      <c r="HBX380" s="669"/>
      <c r="HBY380" s="669"/>
      <c r="HBZ380" s="669"/>
      <c r="HCA380" s="669"/>
      <c r="HCB380" s="669"/>
      <c r="HCC380" s="669"/>
      <c r="HCD380" s="669"/>
      <c r="HCE380" s="669"/>
      <c r="HCF380" s="669"/>
      <c r="HCG380" s="669"/>
      <c r="HCH380" s="669"/>
      <c r="HCI380" s="669"/>
      <c r="HCJ380" s="669"/>
      <c r="HCK380" s="669"/>
      <c r="HCL380" s="669"/>
      <c r="HCM380" s="669"/>
      <c r="HCN380" s="669"/>
      <c r="HCO380" s="669"/>
      <c r="HCP380" s="669"/>
      <c r="HCQ380" s="669"/>
      <c r="HCR380" s="669"/>
      <c r="HCS380" s="669"/>
      <c r="HCT380" s="669"/>
      <c r="HCU380" s="669"/>
      <c r="HCV380" s="669"/>
      <c r="HCW380" s="669"/>
      <c r="HCX380" s="669"/>
      <c r="HCY380" s="669"/>
      <c r="HCZ380" s="669"/>
      <c r="HDA380" s="669"/>
      <c r="HDB380" s="669"/>
      <c r="HDC380" s="669"/>
      <c r="HDD380" s="669"/>
      <c r="HDE380" s="669"/>
      <c r="HDF380" s="669"/>
      <c r="HDG380" s="669"/>
      <c r="HDH380" s="669"/>
      <c r="HDI380" s="669"/>
      <c r="HDJ380" s="669"/>
      <c r="HDK380" s="669"/>
      <c r="HDL380" s="669"/>
      <c r="HDM380" s="669"/>
      <c r="HDN380" s="669"/>
      <c r="HDO380" s="669"/>
      <c r="HDP380" s="669"/>
      <c r="HDQ380" s="669"/>
      <c r="HDR380" s="669"/>
      <c r="HDS380" s="669"/>
      <c r="HDT380" s="669"/>
      <c r="HDU380" s="669"/>
      <c r="HDV380" s="669"/>
      <c r="HDW380" s="669"/>
      <c r="HDX380" s="669"/>
      <c r="HDY380" s="669"/>
      <c r="HDZ380" s="669"/>
      <c r="HEA380" s="669"/>
      <c r="HEB380" s="669"/>
      <c r="HEC380" s="669"/>
      <c r="HED380" s="669"/>
      <c r="HEE380" s="669"/>
      <c r="HEF380" s="669"/>
      <c r="HEG380" s="669"/>
      <c r="HEH380" s="669"/>
      <c r="HEI380" s="669"/>
      <c r="HEJ380" s="669"/>
      <c r="HEK380" s="669"/>
      <c r="HEL380" s="669"/>
      <c r="HEM380" s="669"/>
      <c r="HEN380" s="669"/>
      <c r="HEO380" s="669"/>
      <c r="HEP380" s="669"/>
      <c r="HEQ380" s="669"/>
      <c r="HER380" s="669"/>
      <c r="HES380" s="669"/>
      <c r="HET380" s="669"/>
      <c r="HEU380" s="669"/>
      <c r="HEV380" s="669"/>
      <c r="HEW380" s="669"/>
      <c r="HEX380" s="669"/>
      <c r="HEY380" s="669"/>
      <c r="HEZ380" s="669"/>
      <c r="HFA380" s="669"/>
      <c r="HFB380" s="669"/>
      <c r="HFC380" s="669"/>
      <c r="HFD380" s="669"/>
      <c r="HFE380" s="669"/>
      <c r="HFF380" s="669"/>
      <c r="HFG380" s="669"/>
      <c r="HFH380" s="669"/>
      <c r="HFI380" s="669"/>
      <c r="HFJ380" s="669"/>
      <c r="HFK380" s="669"/>
      <c r="HFL380" s="669"/>
      <c r="HFM380" s="669"/>
      <c r="HFN380" s="669"/>
      <c r="HFO380" s="669"/>
      <c r="HFP380" s="669"/>
      <c r="HFQ380" s="669"/>
      <c r="HFR380" s="669"/>
      <c r="HFS380" s="669"/>
      <c r="HFT380" s="669"/>
      <c r="HFU380" s="669"/>
      <c r="HFV380" s="669"/>
      <c r="HFW380" s="669"/>
      <c r="HFX380" s="669"/>
      <c r="HFY380" s="669"/>
      <c r="HFZ380" s="669"/>
      <c r="HGA380" s="669"/>
      <c r="HGB380" s="669"/>
      <c r="HGC380" s="669"/>
      <c r="HGD380" s="669"/>
      <c r="HGE380" s="669"/>
      <c r="HGF380" s="669"/>
      <c r="HGG380" s="669"/>
      <c r="HGH380" s="669"/>
      <c r="HGI380" s="669"/>
      <c r="HGJ380" s="669"/>
      <c r="HGK380" s="669"/>
      <c r="HGL380" s="669"/>
      <c r="HGM380" s="669"/>
      <c r="HGN380" s="669"/>
      <c r="HGO380" s="669"/>
      <c r="HGP380" s="669"/>
      <c r="HGQ380" s="669"/>
      <c r="HGR380" s="669"/>
      <c r="HGS380" s="669"/>
      <c r="HGT380" s="669"/>
      <c r="HGU380" s="669"/>
      <c r="HGV380" s="669"/>
      <c r="HGW380" s="669"/>
      <c r="HGX380" s="669"/>
      <c r="HGY380" s="669"/>
      <c r="HGZ380" s="669"/>
      <c r="HHA380" s="669"/>
      <c r="HHB380" s="669"/>
      <c r="HHC380" s="669"/>
      <c r="HHD380" s="669"/>
      <c r="HHE380" s="669"/>
      <c r="HHF380" s="669"/>
      <c r="HHG380" s="669"/>
      <c r="HHH380" s="669"/>
      <c r="HHI380" s="669"/>
      <c r="HHJ380" s="669"/>
      <c r="HHK380" s="669"/>
      <c r="HHL380" s="669"/>
      <c r="HHM380" s="669"/>
      <c r="HHN380" s="669"/>
      <c r="HHO380" s="669"/>
      <c r="HHP380" s="669"/>
      <c r="HHQ380" s="669"/>
      <c r="HHR380" s="669"/>
      <c r="HHS380" s="669"/>
      <c r="HHT380" s="669"/>
      <c r="HHU380" s="669"/>
      <c r="HHV380" s="669"/>
      <c r="HHW380" s="669"/>
      <c r="HHX380" s="669"/>
      <c r="HHY380" s="669"/>
      <c r="HHZ380" s="669"/>
      <c r="HIA380" s="669"/>
      <c r="HIB380" s="669"/>
      <c r="HIC380" s="669"/>
      <c r="HID380" s="669"/>
      <c r="HIE380" s="669"/>
      <c r="HIF380" s="669"/>
      <c r="HIG380" s="669"/>
      <c r="HIH380" s="669"/>
      <c r="HII380" s="669"/>
      <c r="HIJ380" s="669"/>
      <c r="HIK380" s="669"/>
      <c r="HIL380" s="669"/>
      <c r="HIM380" s="669"/>
      <c r="HIN380" s="669"/>
      <c r="HIO380" s="669"/>
      <c r="HIP380" s="669"/>
      <c r="HIQ380" s="669"/>
      <c r="HIR380" s="669"/>
      <c r="HIS380" s="669"/>
      <c r="HIT380" s="669"/>
      <c r="HIU380" s="669"/>
      <c r="HIV380" s="669"/>
      <c r="HIW380" s="669"/>
      <c r="HIX380" s="669"/>
      <c r="HIY380" s="669"/>
      <c r="HIZ380" s="669"/>
      <c r="HJA380" s="669"/>
      <c r="HJB380" s="669"/>
      <c r="HJC380" s="669"/>
      <c r="HJD380" s="669"/>
      <c r="HJE380" s="669"/>
      <c r="HJF380" s="669"/>
      <c r="HJG380" s="669"/>
      <c r="HJH380" s="669"/>
      <c r="HJI380" s="669"/>
      <c r="HJJ380" s="669"/>
      <c r="HJK380" s="669"/>
      <c r="HJL380" s="669"/>
      <c r="HJM380" s="669"/>
      <c r="HJN380" s="669"/>
      <c r="HJO380" s="669"/>
      <c r="HJP380" s="669"/>
      <c r="HJQ380" s="669"/>
      <c r="HJR380" s="669"/>
      <c r="HJS380" s="669"/>
      <c r="HJT380" s="669"/>
      <c r="HJU380" s="669"/>
      <c r="HJV380" s="669"/>
      <c r="HJW380" s="669"/>
      <c r="HJX380" s="669"/>
      <c r="HJY380" s="669"/>
      <c r="HJZ380" s="669"/>
      <c r="HKA380" s="669"/>
      <c r="HKB380" s="669"/>
      <c r="HKC380" s="669"/>
      <c r="HKD380" s="669"/>
      <c r="HKE380" s="669"/>
      <c r="HKF380" s="669"/>
      <c r="HKG380" s="669"/>
      <c r="HKH380" s="669"/>
      <c r="HKI380" s="669"/>
      <c r="HKJ380" s="669"/>
      <c r="HKK380" s="669"/>
      <c r="HKL380" s="669"/>
      <c r="HKM380" s="669"/>
      <c r="HKN380" s="669"/>
      <c r="HKO380" s="669"/>
      <c r="HKP380" s="669"/>
      <c r="HKQ380" s="669"/>
      <c r="HKR380" s="669"/>
      <c r="HKS380" s="669"/>
      <c r="HKT380" s="669"/>
      <c r="HKU380" s="669"/>
      <c r="HKV380" s="669"/>
      <c r="HKW380" s="669"/>
      <c r="HKX380" s="669"/>
      <c r="HKY380" s="669"/>
      <c r="HKZ380" s="669"/>
      <c r="HLA380" s="669"/>
      <c r="HLB380" s="669"/>
      <c r="HLC380" s="669"/>
      <c r="HLD380" s="669"/>
      <c r="HLE380" s="669"/>
      <c r="HLF380" s="669"/>
      <c r="HLG380" s="669"/>
      <c r="HLH380" s="669"/>
      <c r="HLI380" s="669"/>
      <c r="HLJ380" s="669"/>
      <c r="HLK380" s="669"/>
      <c r="HLL380" s="669"/>
      <c r="HLM380" s="669"/>
      <c r="HLN380" s="669"/>
      <c r="HLO380" s="669"/>
      <c r="HLP380" s="669"/>
      <c r="HLQ380" s="669"/>
      <c r="HLR380" s="669"/>
      <c r="HLS380" s="669"/>
      <c r="HLT380" s="669"/>
      <c r="HLU380" s="669"/>
      <c r="HLV380" s="669"/>
      <c r="HLW380" s="669"/>
      <c r="HLX380" s="669"/>
      <c r="HLY380" s="669"/>
      <c r="HLZ380" s="669"/>
      <c r="HMA380" s="669"/>
      <c r="HMB380" s="669"/>
      <c r="HMC380" s="669"/>
      <c r="HMD380" s="669"/>
      <c r="HME380" s="669"/>
      <c r="HMF380" s="669"/>
      <c r="HMG380" s="669"/>
      <c r="HMH380" s="669"/>
      <c r="HMI380" s="669"/>
      <c r="HMJ380" s="669"/>
      <c r="HMK380" s="669"/>
      <c r="HML380" s="669"/>
      <c r="HMM380" s="669"/>
      <c r="HMN380" s="669"/>
      <c r="HMO380" s="669"/>
      <c r="HMP380" s="669"/>
      <c r="HMQ380" s="669"/>
      <c r="HMR380" s="669"/>
      <c r="HMS380" s="669"/>
      <c r="HMT380" s="669"/>
      <c r="HMU380" s="669"/>
      <c r="HMV380" s="669"/>
      <c r="HMW380" s="669"/>
      <c r="HMX380" s="669"/>
      <c r="HMY380" s="669"/>
      <c r="HMZ380" s="669"/>
      <c r="HNA380" s="669"/>
      <c r="HNB380" s="669"/>
      <c r="HNC380" s="669"/>
      <c r="HND380" s="669"/>
      <c r="HNE380" s="669"/>
      <c r="HNF380" s="669"/>
      <c r="HNG380" s="669"/>
      <c r="HNH380" s="669"/>
      <c r="HNI380" s="669"/>
      <c r="HNJ380" s="669"/>
      <c r="HNK380" s="669"/>
      <c r="HNL380" s="669"/>
      <c r="HNM380" s="669"/>
      <c r="HNN380" s="669"/>
      <c r="HNO380" s="669"/>
      <c r="HNP380" s="669"/>
      <c r="HNQ380" s="669"/>
      <c r="HNR380" s="669"/>
      <c r="HNS380" s="669"/>
      <c r="HNT380" s="669"/>
      <c r="HNU380" s="669"/>
      <c r="HNV380" s="669"/>
      <c r="HNW380" s="669"/>
      <c r="HNX380" s="669"/>
      <c r="HNY380" s="669"/>
      <c r="HNZ380" s="669"/>
      <c r="HOA380" s="669"/>
      <c r="HOB380" s="669"/>
      <c r="HOC380" s="669"/>
      <c r="HOD380" s="669"/>
      <c r="HOE380" s="669"/>
      <c r="HOF380" s="669"/>
      <c r="HOG380" s="669"/>
      <c r="HOH380" s="669"/>
      <c r="HOI380" s="669"/>
      <c r="HOJ380" s="669"/>
      <c r="HOK380" s="669"/>
      <c r="HOL380" s="669"/>
      <c r="HOM380" s="669"/>
      <c r="HON380" s="669"/>
      <c r="HOO380" s="669"/>
      <c r="HOP380" s="669"/>
      <c r="HOQ380" s="669"/>
      <c r="HOR380" s="669"/>
      <c r="HOS380" s="669"/>
      <c r="HOT380" s="669"/>
      <c r="HOU380" s="669"/>
      <c r="HOV380" s="669"/>
      <c r="HOW380" s="669"/>
      <c r="HOX380" s="669"/>
      <c r="HOY380" s="669"/>
      <c r="HOZ380" s="669"/>
      <c r="HPA380" s="669"/>
      <c r="HPB380" s="669"/>
      <c r="HPC380" s="669"/>
      <c r="HPD380" s="669"/>
      <c r="HPE380" s="669"/>
      <c r="HPF380" s="669"/>
      <c r="HPG380" s="669"/>
      <c r="HPH380" s="669"/>
      <c r="HPI380" s="669"/>
      <c r="HPJ380" s="669"/>
      <c r="HPK380" s="669"/>
      <c r="HPL380" s="669"/>
      <c r="HPM380" s="669"/>
      <c r="HPN380" s="669"/>
      <c r="HPO380" s="669"/>
      <c r="HPP380" s="669"/>
      <c r="HPQ380" s="669"/>
      <c r="HPR380" s="669"/>
      <c r="HPS380" s="669"/>
      <c r="HPT380" s="669"/>
      <c r="HPU380" s="669"/>
      <c r="HPV380" s="669"/>
      <c r="HPW380" s="669"/>
      <c r="HPX380" s="669"/>
      <c r="HPY380" s="669"/>
      <c r="HPZ380" s="669"/>
      <c r="HQA380" s="669"/>
      <c r="HQB380" s="669"/>
      <c r="HQC380" s="669"/>
      <c r="HQD380" s="669"/>
      <c r="HQE380" s="669"/>
      <c r="HQF380" s="669"/>
      <c r="HQG380" s="669"/>
      <c r="HQH380" s="669"/>
      <c r="HQI380" s="669"/>
      <c r="HQJ380" s="669"/>
      <c r="HQK380" s="669"/>
      <c r="HQL380" s="669"/>
      <c r="HQM380" s="669"/>
      <c r="HQN380" s="669"/>
      <c r="HQO380" s="669"/>
      <c r="HQP380" s="669"/>
      <c r="HQQ380" s="669"/>
      <c r="HQR380" s="669"/>
      <c r="HQS380" s="669"/>
      <c r="HQT380" s="669"/>
      <c r="HQU380" s="669"/>
      <c r="HQV380" s="669"/>
      <c r="HQW380" s="669"/>
      <c r="HQX380" s="669"/>
      <c r="HQY380" s="669"/>
      <c r="HQZ380" s="669"/>
      <c r="HRA380" s="669"/>
      <c r="HRB380" s="669"/>
      <c r="HRC380" s="669"/>
      <c r="HRD380" s="669"/>
      <c r="HRE380" s="669"/>
      <c r="HRF380" s="669"/>
      <c r="HRG380" s="669"/>
      <c r="HRH380" s="669"/>
      <c r="HRI380" s="669"/>
      <c r="HRJ380" s="669"/>
      <c r="HRK380" s="669"/>
      <c r="HRL380" s="669"/>
      <c r="HRM380" s="669"/>
      <c r="HRN380" s="669"/>
      <c r="HRO380" s="669"/>
      <c r="HRP380" s="669"/>
      <c r="HRQ380" s="669"/>
      <c r="HRR380" s="669"/>
      <c r="HRS380" s="669"/>
      <c r="HRT380" s="669"/>
      <c r="HRU380" s="669"/>
      <c r="HRV380" s="669"/>
      <c r="HRW380" s="669"/>
      <c r="HRX380" s="669"/>
      <c r="HRY380" s="669"/>
      <c r="HRZ380" s="669"/>
      <c r="HSA380" s="669"/>
      <c r="HSB380" s="669"/>
      <c r="HSC380" s="669"/>
      <c r="HSD380" s="669"/>
      <c r="HSE380" s="669"/>
      <c r="HSF380" s="669"/>
      <c r="HSG380" s="669"/>
      <c r="HSH380" s="669"/>
      <c r="HSI380" s="669"/>
      <c r="HSJ380" s="669"/>
      <c r="HSK380" s="669"/>
      <c r="HSL380" s="669"/>
      <c r="HSM380" s="669"/>
      <c r="HSN380" s="669"/>
      <c r="HSO380" s="669"/>
      <c r="HSP380" s="669"/>
      <c r="HSQ380" s="669"/>
      <c r="HSR380" s="669"/>
      <c r="HSS380" s="669"/>
      <c r="HST380" s="669"/>
      <c r="HSU380" s="669"/>
      <c r="HSV380" s="669"/>
      <c r="HSW380" s="669"/>
      <c r="HSX380" s="669"/>
      <c r="HSY380" s="669"/>
      <c r="HSZ380" s="669"/>
      <c r="HTA380" s="669"/>
      <c r="HTB380" s="669"/>
      <c r="HTC380" s="669"/>
      <c r="HTD380" s="669"/>
      <c r="HTE380" s="669"/>
      <c r="HTF380" s="669"/>
      <c r="HTG380" s="669"/>
      <c r="HTH380" s="669"/>
      <c r="HTI380" s="669"/>
      <c r="HTJ380" s="669"/>
      <c r="HTK380" s="669"/>
      <c r="HTL380" s="669"/>
      <c r="HTM380" s="669"/>
      <c r="HTN380" s="669"/>
      <c r="HTO380" s="669"/>
      <c r="HTP380" s="669"/>
      <c r="HTQ380" s="669"/>
      <c r="HTR380" s="669"/>
      <c r="HTS380" s="669"/>
      <c r="HTT380" s="669"/>
      <c r="HTU380" s="669"/>
      <c r="HTV380" s="669"/>
      <c r="HTW380" s="669"/>
      <c r="HTX380" s="669"/>
      <c r="HTY380" s="669"/>
      <c r="HTZ380" s="669"/>
      <c r="HUA380" s="669"/>
      <c r="HUB380" s="669"/>
      <c r="HUC380" s="669"/>
      <c r="HUD380" s="669"/>
      <c r="HUE380" s="669"/>
      <c r="HUF380" s="669"/>
      <c r="HUG380" s="669"/>
      <c r="HUH380" s="669"/>
      <c r="HUI380" s="669"/>
      <c r="HUJ380" s="669"/>
      <c r="HUK380" s="669"/>
      <c r="HUL380" s="669"/>
      <c r="HUM380" s="669"/>
      <c r="HUN380" s="669"/>
      <c r="HUO380" s="669"/>
      <c r="HUP380" s="669"/>
      <c r="HUQ380" s="669"/>
      <c r="HUR380" s="669"/>
      <c r="HUS380" s="669"/>
      <c r="HUT380" s="669"/>
      <c r="HUU380" s="669"/>
      <c r="HUV380" s="669"/>
      <c r="HUW380" s="669"/>
      <c r="HUX380" s="669"/>
      <c r="HUY380" s="669"/>
      <c r="HUZ380" s="669"/>
      <c r="HVA380" s="669"/>
      <c r="HVB380" s="669"/>
      <c r="HVC380" s="669"/>
      <c r="HVD380" s="669"/>
      <c r="HVE380" s="669"/>
      <c r="HVF380" s="669"/>
      <c r="HVG380" s="669"/>
      <c r="HVH380" s="669"/>
      <c r="HVI380" s="669"/>
      <c r="HVJ380" s="669"/>
      <c r="HVK380" s="669"/>
      <c r="HVL380" s="669"/>
      <c r="HVM380" s="669"/>
      <c r="HVN380" s="669"/>
      <c r="HVO380" s="669"/>
      <c r="HVP380" s="669"/>
      <c r="HVQ380" s="669"/>
      <c r="HVR380" s="669"/>
      <c r="HVS380" s="669"/>
      <c r="HVT380" s="669"/>
      <c r="HVU380" s="669"/>
      <c r="HVV380" s="669"/>
      <c r="HVW380" s="669"/>
      <c r="HVX380" s="669"/>
      <c r="HVY380" s="669"/>
      <c r="HVZ380" s="669"/>
      <c r="HWA380" s="669"/>
      <c r="HWB380" s="669"/>
      <c r="HWC380" s="669"/>
      <c r="HWD380" s="669"/>
      <c r="HWE380" s="669"/>
      <c r="HWF380" s="669"/>
      <c r="HWG380" s="669"/>
      <c r="HWH380" s="669"/>
      <c r="HWI380" s="669"/>
      <c r="HWJ380" s="669"/>
      <c r="HWK380" s="669"/>
      <c r="HWL380" s="669"/>
      <c r="HWM380" s="669"/>
      <c r="HWN380" s="669"/>
      <c r="HWO380" s="669"/>
      <c r="HWP380" s="669"/>
      <c r="HWQ380" s="669"/>
      <c r="HWR380" s="669"/>
      <c r="HWS380" s="669"/>
      <c r="HWT380" s="669"/>
      <c r="HWU380" s="669"/>
      <c r="HWV380" s="669"/>
      <c r="HWW380" s="669"/>
      <c r="HWX380" s="669"/>
      <c r="HWY380" s="669"/>
      <c r="HWZ380" s="669"/>
      <c r="HXA380" s="669"/>
      <c r="HXB380" s="669"/>
      <c r="HXC380" s="669"/>
      <c r="HXD380" s="669"/>
      <c r="HXE380" s="669"/>
      <c r="HXF380" s="669"/>
      <c r="HXG380" s="669"/>
      <c r="HXH380" s="669"/>
      <c r="HXI380" s="669"/>
      <c r="HXJ380" s="669"/>
      <c r="HXK380" s="669"/>
      <c r="HXL380" s="669"/>
      <c r="HXM380" s="669"/>
      <c r="HXN380" s="669"/>
      <c r="HXO380" s="669"/>
      <c r="HXP380" s="669"/>
      <c r="HXQ380" s="669"/>
      <c r="HXR380" s="669"/>
      <c r="HXS380" s="669"/>
      <c r="HXT380" s="669"/>
      <c r="HXU380" s="669"/>
      <c r="HXV380" s="669"/>
      <c r="HXW380" s="669"/>
      <c r="HXX380" s="669"/>
      <c r="HXY380" s="669"/>
      <c r="HXZ380" s="669"/>
      <c r="HYA380" s="669"/>
      <c r="HYB380" s="669"/>
      <c r="HYC380" s="669"/>
      <c r="HYD380" s="669"/>
      <c r="HYE380" s="669"/>
      <c r="HYF380" s="669"/>
      <c r="HYG380" s="669"/>
      <c r="HYH380" s="669"/>
      <c r="HYI380" s="669"/>
      <c r="HYJ380" s="669"/>
      <c r="HYK380" s="669"/>
      <c r="HYL380" s="669"/>
      <c r="HYM380" s="669"/>
      <c r="HYN380" s="669"/>
      <c r="HYO380" s="669"/>
      <c r="HYP380" s="669"/>
      <c r="HYQ380" s="669"/>
      <c r="HYR380" s="669"/>
      <c r="HYS380" s="669"/>
      <c r="HYT380" s="669"/>
      <c r="HYU380" s="669"/>
      <c r="HYV380" s="669"/>
      <c r="HYW380" s="669"/>
      <c r="HYX380" s="669"/>
      <c r="HYY380" s="669"/>
      <c r="HYZ380" s="669"/>
      <c r="HZA380" s="669"/>
      <c r="HZB380" s="669"/>
      <c r="HZC380" s="669"/>
      <c r="HZD380" s="669"/>
      <c r="HZE380" s="669"/>
      <c r="HZF380" s="669"/>
      <c r="HZG380" s="669"/>
      <c r="HZH380" s="669"/>
      <c r="HZI380" s="669"/>
      <c r="HZJ380" s="669"/>
      <c r="HZK380" s="669"/>
      <c r="HZL380" s="669"/>
      <c r="HZM380" s="669"/>
      <c r="HZN380" s="669"/>
      <c r="HZO380" s="669"/>
      <c r="HZP380" s="669"/>
      <c r="HZQ380" s="669"/>
      <c r="HZR380" s="669"/>
      <c r="HZS380" s="669"/>
      <c r="HZT380" s="669"/>
      <c r="HZU380" s="669"/>
      <c r="HZV380" s="669"/>
      <c r="HZW380" s="669"/>
      <c r="HZX380" s="669"/>
      <c r="HZY380" s="669"/>
      <c r="HZZ380" s="669"/>
      <c r="IAA380" s="669"/>
      <c r="IAB380" s="669"/>
      <c r="IAC380" s="669"/>
      <c r="IAD380" s="669"/>
      <c r="IAE380" s="669"/>
      <c r="IAF380" s="669"/>
      <c r="IAG380" s="669"/>
      <c r="IAH380" s="669"/>
      <c r="IAI380" s="669"/>
      <c r="IAJ380" s="669"/>
      <c r="IAK380" s="669"/>
      <c r="IAL380" s="669"/>
      <c r="IAM380" s="669"/>
      <c r="IAN380" s="669"/>
      <c r="IAO380" s="669"/>
      <c r="IAP380" s="669"/>
      <c r="IAQ380" s="669"/>
      <c r="IAR380" s="669"/>
      <c r="IAS380" s="669"/>
      <c r="IAT380" s="669"/>
      <c r="IAU380" s="669"/>
      <c r="IAV380" s="669"/>
      <c r="IAW380" s="669"/>
      <c r="IAX380" s="669"/>
      <c r="IAY380" s="669"/>
      <c r="IAZ380" s="669"/>
      <c r="IBA380" s="669"/>
      <c r="IBB380" s="669"/>
      <c r="IBC380" s="669"/>
      <c r="IBD380" s="669"/>
      <c r="IBE380" s="669"/>
      <c r="IBF380" s="669"/>
      <c r="IBG380" s="669"/>
      <c r="IBH380" s="669"/>
      <c r="IBI380" s="669"/>
      <c r="IBJ380" s="669"/>
      <c r="IBK380" s="669"/>
      <c r="IBL380" s="669"/>
      <c r="IBM380" s="669"/>
      <c r="IBN380" s="669"/>
      <c r="IBO380" s="669"/>
      <c r="IBP380" s="669"/>
      <c r="IBQ380" s="669"/>
      <c r="IBR380" s="669"/>
      <c r="IBS380" s="669"/>
      <c r="IBT380" s="669"/>
      <c r="IBU380" s="669"/>
      <c r="IBV380" s="669"/>
      <c r="IBW380" s="669"/>
      <c r="IBX380" s="669"/>
      <c r="IBY380" s="669"/>
      <c r="IBZ380" s="669"/>
      <c r="ICA380" s="669"/>
      <c r="ICB380" s="669"/>
      <c r="ICC380" s="669"/>
      <c r="ICD380" s="669"/>
      <c r="ICE380" s="669"/>
      <c r="ICF380" s="669"/>
      <c r="ICG380" s="669"/>
      <c r="ICH380" s="669"/>
      <c r="ICI380" s="669"/>
      <c r="ICJ380" s="669"/>
      <c r="ICK380" s="669"/>
      <c r="ICL380" s="669"/>
      <c r="ICM380" s="669"/>
      <c r="ICN380" s="669"/>
      <c r="ICO380" s="669"/>
      <c r="ICP380" s="669"/>
      <c r="ICQ380" s="669"/>
      <c r="ICR380" s="669"/>
      <c r="ICS380" s="669"/>
      <c r="ICT380" s="669"/>
      <c r="ICU380" s="669"/>
      <c r="ICV380" s="669"/>
      <c r="ICW380" s="669"/>
      <c r="ICX380" s="669"/>
      <c r="ICY380" s="669"/>
      <c r="ICZ380" s="669"/>
      <c r="IDA380" s="669"/>
      <c r="IDB380" s="669"/>
      <c r="IDC380" s="669"/>
      <c r="IDD380" s="669"/>
      <c r="IDE380" s="669"/>
      <c r="IDF380" s="669"/>
      <c r="IDG380" s="669"/>
      <c r="IDH380" s="669"/>
      <c r="IDI380" s="669"/>
      <c r="IDJ380" s="669"/>
      <c r="IDK380" s="669"/>
      <c r="IDL380" s="669"/>
      <c r="IDM380" s="669"/>
      <c r="IDN380" s="669"/>
      <c r="IDO380" s="669"/>
      <c r="IDP380" s="669"/>
      <c r="IDQ380" s="669"/>
      <c r="IDR380" s="669"/>
      <c r="IDS380" s="669"/>
      <c r="IDT380" s="669"/>
      <c r="IDU380" s="669"/>
      <c r="IDV380" s="669"/>
      <c r="IDW380" s="669"/>
      <c r="IDX380" s="669"/>
      <c r="IDY380" s="669"/>
      <c r="IDZ380" s="669"/>
      <c r="IEA380" s="669"/>
      <c r="IEB380" s="669"/>
      <c r="IEC380" s="669"/>
      <c r="IED380" s="669"/>
      <c r="IEE380" s="669"/>
      <c r="IEF380" s="669"/>
      <c r="IEG380" s="669"/>
      <c r="IEH380" s="669"/>
      <c r="IEI380" s="669"/>
      <c r="IEJ380" s="669"/>
      <c r="IEK380" s="669"/>
      <c r="IEL380" s="669"/>
      <c r="IEM380" s="669"/>
      <c r="IEN380" s="669"/>
      <c r="IEO380" s="669"/>
      <c r="IEP380" s="669"/>
      <c r="IEQ380" s="669"/>
      <c r="IER380" s="669"/>
      <c r="IES380" s="669"/>
      <c r="IET380" s="669"/>
      <c r="IEU380" s="669"/>
      <c r="IEV380" s="669"/>
      <c r="IEW380" s="669"/>
      <c r="IEX380" s="669"/>
      <c r="IEY380" s="669"/>
      <c r="IEZ380" s="669"/>
      <c r="IFA380" s="669"/>
      <c r="IFB380" s="669"/>
      <c r="IFC380" s="669"/>
      <c r="IFD380" s="669"/>
      <c r="IFE380" s="669"/>
      <c r="IFF380" s="669"/>
      <c r="IFG380" s="669"/>
      <c r="IFH380" s="669"/>
      <c r="IFI380" s="669"/>
      <c r="IFJ380" s="669"/>
      <c r="IFK380" s="669"/>
      <c r="IFL380" s="669"/>
      <c r="IFM380" s="669"/>
      <c r="IFN380" s="669"/>
      <c r="IFO380" s="669"/>
      <c r="IFP380" s="669"/>
      <c r="IFQ380" s="669"/>
      <c r="IFR380" s="669"/>
      <c r="IFS380" s="669"/>
      <c r="IFT380" s="669"/>
      <c r="IFU380" s="669"/>
      <c r="IFV380" s="669"/>
      <c r="IFW380" s="669"/>
      <c r="IFX380" s="669"/>
      <c r="IFY380" s="669"/>
      <c r="IFZ380" s="669"/>
      <c r="IGA380" s="669"/>
      <c r="IGB380" s="669"/>
      <c r="IGC380" s="669"/>
      <c r="IGD380" s="669"/>
      <c r="IGE380" s="669"/>
      <c r="IGF380" s="669"/>
      <c r="IGG380" s="669"/>
      <c r="IGH380" s="669"/>
      <c r="IGI380" s="669"/>
      <c r="IGJ380" s="669"/>
      <c r="IGK380" s="669"/>
      <c r="IGL380" s="669"/>
      <c r="IGM380" s="669"/>
      <c r="IGN380" s="669"/>
      <c r="IGO380" s="669"/>
      <c r="IGP380" s="669"/>
      <c r="IGQ380" s="669"/>
      <c r="IGR380" s="669"/>
      <c r="IGS380" s="669"/>
      <c r="IGT380" s="669"/>
      <c r="IGU380" s="669"/>
      <c r="IGV380" s="669"/>
      <c r="IGW380" s="669"/>
      <c r="IGX380" s="669"/>
      <c r="IGY380" s="669"/>
      <c r="IGZ380" s="669"/>
      <c r="IHA380" s="669"/>
      <c r="IHB380" s="669"/>
      <c r="IHC380" s="669"/>
      <c r="IHD380" s="669"/>
      <c r="IHE380" s="669"/>
      <c r="IHF380" s="669"/>
      <c r="IHG380" s="669"/>
      <c r="IHH380" s="669"/>
      <c r="IHI380" s="669"/>
      <c r="IHJ380" s="669"/>
      <c r="IHK380" s="669"/>
      <c r="IHL380" s="669"/>
      <c r="IHM380" s="669"/>
      <c r="IHN380" s="669"/>
      <c r="IHO380" s="669"/>
      <c r="IHP380" s="669"/>
      <c r="IHQ380" s="669"/>
      <c r="IHR380" s="669"/>
      <c r="IHS380" s="669"/>
      <c r="IHT380" s="669"/>
      <c r="IHU380" s="669"/>
      <c r="IHV380" s="669"/>
      <c r="IHW380" s="669"/>
      <c r="IHX380" s="669"/>
      <c r="IHY380" s="669"/>
      <c r="IHZ380" s="669"/>
      <c r="IIA380" s="669"/>
      <c r="IIB380" s="669"/>
      <c r="IIC380" s="669"/>
      <c r="IID380" s="669"/>
      <c r="IIE380" s="669"/>
      <c r="IIF380" s="669"/>
      <c r="IIG380" s="669"/>
      <c r="IIH380" s="669"/>
      <c r="III380" s="669"/>
      <c r="IIJ380" s="669"/>
      <c r="IIK380" s="669"/>
      <c r="IIL380" s="669"/>
      <c r="IIM380" s="669"/>
      <c r="IIN380" s="669"/>
      <c r="IIO380" s="669"/>
      <c r="IIP380" s="669"/>
      <c r="IIQ380" s="669"/>
      <c r="IIR380" s="669"/>
      <c r="IIS380" s="669"/>
      <c r="IIT380" s="669"/>
      <c r="IIU380" s="669"/>
      <c r="IIV380" s="669"/>
      <c r="IIW380" s="669"/>
      <c r="IIX380" s="669"/>
      <c r="IIY380" s="669"/>
      <c r="IIZ380" s="669"/>
      <c r="IJA380" s="669"/>
      <c r="IJB380" s="669"/>
      <c r="IJC380" s="669"/>
      <c r="IJD380" s="669"/>
      <c r="IJE380" s="669"/>
      <c r="IJF380" s="669"/>
      <c r="IJG380" s="669"/>
      <c r="IJH380" s="669"/>
      <c r="IJI380" s="669"/>
      <c r="IJJ380" s="669"/>
      <c r="IJK380" s="669"/>
      <c r="IJL380" s="669"/>
      <c r="IJM380" s="669"/>
      <c r="IJN380" s="669"/>
      <c r="IJO380" s="669"/>
      <c r="IJP380" s="669"/>
      <c r="IJQ380" s="669"/>
      <c r="IJR380" s="669"/>
      <c r="IJS380" s="669"/>
      <c r="IJT380" s="669"/>
      <c r="IJU380" s="669"/>
      <c r="IJV380" s="669"/>
      <c r="IJW380" s="669"/>
      <c r="IJX380" s="669"/>
      <c r="IJY380" s="669"/>
      <c r="IJZ380" s="669"/>
      <c r="IKA380" s="669"/>
      <c r="IKB380" s="669"/>
      <c r="IKC380" s="669"/>
      <c r="IKD380" s="669"/>
      <c r="IKE380" s="669"/>
      <c r="IKF380" s="669"/>
      <c r="IKG380" s="669"/>
      <c r="IKH380" s="669"/>
      <c r="IKI380" s="669"/>
      <c r="IKJ380" s="669"/>
      <c r="IKK380" s="669"/>
      <c r="IKL380" s="669"/>
      <c r="IKM380" s="669"/>
      <c r="IKN380" s="669"/>
      <c r="IKO380" s="669"/>
      <c r="IKP380" s="669"/>
      <c r="IKQ380" s="669"/>
      <c r="IKR380" s="669"/>
      <c r="IKS380" s="669"/>
      <c r="IKT380" s="669"/>
      <c r="IKU380" s="669"/>
      <c r="IKV380" s="669"/>
      <c r="IKW380" s="669"/>
      <c r="IKX380" s="669"/>
      <c r="IKY380" s="669"/>
      <c r="IKZ380" s="669"/>
      <c r="ILA380" s="669"/>
      <c r="ILB380" s="669"/>
      <c r="ILC380" s="669"/>
      <c r="ILD380" s="669"/>
      <c r="ILE380" s="669"/>
      <c r="ILF380" s="669"/>
      <c r="ILG380" s="669"/>
      <c r="ILH380" s="669"/>
      <c r="ILI380" s="669"/>
      <c r="ILJ380" s="669"/>
      <c r="ILK380" s="669"/>
      <c r="ILL380" s="669"/>
      <c r="ILM380" s="669"/>
      <c r="ILN380" s="669"/>
      <c r="ILO380" s="669"/>
      <c r="ILP380" s="669"/>
      <c r="ILQ380" s="669"/>
      <c r="ILR380" s="669"/>
      <c r="ILS380" s="669"/>
      <c r="ILT380" s="669"/>
      <c r="ILU380" s="669"/>
      <c r="ILV380" s="669"/>
      <c r="ILW380" s="669"/>
      <c r="ILX380" s="669"/>
      <c r="ILY380" s="669"/>
      <c r="ILZ380" s="669"/>
      <c r="IMA380" s="669"/>
      <c r="IMB380" s="669"/>
      <c r="IMC380" s="669"/>
      <c r="IMD380" s="669"/>
      <c r="IME380" s="669"/>
      <c r="IMF380" s="669"/>
      <c r="IMG380" s="669"/>
      <c r="IMH380" s="669"/>
      <c r="IMI380" s="669"/>
      <c r="IMJ380" s="669"/>
      <c r="IMK380" s="669"/>
      <c r="IML380" s="669"/>
      <c r="IMM380" s="669"/>
      <c r="IMN380" s="669"/>
      <c r="IMO380" s="669"/>
      <c r="IMP380" s="669"/>
      <c r="IMQ380" s="669"/>
      <c r="IMR380" s="669"/>
      <c r="IMS380" s="669"/>
      <c r="IMT380" s="669"/>
      <c r="IMU380" s="669"/>
      <c r="IMV380" s="669"/>
      <c r="IMW380" s="669"/>
      <c r="IMX380" s="669"/>
      <c r="IMY380" s="669"/>
      <c r="IMZ380" s="669"/>
      <c r="INA380" s="669"/>
      <c r="INB380" s="669"/>
      <c r="INC380" s="669"/>
      <c r="IND380" s="669"/>
      <c r="INE380" s="669"/>
      <c r="INF380" s="669"/>
      <c r="ING380" s="669"/>
      <c r="INH380" s="669"/>
      <c r="INI380" s="669"/>
      <c r="INJ380" s="669"/>
      <c r="INK380" s="669"/>
      <c r="INL380" s="669"/>
      <c r="INM380" s="669"/>
      <c r="INN380" s="669"/>
      <c r="INO380" s="669"/>
      <c r="INP380" s="669"/>
      <c r="INQ380" s="669"/>
      <c r="INR380" s="669"/>
      <c r="INS380" s="669"/>
      <c r="INT380" s="669"/>
      <c r="INU380" s="669"/>
      <c r="INV380" s="669"/>
      <c r="INW380" s="669"/>
      <c r="INX380" s="669"/>
      <c r="INY380" s="669"/>
      <c r="INZ380" s="669"/>
      <c r="IOA380" s="669"/>
      <c r="IOB380" s="669"/>
      <c r="IOC380" s="669"/>
      <c r="IOD380" s="669"/>
      <c r="IOE380" s="669"/>
      <c r="IOF380" s="669"/>
      <c r="IOG380" s="669"/>
      <c r="IOH380" s="669"/>
      <c r="IOI380" s="669"/>
      <c r="IOJ380" s="669"/>
      <c r="IOK380" s="669"/>
      <c r="IOL380" s="669"/>
      <c r="IOM380" s="669"/>
      <c r="ION380" s="669"/>
      <c r="IOO380" s="669"/>
      <c r="IOP380" s="669"/>
      <c r="IOQ380" s="669"/>
      <c r="IOR380" s="669"/>
      <c r="IOS380" s="669"/>
      <c r="IOT380" s="669"/>
      <c r="IOU380" s="669"/>
      <c r="IOV380" s="669"/>
      <c r="IOW380" s="669"/>
      <c r="IOX380" s="669"/>
      <c r="IOY380" s="669"/>
      <c r="IOZ380" s="669"/>
      <c r="IPA380" s="669"/>
      <c r="IPB380" s="669"/>
      <c r="IPC380" s="669"/>
      <c r="IPD380" s="669"/>
      <c r="IPE380" s="669"/>
      <c r="IPF380" s="669"/>
      <c r="IPG380" s="669"/>
      <c r="IPH380" s="669"/>
      <c r="IPI380" s="669"/>
      <c r="IPJ380" s="669"/>
      <c r="IPK380" s="669"/>
      <c r="IPL380" s="669"/>
      <c r="IPM380" s="669"/>
      <c r="IPN380" s="669"/>
      <c r="IPO380" s="669"/>
      <c r="IPP380" s="669"/>
      <c r="IPQ380" s="669"/>
      <c r="IPR380" s="669"/>
      <c r="IPS380" s="669"/>
      <c r="IPT380" s="669"/>
      <c r="IPU380" s="669"/>
      <c r="IPV380" s="669"/>
      <c r="IPW380" s="669"/>
      <c r="IPX380" s="669"/>
      <c r="IPY380" s="669"/>
      <c r="IPZ380" s="669"/>
      <c r="IQA380" s="669"/>
      <c r="IQB380" s="669"/>
      <c r="IQC380" s="669"/>
      <c r="IQD380" s="669"/>
      <c r="IQE380" s="669"/>
      <c r="IQF380" s="669"/>
      <c r="IQG380" s="669"/>
      <c r="IQH380" s="669"/>
      <c r="IQI380" s="669"/>
      <c r="IQJ380" s="669"/>
      <c r="IQK380" s="669"/>
      <c r="IQL380" s="669"/>
      <c r="IQM380" s="669"/>
      <c r="IQN380" s="669"/>
      <c r="IQO380" s="669"/>
      <c r="IQP380" s="669"/>
      <c r="IQQ380" s="669"/>
      <c r="IQR380" s="669"/>
      <c r="IQS380" s="669"/>
      <c r="IQT380" s="669"/>
      <c r="IQU380" s="669"/>
      <c r="IQV380" s="669"/>
      <c r="IQW380" s="669"/>
      <c r="IQX380" s="669"/>
      <c r="IQY380" s="669"/>
      <c r="IQZ380" s="669"/>
      <c r="IRA380" s="669"/>
      <c r="IRB380" s="669"/>
      <c r="IRC380" s="669"/>
      <c r="IRD380" s="669"/>
      <c r="IRE380" s="669"/>
      <c r="IRF380" s="669"/>
      <c r="IRG380" s="669"/>
      <c r="IRH380" s="669"/>
      <c r="IRI380" s="669"/>
      <c r="IRJ380" s="669"/>
      <c r="IRK380" s="669"/>
      <c r="IRL380" s="669"/>
      <c r="IRM380" s="669"/>
      <c r="IRN380" s="669"/>
      <c r="IRO380" s="669"/>
      <c r="IRP380" s="669"/>
      <c r="IRQ380" s="669"/>
      <c r="IRR380" s="669"/>
      <c r="IRS380" s="669"/>
      <c r="IRT380" s="669"/>
      <c r="IRU380" s="669"/>
      <c r="IRV380" s="669"/>
      <c r="IRW380" s="669"/>
      <c r="IRX380" s="669"/>
      <c r="IRY380" s="669"/>
      <c r="IRZ380" s="669"/>
      <c r="ISA380" s="669"/>
      <c r="ISB380" s="669"/>
      <c r="ISC380" s="669"/>
      <c r="ISD380" s="669"/>
      <c r="ISE380" s="669"/>
      <c r="ISF380" s="669"/>
      <c r="ISG380" s="669"/>
      <c r="ISH380" s="669"/>
      <c r="ISI380" s="669"/>
      <c r="ISJ380" s="669"/>
      <c r="ISK380" s="669"/>
      <c r="ISL380" s="669"/>
      <c r="ISM380" s="669"/>
      <c r="ISN380" s="669"/>
      <c r="ISO380" s="669"/>
      <c r="ISP380" s="669"/>
      <c r="ISQ380" s="669"/>
      <c r="ISR380" s="669"/>
      <c r="ISS380" s="669"/>
      <c r="IST380" s="669"/>
      <c r="ISU380" s="669"/>
      <c r="ISV380" s="669"/>
      <c r="ISW380" s="669"/>
      <c r="ISX380" s="669"/>
      <c r="ISY380" s="669"/>
      <c r="ISZ380" s="669"/>
      <c r="ITA380" s="669"/>
      <c r="ITB380" s="669"/>
      <c r="ITC380" s="669"/>
      <c r="ITD380" s="669"/>
      <c r="ITE380" s="669"/>
      <c r="ITF380" s="669"/>
      <c r="ITG380" s="669"/>
      <c r="ITH380" s="669"/>
      <c r="ITI380" s="669"/>
      <c r="ITJ380" s="669"/>
      <c r="ITK380" s="669"/>
      <c r="ITL380" s="669"/>
      <c r="ITM380" s="669"/>
      <c r="ITN380" s="669"/>
      <c r="ITO380" s="669"/>
      <c r="ITP380" s="669"/>
      <c r="ITQ380" s="669"/>
      <c r="ITR380" s="669"/>
      <c r="ITS380" s="669"/>
      <c r="ITT380" s="669"/>
      <c r="ITU380" s="669"/>
      <c r="ITV380" s="669"/>
      <c r="ITW380" s="669"/>
      <c r="ITX380" s="669"/>
      <c r="ITY380" s="669"/>
      <c r="ITZ380" s="669"/>
      <c r="IUA380" s="669"/>
      <c r="IUB380" s="669"/>
      <c r="IUC380" s="669"/>
      <c r="IUD380" s="669"/>
      <c r="IUE380" s="669"/>
      <c r="IUF380" s="669"/>
      <c r="IUG380" s="669"/>
      <c r="IUH380" s="669"/>
      <c r="IUI380" s="669"/>
      <c r="IUJ380" s="669"/>
      <c r="IUK380" s="669"/>
      <c r="IUL380" s="669"/>
      <c r="IUM380" s="669"/>
      <c r="IUN380" s="669"/>
      <c r="IUO380" s="669"/>
      <c r="IUP380" s="669"/>
      <c r="IUQ380" s="669"/>
      <c r="IUR380" s="669"/>
      <c r="IUS380" s="669"/>
      <c r="IUT380" s="669"/>
      <c r="IUU380" s="669"/>
      <c r="IUV380" s="669"/>
      <c r="IUW380" s="669"/>
      <c r="IUX380" s="669"/>
      <c r="IUY380" s="669"/>
      <c r="IUZ380" s="669"/>
      <c r="IVA380" s="669"/>
      <c r="IVB380" s="669"/>
      <c r="IVC380" s="669"/>
      <c r="IVD380" s="669"/>
      <c r="IVE380" s="669"/>
      <c r="IVF380" s="669"/>
      <c r="IVG380" s="669"/>
      <c r="IVH380" s="669"/>
      <c r="IVI380" s="669"/>
      <c r="IVJ380" s="669"/>
      <c r="IVK380" s="669"/>
      <c r="IVL380" s="669"/>
      <c r="IVM380" s="669"/>
      <c r="IVN380" s="669"/>
      <c r="IVO380" s="669"/>
      <c r="IVP380" s="669"/>
      <c r="IVQ380" s="669"/>
      <c r="IVR380" s="669"/>
      <c r="IVS380" s="669"/>
      <c r="IVT380" s="669"/>
      <c r="IVU380" s="669"/>
      <c r="IVV380" s="669"/>
      <c r="IVW380" s="669"/>
      <c r="IVX380" s="669"/>
      <c r="IVY380" s="669"/>
      <c r="IVZ380" s="669"/>
      <c r="IWA380" s="669"/>
      <c r="IWB380" s="669"/>
      <c r="IWC380" s="669"/>
      <c r="IWD380" s="669"/>
      <c r="IWE380" s="669"/>
      <c r="IWF380" s="669"/>
      <c r="IWG380" s="669"/>
      <c r="IWH380" s="669"/>
      <c r="IWI380" s="669"/>
      <c r="IWJ380" s="669"/>
      <c r="IWK380" s="669"/>
      <c r="IWL380" s="669"/>
      <c r="IWM380" s="669"/>
      <c r="IWN380" s="669"/>
      <c r="IWO380" s="669"/>
      <c r="IWP380" s="669"/>
      <c r="IWQ380" s="669"/>
      <c r="IWR380" s="669"/>
      <c r="IWS380" s="669"/>
      <c r="IWT380" s="669"/>
      <c r="IWU380" s="669"/>
      <c r="IWV380" s="669"/>
      <c r="IWW380" s="669"/>
      <c r="IWX380" s="669"/>
      <c r="IWY380" s="669"/>
      <c r="IWZ380" s="669"/>
      <c r="IXA380" s="669"/>
      <c r="IXB380" s="669"/>
      <c r="IXC380" s="669"/>
      <c r="IXD380" s="669"/>
      <c r="IXE380" s="669"/>
      <c r="IXF380" s="669"/>
      <c r="IXG380" s="669"/>
      <c r="IXH380" s="669"/>
      <c r="IXI380" s="669"/>
      <c r="IXJ380" s="669"/>
      <c r="IXK380" s="669"/>
      <c r="IXL380" s="669"/>
      <c r="IXM380" s="669"/>
      <c r="IXN380" s="669"/>
      <c r="IXO380" s="669"/>
      <c r="IXP380" s="669"/>
      <c r="IXQ380" s="669"/>
      <c r="IXR380" s="669"/>
      <c r="IXS380" s="669"/>
      <c r="IXT380" s="669"/>
      <c r="IXU380" s="669"/>
      <c r="IXV380" s="669"/>
      <c r="IXW380" s="669"/>
      <c r="IXX380" s="669"/>
      <c r="IXY380" s="669"/>
      <c r="IXZ380" s="669"/>
      <c r="IYA380" s="669"/>
      <c r="IYB380" s="669"/>
      <c r="IYC380" s="669"/>
      <c r="IYD380" s="669"/>
      <c r="IYE380" s="669"/>
      <c r="IYF380" s="669"/>
      <c r="IYG380" s="669"/>
      <c r="IYH380" s="669"/>
      <c r="IYI380" s="669"/>
      <c r="IYJ380" s="669"/>
      <c r="IYK380" s="669"/>
      <c r="IYL380" s="669"/>
      <c r="IYM380" s="669"/>
      <c r="IYN380" s="669"/>
      <c r="IYO380" s="669"/>
      <c r="IYP380" s="669"/>
      <c r="IYQ380" s="669"/>
      <c r="IYR380" s="669"/>
      <c r="IYS380" s="669"/>
      <c r="IYT380" s="669"/>
      <c r="IYU380" s="669"/>
      <c r="IYV380" s="669"/>
      <c r="IYW380" s="669"/>
      <c r="IYX380" s="669"/>
      <c r="IYY380" s="669"/>
      <c r="IYZ380" s="669"/>
      <c r="IZA380" s="669"/>
      <c r="IZB380" s="669"/>
      <c r="IZC380" s="669"/>
      <c r="IZD380" s="669"/>
      <c r="IZE380" s="669"/>
      <c r="IZF380" s="669"/>
      <c r="IZG380" s="669"/>
      <c r="IZH380" s="669"/>
      <c r="IZI380" s="669"/>
      <c r="IZJ380" s="669"/>
      <c r="IZK380" s="669"/>
      <c r="IZL380" s="669"/>
      <c r="IZM380" s="669"/>
      <c r="IZN380" s="669"/>
      <c r="IZO380" s="669"/>
      <c r="IZP380" s="669"/>
      <c r="IZQ380" s="669"/>
      <c r="IZR380" s="669"/>
      <c r="IZS380" s="669"/>
      <c r="IZT380" s="669"/>
      <c r="IZU380" s="669"/>
      <c r="IZV380" s="669"/>
      <c r="IZW380" s="669"/>
      <c r="IZX380" s="669"/>
      <c r="IZY380" s="669"/>
      <c r="IZZ380" s="669"/>
      <c r="JAA380" s="669"/>
      <c r="JAB380" s="669"/>
      <c r="JAC380" s="669"/>
      <c r="JAD380" s="669"/>
      <c r="JAE380" s="669"/>
      <c r="JAF380" s="669"/>
      <c r="JAG380" s="669"/>
      <c r="JAH380" s="669"/>
      <c r="JAI380" s="669"/>
      <c r="JAJ380" s="669"/>
      <c r="JAK380" s="669"/>
      <c r="JAL380" s="669"/>
      <c r="JAM380" s="669"/>
      <c r="JAN380" s="669"/>
      <c r="JAO380" s="669"/>
      <c r="JAP380" s="669"/>
      <c r="JAQ380" s="669"/>
      <c r="JAR380" s="669"/>
      <c r="JAS380" s="669"/>
      <c r="JAT380" s="669"/>
      <c r="JAU380" s="669"/>
      <c r="JAV380" s="669"/>
      <c r="JAW380" s="669"/>
      <c r="JAX380" s="669"/>
      <c r="JAY380" s="669"/>
      <c r="JAZ380" s="669"/>
      <c r="JBA380" s="669"/>
      <c r="JBB380" s="669"/>
      <c r="JBC380" s="669"/>
      <c r="JBD380" s="669"/>
      <c r="JBE380" s="669"/>
      <c r="JBF380" s="669"/>
      <c r="JBG380" s="669"/>
      <c r="JBH380" s="669"/>
      <c r="JBI380" s="669"/>
      <c r="JBJ380" s="669"/>
      <c r="JBK380" s="669"/>
      <c r="JBL380" s="669"/>
      <c r="JBM380" s="669"/>
      <c r="JBN380" s="669"/>
      <c r="JBO380" s="669"/>
      <c r="JBP380" s="669"/>
      <c r="JBQ380" s="669"/>
      <c r="JBR380" s="669"/>
      <c r="JBS380" s="669"/>
      <c r="JBT380" s="669"/>
      <c r="JBU380" s="669"/>
      <c r="JBV380" s="669"/>
      <c r="JBW380" s="669"/>
      <c r="JBX380" s="669"/>
      <c r="JBY380" s="669"/>
      <c r="JBZ380" s="669"/>
      <c r="JCA380" s="669"/>
      <c r="JCB380" s="669"/>
      <c r="JCC380" s="669"/>
      <c r="JCD380" s="669"/>
      <c r="JCE380" s="669"/>
      <c r="JCF380" s="669"/>
      <c r="JCG380" s="669"/>
      <c r="JCH380" s="669"/>
      <c r="JCI380" s="669"/>
      <c r="JCJ380" s="669"/>
      <c r="JCK380" s="669"/>
      <c r="JCL380" s="669"/>
      <c r="JCM380" s="669"/>
      <c r="JCN380" s="669"/>
      <c r="JCO380" s="669"/>
      <c r="JCP380" s="669"/>
      <c r="JCQ380" s="669"/>
      <c r="JCR380" s="669"/>
      <c r="JCS380" s="669"/>
      <c r="JCT380" s="669"/>
      <c r="JCU380" s="669"/>
      <c r="JCV380" s="669"/>
      <c r="JCW380" s="669"/>
      <c r="JCX380" s="669"/>
      <c r="JCY380" s="669"/>
      <c r="JCZ380" s="669"/>
      <c r="JDA380" s="669"/>
      <c r="JDB380" s="669"/>
      <c r="JDC380" s="669"/>
      <c r="JDD380" s="669"/>
      <c r="JDE380" s="669"/>
      <c r="JDF380" s="669"/>
      <c r="JDG380" s="669"/>
      <c r="JDH380" s="669"/>
      <c r="JDI380" s="669"/>
      <c r="JDJ380" s="669"/>
      <c r="JDK380" s="669"/>
      <c r="JDL380" s="669"/>
      <c r="JDM380" s="669"/>
      <c r="JDN380" s="669"/>
      <c r="JDO380" s="669"/>
      <c r="JDP380" s="669"/>
      <c r="JDQ380" s="669"/>
      <c r="JDR380" s="669"/>
      <c r="JDS380" s="669"/>
      <c r="JDT380" s="669"/>
      <c r="JDU380" s="669"/>
      <c r="JDV380" s="669"/>
      <c r="JDW380" s="669"/>
      <c r="JDX380" s="669"/>
      <c r="JDY380" s="669"/>
      <c r="JDZ380" s="669"/>
      <c r="JEA380" s="669"/>
      <c r="JEB380" s="669"/>
      <c r="JEC380" s="669"/>
      <c r="JED380" s="669"/>
      <c r="JEE380" s="669"/>
      <c r="JEF380" s="669"/>
      <c r="JEG380" s="669"/>
      <c r="JEH380" s="669"/>
      <c r="JEI380" s="669"/>
      <c r="JEJ380" s="669"/>
      <c r="JEK380" s="669"/>
      <c r="JEL380" s="669"/>
      <c r="JEM380" s="669"/>
      <c r="JEN380" s="669"/>
      <c r="JEO380" s="669"/>
      <c r="JEP380" s="669"/>
      <c r="JEQ380" s="669"/>
      <c r="JER380" s="669"/>
      <c r="JES380" s="669"/>
      <c r="JET380" s="669"/>
      <c r="JEU380" s="669"/>
      <c r="JEV380" s="669"/>
      <c r="JEW380" s="669"/>
      <c r="JEX380" s="669"/>
      <c r="JEY380" s="669"/>
      <c r="JEZ380" s="669"/>
      <c r="JFA380" s="669"/>
      <c r="JFB380" s="669"/>
      <c r="JFC380" s="669"/>
      <c r="JFD380" s="669"/>
      <c r="JFE380" s="669"/>
      <c r="JFF380" s="669"/>
      <c r="JFG380" s="669"/>
      <c r="JFH380" s="669"/>
      <c r="JFI380" s="669"/>
      <c r="JFJ380" s="669"/>
      <c r="JFK380" s="669"/>
      <c r="JFL380" s="669"/>
      <c r="JFM380" s="669"/>
      <c r="JFN380" s="669"/>
      <c r="JFO380" s="669"/>
      <c r="JFP380" s="669"/>
      <c r="JFQ380" s="669"/>
      <c r="JFR380" s="669"/>
      <c r="JFS380" s="669"/>
      <c r="JFT380" s="669"/>
      <c r="JFU380" s="669"/>
      <c r="JFV380" s="669"/>
      <c r="JFW380" s="669"/>
      <c r="JFX380" s="669"/>
      <c r="JFY380" s="669"/>
      <c r="JFZ380" s="669"/>
      <c r="JGA380" s="669"/>
      <c r="JGB380" s="669"/>
      <c r="JGC380" s="669"/>
      <c r="JGD380" s="669"/>
      <c r="JGE380" s="669"/>
      <c r="JGF380" s="669"/>
      <c r="JGG380" s="669"/>
      <c r="JGH380" s="669"/>
      <c r="JGI380" s="669"/>
      <c r="JGJ380" s="669"/>
      <c r="JGK380" s="669"/>
      <c r="JGL380" s="669"/>
      <c r="JGM380" s="669"/>
      <c r="JGN380" s="669"/>
      <c r="JGO380" s="669"/>
      <c r="JGP380" s="669"/>
      <c r="JGQ380" s="669"/>
      <c r="JGR380" s="669"/>
      <c r="JGS380" s="669"/>
      <c r="JGT380" s="669"/>
      <c r="JGU380" s="669"/>
      <c r="JGV380" s="669"/>
      <c r="JGW380" s="669"/>
      <c r="JGX380" s="669"/>
      <c r="JGY380" s="669"/>
      <c r="JGZ380" s="669"/>
      <c r="JHA380" s="669"/>
      <c r="JHB380" s="669"/>
      <c r="JHC380" s="669"/>
      <c r="JHD380" s="669"/>
      <c r="JHE380" s="669"/>
      <c r="JHF380" s="669"/>
      <c r="JHG380" s="669"/>
      <c r="JHH380" s="669"/>
      <c r="JHI380" s="669"/>
      <c r="JHJ380" s="669"/>
      <c r="JHK380" s="669"/>
      <c r="JHL380" s="669"/>
      <c r="JHM380" s="669"/>
      <c r="JHN380" s="669"/>
      <c r="JHO380" s="669"/>
      <c r="JHP380" s="669"/>
      <c r="JHQ380" s="669"/>
      <c r="JHR380" s="669"/>
      <c r="JHS380" s="669"/>
      <c r="JHT380" s="669"/>
      <c r="JHU380" s="669"/>
      <c r="JHV380" s="669"/>
      <c r="JHW380" s="669"/>
      <c r="JHX380" s="669"/>
      <c r="JHY380" s="669"/>
      <c r="JHZ380" s="669"/>
      <c r="JIA380" s="669"/>
      <c r="JIB380" s="669"/>
      <c r="JIC380" s="669"/>
      <c r="JID380" s="669"/>
      <c r="JIE380" s="669"/>
      <c r="JIF380" s="669"/>
      <c r="JIG380" s="669"/>
      <c r="JIH380" s="669"/>
      <c r="JII380" s="669"/>
      <c r="JIJ380" s="669"/>
      <c r="JIK380" s="669"/>
      <c r="JIL380" s="669"/>
      <c r="JIM380" s="669"/>
      <c r="JIN380" s="669"/>
      <c r="JIO380" s="669"/>
      <c r="JIP380" s="669"/>
      <c r="JIQ380" s="669"/>
      <c r="JIR380" s="669"/>
      <c r="JIS380" s="669"/>
      <c r="JIT380" s="669"/>
      <c r="JIU380" s="669"/>
      <c r="JIV380" s="669"/>
      <c r="JIW380" s="669"/>
      <c r="JIX380" s="669"/>
      <c r="JIY380" s="669"/>
      <c r="JIZ380" s="669"/>
      <c r="JJA380" s="669"/>
      <c r="JJB380" s="669"/>
      <c r="JJC380" s="669"/>
      <c r="JJD380" s="669"/>
      <c r="JJE380" s="669"/>
      <c r="JJF380" s="669"/>
      <c r="JJG380" s="669"/>
      <c r="JJH380" s="669"/>
      <c r="JJI380" s="669"/>
      <c r="JJJ380" s="669"/>
      <c r="JJK380" s="669"/>
      <c r="JJL380" s="669"/>
      <c r="JJM380" s="669"/>
      <c r="JJN380" s="669"/>
      <c r="JJO380" s="669"/>
      <c r="JJP380" s="669"/>
      <c r="JJQ380" s="669"/>
      <c r="JJR380" s="669"/>
      <c r="JJS380" s="669"/>
      <c r="JJT380" s="669"/>
      <c r="JJU380" s="669"/>
      <c r="JJV380" s="669"/>
      <c r="JJW380" s="669"/>
      <c r="JJX380" s="669"/>
      <c r="JJY380" s="669"/>
      <c r="JJZ380" s="669"/>
      <c r="JKA380" s="669"/>
      <c r="JKB380" s="669"/>
      <c r="JKC380" s="669"/>
      <c r="JKD380" s="669"/>
      <c r="JKE380" s="669"/>
      <c r="JKF380" s="669"/>
      <c r="JKG380" s="669"/>
      <c r="JKH380" s="669"/>
      <c r="JKI380" s="669"/>
      <c r="JKJ380" s="669"/>
      <c r="JKK380" s="669"/>
      <c r="JKL380" s="669"/>
      <c r="JKM380" s="669"/>
      <c r="JKN380" s="669"/>
      <c r="JKO380" s="669"/>
      <c r="JKP380" s="669"/>
      <c r="JKQ380" s="669"/>
      <c r="JKR380" s="669"/>
      <c r="JKS380" s="669"/>
      <c r="JKT380" s="669"/>
      <c r="JKU380" s="669"/>
      <c r="JKV380" s="669"/>
      <c r="JKW380" s="669"/>
      <c r="JKX380" s="669"/>
      <c r="JKY380" s="669"/>
      <c r="JKZ380" s="669"/>
      <c r="JLA380" s="669"/>
      <c r="JLB380" s="669"/>
      <c r="JLC380" s="669"/>
      <c r="JLD380" s="669"/>
      <c r="JLE380" s="669"/>
      <c r="JLF380" s="669"/>
      <c r="JLG380" s="669"/>
      <c r="JLH380" s="669"/>
      <c r="JLI380" s="669"/>
      <c r="JLJ380" s="669"/>
      <c r="JLK380" s="669"/>
      <c r="JLL380" s="669"/>
      <c r="JLM380" s="669"/>
      <c r="JLN380" s="669"/>
      <c r="JLO380" s="669"/>
      <c r="JLP380" s="669"/>
      <c r="JLQ380" s="669"/>
      <c r="JLR380" s="669"/>
      <c r="JLS380" s="669"/>
      <c r="JLT380" s="669"/>
      <c r="JLU380" s="669"/>
      <c r="JLV380" s="669"/>
      <c r="JLW380" s="669"/>
      <c r="JLX380" s="669"/>
      <c r="JLY380" s="669"/>
      <c r="JLZ380" s="669"/>
      <c r="JMA380" s="669"/>
      <c r="JMB380" s="669"/>
      <c r="JMC380" s="669"/>
      <c r="JMD380" s="669"/>
      <c r="JME380" s="669"/>
      <c r="JMF380" s="669"/>
      <c r="JMG380" s="669"/>
      <c r="JMH380" s="669"/>
      <c r="JMI380" s="669"/>
      <c r="JMJ380" s="669"/>
      <c r="JMK380" s="669"/>
      <c r="JML380" s="669"/>
      <c r="JMM380" s="669"/>
      <c r="JMN380" s="669"/>
      <c r="JMO380" s="669"/>
      <c r="JMP380" s="669"/>
      <c r="JMQ380" s="669"/>
      <c r="JMR380" s="669"/>
      <c r="JMS380" s="669"/>
      <c r="JMT380" s="669"/>
      <c r="JMU380" s="669"/>
      <c r="JMV380" s="669"/>
      <c r="JMW380" s="669"/>
      <c r="JMX380" s="669"/>
      <c r="JMY380" s="669"/>
      <c r="JMZ380" s="669"/>
      <c r="JNA380" s="669"/>
      <c r="JNB380" s="669"/>
      <c r="JNC380" s="669"/>
      <c r="JND380" s="669"/>
      <c r="JNE380" s="669"/>
      <c r="JNF380" s="669"/>
      <c r="JNG380" s="669"/>
      <c r="JNH380" s="669"/>
      <c r="JNI380" s="669"/>
      <c r="JNJ380" s="669"/>
      <c r="JNK380" s="669"/>
      <c r="JNL380" s="669"/>
      <c r="JNM380" s="669"/>
      <c r="JNN380" s="669"/>
      <c r="JNO380" s="669"/>
      <c r="JNP380" s="669"/>
      <c r="JNQ380" s="669"/>
      <c r="JNR380" s="669"/>
      <c r="JNS380" s="669"/>
      <c r="JNT380" s="669"/>
      <c r="JNU380" s="669"/>
      <c r="JNV380" s="669"/>
      <c r="JNW380" s="669"/>
      <c r="JNX380" s="669"/>
      <c r="JNY380" s="669"/>
      <c r="JNZ380" s="669"/>
      <c r="JOA380" s="669"/>
      <c r="JOB380" s="669"/>
      <c r="JOC380" s="669"/>
      <c r="JOD380" s="669"/>
      <c r="JOE380" s="669"/>
      <c r="JOF380" s="669"/>
      <c r="JOG380" s="669"/>
      <c r="JOH380" s="669"/>
      <c r="JOI380" s="669"/>
      <c r="JOJ380" s="669"/>
      <c r="JOK380" s="669"/>
      <c r="JOL380" s="669"/>
      <c r="JOM380" s="669"/>
      <c r="JON380" s="669"/>
      <c r="JOO380" s="669"/>
      <c r="JOP380" s="669"/>
      <c r="JOQ380" s="669"/>
      <c r="JOR380" s="669"/>
      <c r="JOS380" s="669"/>
      <c r="JOT380" s="669"/>
      <c r="JOU380" s="669"/>
      <c r="JOV380" s="669"/>
      <c r="JOW380" s="669"/>
      <c r="JOX380" s="669"/>
      <c r="JOY380" s="669"/>
      <c r="JOZ380" s="669"/>
      <c r="JPA380" s="669"/>
      <c r="JPB380" s="669"/>
      <c r="JPC380" s="669"/>
      <c r="JPD380" s="669"/>
      <c r="JPE380" s="669"/>
      <c r="JPF380" s="669"/>
      <c r="JPG380" s="669"/>
      <c r="JPH380" s="669"/>
      <c r="JPI380" s="669"/>
      <c r="JPJ380" s="669"/>
      <c r="JPK380" s="669"/>
      <c r="JPL380" s="669"/>
      <c r="JPM380" s="669"/>
      <c r="JPN380" s="669"/>
      <c r="JPO380" s="669"/>
      <c r="JPP380" s="669"/>
      <c r="JPQ380" s="669"/>
      <c r="JPR380" s="669"/>
      <c r="JPS380" s="669"/>
      <c r="JPT380" s="669"/>
      <c r="JPU380" s="669"/>
      <c r="JPV380" s="669"/>
      <c r="JPW380" s="669"/>
      <c r="JPX380" s="669"/>
      <c r="JPY380" s="669"/>
      <c r="JPZ380" s="669"/>
      <c r="JQA380" s="669"/>
      <c r="JQB380" s="669"/>
      <c r="JQC380" s="669"/>
      <c r="JQD380" s="669"/>
      <c r="JQE380" s="669"/>
      <c r="JQF380" s="669"/>
      <c r="JQG380" s="669"/>
      <c r="JQH380" s="669"/>
      <c r="JQI380" s="669"/>
      <c r="JQJ380" s="669"/>
      <c r="JQK380" s="669"/>
      <c r="JQL380" s="669"/>
      <c r="JQM380" s="669"/>
      <c r="JQN380" s="669"/>
      <c r="JQO380" s="669"/>
      <c r="JQP380" s="669"/>
      <c r="JQQ380" s="669"/>
      <c r="JQR380" s="669"/>
      <c r="JQS380" s="669"/>
      <c r="JQT380" s="669"/>
      <c r="JQU380" s="669"/>
      <c r="JQV380" s="669"/>
      <c r="JQW380" s="669"/>
      <c r="JQX380" s="669"/>
      <c r="JQY380" s="669"/>
      <c r="JQZ380" s="669"/>
      <c r="JRA380" s="669"/>
      <c r="JRB380" s="669"/>
      <c r="JRC380" s="669"/>
      <c r="JRD380" s="669"/>
      <c r="JRE380" s="669"/>
      <c r="JRF380" s="669"/>
      <c r="JRG380" s="669"/>
      <c r="JRH380" s="669"/>
      <c r="JRI380" s="669"/>
      <c r="JRJ380" s="669"/>
      <c r="JRK380" s="669"/>
      <c r="JRL380" s="669"/>
      <c r="JRM380" s="669"/>
      <c r="JRN380" s="669"/>
      <c r="JRO380" s="669"/>
      <c r="JRP380" s="669"/>
      <c r="JRQ380" s="669"/>
      <c r="JRR380" s="669"/>
      <c r="JRS380" s="669"/>
      <c r="JRT380" s="669"/>
      <c r="JRU380" s="669"/>
      <c r="JRV380" s="669"/>
      <c r="JRW380" s="669"/>
      <c r="JRX380" s="669"/>
      <c r="JRY380" s="669"/>
      <c r="JRZ380" s="669"/>
      <c r="JSA380" s="669"/>
      <c r="JSB380" s="669"/>
      <c r="JSC380" s="669"/>
      <c r="JSD380" s="669"/>
      <c r="JSE380" s="669"/>
      <c r="JSF380" s="669"/>
      <c r="JSG380" s="669"/>
      <c r="JSH380" s="669"/>
      <c r="JSI380" s="669"/>
      <c r="JSJ380" s="669"/>
      <c r="JSK380" s="669"/>
      <c r="JSL380" s="669"/>
      <c r="JSM380" s="669"/>
      <c r="JSN380" s="669"/>
      <c r="JSO380" s="669"/>
      <c r="JSP380" s="669"/>
      <c r="JSQ380" s="669"/>
      <c r="JSR380" s="669"/>
      <c r="JSS380" s="669"/>
      <c r="JST380" s="669"/>
      <c r="JSU380" s="669"/>
      <c r="JSV380" s="669"/>
      <c r="JSW380" s="669"/>
      <c r="JSX380" s="669"/>
      <c r="JSY380" s="669"/>
      <c r="JSZ380" s="669"/>
      <c r="JTA380" s="669"/>
      <c r="JTB380" s="669"/>
      <c r="JTC380" s="669"/>
      <c r="JTD380" s="669"/>
      <c r="JTE380" s="669"/>
      <c r="JTF380" s="669"/>
      <c r="JTG380" s="669"/>
      <c r="JTH380" s="669"/>
      <c r="JTI380" s="669"/>
      <c r="JTJ380" s="669"/>
      <c r="JTK380" s="669"/>
      <c r="JTL380" s="669"/>
      <c r="JTM380" s="669"/>
      <c r="JTN380" s="669"/>
      <c r="JTO380" s="669"/>
      <c r="JTP380" s="669"/>
      <c r="JTQ380" s="669"/>
      <c r="JTR380" s="669"/>
      <c r="JTS380" s="669"/>
      <c r="JTT380" s="669"/>
      <c r="JTU380" s="669"/>
      <c r="JTV380" s="669"/>
      <c r="JTW380" s="669"/>
      <c r="JTX380" s="669"/>
      <c r="JTY380" s="669"/>
      <c r="JTZ380" s="669"/>
      <c r="JUA380" s="669"/>
      <c r="JUB380" s="669"/>
      <c r="JUC380" s="669"/>
      <c r="JUD380" s="669"/>
      <c r="JUE380" s="669"/>
      <c r="JUF380" s="669"/>
      <c r="JUG380" s="669"/>
      <c r="JUH380" s="669"/>
      <c r="JUI380" s="669"/>
      <c r="JUJ380" s="669"/>
      <c r="JUK380" s="669"/>
      <c r="JUL380" s="669"/>
      <c r="JUM380" s="669"/>
      <c r="JUN380" s="669"/>
      <c r="JUO380" s="669"/>
      <c r="JUP380" s="669"/>
      <c r="JUQ380" s="669"/>
      <c r="JUR380" s="669"/>
      <c r="JUS380" s="669"/>
      <c r="JUT380" s="669"/>
      <c r="JUU380" s="669"/>
      <c r="JUV380" s="669"/>
      <c r="JUW380" s="669"/>
      <c r="JUX380" s="669"/>
      <c r="JUY380" s="669"/>
      <c r="JUZ380" s="669"/>
      <c r="JVA380" s="669"/>
      <c r="JVB380" s="669"/>
      <c r="JVC380" s="669"/>
      <c r="JVD380" s="669"/>
      <c r="JVE380" s="669"/>
      <c r="JVF380" s="669"/>
      <c r="JVG380" s="669"/>
      <c r="JVH380" s="669"/>
      <c r="JVI380" s="669"/>
      <c r="JVJ380" s="669"/>
      <c r="JVK380" s="669"/>
      <c r="JVL380" s="669"/>
      <c r="JVM380" s="669"/>
      <c r="JVN380" s="669"/>
      <c r="JVO380" s="669"/>
      <c r="JVP380" s="669"/>
      <c r="JVQ380" s="669"/>
      <c r="JVR380" s="669"/>
      <c r="JVS380" s="669"/>
      <c r="JVT380" s="669"/>
      <c r="JVU380" s="669"/>
      <c r="JVV380" s="669"/>
      <c r="JVW380" s="669"/>
      <c r="JVX380" s="669"/>
      <c r="JVY380" s="669"/>
      <c r="JVZ380" s="669"/>
      <c r="JWA380" s="669"/>
      <c r="JWB380" s="669"/>
      <c r="JWC380" s="669"/>
      <c r="JWD380" s="669"/>
      <c r="JWE380" s="669"/>
      <c r="JWF380" s="669"/>
      <c r="JWG380" s="669"/>
      <c r="JWH380" s="669"/>
      <c r="JWI380" s="669"/>
      <c r="JWJ380" s="669"/>
      <c r="JWK380" s="669"/>
      <c r="JWL380" s="669"/>
      <c r="JWM380" s="669"/>
      <c r="JWN380" s="669"/>
      <c r="JWO380" s="669"/>
      <c r="JWP380" s="669"/>
      <c r="JWQ380" s="669"/>
      <c r="JWR380" s="669"/>
      <c r="JWS380" s="669"/>
      <c r="JWT380" s="669"/>
      <c r="JWU380" s="669"/>
      <c r="JWV380" s="669"/>
      <c r="JWW380" s="669"/>
      <c r="JWX380" s="669"/>
      <c r="JWY380" s="669"/>
      <c r="JWZ380" s="669"/>
      <c r="JXA380" s="669"/>
      <c r="JXB380" s="669"/>
      <c r="JXC380" s="669"/>
      <c r="JXD380" s="669"/>
      <c r="JXE380" s="669"/>
      <c r="JXF380" s="669"/>
      <c r="JXG380" s="669"/>
      <c r="JXH380" s="669"/>
      <c r="JXI380" s="669"/>
      <c r="JXJ380" s="669"/>
      <c r="JXK380" s="669"/>
      <c r="JXL380" s="669"/>
      <c r="JXM380" s="669"/>
      <c r="JXN380" s="669"/>
      <c r="JXO380" s="669"/>
      <c r="JXP380" s="669"/>
      <c r="JXQ380" s="669"/>
      <c r="JXR380" s="669"/>
      <c r="JXS380" s="669"/>
      <c r="JXT380" s="669"/>
      <c r="JXU380" s="669"/>
      <c r="JXV380" s="669"/>
      <c r="JXW380" s="669"/>
      <c r="JXX380" s="669"/>
      <c r="JXY380" s="669"/>
      <c r="JXZ380" s="669"/>
      <c r="JYA380" s="669"/>
      <c r="JYB380" s="669"/>
      <c r="JYC380" s="669"/>
      <c r="JYD380" s="669"/>
      <c r="JYE380" s="669"/>
      <c r="JYF380" s="669"/>
      <c r="JYG380" s="669"/>
      <c r="JYH380" s="669"/>
      <c r="JYI380" s="669"/>
      <c r="JYJ380" s="669"/>
      <c r="JYK380" s="669"/>
      <c r="JYL380" s="669"/>
      <c r="JYM380" s="669"/>
      <c r="JYN380" s="669"/>
      <c r="JYO380" s="669"/>
      <c r="JYP380" s="669"/>
      <c r="JYQ380" s="669"/>
      <c r="JYR380" s="669"/>
      <c r="JYS380" s="669"/>
      <c r="JYT380" s="669"/>
      <c r="JYU380" s="669"/>
      <c r="JYV380" s="669"/>
      <c r="JYW380" s="669"/>
      <c r="JYX380" s="669"/>
      <c r="JYY380" s="669"/>
      <c r="JYZ380" s="669"/>
      <c r="JZA380" s="669"/>
      <c r="JZB380" s="669"/>
      <c r="JZC380" s="669"/>
      <c r="JZD380" s="669"/>
      <c r="JZE380" s="669"/>
      <c r="JZF380" s="669"/>
      <c r="JZG380" s="669"/>
      <c r="JZH380" s="669"/>
      <c r="JZI380" s="669"/>
      <c r="JZJ380" s="669"/>
      <c r="JZK380" s="669"/>
      <c r="JZL380" s="669"/>
      <c r="JZM380" s="669"/>
      <c r="JZN380" s="669"/>
      <c r="JZO380" s="669"/>
      <c r="JZP380" s="669"/>
      <c r="JZQ380" s="669"/>
      <c r="JZR380" s="669"/>
      <c r="JZS380" s="669"/>
      <c r="JZT380" s="669"/>
      <c r="JZU380" s="669"/>
      <c r="JZV380" s="669"/>
      <c r="JZW380" s="669"/>
      <c r="JZX380" s="669"/>
      <c r="JZY380" s="669"/>
      <c r="JZZ380" s="669"/>
      <c r="KAA380" s="669"/>
      <c r="KAB380" s="669"/>
      <c r="KAC380" s="669"/>
      <c r="KAD380" s="669"/>
      <c r="KAE380" s="669"/>
      <c r="KAF380" s="669"/>
      <c r="KAG380" s="669"/>
      <c r="KAH380" s="669"/>
      <c r="KAI380" s="669"/>
      <c r="KAJ380" s="669"/>
      <c r="KAK380" s="669"/>
      <c r="KAL380" s="669"/>
      <c r="KAM380" s="669"/>
      <c r="KAN380" s="669"/>
      <c r="KAO380" s="669"/>
      <c r="KAP380" s="669"/>
      <c r="KAQ380" s="669"/>
      <c r="KAR380" s="669"/>
      <c r="KAS380" s="669"/>
      <c r="KAT380" s="669"/>
      <c r="KAU380" s="669"/>
      <c r="KAV380" s="669"/>
      <c r="KAW380" s="669"/>
      <c r="KAX380" s="669"/>
      <c r="KAY380" s="669"/>
      <c r="KAZ380" s="669"/>
      <c r="KBA380" s="669"/>
      <c r="KBB380" s="669"/>
      <c r="KBC380" s="669"/>
      <c r="KBD380" s="669"/>
      <c r="KBE380" s="669"/>
      <c r="KBF380" s="669"/>
      <c r="KBG380" s="669"/>
      <c r="KBH380" s="669"/>
      <c r="KBI380" s="669"/>
      <c r="KBJ380" s="669"/>
      <c r="KBK380" s="669"/>
      <c r="KBL380" s="669"/>
      <c r="KBM380" s="669"/>
      <c r="KBN380" s="669"/>
      <c r="KBO380" s="669"/>
      <c r="KBP380" s="669"/>
      <c r="KBQ380" s="669"/>
      <c r="KBR380" s="669"/>
      <c r="KBS380" s="669"/>
      <c r="KBT380" s="669"/>
      <c r="KBU380" s="669"/>
      <c r="KBV380" s="669"/>
      <c r="KBW380" s="669"/>
      <c r="KBX380" s="669"/>
      <c r="KBY380" s="669"/>
      <c r="KBZ380" s="669"/>
      <c r="KCA380" s="669"/>
      <c r="KCB380" s="669"/>
      <c r="KCC380" s="669"/>
      <c r="KCD380" s="669"/>
      <c r="KCE380" s="669"/>
      <c r="KCF380" s="669"/>
      <c r="KCG380" s="669"/>
      <c r="KCH380" s="669"/>
      <c r="KCI380" s="669"/>
      <c r="KCJ380" s="669"/>
      <c r="KCK380" s="669"/>
      <c r="KCL380" s="669"/>
      <c r="KCM380" s="669"/>
      <c r="KCN380" s="669"/>
      <c r="KCO380" s="669"/>
      <c r="KCP380" s="669"/>
      <c r="KCQ380" s="669"/>
      <c r="KCR380" s="669"/>
      <c r="KCS380" s="669"/>
      <c r="KCT380" s="669"/>
      <c r="KCU380" s="669"/>
      <c r="KCV380" s="669"/>
      <c r="KCW380" s="669"/>
      <c r="KCX380" s="669"/>
      <c r="KCY380" s="669"/>
      <c r="KCZ380" s="669"/>
      <c r="KDA380" s="669"/>
      <c r="KDB380" s="669"/>
      <c r="KDC380" s="669"/>
      <c r="KDD380" s="669"/>
      <c r="KDE380" s="669"/>
      <c r="KDF380" s="669"/>
      <c r="KDG380" s="669"/>
      <c r="KDH380" s="669"/>
      <c r="KDI380" s="669"/>
      <c r="KDJ380" s="669"/>
      <c r="KDK380" s="669"/>
      <c r="KDL380" s="669"/>
      <c r="KDM380" s="669"/>
      <c r="KDN380" s="669"/>
      <c r="KDO380" s="669"/>
      <c r="KDP380" s="669"/>
      <c r="KDQ380" s="669"/>
      <c r="KDR380" s="669"/>
      <c r="KDS380" s="669"/>
      <c r="KDT380" s="669"/>
      <c r="KDU380" s="669"/>
      <c r="KDV380" s="669"/>
      <c r="KDW380" s="669"/>
      <c r="KDX380" s="669"/>
      <c r="KDY380" s="669"/>
      <c r="KDZ380" s="669"/>
      <c r="KEA380" s="669"/>
      <c r="KEB380" s="669"/>
      <c r="KEC380" s="669"/>
      <c r="KED380" s="669"/>
      <c r="KEE380" s="669"/>
      <c r="KEF380" s="669"/>
      <c r="KEG380" s="669"/>
      <c r="KEH380" s="669"/>
      <c r="KEI380" s="669"/>
      <c r="KEJ380" s="669"/>
      <c r="KEK380" s="669"/>
      <c r="KEL380" s="669"/>
      <c r="KEM380" s="669"/>
      <c r="KEN380" s="669"/>
      <c r="KEO380" s="669"/>
      <c r="KEP380" s="669"/>
      <c r="KEQ380" s="669"/>
      <c r="KER380" s="669"/>
      <c r="KES380" s="669"/>
      <c r="KET380" s="669"/>
      <c r="KEU380" s="669"/>
      <c r="KEV380" s="669"/>
      <c r="KEW380" s="669"/>
      <c r="KEX380" s="669"/>
      <c r="KEY380" s="669"/>
      <c r="KEZ380" s="669"/>
      <c r="KFA380" s="669"/>
      <c r="KFB380" s="669"/>
      <c r="KFC380" s="669"/>
      <c r="KFD380" s="669"/>
      <c r="KFE380" s="669"/>
      <c r="KFF380" s="669"/>
      <c r="KFG380" s="669"/>
      <c r="KFH380" s="669"/>
      <c r="KFI380" s="669"/>
      <c r="KFJ380" s="669"/>
      <c r="KFK380" s="669"/>
      <c r="KFL380" s="669"/>
      <c r="KFM380" s="669"/>
      <c r="KFN380" s="669"/>
      <c r="KFO380" s="669"/>
      <c r="KFP380" s="669"/>
      <c r="KFQ380" s="669"/>
      <c r="KFR380" s="669"/>
      <c r="KFS380" s="669"/>
      <c r="KFT380" s="669"/>
      <c r="KFU380" s="669"/>
      <c r="KFV380" s="669"/>
      <c r="KFW380" s="669"/>
      <c r="KFX380" s="669"/>
      <c r="KFY380" s="669"/>
      <c r="KFZ380" s="669"/>
      <c r="KGA380" s="669"/>
      <c r="KGB380" s="669"/>
      <c r="KGC380" s="669"/>
      <c r="KGD380" s="669"/>
      <c r="KGE380" s="669"/>
      <c r="KGF380" s="669"/>
      <c r="KGG380" s="669"/>
      <c r="KGH380" s="669"/>
      <c r="KGI380" s="669"/>
      <c r="KGJ380" s="669"/>
      <c r="KGK380" s="669"/>
      <c r="KGL380" s="669"/>
      <c r="KGM380" s="669"/>
      <c r="KGN380" s="669"/>
      <c r="KGO380" s="669"/>
      <c r="KGP380" s="669"/>
      <c r="KGQ380" s="669"/>
      <c r="KGR380" s="669"/>
      <c r="KGS380" s="669"/>
      <c r="KGT380" s="669"/>
      <c r="KGU380" s="669"/>
      <c r="KGV380" s="669"/>
      <c r="KGW380" s="669"/>
      <c r="KGX380" s="669"/>
      <c r="KGY380" s="669"/>
      <c r="KGZ380" s="669"/>
      <c r="KHA380" s="669"/>
      <c r="KHB380" s="669"/>
      <c r="KHC380" s="669"/>
      <c r="KHD380" s="669"/>
      <c r="KHE380" s="669"/>
      <c r="KHF380" s="669"/>
      <c r="KHG380" s="669"/>
      <c r="KHH380" s="669"/>
      <c r="KHI380" s="669"/>
      <c r="KHJ380" s="669"/>
      <c r="KHK380" s="669"/>
      <c r="KHL380" s="669"/>
      <c r="KHM380" s="669"/>
      <c r="KHN380" s="669"/>
      <c r="KHO380" s="669"/>
      <c r="KHP380" s="669"/>
      <c r="KHQ380" s="669"/>
      <c r="KHR380" s="669"/>
      <c r="KHS380" s="669"/>
      <c r="KHT380" s="669"/>
      <c r="KHU380" s="669"/>
      <c r="KHV380" s="669"/>
      <c r="KHW380" s="669"/>
      <c r="KHX380" s="669"/>
      <c r="KHY380" s="669"/>
      <c r="KHZ380" s="669"/>
      <c r="KIA380" s="669"/>
      <c r="KIB380" s="669"/>
      <c r="KIC380" s="669"/>
      <c r="KID380" s="669"/>
      <c r="KIE380" s="669"/>
      <c r="KIF380" s="669"/>
      <c r="KIG380" s="669"/>
      <c r="KIH380" s="669"/>
      <c r="KII380" s="669"/>
      <c r="KIJ380" s="669"/>
      <c r="KIK380" s="669"/>
      <c r="KIL380" s="669"/>
      <c r="KIM380" s="669"/>
      <c r="KIN380" s="669"/>
      <c r="KIO380" s="669"/>
      <c r="KIP380" s="669"/>
      <c r="KIQ380" s="669"/>
      <c r="KIR380" s="669"/>
      <c r="KIS380" s="669"/>
      <c r="KIT380" s="669"/>
      <c r="KIU380" s="669"/>
      <c r="KIV380" s="669"/>
      <c r="KIW380" s="669"/>
      <c r="KIX380" s="669"/>
      <c r="KIY380" s="669"/>
      <c r="KIZ380" s="669"/>
      <c r="KJA380" s="669"/>
      <c r="KJB380" s="669"/>
      <c r="KJC380" s="669"/>
      <c r="KJD380" s="669"/>
      <c r="KJE380" s="669"/>
      <c r="KJF380" s="669"/>
      <c r="KJG380" s="669"/>
      <c r="KJH380" s="669"/>
      <c r="KJI380" s="669"/>
      <c r="KJJ380" s="669"/>
      <c r="KJK380" s="669"/>
      <c r="KJL380" s="669"/>
      <c r="KJM380" s="669"/>
      <c r="KJN380" s="669"/>
      <c r="KJO380" s="669"/>
      <c r="KJP380" s="669"/>
      <c r="KJQ380" s="669"/>
      <c r="KJR380" s="669"/>
      <c r="KJS380" s="669"/>
      <c r="KJT380" s="669"/>
      <c r="KJU380" s="669"/>
      <c r="KJV380" s="669"/>
      <c r="KJW380" s="669"/>
      <c r="KJX380" s="669"/>
      <c r="KJY380" s="669"/>
      <c r="KJZ380" s="669"/>
      <c r="KKA380" s="669"/>
      <c r="KKB380" s="669"/>
      <c r="KKC380" s="669"/>
      <c r="KKD380" s="669"/>
      <c r="KKE380" s="669"/>
      <c r="KKF380" s="669"/>
      <c r="KKG380" s="669"/>
      <c r="KKH380" s="669"/>
      <c r="KKI380" s="669"/>
      <c r="KKJ380" s="669"/>
      <c r="KKK380" s="669"/>
      <c r="KKL380" s="669"/>
      <c r="KKM380" s="669"/>
      <c r="KKN380" s="669"/>
      <c r="KKO380" s="669"/>
      <c r="KKP380" s="669"/>
      <c r="KKQ380" s="669"/>
      <c r="KKR380" s="669"/>
      <c r="KKS380" s="669"/>
      <c r="KKT380" s="669"/>
      <c r="KKU380" s="669"/>
      <c r="KKV380" s="669"/>
      <c r="KKW380" s="669"/>
      <c r="KKX380" s="669"/>
      <c r="KKY380" s="669"/>
      <c r="KKZ380" s="669"/>
      <c r="KLA380" s="669"/>
      <c r="KLB380" s="669"/>
      <c r="KLC380" s="669"/>
      <c r="KLD380" s="669"/>
      <c r="KLE380" s="669"/>
      <c r="KLF380" s="669"/>
      <c r="KLG380" s="669"/>
      <c r="KLH380" s="669"/>
      <c r="KLI380" s="669"/>
      <c r="KLJ380" s="669"/>
      <c r="KLK380" s="669"/>
      <c r="KLL380" s="669"/>
      <c r="KLM380" s="669"/>
      <c r="KLN380" s="669"/>
      <c r="KLO380" s="669"/>
      <c r="KLP380" s="669"/>
      <c r="KLQ380" s="669"/>
      <c r="KLR380" s="669"/>
      <c r="KLS380" s="669"/>
      <c r="KLT380" s="669"/>
      <c r="KLU380" s="669"/>
      <c r="KLV380" s="669"/>
      <c r="KLW380" s="669"/>
      <c r="KLX380" s="669"/>
      <c r="KLY380" s="669"/>
      <c r="KLZ380" s="669"/>
      <c r="KMA380" s="669"/>
      <c r="KMB380" s="669"/>
      <c r="KMC380" s="669"/>
      <c r="KMD380" s="669"/>
      <c r="KME380" s="669"/>
      <c r="KMF380" s="669"/>
      <c r="KMG380" s="669"/>
      <c r="KMH380" s="669"/>
      <c r="KMI380" s="669"/>
      <c r="KMJ380" s="669"/>
      <c r="KMK380" s="669"/>
      <c r="KML380" s="669"/>
      <c r="KMM380" s="669"/>
      <c r="KMN380" s="669"/>
      <c r="KMO380" s="669"/>
      <c r="KMP380" s="669"/>
      <c r="KMQ380" s="669"/>
      <c r="KMR380" s="669"/>
      <c r="KMS380" s="669"/>
      <c r="KMT380" s="669"/>
      <c r="KMU380" s="669"/>
      <c r="KMV380" s="669"/>
      <c r="KMW380" s="669"/>
      <c r="KMX380" s="669"/>
      <c r="KMY380" s="669"/>
      <c r="KMZ380" s="669"/>
      <c r="KNA380" s="669"/>
      <c r="KNB380" s="669"/>
      <c r="KNC380" s="669"/>
      <c r="KND380" s="669"/>
      <c r="KNE380" s="669"/>
      <c r="KNF380" s="669"/>
      <c r="KNG380" s="669"/>
      <c r="KNH380" s="669"/>
      <c r="KNI380" s="669"/>
      <c r="KNJ380" s="669"/>
      <c r="KNK380" s="669"/>
      <c r="KNL380" s="669"/>
      <c r="KNM380" s="669"/>
      <c r="KNN380" s="669"/>
      <c r="KNO380" s="669"/>
      <c r="KNP380" s="669"/>
      <c r="KNQ380" s="669"/>
      <c r="KNR380" s="669"/>
      <c r="KNS380" s="669"/>
      <c r="KNT380" s="669"/>
      <c r="KNU380" s="669"/>
      <c r="KNV380" s="669"/>
      <c r="KNW380" s="669"/>
      <c r="KNX380" s="669"/>
      <c r="KNY380" s="669"/>
      <c r="KNZ380" s="669"/>
      <c r="KOA380" s="669"/>
      <c r="KOB380" s="669"/>
      <c r="KOC380" s="669"/>
      <c r="KOD380" s="669"/>
      <c r="KOE380" s="669"/>
      <c r="KOF380" s="669"/>
      <c r="KOG380" s="669"/>
      <c r="KOH380" s="669"/>
      <c r="KOI380" s="669"/>
      <c r="KOJ380" s="669"/>
      <c r="KOK380" s="669"/>
      <c r="KOL380" s="669"/>
      <c r="KOM380" s="669"/>
      <c r="KON380" s="669"/>
      <c r="KOO380" s="669"/>
      <c r="KOP380" s="669"/>
      <c r="KOQ380" s="669"/>
      <c r="KOR380" s="669"/>
      <c r="KOS380" s="669"/>
      <c r="KOT380" s="669"/>
      <c r="KOU380" s="669"/>
      <c r="KOV380" s="669"/>
      <c r="KOW380" s="669"/>
      <c r="KOX380" s="669"/>
      <c r="KOY380" s="669"/>
      <c r="KOZ380" s="669"/>
      <c r="KPA380" s="669"/>
      <c r="KPB380" s="669"/>
      <c r="KPC380" s="669"/>
      <c r="KPD380" s="669"/>
      <c r="KPE380" s="669"/>
      <c r="KPF380" s="669"/>
      <c r="KPG380" s="669"/>
      <c r="KPH380" s="669"/>
      <c r="KPI380" s="669"/>
      <c r="KPJ380" s="669"/>
      <c r="KPK380" s="669"/>
      <c r="KPL380" s="669"/>
      <c r="KPM380" s="669"/>
      <c r="KPN380" s="669"/>
      <c r="KPO380" s="669"/>
      <c r="KPP380" s="669"/>
      <c r="KPQ380" s="669"/>
      <c r="KPR380" s="669"/>
      <c r="KPS380" s="669"/>
      <c r="KPT380" s="669"/>
      <c r="KPU380" s="669"/>
      <c r="KPV380" s="669"/>
      <c r="KPW380" s="669"/>
      <c r="KPX380" s="669"/>
      <c r="KPY380" s="669"/>
      <c r="KPZ380" s="669"/>
      <c r="KQA380" s="669"/>
      <c r="KQB380" s="669"/>
      <c r="KQC380" s="669"/>
      <c r="KQD380" s="669"/>
      <c r="KQE380" s="669"/>
      <c r="KQF380" s="669"/>
      <c r="KQG380" s="669"/>
      <c r="KQH380" s="669"/>
      <c r="KQI380" s="669"/>
      <c r="KQJ380" s="669"/>
      <c r="KQK380" s="669"/>
      <c r="KQL380" s="669"/>
      <c r="KQM380" s="669"/>
      <c r="KQN380" s="669"/>
      <c r="KQO380" s="669"/>
      <c r="KQP380" s="669"/>
      <c r="KQQ380" s="669"/>
      <c r="KQR380" s="669"/>
      <c r="KQS380" s="669"/>
      <c r="KQT380" s="669"/>
      <c r="KQU380" s="669"/>
      <c r="KQV380" s="669"/>
      <c r="KQW380" s="669"/>
      <c r="KQX380" s="669"/>
      <c r="KQY380" s="669"/>
      <c r="KQZ380" s="669"/>
      <c r="KRA380" s="669"/>
      <c r="KRB380" s="669"/>
      <c r="KRC380" s="669"/>
      <c r="KRD380" s="669"/>
      <c r="KRE380" s="669"/>
      <c r="KRF380" s="669"/>
      <c r="KRG380" s="669"/>
      <c r="KRH380" s="669"/>
      <c r="KRI380" s="669"/>
      <c r="KRJ380" s="669"/>
      <c r="KRK380" s="669"/>
      <c r="KRL380" s="669"/>
      <c r="KRM380" s="669"/>
      <c r="KRN380" s="669"/>
      <c r="KRO380" s="669"/>
      <c r="KRP380" s="669"/>
      <c r="KRQ380" s="669"/>
      <c r="KRR380" s="669"/>
      <c r="KRS380" s="669"/>
      <c r="KRT380" s="669"/>
      <c r="KRU380" s="669"/>
      <c r="KRV380" s="669"/>
      <c r="KRW380" s="669"/>
      <c r="KRX380" s="669"/>
      <c r="KRY380" s="669"/>
      <c r="KRZ380" s="669"/>
      <c r="KSA380" s="669"/>
      <c r="KSB380" s="669"/>
      <c r="KSC380" s="669"/>
      <c r="KSD380" s="669"/>
      <c r="KSE380" s="669"/>
      <c r="KSF380" s="669"/>
      <c r="KSG380" s="669"/>
      <c r="KSH380" s="669"/>
      <c r="KSI380" s="669"/>
      <c r="KSJ380" s="669"/>
      <c r="KSK380" s="669"/>
      <c r="KSL380" s="669"/>
      <c r="KSM380" s="669"/>
      <c r="KSN380" s="669"/>
      <c r="KSO380" s="669"/>
      <c r="KSP380" s="669"/>
      <c r="KSQ380" s="669"/>
      <c r="KSR380" s="669"/>
      <c r="KSS380" s="669"/>
      <c r="KST380" s="669"/>
      <c r="KSU380" s="669"/>
      <c r="KSV380" s="669"/>
      <c r="KSW380" s="669"/>
      <c r="KSX380" s="669"/>
      <c r="KSY380" s="669"/>
      <c r="KSZ380" s="669"/>
      <c r="KTA380" s="669"/>
      <c r="KTB380" s="669"/>
      <c r="KTC380" s="669"/>
      <c r="KTD380" s="669"/>
      <c r="KTE380" s="669"/>
      <c r="KTF380" s="669"/>
      <c r="KTG380" s="669"/>
      <c r="KTH380" s="669"/>
      <c r="KTI380" s="669"/>
      <c r="KTJ380" s="669"/>
      <c r="KTK380" s="669"/>
      <c r="KTL380" s="669"/>
      <c r="KTM380" s="669"/>
      <c r="KTN380" s="669"/>
      <c r="KTO380" s="669"/>
      <c r="KTP380" s="669"/>
      <c r="KTQ380" s="669"/>
      <c r="KTR380" s="669"/>
      <c r="KTS380" s="669"/>
      <c r="KTT380" s="669"/>
      <c r="KTU380" s="669"/>
      <c r="KTV380" s="669"/>
      <c r="KTW380" s="669"/>
      <c r="KTX380" s="669"/>
      <c r="KTY380" s="669"/>
      <c r="KTZ380" s="669"/>
      <c r="KUA380" s="669"/>
      <c r="KUB380" s="669"/>
      <c r="KUC380" s="669"/>
      <c r="KUD380" s="669"/>
      <c r="KUE380" s="669"/>
      <c r="KUF380" s="669"/>
      <c r="KUG380" s="669"/>
      <c r="KUH380" s="669"/>
      <c r="KUI380" s="669"/>
      <c r="KUJ380" s="669"/>
      <c r="KUK380" s="669"/>
      <c r="KUL380" s="669"/>
      <c r="KUM380" s="669"/>
      <c r="KUN380" s="669"/>
      <c r="KUO380" s="669"/>
      <c r="KUP380" s="669"/>
      <c r="KUQ380" s="669"/>
      <c r="KUR380" s="669"/>
      <c r="KUS380" s="669"/>
      <c r="KUT380" s="669"/>
      <c r="KUU380" s="669"/>
      <c r="KUV380" s="669"/>
      <c r="KUW380" s="669"/>
      <c r="KUX380" s="669"/>
      <c r="KUY380" s="669"/>
      <c r="KUZ380" s="669"/>
      <c r="KVA380" s="669"/>
      <c r="KVB380" s="669"/>
      <c r="KVC380" s="669"/>
      <c r="KVD380" s="669"/>
      <c r="KVE380" s="669"/>
      <c r="KVF380" s="669"/>
      <c r="KVG380" s="669"/>
      <c r="KVH380" s="669"/>
      <c r="KVI380" s="669"/>
      <c r="KVJ380" s="669"/>
      <c r="KVK380" s="669"/>
      <c r="KVL380" s="669"/>
      <c r="KVM380" s="669"/>
      <c r="KVN380" s="669"/>
      <c r="KVO380" s="669"/>
      <c r="KVP380" s="669"/>
      <c r="KVQ380" s="669"/>
      <c r="KVR380" s="669"/>
      <c r="KVS380" s="669"/>
      <c r="KVT380" s="669"/>
      <c r="KVU380" s="669"/>
      <c r="KVV380" s="669"/>
      <c r="KVW380" s="669"/>
      <c r="KVX380" s="669"/>
      <c r="KVY380" s="669"/>
      <c r="KVZ380" s="669"/>
      <c r="KWA380" s="669"/>
      <c r="KWB380" s="669"/>
      <c r="KWC380" s="669"/>
      <c r="KWD380" s="669"/>
      <c r="KWE380" s="669"/>
      <c r="KWF380" s="669"/>
      <c r="KWG380" s="669"/>
      <c r="KWH380" s="669"/>
      <c r="KWI380" s="669"/>
      <c r="KWJ380" s="669"/>
      <c r="KWK380" s="669"/>
      <c r="KWL380" s="669"/>
      <c r="KWM380" s="669"/>
      <c r="KWN380" s="669"/>
      <c r="KWO380" s="669"/>
      <c r="KWP380" s="669"/>
      <c r="KWQ380" s="669"/>
      <c r="KWR380" s="669"/>
      <c r="KWS380" s="669"/>
      <c r="KWT380" s="669"/>
      <c r="KWU380" s="669"/>
      <c r="KWV380" s="669"/>
      <c r="KWW380" s="669"/>
      <c r="KWX380" s="669"/>
      <c r="KWY380" s="669"/>
      <c r="KWZ380" s="669"/>
      <c r="KXA380" s="669"/>
      <c r="KXB380" s="669"/>
      <c r="KXC380" s="669"/>
      <c r="KXD380" s="669"/>
      <c r="KXE380" s="669"/>
      <c r="KXF380" s="669"/>
      <c r="KXG380" s="669"/>
      <c r="KXH380" s="669"/>
      <c r="KXI380" s="669"/>
      <c r="KXJ380" s="669"/>
      <c r="KXK380" s="669"/>
      <c r="KXL380" s="669"/>
      <c r="KXM380" s="669"/>
      <c r="KXN380" s="669"/>
      <c r="KXO380" s="669"/>
      <c r="KXP380" s="669"/>
      <c r="KXQ380" s="669"/>
      <c r="KXR380" s="669"/>
      <c r="KXS380" s="669"/>
      <c r="KXT380" s="669"/>
      <c r="KXU380" s="669"/>
      <c r="KXV380" s="669"/>
      <c r="KXW380" s="669"/>
      <c r="KXX380" s="669"/>
      <c r="KXY380" s="669"/>
      <c r="KXZ380" s="669"/>
      <c r="KYA380" s="669"/>
      <c r="KYB380" s="669"/>
      <c r="KYC380" s="669"/>
      <c r="KYD380" s="669"/>
      <c r="KYE380" s="669"/>
      <c r="KYF380" s="669"/>
      <c r="KYG380" s="669"/>
      <c r="KYH380" s="669"/>
      <c r="KYI380" s="669"/>
      <c r="KYJ380" s="669"/>
      <c r="KYK380" s="669"/>
      <c r="KYL380" s="669"/>
      <c r="KYM380" s="669"/>
      <c r="KYN380" s="669"/>
      <c r="KYO380" s="669"/>
      <c r="KYP380" s="669"/>
      <c r="KYQ380" s="669"/>
      <c r="KYR380" s="669"/>
      <c r="KYS380" s="669"/>
      <c r="KYT380" s="669"/>
      <c r="KYU380" s="669"/>
      <c r="KYV380" s="669"/>
      <c r="KYW380" s="669"/>
      <c r="KYX380" s="669"/>
      <c r="KYY380" s="669"/>
      <c r="KYZ380" s="669"/>
      <c r="KZA380" s="669"/>
      <c r="KZB380" s="669"/>
      <c r="KZC380" s="669"/>
      <c r="KZD380" s="669"/>
      <c r="KZE380" s="669"/>
      <c r="KZF380" s="669"/>
      <c r="KZG380" s="669"/>
      <c r="KZH380" s="669"/>
      <c r="KZI380" s="669"/>
      <c r="KZJ380" s="669"/>
      <c r="KZK380" s="669"/>
      <c r="KZL380" s="669"/>
      <c r="KZM380" s="669"/>
      <c r="KZN380" s="669"/>
      <c r="KZO380" s="669"/>
      <c r="KZP380" s="669"/>
      <c r="KZQ380" s="669"/>
      <c r="KZR380" s="669"/>
      <c r="KZS380" s="669"/>
      <c r="KZT380" s="669"/>
      <c r="KZU380" s="669"/>
      <c r="KZV380" s="669"/>
      <c r="KZW380" s="669"/>
      <c r="KZX380" s="669"/>
      <c r="KZY380" s="669"/>
      <c r="KZZ380" s="669"/>
      <c r="LAA380" s="669"/>
      <c r="LAB380" s="669"/>
      <c r="LAC380" s="669"/>
      <c r="LAD380" s="669"/>
      <c r="LAE380" s="669"/>
      <c r="LAF380" s="669"/>
      <c r="LAG380" s="669"/>
      <c r="LAH380" s="669"/>
      <c r="LAI380" s="669"/>
      <c r="LAJ380" s="669"/>
      <c r="LAK380" s="669"/>
      <c r="LAL380" s="669"/>
      <c r="LAM380" s="669"/>
      <c r="LAN380" s="669"/>
      <c r="LAO380" s="669"/>
      <c r="LAP380" s="669"/>
      <c r="LAQ380" s="669"/>
      <c r="LAR380" s="669"/>
      <c r="LAS380" s="669"/>
      <c r="LAT380" s="669"/>
      <c r="LAU380" s="669"/>
      <c r="LAV380" s="669"/>
      <c r="LAW380" s="669"/>
      <c r="LAX380" s="669"/>
      <c r="LAY380" s="669"/>
      <c r="LAZ380" s="669"/>
      <c r="LBA380" s="669"/>
      <c r="LBB380" s="669"/>
      <c r="LBC380" s="669"/>
      <c r="LBD380" s="669"/>
      <c r="LBE380" s="669"/>
      <c r="LBF380" s="669"/>
      <c r="LBG380" s="669"/>
      <c r="LBH380" s="669"/>
      <c r="LBI380" s="669"/>
      <c r="LBJ380" s="669"/>
      <c r="LBK380" s="669"/>
      <c r="LBL380" s="669"/>
      <c r="LBM380" s="669"/>
      <c r="LBN380" s="669"/>
      <c r="LBO380" s="669"/>
      <c r="LBP380" s="669"/>
      <c r="LBQ380" s="669"/>
      <c r="LBR380" s="669"/>
      <c r="LBS380" s="669"/>
      <c r="LBT380" s="669"/>
      <c r="LBU380" s="669"/>
      <c r="LBV380" s="669"/>
      <c r="LBW380" s="669"/>
      <c r="LBX380" s="669"/>
      <c r="LBY380" s="669"/>
      <c r="LBZ380" s="669"/>
      <c r="LCA380" s="669"/>
      <c r="LCB380" s="669"/>
      <c r="LCC380" s="669"/>
      <c r="LCD380" s="669"/>
      <c r="LCE380" s="669"/>
      <c r="LCF380" s="669"/>
      <c r="LCG380" s="669"/>
      <c r="LCH380" s="669"/>
      <c r="LCI380" s="669"/>
      <c r="LCJ380" s="669"/>
      <c r="LCK380" s="669"/>
      <c r="LCL380" s="669"/>
      <c r="LCM380" s="669"/>
      <c r="LCN380" s="669"/>
      <c r="LCO380" s="669"/>
      <c r="LCP380" s="669"/>
      <c r="LCQ380" s="669"/>
      <c r="LCR380" s="669"/>
      <c r="LCS380" s="669"/>
      <c r="LCT380" s="669"/>
      <c r="LCU380" s="669"/>
      <c r="LCV380" s="669"/>
      <c r="LCW380" s="669"/>
      <c r="LCX380" s="669"/>
      <c r="LCY380" s="669"/>
      <c r="LCZ380" s="669"/>
      <c r="LDA380" s="669"/>
      <c r="LDB380" s="669"/>
      <c r="LDC380" s="669"/>
      <c r="LDD380" s="669"/>
      <c r="LDE380" s="669"/>
      <c r="LDF380" s="669"/>
      <c r="LDG380" s="669"/>
      <c r="LDH380" s="669"/>
      <c r="LDI380" s="669"/>
      <c r="LDJ380" s="669"/>
      <c r="LDK380" s="669"/>
      <c r="LDL380" s="669"/>
      <c r="LDM380" s="669"/>
      <c r="LDN380" s="669"/>
      <c r="LDO380" s="669"/>
      <c r="LDP380" s="669"/>
      <c r="LDQ380" s="669"/>
      <c r="LDR380" s="669"/>
      <c r="LDS380" s="669"/>
      <c r="LDT380" s="669"/>
      <c r="LDU380" s="669"/>
      <c r="LDV380" s="669"/>
      <c r="LDW380" s="669"/>
      <c r="LDX380" s="669"/>
      <c r="LDY380" s="669"/>
      <c r="LDZ380" s="669"/>
      <c r="LEA380" s="669"/>
      <c r="LEB380" s="669"/>
      <c r="LEC380" s="669"/>
      <c r="LED380" s="669"/>
      <c r="LEE380" s="669"/>
      <c r="LEF380" s="669"/>
      <c r="LEG380" s="669"/>
      <c r="LEH380" s="669"/>
      <c r="LEI380" s="669"/>
      <c r="LEJ380" s="669"/>
      <c r="LEK380" s="669"/>
      <c r="LEL380" s="669"/>
      <c r="LEM380" s="669"/>
      <c r="LEN380" s="669"/>
      <c r="LEO380" s="669"/>
      <c r="LEP380" s="669"/>
      <c r="LEQ380" s="669"/>
      <c r="LER380" s="669"/>
      <c r="LES380" s="669"/>
      <c r="LET380" s="669"/>
      <c r="LEU380" s="669"/>
      <c r="LEV380" s="669"/>
      <c r="LEW380" s="669"/>
      <c r="LEX380" s="669"/>
      <c r="LEY380" s="669"/>
      <c r="LEZ380" s="669"/>
      <c r="LFA380" s="669"/>
      <c r="LFB380" s="669"/>
      <c r="LFC380" s="669"/>
      <c r="LFD380" s="669"/>
      <c r="LFE380" s="669"/>
      <c r="LFF380" s="669"/>
      <c r="LFG380" s="669"/>
      <c r="LFH380" s="669"/>
      <c r="LFI380" s="669"/>
      <c r="LFJ380" s="669"/>
      <c r="LFK380" s="669"/>
      <c r="LFL380" s="669"/>
      <c r="LFM380" s="669"/>
      <c r="LFN380" s="669"/>
      <c r="LFO380" s="669"/>
      <c r="LFP380" s="669"/>
      <c r="LFQ380" s="669"/>
      <c r="LFR380" s="669"/>
      <c r="LFS380" s="669"/>
      <c r="LFT380" s="669"/>
      <c r="LFU380" s="669"/>
      <c r="LFV380" s="669"/>
      <c r="LFW380" s="669"/>
      <c r="LFX380" s="669"/>
      <c r="LFY380" s="669"/>
      <c r="LFZ380" s="669"/>
      <c r="LGA380" s="669"/>
      <c r="LGB380" s="669"/>
      <c r="LGC380" s="669"/>
      <c r="LGD380" s="669"/>
      <c r="LGE380" s="669"/>
      <c r="LGF380" s="669"/>
      <c r="LGG380" s="669"/>
      <c r="LGH380" s="669"/>
      <c r="LGI380" s="669"/>
      <c r="LGJ380" s="669"/>
      <c r="LGK380" s="669"/>
      <c r="LGL380" s="669"/>
      <c r="LGM380" s="669"/>
      <c r="LGN380" s="669"/>
      <c r="LGO380" s="669"/>
      <c r="LGP380" s="669"/>
      <c r="LGQ380" s="669"/>
      <c r="LGR380" s="669"/>
      <c r="LGS380" s="669"/>
      <c r="LGT380" s="669"/>
      <c r="LGU380" s="669"/>
      <c r="LGV380" s="669"/>
      <c r="LGW380" s="669"/>
      <c r="LGX380" s="669"/>
      <c r="LGY380" s="669"/>
      <c r="LGZ380" s="669"/>
      <c r="LHA380" s="669"/>
      <c r="LHB380" s="669"/>
      <c r="LHC380" s="669"/>
      <c r="LHD380" s="669"/>
      <c r="LHE380" s="669"/>
      <c r="LHF380" s="669"/>
      <c r="LHG380" s="669"/>
      <c r="LHH380" s="669"/>
      <c r="LHI380" s="669"/>
      <c r="LHJ380" s="669"/>
      <c r="LHK380" s="669"/>
      <c r="LHL380" s="669"/>
      <c r="LHM380" s="669"/>
      <c r="LHN380" s="669"/>
      <c r="LHO380" s="669"/>
      <c r="LHP380" s="669"/>
      <c r="LHQ380" s="669"/>
      <c r="LHR380" s="669"/>
      <c r="LHS380" s="669"/>
      <c r="LHT380" s="669"/>
      <c r="LHU380" s="669"/>
      <c r="LHV380" s="669"/>
      <c r="LHW380" s="669"/>
      <c r="LHX380" s="669"/>
      <c r="LHY380" s="669"/>
      <c r="LHZ380" s="669"/>
      <c r="LIA380" s="669"/>
      <c r="LIB380" s="669"/>
      <c r="LIC380" s="669"/>
      <c r="LID380" s="669"/>
      <c r="LIE380" s="669"/>
      <c r="LIF380" s="669"/>
      <c r="LIG380" s="669"/>
      <c r="LIH380" s="669"/>
      <c r="LII380" s="669"/>
      <c r="LIJ380" s="669"/>
      <c r="LIK380" s="669"/>
      <c r="LIL380" s="669"/>
      <c r="LIM380" s="669"/>
      <c r="LIN380" s="669"/>
      <c r="LIO380" s="669"/>
      <c r="LIP380" s="669"/>
      <c r="LIQ380" s="669"/>
      <c r="LIR380" s="669"/>
      <c r="LIS380" s="669"/>
      <c r="LIT380" s="669"/>
      <c r="LIU380" s="669"/>
      <c r="LIV380" s="669"/>
      <c r="LIW380" s="669"/>
      <c r="LIX380" s="669"/>
      <c r="LIY380" s="669"/>
      <c r="LIZ380" s="669"/>
      <c r="LJA380" s="669"/>
      <c r="LJB380" s="669"/>
      <c r="LJC380" s="669"/>
      <c r="LJD380" s="669"/>
      <c r="LJE380" s="669"/>
      <c r="LJF380" s="669"/>
      <c r="LJG380" s="669"/>
      <c r="LJH380" s="669"/>
      <c r="LJI380" s="669"/>
      <c r="LJJ380" s="669"/>
      <c r="LJK380" s="669"/>
      <c r="LJL380" s="669"/>
      <c r="LJM380" s="669"/>
      <c r="LJN380" s="669"/>
      <c r="LJO380" s="669"/>
      <c r="LJP380" s="669"/>
      <c r="LJQ380" s="669"/>
      <c r="LJR380" s="669"/>
      <c r="LJS380" s="669"/>
      <c r="LJT380" s="669"/>
      <c r="LJU380" s="669"/>
      <c r="LJV380" s="669"/>
      <c r="LJW380" s="669"/>
      <c r="LJX380" s="669"/>
      <c r="LJY380" s="669"/>
      <c r="LJZ380" s="669"/>
      <c r="LKA380" s="669"/>
      <c r="LKB380" s="669"/>
      <c r="LKC380" s="669"/>
      <c r="LKD380" s="669"/>
      <c r="LKE380" s="669"/>
      <c r="LKF380" s="669"/>
      <c r="LKG380" s="669"/>
      <c r="LKH380" s="669"/>
      <c r="LKI380" s="669"/>
      <c r="LKJ380" s="669"/>
      <c r="LKK380" s="669"/>
      <c r="LKL380" s="669"/>
      <c r="LKM380" s="669"/>
      <c r="LKN380" s="669"/>
      <c r="LKO380" s="669"/>
      <c r="LKP380" s="669"/>
      <c r="LKQ380" s="669"/>
      <c r="LKR380" s="669"/>
      <c r="LKS380" s="669"/>
      <c r="LKT380" s="669"/>
      <c r="LKU380" s="669"/>
      <c r="LKV380" s="669"/>
      <c r="LKW380" s="669"/>
      <c r="LKX380" s="669"/>
      <c r="LKY380" s="669"/>
      <c r="LKZ380" s="669"/>
      <c r="LLA380" s="669"/>
      <c r="LLB380" s="669"/>
      <c r="LLC380" s="669"/>
      <c r="LLD380" s="669"/>
      <c r="LLE380" s="669"/>
      <c r="LLF380" s="669"/>
      <c r="LLG380" s="669"/>
      <c r="LLH380" s="669"/>
      <c r="LLI380" s="669"/>
      <c r="LLJ380" s="669"/>
      <c r="LLK380" s="669"/>
      <c r="LLL380" s="669"/>
      <c r="LLM380" s="669"/>
      <c r="LLN380" s="669"/>
      <c r="LLO380" s="669"/>
      <c r="LLP380" s="669"/>
      <c r="LLQ380" s="669"/>
      <c r="LLR380" s="669"/>
      <c r="LLS380" s="669"/>
      <c r="LLT380" s="669"/>
      <c r="LLU380" s="669"/>
      <c r="LLV380" s="669"/>
      <c r="LLW380" s="669"/>
      <c r="LLX380" s="669"/>
      <c r="LLY380" s="669"/>
      <c r="LLZ380" s="669"/>
      <c r="LMA380" s="669"/>
      <c r="LMB380" s="669"/>
      <c r="LMC380" s="669"/>
      <c r="LMD380" s="669"/>
      <c r="LME380" s="669"/>
      <c r="LMF380" s="669"/>
      <c r="LMG380" s="669"/>
      <c r="LMH380" s="669"/>
      <c r="LMI380" s="669"/>
      <c r="LMJ380" s="669"/>
      <c r="LMK380" s="669"/>
      <c r="LML380" s="669"/>
      <c r="LMM380" s="669"/>
      <c r="LMN380" s="669"/>
      <c r="LMO380" s="669"/>
      <c r="LMP380" s="669"/>
      <c r="LMQ380" s="669"/>
      <c r="LMR380" s="669"/>
      <c r="LMS380" s="669"/>
      <c r="LMT380" s="669"/>
      <c r="LMU380" s="669"/>
      <c r="LMV380" s="669"/>
      <c r="LMW380" s="669"/>
      <c r="LMX380" s="669"/>
      <c r="LMY380" s="669"/>
      <c r="LMZ380" s="669"/>
      <c r="LNA380" s="669"/>
      <c r="LNB380" s="669"/>
      <c r="LNC380" s="669"/>
      <c r="LND380" s="669"/>
      <c r="LNE380" s="669"/>
      <c r="LNF380" s="669"/>
      <c r="LNG380" s="669"/>
      <c r="LNH380" s="669"/>
      <c r="LNI380" s="669"/>
      <c r="LNJ380" s="669"/>
      <c r="LNK380" s="669"/>
      <c r="LNL380" s="669"/>
      <c r="LNM380" s="669"/>
      <c r="LNN380" s="669"/>
      <c r="LNO380" s="669"/>
      <c r="LNP380" s="669"/>
      <c r="LNQ380" s="669"/>
      <c r="LNR380" s="669"/>
      <c r="LNS380" s="669"/>
      <c r="LNT380" s="669"/>
      <c r="LNU380" s="669"/>
      <c r="LNV380" s="669"/>
      <c r="LNW380" s="669"/>
      <c r="LNX380" s="669"/>
      <c r="LNY380" s="669"/>
      <c r="LNZ380" s="669"/>
      <c r="LOA380" s="669"/>
      <c r="LOB380" s="669"/>
      <c r="LOC380" s="669"/>
      <c r="LOD380" s="669"/>
      <c r="LOE380" s="669"/>
      <c r="LOF380" s="669"/>
      <c r="LOG380" s="669"/>
      <c r="LOH380" s="669"/>
      <c r="LOI380" s="669"/>
      <c r="LOJ380" s="669"/>
      <c r="LOK380" s="669"/>
      <c r="LOL380" s="669"/>
      <c r="LOM380" s="669"/>
      <c r="LON380" s="669"/>
      <c r="LOO380" s="669"/>
      <c r="LOP380" s="669"/>
      <c r="LOQ380" s="669"/>
      <c r="LOR380" s="669"/>
      <c r="LOS380" s="669"/>
      <c r="LOT380" s="669"/>
      <c r="LOU380" s="669"/>
      <c r="LOV380" s="669"/>
      <c r="LOW380" s="669"/>
      <c r="LOX380" s="669"/>
      <c r="LOY380" s="669"/>
      <c r="LOZ380" s="669"/>
      <c r="LPA380" s="669"/>
      <c r="LPB380" s="669"/>
      <c r="LPC380" s="669"/>
      <c r="LPD380" s="669"/>
      <c r="LPE380" s="669"/>
      <c r="LPF380" s="669"/>
      <c r="LPG380" s="669"/>
      <c r="LPH380" s="669"/>
      <c r="LPI380" s="669"/>
      <c r="LPJ380" s="669"/>
      <c r="LPK380" s="669"/>
      <c r="LPL380" s="669"/>
      <c r="LPM380" s="669"/>
      <c r="LPN380" s="669"/>
      <c r="LPO380" s="669"/>
      <c r="LPP380" s="669"/>
      <c r="LPQ380" s="669"/>
      <c r="LPR380" s="669"/>
      <c r="LPS380" s="669"/>
      <c r="LPT380" s="669"/>
      <c r="LPU380" s="669"/>
      <c r="LPV380" s="669"/>
      <c r="LPW380" s="669"/>
      <c r="LPX380" s="669"/>
      <c r="LPY380" s="669"/>
      <c r="LPZ380" s="669"/>
      <c r="LQA380" s="669"/>
      <c r="LQB380" s="669"/>
      <c r="LQC380" s="669"/>
      <c r="LQD380" s="669"/>
      <c r="LQE380" s="669"/>
      <c r="LQF380" s="669"/>
      <c r="LQG380" s="669"/>
      <c r="LQH380" s="669"/>
      <c r="LQI380" s="669"/>
      <c r="LQJ380" s="669"/>
      <c r="LQK380" s="669"/>
      <c r="LQL380" s="669"/>
      <c r="LQM380" s="669"/>
      <c r="LQN380" s="669"/>
      <c r="LQO380" s="669"/>
      <c r="LQP380" s="669"/>
      <c r="LQQ380" s="669"/>
      <c r="LQR380" s="669"/>
      <c r="LQS380" s="669"/>
      <c r="LQT380" s="669"/>
      <c r="LQU380" s="669"/>
      <c r="LQV380" s="669"/>
      <c r="LQW380" s="669"/>
      <c r="LQX380" s="669"/>
      <c r="LQY380" s="669"/>
      <c r="LQZ380" s="669"/>
      <c r="LRA380" s="669"/>
      <c r="LRB380" s="669"/>
      <c r="LRC380" s="669"/>
      <c r="LRD380" s="669"/>
      <c r="LRE380" s="669"/>
      <c r="LRF380" s="669"/>
      <c r="LRG380" s="669"/>
      <c r="LRH380" s="669"/>
      <c r="LRI380" s="669"/>
      <c r="LRJ380" s="669"/>
      <c r="LRK380" s="669"/>
      <c r="LRL380" s="669"/>
      <c r="LRM380" s="669"/>
      <c r="LRN380" s="669"/>
      <c r="LRO380" s="669"/>
      <c r="LRP380" s="669"/>
      <c r="LRQ380" s="669"/>
      <c r="LRR380" s="669"/>
      <c r="LRS380" s="669"/>
      <c r="LRT380" s="669"/>
      <c r="LRU380" s="669"/>
      <c r="LRV380" s="669"/>
      <c r="LRW380" s="669"/>
      <c r="LRX380" s="669"/>
      <c r="LRY380" s="669"/>
      <c r="LRZ380" s="669"/>
      <c r="LSA380" s="669"/>
      <c r="LSB380" s="669"/>
      <c r="LSC380" s="669"/>
      <c r="LSD380" s="669"/>
      <c r="LSE380" s="669"/>
      <c r="LSF380" s="669"/>
      <c r="LSG380" s="669"/>
      <c r="LSH380" s="669"/>
      <c r="LSI380" s="669"/>
      <c r="LSJ380" s="669"/>
      <c r="LSK380" s="669"/>
      <c r="LSL380" s="669"/>
      <c r="LSM380" s="669"/>
      <c r="LSN380" s="669"/>
      <c r="LSO380" s="669"/>
      <c r="LSP380" s="669"/>
      <c r="LSQ380" s="669"/>
      <c r="LSR380" s="669"/>
      <c r="LSS380" s="669"/>
      <c r="LST380" s="669"/>
      <c r="LSU380" s="669"/>
      <c r="LSV380" s="669"/>
      <c r="LSW380" s="669"/>
      <c r="LSX380" s="669"/>
      <c r="LSY380" s="669"/>
      <c r="LSZ380" s="669"/>
      <c r="LTA380" s="669"/>
      <c r="LTB380" s="669"/>
      <c r="LTC380" s="669"/>
      <c r="LTD380" s="669"/>
      <c r="LTE380" s="669"/>
      <c r="LTF380" s="669"/>
      <c r="LTG380" s="669"/>
      <c r="LTH380" s="669"/>
      <c r="LTI380" s="669"/>
      <c r="LTJ380" s="669"/>
      <c r="LTK380" s="669"/>
      <c r="LTL380" s="669"/>
      <c r="LTM380" s="669"/>
      <c r="LTN380" s="669"/>
      <c r="LTO380" s="669"/>
      <c r="LTP380" s="669"/>
      <c r="LTQ380" s="669"/>
      <c r="LTR380" s="669"/>
      <c r="LTS380" s="669"/>
      <c r="LTT380" s="669"/>
      <c r="LTU380" s="669"/>
      <c r="LTV380" s="669"/>
      <c r="LTW380" s="669"/>
      <c r="LTX380" s="669"/>
      <c r="LTY380" s="669"/>
      <c r="LTZ380" s="669"/>
      <c r="LUA380" s="669"/>
      <c r="LUB380" s="669"/>
      <c r="LUC380" s="669"/>
      <c r="LUD380" s="669"/>
      <c r="LUE380" s="669"/>
      <c r="LUF380" s="669"/>
      <c r="LUG380" s="669"/>
      <c r="LUH380" s="669"/>
      <c r="LUI380" s="669"/>
      <c r="LUJ380" s="669"/>
      <c r="LUK380" s="669"/>
      <c r="LUL380" s="669"/>
      <c r="LUM380" s="669"/>
      <c r="LUN380" s="669"/>
      <c r="LUO380" s="669"/>
      <c r="LUP380" s="669"/>
      <c r="LUQ380" s="669"/>
      <c r="LUR380" s="669"/>
      <c r="LUS380" s="669"/>
      <c r="LUT380" s="669"/>
      <c r="LUU380" s="669"/>
      <c r="LUV380" s="669"/>
      <c r="LUW380" s="669"/>
      <c r="LUX380" s="669"/>
      <c r="LUY380" s="669"/>
      <c r="LUZ380" s="669"/>
      <c r="LVA380" s="669"/>
      <c r="LVB380" s="669"/>
      <c r="LVC380" s="669"/>
      <c r="LVD380" s="669"/>
      <c r="LVE380" s="669"/>
      <c r="LVF380" s="669"/>
      <c r="LVG380" s="669"/>
      <c r="LVH380" s="669"/>
      <c r="LVI380" s="669"/>
      <c r="LVJ380" s="669"/>
      <c r="LVK380" s="669"/>
      <c r="LVL380" s="669"/>
      <c r="LVM380" s="669"/>
      <c r="LVN380" s="669"/>
      <c r="LVO380" s="669"/>
      <c r="LVP380" s="669"/>
      <c r="LVQ380" s="669"/>
      <c r="LVR380" s="669"/>
      <c r="LVS380" s="669"/>
      <c r="LVT380" s="669"/>
      <c r="LVU380" s="669"/>
      <c r="LVV380" s="669"/>
      <c r="LVW380" s="669"/>
      <c r="LVX380" s="669"/>
      <c r="LVY380" s="669"/>
      <c r="LVZ380" s="669"/>
      <c r="LWA380" s="669"/>
      <c r="LWB380" s="669"/>
      <c r="LWC380" s="669"/>
      <c r="LWD380" s="669"/>
      <c r="LWE380" s="669"/>
      <c r="LWF380" s="669"/>
      <c r="LWG380" s="669"/>
      <c r="LWH380" s="669"/>
      <c r="LWI380" s="669"/>
      <c r="LWJ380" s="669"/>
      <c r="LWK380" s="669"/>
      <c r="LWL380" s="669"/>
      <c r="LWM380" s="669"/>
      <c r="LWN380" s="669"/>
      <c r="LWO380" s="669"/>
      <c r="LWP380" s="669"/>
      <c r="LWQ380" s="669"/>
      <c r="LWR380" s="669"/>
      <c r="LWS380" s="669"/>
      <c r="LWT380" s="669"/>
      <c r="LWU380" s="669"/>
      <c r="LWV380" s="669"/>
      <c r="LWW380" s="669"/>
      <c r="LWX380" s="669"/>
      <c r="LWY380" s="669"/>
      <c r="LWZ380" s="669"/>
      <c r="LXA380" s="669"/>
      <c r="LXB380" s="669"/>
      <c r="LXC380" s="669"/>
      <c r="LXD380" s="669"/>
      <c r="LXE380" s="669"/>
      <c r="LXF380" s="669"/>
      <c r="LXG380" s="669"/>
      <c r="LXH380" s="669"/>
      <c r="LXI380" s="669"/>
      <c r="LXJ380" s="669"/>
      <c r="LXK380" s="669"/>
      <c r="LXL380" s="669"/>
      <c r="LXM380" s="669"/>
      <c r="LXN380" s="669"/>
      <c r="LXO380" s="669"/>
      <c r="LXP380" s="669"/>
      <c r="LXQ380" s="669"/>
      <c r="LXR380" s="669"/>
      <c r="LXS380" s="669"/>
      <c r="LXT380" s="669"/>
      <c r="LXU380" s="669"/>
      <c r="LXV380" s="669"/>
      <c r="LXW380" s="669"/>
      <c r="LXX380" s="669"/>
      <c r="LXY380" s="669"/>
      <c r="LXZ380" s="669"/>
      <c r="LYA380" s="669"/>
      <c r="LYB380" s="669"/>
      <c r="LYC380" s="669"/>
      <c r="LYD380" s="669"/>
      <c r="LYE380" s="669"/>
      <c r="LYF380" s="669"/>
      <c r="LYG380" s="669"/>
      <c r="LYH380" s="669"/>
      <c r="LYI380" s="669"/>
      <c r="LYJ380" s="669"/>
      <c r="LYK380" s="669"/>
      <c r="LYL380" s="669"/>
      <c r="LYM380" s="669"/>
      <c r="LYN380" s="669"/>
      <c r="LYO380" s="669"/>
      <c r="LYP380" s="669"/>
      <c r="LYQ380" s="669"/>
      <c r="LYR380" s="669"/>
      <c r="LYS380" s="669"/>
      <c r="LYT380" s="669"/>
      <c r="LYU380" s="669"/>
      <c r="LYV380" s="669"/>
      <c r="LYW380" s="669"/>
      <c r="LYX380" s="669"/>
      <c r="LYY380" s="669"/>
      <c r="LYZ380" s="669"/>
      <c r="LZA380" s="669"/>
      <c r="LZB380" s="669"/>
      <c r="LZC380" s="669"/>
      <c r="LZD380" s="669"/>
      <c r="LZE380" s="669"/>
      <c r="LZF380" s="669"/>
      <c r="LZG380" s="669"/>
      <c r="LZH380" s="669"/>
      <c r="LZI380" s="669"/>
      <c r="LZJ380" s="669"/>
      <c r="LZK380" s="669"/>
      <c r="LZL380" s="669"/>
      <c r="LZM380" s="669"/>
      <c r="LZN380" s="669"/>
      <c r="LZO380" s="669"/>
      <c r="LZP380" s="669"/>
      <c r="LZQ380" s="669"/>
      <c r="LZR380" s="669"/>
      <c r="LZS380" s="669"/>
      <c r="LZT380" s="669"/>
      <c r="LZU380" s="669"/>
      <c r="LZV380" s="669"/>
      <c r="LZW380" s="669"/>
      <c r="LZX380" s="669"/>
      <c r="LZY380" s="669"/>
      <c r="LZZ380" s="669"/>
      <c r="MAA380" s="669"/>
      <c r="MAB380" s="669"/>
      <c r="MAC380" s="669"/>
      <c r="MAD380" s="669"/>
      <c r="MAE380" s="669"/>
      <c r="MAF380" s="669"/>
      <c r="MAG380" s="669"/>
      <c r="MAH380" s="669"/>
      <c r="MAI380" s="669"/>
      <c r="MAJ380" s="669"/>
      <c r="MAK380" s="669"/>
      <c r="MAL380" s="669"/>
      <c r="MAM380" s="669"/>
      <c r="MAN380" s="669"/>
      <c r="MAO380" s="669"/>
      <c r="MAP380" s="669"/>
      <c r="MAQ380" s="669"/>
      <c r="MAR380" s="669"/>
      <c r="MAS380" s="669"/>
      <c r="MAT380" s="669"/>
      <c r="MAU380" s="669"/>
      <c r="MAV380" s="669"/>
      <c r="MAW380" s="669"/>
      <c r="MAX380" s="669"/>
      <c r="MAY380" s="669"/>
      <c r="MAZ380" s="669"/>
      <c r="MBA380" s="669"/>
      <c r="MBB380" s="669"/>
      <c r="MBC380" s="669"/>
      <c r="MBD380" s="669"/>
      <c r="MBE380" s="669"/>
      <c r="MBF380" s="669"/>
      <c r="MBG380" s="669"/>
      <c r="MBH380" s="669"/>
      <c r="MBI380" s="669"/>
      <c r="MBJ380" s="669"/>
      <c r="MBK380" s="669"/>
      <c r="MBL380" s="669"/>
      <c r="MBM380" s="669"/>
      <c r="MBN380" s="669"/>
      <c r="MBO380" s="669"/>
      <c r="MBP380" s="669"/>
      <c r="MBQ380" s="669"/>
      <c r="MBR380" s="669"/>
      <c r="MBS380" s="669"/>
      <c r="MBT380" s="669"/>
      <c r="MBU380" s="669"/>
      <c r="MBV380" s="669"/>
      <c r="MBW380" s="669"/>
      <c r="MBX380" s="669"/>
      <c r="MBY380" s="669"/>
      <c r="MBZ380" s="669"/>
      <c r="MCA380" s="669"/>
      <c r="MCB380" s="669"/>
      <c r="MCC380" s="669"/>
      <c r="MCD380" s="669"/>
      <c r="MCE380" s="669"/>
      <c r="MCF380" s="669"/>
      <c r="MCG380" s="669"/>
      <c r="MCH380" s="669"/>
      <c r="MCI380" s="669"/>
      <c r="MCJ380" s="669"/>
      <c r="MCK380" s="669"/>
      <c r="MCL380" s="669"/>
      <c r="MCM380" s="669"/>
      <c r="MCN380" s="669"/>
      <c r="MCO380" s="669"/>
      <c r="MCP380" s="669"/>
      <c r="MCQ380" s="669"/>
      <c r="MCR380" s="669"/>
      <c r="MCS380" s="669"/>
      <c r="MCT380" s="669"/>
      <c r="MCU380" s="669"/>
      <c r="MCV380" s="669"/>
      <c r="MCW380" s="669"/>
      <c r="MCX380" s="669"/>
      <c r="MCY380" s="669"/>
      <c r="MCZ380" s="669"/>
      <c r="MDA380" s="669"/>
      <c r="MDB380" s="669"/>
      <c r="MDC380" s="669"/>
      <c r="MDD380" s="669"/>
      <c r="MDE380" s="669"/>
      <c r="MDF380" s="669"/>
      <c r="MDG380" s="669"/>
      <c r="MDH380" s="669"/>
      <c r="MDI380" s="669"/>
      <c r="MDJ380" s="669"/>
      <c r="MDK380" s="669"/>
      <c r="MDL380" s="669"/>
      <c r="MDM380" s="669"/>
      <c r="MDN380" s="669"/>
      <c r="MDO380" s="669"/>
      <c r="MDP380" s="669"/>
      <c r="MDQ380" s="669"/>
      <c r="MDR380" s="669"/>
      <c r="MDS380" s="669"/>
      <c r="MDT380" s="669"/>
      <c r="MDU380" s="669"/>
      <c r="MDV380" s="669"/>
      <c r="MDW380" s="669"/>
      <c r="MDX380" s="669"/>
      <c r="MDY380" s="669"/>
      <c r="MDZ380" s="669"/>
      <c r="MEA380" s="669"/>
      <c r="MEB380" s="669"/>
      <c r="MEC380" s="669"/>
      <c r="MED380" s="669"/>
      <c r="MEE380" s="669"/>
      <c r="MEF380" s="669"/>
      <c r="MEG380" s="669"/>
      <c r="MEH380" s="669"/>
      <c r="MEI380" s="669"/>
      <c r="MEJ380" s="669"/>
      <c r="MEK380" s="669"/>
      <c r="MEL380" s="669"/>
      <c r="MEM380" s="669"/>
      <c r="MEN380" s="669"/>
      <c r="MEO380" s="669"/>
      <c r="MEP380" s="669"/>
      <c r="MEQ380" s="669"/>
      <c r="MER380" s="669"/>
      <c r="MES380" s="669"/>
      <c r="MET380" s="669"/>
      <c r="MEU380" s="669"/>
      <c r="MEV380" s="669"/>
      <c r="MEW380" s="669"/>
      <c r="MEX380" s="669"/>
      <c r="MEY380" s="669"/>
      <c r="MEZ380" s="669"/>
      <c r="MFA380" s="669"/>
      <c r="MFB380" s="669"/>
      <c r="MFC380" s="669"/>
      <c r="MFD380" s="669"/>
      <c r="MFE380" s="669"/>
      <c r="MFF380" s="669"/>
      <c r="MFG380" s="669"/>
      <c r="MFH380" s="669"/>
      <c r="MFI380" s="669"/>
      <c r="MFJ380" s="669"/>
      <c r="MFK380" s="669"/>
      <c r="MFL380" s="669"/>
      <c r="MFM380" s="669"/>
      <c r="MFN380" s="669"/>
      <c r="MFO380" s="669"/>
      <c r="MFP380" s="669"/>
      <c r="MFQ380" s="669"/>
      <c r="MFR380" s="669"/>
      <c r="MFS380" s="669"/>
      <c r="MFT380" s="669"/>
      <c r="MFU380" s="669"/>
      <c r="MFV380" s="669"/>
      <c r="MFW380" s="669"/>
      <c r="MFX380" s="669"/>
      <c r="MFY380" s="669"/>
      <c r="MFZ380" s="669"/>
      <c r="MGA380" s="669"/>
      <c r="MGB380" s="669"/>
      <c r="MGC380" s="669"/>
      <c r="MGD380" s="669"/>
      <c r="MGE380" s="669"/>
      <c r="MGF380" s="669"/>
      <c r="MGG380" s="669"/>
      <c r="MGH380" s="669"/>
      <c r="MGI380" s="669"/>
      <c r="MGJ380" s="669"/>
      <c r="MGK380" s="669"/>
      <c r="MGL380" s="669"/>
      <c r="MGM380" s="669"/>
      <c r="MGN380" s="669"/>
      <c r="MGO380" s="669"/>
      <c r="MGP380" s="669"/>
      <c r="MGQ380" s="669"/>
      <c r="MGR380" s="669"/>
      <c r="MGS380" s="669"/>
      <c r="MGT380" s="669"/>
      <c r="MGU380" s="669"/>
      <c r="MGV380" s="669"/>
      <c r="MGW380" s="669"/>
      <c r="MGX380" s="669"/>
      <c r="MGY380" s="669"/>
      <c r="MGZ380" s="669"/>
      <c r="MHA380" s="669"/>
      <c r="MHB380" s="669"/>
      <c r="MHC380" s="669"/>
      <c r="MHD380" s="669"/>
      <c r="MHE380" s="669"/>
      <c r="MHF380" s="669"/>
      <c r="MHG380" s="669"/>
      <c r="MHH380" s="669"/>
      <c r="MHI380" s="669"/>
      <c r="MHJ380" s="669"/>
      <c r="MHK380" s="669"/>
      <c r="MHL380" s="669"/>
      <c r="MHM380" s="669"/>
      <c r="MHN380" s="669"/>
      <c r="MHO380" s="669"/>
      <c r="MHP380" s="669"/>
      <c r="MHQ380" s="669"/>
      <c r="MHR380" s="669"/>
      <c r="MHS380" s="669"/>
      <c r="MHT380" s="669"/>
      <c r="MHU380" s="669"/>
      <c r="MHV380" s="669"/>
      <c r="MHW380" s="669"/>
      <c r="MHX380" s="669"/>
      <c r="MHY380" s="669"/>
      <c r="MHZ380" s="669"/>
      <c r="MIA380" s="669"/>
      <c r="MIB380" s="669"/>
      <c r="MIC380" s="669"/>
      <c r="MID380" s="669"/>
      <c r="MIE380" s="669"/>
      <c r="MIF380" s="669"/>
      <c r="MIG380" s="669"/>
      <c r="MIH380" s="669"/>
      <c r="MII380" s="669"/>
      <c r="MIJ380" s="669"/>
      <c r="MIK380" s="669"/>
      <c r="MIL380" s="669"/>
      <c r="MIM380" s="669"/>
      <c r="MIN380" s="669"/>
      <c r="MIO380" s="669"/>
      <c r="MIP380" s="669"/>
      <c r="MIQ380" s="669"/>
      <c r="MIR380" s="669"/>
      <c r="MIS380" s="669"/>
      <c r="MIT380" s="669"/>
      <c r="MIU380" s="669"/>
      <c r="MIV380" s="669"/>
      <c r="MIW380" s="669"/>
      <c r="MIX380" s="669"/>
      <c r="MIY380" s="669"/>
      <c r="MIZ380" s="669"/>
      <c r="MJA380" s="669"/>
      <c r="MJB380" s="669"/>
      <c r="MJC380" s="669"/>
      <c r="MJD380" s="669"/>
      <c r="MJE380" s="669"/>
      <c r="MJF380" s="669"/>
      <c r="MJG380" s="669"/>
      <c r="MJH380" s="669"/>
      <c r="MJI380" s="669"/>
      <c r="MJJ380" s="669"/>
      <c r="MJK380" s="669"/>
      <c r="MJL380" s="669"/>
      <c r="MJM380" s="669"/>
      <c r="MJN380" s="669"/>
      <c r="MJO380" s="669"/>
      <c r="MJP380" s="669"/>
      <c r="MJQ380" s="669"/>
      <c r="MJR380" s="669"/>
      <c r="MJS380" s="669"/>
      <c r="MJT380" s="669"/>
      <c r="MJU380" s="669"/>
      <c r="MJV380" s="669"/>
      <c r="MJW380" s="669"/>
      <c r="MJX380" s="669"/>
      <c r="MJY380" s="669"/>
      <c r="MJZ380" s="669"/>
      <c r="MKA380" s="669"/>
      <c r="MKB380" s="669"/>
      <c r="MKC380" s="669"/>
      <c r="MKD380" s="669"/>
      <c r="MKE380" s="669"/>
      <c r="MKF380" s="669"/>
      <c r="MKG380" s="669"/>
      <c r="MKH380" s="669"/>
      <c r="MKI380" s="669"/>
      <c r="MKJ380" s="669"/>
      <c r="MKK380" s="669"/>
      <c r="MKL380" s="669"/>
      <c r="MKM380" s="669"/>
      <c r="MKN380" s="669"/>
      <c r="MKO380" s="669"/>
      <c r="MKP380" s="669"/>
      <c r="MKQ380" s="669"/>
      <c r="MKR380" s="669"/>
      <c r="MKS380" s="669"/>
      <c r="MKT380" s="669"/>
      <c r="MKU380" s="669"/>
      <c r="MKV380" s="669"/>
      <c r="MKW380" s="669"/>
      <c r="MKX380" s="669"/>
      <c r="MKY380" s="669"/>
      <c r="MKZ380" s="669"/>
      <c r="MLA380" s="669"/>
      <c r="MLB380" s="669"/>
      <c r="MLC380" s="669"/>
      <c r="MLD380" s="669"/>
      <c r="MLE380" s="669"/>
      <c r="MLF380" s="669"/>
      <c r="MLG380" s="669"/>
      <c r="MLH380" s="669"/>
      <c r="MLI380" s="669"/>
      <c r="MLJ380" s="669"/>
      <c r="MLK380" s="669"/>
      <c r="MLL380" s="669"/>
      <c r="MLM380" s="669"/>
      <c r="MLN380" s="669"/>
      <c r="MLO380" s="669"/>
      <c r="MLP380" s="669"/>
      <c r="MLQ380" s="669"/>
      <c r="MLR380" s="669"/>
      <c r="MLS380" s="669"/>
      <c r="MLT380" s="669"/>
      <c r="MLU380" s="669"/>
      <c r="MLV380" s="669"/>
      <c r="MLW380" s="669"/>
      <c r="MLX380" s="669"/>
      <c r="MLY380" s="669"/>
      <c r="MLZ380" s="669"/>
      <c r="MMA380" s="669"/>
      <c r="MMB380" s="669"/>
      <c r="MMC380" s="669"/>
      <c r="MMD380" s="669"/>
      <c r="MME380" s="669"/>
      <c r="MMF380" s="669"/>
      <c r="MMG380" s="669"/>
      <c r="MMH380" s="669"/>
      <c r="MMI380" s="669"/>
      <c r="MMJ380" s="669"/>
      <c r="MMK380" s="669"/>
      <c r="MML380" s="669"/>
      <c r="MMM380" s="669"/>
      <c r="MMN380" s="669"/>
      <c r="MMO380" s="669"/>
      <c r="MMP380" s="669"/>
      <c r="MMQ380" s="669"/>
      <c r="MMR380" s="669"/>
      <c r="MMS380" s="669"/>
      <c r="MMT380" s="669"/>
      <c r="MMU380" s="669"/>
      <c r="MMV380" s="669"/>
      <c r="MMW380" s="669"/>
      <c r="MMX380" s="669"/>
      <c r="MMY380" s="669"/>
      <c r="MMZ380" s="669"/>
      <c r="MNA380" s="669"/>
      <c r="MNB380" s="669"/>
      <c r="MNC380" s="669"/>
      <c r="MND380" s="669"/>
      <c r="MNE380" s="669"/>
      <c r="MNF380" s="669"/>
      <c r="MNG380" s="669"/>
      <c r="MNH380" s="669"/>
      <c r="MNI380" s="669"/>
      <c r="MNJ380" s="669"/>
      <c r="MNK380" s="669"/>
      <c r="MNL380" s="669"/>
      <c r="MNM380" s="669"/>
      <c r="MNN380" s="669"/>
      <c r="MNO380" s="669"/>
      <c r="MNP380" s="669"/>
      <c r="MNQ380" s="669"/>
      <c r="MNR380" s="669"/>
      <c r="MNS380" s="669"/>
      <c r="MNT380" s="669"/>
      <c r="MNU380" s="669"/>
      <c r="MNV380" s="669"/>
      <c r="MNW380" s="669"/>
      <c r="MNX380" s="669"/>
      <c r="MNY380" s="669"/>
      <c r="MNZ380" s="669"/>
      <c r="MOA380" s="669"/>
      <c r="MOB380" s="669"/>
      <c r="MOC380" s="669"/>
      <c r="MOD380" s="669"/>
      <c r="MOE380" s="669"/>
      <c r="MOF380" s="669"/>
      <c r="MOG380" s="669"/>
      <c r="MOH380" s="669"/>
      <c r="MOI380" s="669"/>
      <c r="MOJ380" s="669"/>
      <c r="MOK380" s="669"/>
      <c r="MOL380" s="669"/>
      <c r="MOM380" s="669"/>
      <c r="MON380" s="669"/>
      <c r="MOO380" s="669"/>
      <c r="MOP380" s="669"/>
      <c r="MOQ380" s="669"/>
      <c r="MOR380" s="669"/>
      <c r="MOS380" s="669"/>
      <c r="MOT380" s="669"/>
      <c r="MOU380" s="669"/>
      <c r="MOV380" s="669"/>
      <c r="MOW380" s="669"/>
      <c r="MOX380" s="669"/>
      <c r="MOY380" s="669"/>
      <c r="MOZ380" s="669"/>
      <c r="MPA380" s="669"/>
      <c r="MPB380" s="669"/>
      <c r="MPC380" s="669"/>
      <c r="MPD380" s="669"/>
      <c r="MPE380" s="669"/>
      <c r="MPF380" s="669"/>
      <c r="MPG380" s="669"/>
      <c r="MPH380" s="669"/>
      <c r="MPI380" s="669"/>
      <c r="MPJ380" s="669"/>
      <c r="MPK380" s="669"/>
      <c r="MPL380" s="669"/>
      <c r="MPM380" s="669"/>
      <c r="MPN380" s="669"/>
      <c r="MPO380" s="669"/>
      <c r="MPP380" s="669"/>
      <c r="MPQ380" s="669"/>
      <c r="MPR380" s="669"/>
      <c r="MPS380" s="669"/>
      <c r="MPT380" s="669"/>
      <c r="MPU380" s="669"/>
      <c r="MPV380" s="669"/>
      <c r="MPW380" s="669"/>
      <c r="MPX380" s="669"/>
      <c r="MPY380" s="669"/>
      <c r="MPZ380" s="669"/>
      <c r="MQA380" s="669"/>
      <c r="MQB380" s="669"/>
      <c r="MQC380" s="669"/>
      <c r="MQD380" s="669"/>
      <c r="MQE380" s="669"/>
      <c r="MQF380" s="669"/>
      <c r="MQG380" s="669"/>
      <c r="MQH380" s="669"/>
      <c r="MQI380" s="669"/>
      <c r="MQJ380" s="669"/>
      <c r="MQK380" s="669"/>
      <c r="MQL380" s="669"/>
      <c r="MQM380" s="669"/>
      <c r="MQN380" s="669"/>
      <c r="MQO380" s="669"/>
      <c r="MQP380" s="669"/>
      <c r="MQQ380" s="669"/>
      <c r="MQR380" s="669"/>
      <c r="MQS380" s="669"/>
      <c r="MQT380" s="669"/>
      <c r="MQU380" s="669"/>
      <c r="MQV380" s="669"/>
      <c r="MQW380" s="669"/>
      <c r="MQX380" s="669"/>
      <c r="MQY380" s="669"/>
      <c r="MQZ380" s="669"/>
      <c r="MRA380" s="669"/>
      <c r="MRB380" s="669"/>
      <c r="MRC380" s="669"/>
      <c r="MRD380" s="669"/>
      <c r="MRE380" s="669"/>
      <c r="MRF380" s="669"/>
      <c r="MRG380" s="669"/>
      <c r="MRH380" s="669"/>
      <c r="MRI380" s="669"/>
      <c r="MRJ380" s="669"/>
      <c r="MRK380" s="669"/>
      <c r="MRL380" s="669"/>
      <c r="MRM380" s="669"/>
      <c r="MRN380" s="669"/>
      <c r="MRO380" s="669"/>
      <c r="MRP380" s="669"/>
      <c r="MRQ380" s="669"/>
      <c r="MRR380" s="669"/>
      <c r="MRS380" s="669"/>
      <c r="MRT380" s="669"/>
      <c r="MRU380" s="669"/>
      <c r="MRV380" s="669"/>
      <c r="MRW380" s="669"/>
      <c r="MRX380" s="669"/>
      <c r="MRY380" s="669"/>
      <c r="MRZ380" s="669"/>
      <c r="MSA380" s="669"/>
      <c r="MSB380" s="669"/>
      <c r="MSC380" s="669"/>
      <c r="MSD380" s="669"/>
      <c r="MSE380" s="669"/>
      <c r="MSF380" s="669"/>
      <c r="MSG380" s="669"/>
      <c r="MSH380" s="669"/>
      <c r="MSI380" s="669"/>
      <c r="MSJ380" s="669"/>
      <c r="MSK380" s="669"/>
      <c r="MSL380" s="669"/>
      <c r="MSM380" s="669"/>
      <c r="MSN380" s="669"/>
      <c r="MSO380" s="669"/>
      <c r="MSP380" s="669"/>
      <c r="MSQ380" s="669"/>
      <c r="MSR380" s="669"/>
      <c r="MSS380" s="669"/>
      <c r="MST380" s="669"/>
      <c r="MSU380" s="669"/>
      <c r="MSV380" s="669"/>
      <c r="MSW380" s="669"/>
      <c r="MSX380" s="669"/>
      <c r="MSY380" s="669"/>
      <c r="MSZ380" s="669"/>
      <c r="MTA380" s="669"/>
      <c r="MTB380" s="669"/>
      <c r="MTC380" s="669"/>
      <c r="MTD380" s="669"/>
      <c r="MTE380" s="669"/>
      <c r="MTF380" s="669"/>
      <c r="MTG380" s="669"/>
      <c r="MTH380" s="669"/>
      <c r="MTI380" s="669"/>
      <c r="MTJ380" s="669"/>
      <c r="MTK380" s="669"/>
      <c r="MTL380" s="669"/>
      <c r="MTM380" s="669"/>
      <c r="MTN380" s="669"/>
      <c r="MTO380" s="669"/>
      <c r="MTP380" s="669"/>
      <c r="MTQ380" s="669"/>
      <c r="MTR380" s="669"/>
      <c r="MTS380" s="669"/>
      <c r="MTT380" s="669"/>
      <c r="MTU380" s="669"/>
      <c r="MTV380" s="669"/>
      <c r="MTW380" s="669"/>
      <c r="MTX380" s="669"/>
      <c r="MTY380" s="669"/>
      <c r="MTZ380" s="669"/>
      <c r="MUA380" s="669"/>
      <c r="MUB380" s="669"/>
      <c r="MUC380" s="669"/>
      <c r="MUD380" s="669"/>
      <c r="MUE380" s="669"/>
      <c r="MUF380" s="669"/>
      <c r="MUG380" s="669"/>
      <c r="MUH380" s="669"/>
      <c r="MUI380" s="669"/>
      <c r="MUJ380" s="669"/>
      <c r="MUK380" s="669"/>
      <c r="MUL380" s="669"/>
      <c r="MUM380" s="669"/>
      <c r="MUN380" s="669"/>
      <c r="MUO380" s="669"/>
      <c r="MUP380" s="669"/>
      <c r="MUQ380" s="669"/>
      <c r="MUR380" s="669"/>
      <c r="MUS380" s="669"/>
      <c r="MUT380" s="669"/>
      <c r="MUU380" s="669"/>
      <c r="MUV380" s="669"/>
      <c r="MUW380" s="669"/>
      <c r="MUX380" s="669"/>
      <c r="MUY380" s="669"/>
      <c r="MUZ380" s="669"/>
      <c r="MVA380" s="669"/>
      <c r="MVB380" s="669"/>
      <c r="MVC380" s="669"/>
      <c r="MVD380" s="669"/>
      <c r="MVE380" s="669"/>
      <c r="MVF380" s="669"/>
      <c r="MVG380" s="669"/>
      <c r="MVH380" s="669"/>
      <c r="MVI380" s="669"/>
      <c r="MVJ380" s="669"/>
      <c r="MVK380" s="669"/>
      <c r="MVL380" s="669"/>
      <c r="MVM380" s="669"/>
      <c r="MVN380" s="669"/>
      <c r="MVO380" s="669"/>
      <c r="MVP380" s="669"/>
      <c r="MVQ380" s="669"/>
      <c r="MVR380" s="669"/>
      <c r="MVS380" s="669"/>
      <c r="MVT380" s="669"/>
      <c r="MVU380" s="669"/>
      <c r="MVV380" s="669"/>
      <c r="MVW380" s="669"/>
      <c r="MVX380" s="669"/>
      <c r="MVY380" s="669"/>
      <c r="MVZ380" s="669"/>
      <c r="MWA380" s="669"/>
      <c r="MWB380" s="669"/>
      <c r="MWC380" s="669"/>
      <c r="MWD380" s="669"/>
      <c r="MWE380" s="669"/>
      <c r="MWF380" s="669"/>
      <c r="MWG380" s="669"/>
      <c r="MWH380" s="669"/>
      <c r="MWI380" s="669"/>
      <c r="MWJ380" s="669"/>
      <c r="MWK380" s="669"/>
      <c r="MWL380" s="669"/>
      <c r="MWM380" s="669"/>
      <c r="MWN380" s="669"/>
      <c r="MWO380" s="669"/>
      <c r="MWP380" s="669"/>
      <c r="MWQ380" s="669"/>
      <c r="MWR380" s="669"/>
      <c r="MWS380" s="669"/>
      <c r="MWT380" s="669"/>
      <c r="MWU380" s="669"/>
      <c r="MWV380" s="669"/>
      <c r="MWW380" s="669"/>
      <c r="MWX380" s="669"/>
      <c r="MWY380" s="669"/>
      <c r="MWZ380" s="669"/>
      <c r="MXA380" s="669"/>
      <c r="MXB380" s="669"/>
      <c r="MXC380" s="669"/>
      <c r="MXD380" s="669"/>
      <c r="MXE380" s="669"/>
      <c r="MXF380" s="669"/>
      <c r="MXG380" s="669"/>
      <c r="MXH380" s="669"/>
      <c r="MXI380" s="669"/>
      <c r="MXJ380" s="669"/>
      <c r="MXK380" s="669"/>
      <c r="MXL380" s="669"/>
      <c r="MXM380" s="669"/>
      <c r="MXN380" s="669"/>
      <c r="MXO380" s="669"/>
      <c r="MXP380" s="669"/>
      <c r="MXQ380" s="669"/>
      <c r="MXR380" s="669"/>
      <c r="MXS380" s="669"/>
      <c r="MXT380" s="669"/>
      <c r="MXU380" s="669"/>
      <c r="MXV380" s="669"/>
      <c r="MXW380" s="669"/>
      <c r="MXX380" s="669"/>
      <c r="MXY380" s="669"/>
      <c r="MXZ380" s="669"/>
      <c r="MYA380" s="669"/>
      <c r="MYB380" s="669"/>
      <c r="MYC380" s="669"/>
      <c r="MYD380" s="669"/>
      <c r="MYE380" s="669"/>
      <c r="MYF380" s="669"/>
      <c r="MYG380" s="669"/>
      <c r="MYH380" s="669"/>
      <c r="MYI380" s="669"/>
      <c r="MYJ380" s="669"/>
      <c r="MYK380" s="669"/>
      <c r="MYL380" s="669"/>
      <c r="MYM380" s="669"/>
      <c r="MYN380" s="669"/>
      <c r="MYO380" s="669"/>
      <c r="MYP380" s="669"/>
      <c r="MYQ380" s="669"/>
      <c r="MYR380" s="669"/>
      <c r="MYS380" s="669"/>
      <c r="MYT380" s="669"/>
      <c r="MYU380" s="669"/>
      <c r="MYV380" s="669"/>
      <c r="MYW380" s="669"/>
      <c r="MYX380" s="669"/>
      <c r="MYY380" s="669"/>
      <c r="MYZ380" s="669"/>
      <c r="MZA380" s="669"/>
      <c r="MZB380" s="669"/>
      <c r="MZC380" s="669"/>
      <c r="MZD380" s="669"/>
      <c r="MZE380" s="669"/>
      <c r="MZF380" s="669"/>
      <c r="MZG380" s="669"/>
      <c r="MZH380" s="669"/>
      <c r="MZI380" s="669"/>
      <c r="MZJ380" s="669"/>
      <c r="MZK380" s="669"/>
      <c r="MZL380" s="669"/>
      <c r="MZM380" s="669"/>
      <c r="MZN380" s="669"/>
      <c r="MZO380" s="669"/>
      <c r="MZP380" s="669"/>
      <c r="MZQ380" s="669"/>
      <c r="MZR380" s="669"/>
      <c r="MZS380" s="669"/>
      <c r="MZT380" s="669"/>
      <c r="MZU380" s="669"/>
      <c r="MZV380" s="669"/>
      <c r="MZW380" s="669"/>
      <c r="MZX380" s="669"/>
      <c r="MZY380" s="669"/>
      <c r="MZZ380" s="669"/>
      <c r="NAA380" s="669"/>
      <c r="NAB380" s="669"/>
      <c r="NAC380" s="669"/>
      <c r="NAD380" s="669"/>
      <c r="NAE380" s="669"/>
      <c r="NAF380" s="669"/>
      <c r="NAG380" s="669"/>
      <c r="NAH380" s="669"/>
      <c r="NAI380" s="669"/>
      <c r="NAJ380" s="669"/>
      <c r="NAK380" s="669"/>
      <c r="NAL380" s="669"/>
      <c r="NAM380" s="669"/>
      <c r="NAN380" s="669"/>
      <c r="NAO380" s="669"/>
      <c r="NAP380" s="669"/>
      <c r="NAQ380" s="669"/>
      <c r="NAR380" s="669"/>
      <c r="NAS380" s="669"/>
      <c r="NAT380" s="669"/>
      <c r="NAU380" s="669"/>
      <c r="NAV380" s="669"/>
      <c r="NAW380" s="669"/>
      <c r="NAX380" s="669"/>
      <c r="NAY380" s="669"/>
      <c r="NAZ380" s="669"/>
      <c r="NBA380" s="669"/>
      <c r="NBB380" s="669"/>
      <c r="NBC380" s="669"/>
      <c r="NBD380" s="669"/>
      <c r="NBE380" s="669"/>
      <c r="NBF380" s="669"/>
      <c r="NBG380" s="669"/>
      <c r="NBH380" s="669"/>
      <c r="NBI380" s="669"/>
      <c r="NBJ380" s="669"/>
      <c r="NBK380" s="669"/>
      <c r="NBL380" s="669"/>
      <c r="NBM380" s="669"/>
      <c r="NBN380" s="669"/>
      <c r="NBO380" s="669"/>
      <c r="NBP380" s="669"/>
      <c r="NBQ380" s="669"/>
      <c r="NBR380" s="669"/>
      <c r="NBS380" s="669"/>
      <c r="NBT380" s="669"/>
      <c r="NBU380" s="669"/>
      <c r="NBV380" s="669"/>
      <c r="NBW380" s="669"/>
      <c r="NBX380" s="669"/>
      <c r="NBY380" s="669"/>
      <c r="NBZ380" s="669"/>
      <c r="NCA380" s="669"/>
      <c r="NCB380" s="669"/>
      <c r="NCC380" s="669"/>
      <c r="NCD380" s="669"/>
      <c r="NCE380" s="669"/>
      <c r="NCF380" s="669"/>
      <c r="NCG380" s="669"/>
      <c r="NCH380" s="669"/>
      <c r="NCI380" s="669"/>
      <c r="NCJ380" s="669"/>
      <c r="NCK380" s="669"/>
      <c r="NCL380" s="669"/>
      <c r="NCM380" s="669"/>
      <c r="NCN380" s="669"/>
      <c r="NCO380" s="669"/>
      <c r="NCP380" s="669"/>
      <c r="NCQ380" s="669"/>
      <c r="NCR380" s="669"/>
      <c r="NCS380" s="669"/>
      <c r="NCT380" s="669"/>
      <c r="NCU380" s="669"/>
      <c r="NCV380" s="669"/>
      <c r="NCW380" s="669"/>
      <c r="NCX380" s="669"/>
      <c r="NCY380" s="669"/>
      <c r="NCZ380" s="669"/>
      <c r="NDA380" s="669"/>
      <c r="NDB380" s="669"/>
      <c r="NDC380" s="669"/>
      <c r="NDD380" s="669"/>
      <c r="NDE380" s="669"/>
      <c r="NDF380" s="669"/>
      <c r="NDG380" s="669"/>
      <c r="NDH380" s="669"/>
      <c r="NDI380" s="669"/>
      <c r="NDJ380" s="669"/>
      <c r="NDK380" s="669"/>
      <c r="NDL380" s="669"/>
      <c r="NDM380" s="669"/>
      <c r="NDN380" s="669"/>
      <c r="NDO380" s="669"/>
      <c r="NDP380" s="669"/>
      <c r="NDQ380" s="669"/>
      <c r="NDR380" s="669"/>
      <c r="NDS380" s="669"/>
      <c r="NDT380" s="669"/>
      <c r="NDU380" s="669"/>
      <c r="NDV380" s="669"/>
      <c r="NDW380" s="669"/>
      <c r="NDX380" s="669"/>
      <c r="NDY380" s="669"/>
      <c r="NDZ380" s="669"/>
      <c r="NEA380" s="669"/>
      <c r="NEB380" s="669"/>
      <c r="NEC380" s="669"/>
      <c r="NED380" s="669"/>
      <c r="NEE380" s="669"/>
      <c r="NEF380" s="669"/>
      <c r="NEG380" s="669"/>
      <c r="NEH380" s="669"/>
      <c r="NEI380" s="669"/>
      <c r="NEJ380" s="669"/>
      <c r="NEK380" s="669"/>
      <c r="NEL380" s="669"/>
      <c r="NEM380" s="669"/>
      <c r="NEN380" s="669"/>
      <c r="NEO380" s="669"/>
      <c r="NEP380" s="669"/>
      <c r="NEQ380" s="669"/>
      <c r="NER380" s="669"/>
      <c r="NES380" s="669"/>
      <c r="NET380" s="669"/>
      <c r="NEU380" s="669"/>
      <c r="NEV380" s="669"/>
      <c r="NEW380" s="669"/>
      <c r="NEX380" s="669"/>
      <c r="NEY380" s="669"/>
      <c r="NEZ380" s="669"/>
      <c r="NFA380" s="669"/>
      <c r="NFB380" s="669"/>
      <c r="NFC380" s="669"/>
      <c r="NFD380" s="669"/>
      <c r="NFE380" s="669"/>
      <c r="NFF380" s="669"/>
      <c r="NFG380" s="669"/>
      <c r="NFH380" s="669"/>
      <c r="NFI380" s="669"/>
      <c r="NFJ380" s="669"/>
      <c r="NFK380" s="669"/>
      <c r="NFL380" s="669"/>
      <c r="NFM380" s="669"/>
      <c r="NFN380" s="669"/>
      <c r="NFO380" s="669"/>
      <c r="NFP380" s="669"/>
      <c r="NFQ380" s="669"/>
      <c r="NFR380" s="669"/>
      <c r="NFS380" s="669"/>
      <c r="NFT380" s="669"/>
      <c r="NFU380" s="669"/>
      <c r="NFV380" s="669"/>
      <c r="NFW380" s="669"/>
      <c r="NFX380" s="669"/>
      <c r="NFY380" s="669"/>
      <c r="NFZ380" s="669"/>
      <c r="NGA380" s="669"/>
      <c r="NGB380" s="669"/>
      <c r="NGC380" s="669"/>
      <c r="NGD380" s="669"/>
      <c r="NGE380" s="669"/>
      <c r="NGF380" s="669"/>
      <c r="NGG380" s="669"/>
      <c r="NGH380" s="669"/>
      <c r="NGI380" s="669"/>
      <c r="NGJ380" s="669"/>
      <c r="NGK380" s="669"/>
      <c r="NGL380" s="669"/>
      <c r="NGM380" s="669"/>
      <c r="NGN380" s="669"/>
      <c r="NGO380" s="669"/>
      <c r="NGP380" s="669"/>
      <c r="NGQ380" s="669"/>
      <c r="NGR380" s="669"/>
      <c r="NGS380" s="669"/>
      <c r="NGT380" s="669"/>
      <c r="NGU380" s="669"/>
      <c r="NGV380" s="669"/>
      <c r="NGW380" s="669"/>
      <c r="NGX380" s="669"/>
      <c r="NGY380" s="669"/>
      <c r="NGZ380" s="669"/>
      <c r="NHA380" s="669"/>
      <c r="NHB380" s="669"/>
      <c r="NHC380" s="669"/>
      <c r="NHD380" s="669"/>
      <c r="NHE380" s="669"/>
      <c r="NHF380" s="669"/>
      <c r="NHG380" s="669"/>
      <c r="NHH380" s="669"/>
      <c r="NHI380" s="669"/>
      <c r="NHJ380" s="669"/>
      <c r="NHK380" s="669"/>
      <c r="NHL380" s="669"/>
      <c r="NHM380" s="669"/>
      <c r="NHN380" s="669"/>
      <c r="NHO380" s="669"/>
      <c r="NHP380" s="669"/>
      <c r="NHQ380" s="669"/>
      <c r="NHR380" s="669"/>
      <c r="NHS380" s="669"/>
      <c r="NHT380" s="669"/>
      <c r="NHU380" s="669"/>
      <c r="NHV380" s="669"/>
      <c r="NHW380" s="669"/>
      <c r="NHX380" s="669"/>
      <c r="NHY380" s="669"/>
      <c r="NHZ380" s="669"/>
      <c r="NIA380" s="669"/>
      <c r="NIB380" s="669"/>
      <c r="NIC380" s="669"/>
      <c r="NID380" s="669"/>
      <c r="NIE380" s="669"/>
      <c r="NIF380" s="669"/>
      <c r="NIG380" s="669"/>
      <c r="NIH380" s="669"/>
      <c r="NII380" s="669"/>
      <c r="NIJ380" s="669"/>
      <c r="NIK380" s="669"/>
      <c r="NIL380" s="669"/>
      <c r="NIM380" s="669"/>
      <c r="NIN380" s="669"/>
      <c r="NIO380" s="669"/>
      <c r="NIP380" s="669"/>
      <c r="NIQ380" s="669"/>
      <c r="NIR380" s="669"/>
      <c r="NIS380" s="669"/>
      <c r="NIT380" s="669"/>
      <c r="NIU380" s="669"/>
      <c r="NIV380" s="669"/>
      <c r="NIW380" s="669"/>
      <c r="NIX380" s="669"/>
      <c r="NIY380" s="669"/>
      <c r="NIZ380" s="669"/>
      <c r="NJA380" s="669"/>
      <c r="NJB380" s="669"/>
      <c r="NJC380" s="669"/>
      <c r="NJD380" s="669"/>
      <c r="NJE380" s="669"/>
      <c r="NJF380" s="669"/>
      <c r="NJG380" s="669"/>
      <c r="NJH380" s="669"/>
      <c r="NJI380" s="669"/>
      <c r="NJJ380" s="669"/>
      <c r="NJK380" s="669"/>
      <c r="NJL380" s="669"/>
      <c r="NJM380" s="669"/>
      <c r="NJN380" s="669"/>
      <c r="NJO380" s="669"/>
      <c r="NJP380" s="669"/>
      <c r="NJQ380" s="669"/>
      <c r="NJR380" s="669"/>
      <c r="NJS380" s="669"/>
      <c r="NJT380" s="669"/>
      <c r="NJU380" s="669"/>
      <c r="NJV380" s="669"/>
      <c r="NJW380" s="669"/>
      <c r="NJX380" s="669"/>
      <c r="NJY380" s="669"/>
      <c r="NJZ380" s="669"/>
      <c r="NKA380" s="669"/>
      <c r="NKB380" s="669"/>
      <c r="NKC380" s="669"/>
      <c r="NKD380" s="669"/>
      <c r="NKE380" s="669"/>
      <c r="NKF380" s="669"/>
      <c r="NKG380" s="669"/>
      <c r="NKH380" s="669"/>
      <c r="NKI380" s="669"/>
      <c r="NKJ380" s="669"/>
      <c r="NKK380" s="669"/>
      <c r="NKL380" s="669"/>
      <c r="NKM380" s="669"/>
      <c r="NKN380" s="669"/>
      <c r="NKO380" s="669"/>
      <c r="NKP380" s="669"/>
      <c r="NKQ380" s="669"/>
      <c r="NKR380" s="669"/>
      <c r="NKS380" s="669"/>
      <c r="NKT380" s="669"/>
      <c r="NKU380" s="669"/>
      <c r="NKV380" s="669"/>
      <c r="NKW380" s="669"/>
      <c r="NKX380" s="669"/>
      <c r="NKY380" s="669"/>
      <c r="NKZ380" s="669"/>
      <c r="NLA380" s="669"/>
      <c r="NLB380" s="669"/>
      <c r="NLC380" s="669"/>
      <c r="NLD380" s="669"/>
      <c r="NLE380" s="669"/>
      <c r="NLF380" s="669"/>
      <c r="NLG380" s="669"/>
      <c r="NLH380" s="669"/>
      <c r="NLI380" s="669"/>
      <c r="NLJ380" s="669"/>
      <c r="NLK380" s="669"/>
      <c r="NLL380" s="669"/>
      <c r="NLM380" s="669"/>
      <c r="NLN380" s="669"/>
      <c r="NLO380" s="669"/>
      <c r="NLP380" s="669"/>
      <c r="NLQ380" s="669"/>
      <c r="NLR380" s="669"/>
      <c r="NLS380" s="669"/>
      <c r="NLT380" s="669"/>
      <c r="NLU380" s="669"/>
      <c r="NLV380" s="669"/>
      <c r="NLW380" s="669"/>
      <c r="NLX380" s="669"/>
      <c r="NLY380" s="669"/>
      <c r="NLZ380" s="669"/>
      <c r="NMA380" s="669"/>
      <c r="NMB380" s="669"/>
      <c r="NMC380" s="669"/>
      <c r="NMD380" s="669"/>
      <c r="NME380" s="669"/>
      <c r="NMF380" s="669"/>
      <c r="NMG380" s="669"/>
      <c r="NMH380" s="669"/>
      <c r="NMI380" s="669"/>
      <c r="NMJ380" s="669"/>
      <c r="NMK380" s="669"/>
      <c r="NML380" s="669"/>
      <c r="NMM380" s="669"/>
      <c r="NMN380" s="669"/>
      <c r="NMO380" s="669"/>
      <c r="NMP380" s="669"/>
      <c r="NMQ380" s="669"/>
      <c r="NMR380" s="669"/>
      <c r="NMS380" s="669"/>
      <c r="NMT380" s="669"/>
      <c r="NMU380" s="669"/>
      <c r="NMV380" s="669"/>
      <c r="NMW380" s="669"/>
      <c r="NMX380" s="669"/>
      <c r="NMY380" s="669"/>
      <c r="NMZ380" s="669"/>
      <c r="NNA380" s="669"/>
      <c r="NNB380" s="669"/>
      <c r="NNC380" s="669"/>
      <c r="NND380" s="669"/>
      <c r="NNE380" s="669"/>
      <c r="NNF380" s="669"/>
      <c r="NNG380" s="669"/>
      <c r="NNH380" s="669"/>
      <c r="NNI380" s="669"/>
      <c r="NNJ380" s="669"/>
      <c r="NNK380" s="669"/>
      <c r="NNL380" s="669"/>
      <c r="NNM380" s="669"/>
      <c r="NNN380" s="669"/>
      <c r="NNO380" s="669"/>
      <c r="NNP380" s="669"/>
      <c r="NNQ380" s="669"/>
      <c r="NNR380" s="669"/>
      <c r="NNS380" s="669"/>
      <c r="NNT380" s="669"/>
      <c r="NNU380" s="669"/>
      <c r="NNV380" s="669"/>
      <c r="NNW380" s="669"/>
      <c r="NNX380" s="669"/>
      <c r="NNY380" s="669"/>
      <c r="NNZ380" s="669"/>
      <c r="NOA380" s="669"/>
      <c r="NOB380" s="669"/>
      <c r="NOC380" s="669"/>
      <c r="NOD380" s="669"/>
      <c r="NOE380" s="669"/>
      <c r="NOF380" s="669"/>
      <c r="NOG380" s="669"/>
      <c r="NOH380" s="669"/>
      <c r="NOI380" s="669"/>
      <c r="NOJ380" s="669"/>
      <c r="NOK380" s="669"/>
      <c r="NOL380" s="669"/>
      <c r="NOM380" s="669"/>
      <c r="NON380" s="669"/>
      <c r="NOO380" s="669"/>
      <c r="NOP380" s="669"/>
      <c r="NOQ380" s="669"/>
      <c r="NOR380" s="669"/>
      <c r="NOS380" s="669"/>
      <c r="NOT380" s="669"/>
      <c r="NOU380" s="669"/>
      <c r="NOV380" s="669"/>
      <c r="NOW380" s="669"/>
      <c r="NOX380" s="669"/>
      <c r="NOY380" s="669"/>
      <c r="NOZ380" s="669"/>
      <c r="NPA380" s="669"/>
      <c r="NPB380" s="669"/>
      <c r="NPC380" s="669"/>
      <c r="NPD380" s="669"/>
      <c r="NPE380" s="669"/>
      <c r="NPF380" s="669"/>
      <c r="NPG380" s="669"/>
      <c r="NPH380" s="669"/>
      <c r="NPI380" s="669"/>
      <c r="NPJ380" s="669"/>
      <c r="NPK380" s="669"/>
      <c r="NPL380" s="669"/>
      <c r="NPM380" s="669"/>
      <c r="NPN380" s="669"/>
      <c r="NPO380" s="669"/>
      <c r="NPP380" s="669"/>
      <c r="NPQ380" s="669"/>
      <c r="NPR380" s="669"/>
      <c r="NPS380" s="669"/>
      <c r="NPT380" s="669"/>
      <c r="NPU380" s="669"/>
      <c r="NPV380" s="669"/>
      <c r="NPW380" s="669"/>
      <c r="NPX380" s="669"/>
      <c r="NPY380" s="669"/>
      <c r="NPZ380" s="669"/>
      <c r="NQA380" s="669"/>
      <c r="NQB380" s="669"/>
      <c r="NQC380" s="669"/>
      <c r="NQD380" s="669"/>
      <c r="NQE380" s="669"/>
      <c r="NQF380" s="669"/>
      <c r="NQG380" s="669"/>
      <c r="NQH380" s="669"/>
      <c r="NQI380" s="669"/>
      <c r="NQJ380" s="669"/>
      <c r="NQK380" s="669"/>
      <c r="NQL380" s="669"/>
      <c r="NQM380" s="669"/>
      <c r="NQN380" s="669"/>
      <c r="NQO380" s="669"/>
      <c r="NQP380" s="669"/>
      <c r="NQQ380" s="669"/>
      <c r="NQR380" s="669"/>
      <c r="NQS380" s="669"/>
      <c r="NQT380" s="669"/>
      <c r="NQU380" s="669"/>
      <c r="NQV380" s="669"/>
      <c r="NQW380" s="669"/>
      <c r="NQX380" s="669"/>
      <c r="NQY380" s="669"/>
      <c r="NQZ380" s="669"/>
      <c r="NRA380" s="669"/>
      <c r="NRB380" s="669"/>
      <c r="NRC380" s="669"/>
      <c r="NRD380" s="669"/>
      <c r="NRE380" s="669"/>
      <c r="NRF380" s="669"/>
      <c r="NRG380" s="669"/>
      <c r="NRH380" s="669"/>
      <c r="NRI380" s="669"/>
      <c r="NRJ380" s="669"/>
      <c r="NRK380" s="669"/>
      <c r="NRL380" s="669"/>
      <c r="NRM380" s="669"/>
      <c r="NRN380" s="669"/>
      <c r="NRO380" s="669"/>
      <c r="NRP380" s="669"/>
      <c r="NRQ380" s="669"/>
      <c r="NRR380" s="669"/>
      <c r="NRS380" s="669"/>
      <c r="NRT380" s="669"/>
      <c r="NRU380" s="669"/>
      <c r="NRV380" s="669"/>
      <c r="NRW380" s="669"/>
      <c r="NRX380" s="669"/>
      <c r="NRY380" s="669"/>
      <c r="NRZ380" s="669"/>
      <c r="NSA380" s="669"/>
      <c r="NSB380" s="669"/>
      <c r="NSC380" s="669"/>
      <c r="NSD380" s="669"/>
      <c r="NSE380" s="669"/>
      <c r="NSF380" s="669"/>
      <c r="NSG380" s="669"/>
      <c r="NSH380" s="669"/>
      <c r="NSI380" s="669"/>
      <c r="NSJ380" s="669"/>
      <c r="NSK380" s="669"/>
      <c r="NSL380" s="669"/>
      <c r="NSM380" s="669"/>
      <c r="NSN380" s="669"/>
      <c r="NSO380" s="669"/>
      <c r="NSP380" s="669"/>
      <c r="NSQ380" s="669"/>
      <c r="NSR380" s="669"/>
      <c r="NSS380" s="669"/>
      <c r="NST380" s="669"/>
      <c r="NSU380" s="669"/>
      <c r="NSV380" s="669"/>
      <c r="NSW380" s="669"/>
      <c r="NSX380" s="669"/>
      <c r="NSY380" s="669"/>
      <c r="NSZ380" s="669"/>
      <c r="NTA380" s="669"/>
      <c r="NTB380" s="669"/>
      <c r="NTC380" s="669"/>
      <c r="NTD380" s="669"/>
      <c r="NTE380" s="669"/>
      <c r="NTF380" s="669"/>
      <c r="NTG380" s="669"/>
      <c r="NTH380" s="669"/>
      <c r="NTI380" s="669"/>
      <c r="NTJ380" s="669"/>
      <c r="NTK380" s="669"/>
      <c r="NTL380" s="669"/>
      <c r="NTM380" s="669"/>
      <c r="NTN380" s="669"/>
      <c r="NTO380" s="669"/>
      <c r="NTP380" s="669"/>
      <c r="NTQ380" s="669"/>
      <c r="NTR380" s="669"/>
      <c r="NTS380" s="669"/>
      <c r="NTT380" s="669"/>
      <c r="NTU380" s="669"/>
      <c r="NTV380" s="669"/>
      <c r="NTW380" s="669"/>
      <c r="NTX380" s="669"/>
      <c r="NTY380" s="669"/>
      <c r="NTZ380" s="669"/>
      <c r="NUA380" s="669"/>
      <c r="NUB380" s="669"/>
      <c r="NUC380" s="669"/>
      <c r="NUD380" s="669"/>
      <c r="NUE380" s="669"/>
      <c r="NUF380" s="669"/>
      <c r="NUG380" s="669"/>
      <c r="NUH380" s="669"/>
      <c r="NUI380" s="669"/>
      <c r="NUJ380" s="669"/>
      <c r="NUK380" s="669"/>
      <c r="NUL380" s="669"/>
      <c r="NUM380" s="669"/>
      <c r="NUN380" s="669"/>
      <c r="NUO380" s="669"/>
      <c r="NUP380" s="669"/>
      <c r="NUQ380" s="669"/>
      <c r="NUR380" s="669"/>
      <c r="NUS380" s="669"/>
      <c r="NUT380" s="669"/>
      <c r="NUU380" s="669"/>
      <c r="NUV380" s="669"/>
      <c r="NUW380" s="669"/>
      <c r="NUX380" s="669"/>
      <c r="NUY380" s="669"/>
      <c r="NUZ380" s="669"/>
      <c r="NVA380" s="669"/>
      <c r="NVB380" s="669"/>
      <c r="NVC380" s="669"/>
      <c r="NVD380" s="669"/>
      <c r="NVE380" s="669"/>
      <c r="NVF380" s="669"/>
      <c r="NVG380" s="669"/>
      <c r="NVH380" s="669"/>
      <c r="NVI380" s="669"/>
      <c r="NVJ380" s="669"/>
      <c r="NVK380" s="669"/>
      <c r="NVL380" s="669"/>
      <c r="NVM380" s="669"/>
      <c r="NVN380" s="669"/>
      <c r="NVO380" s="669"/>
      <c r="NVP380" s="669"/>
      <c r="NVQ380" s="669"/>
      <c r="NVR380" s="669"/>
      <c r="NVS380" s="669"/>
      <c r="NVT380" s="669"/>
      <c r="NVU380" s="669"/>
      <c r="NVV380" s="669"/>
      <c r="NVW380" s="669"/>
      <c r="NVX380" s="669"/>
      <c r="NVY380" s="669"/>
      <c r="NVZ380" s="669"/>
      <c r="NWA380" s="669"/>
      <c r="NWB380" s="669"/>
      <c r="NWC380" s="669"/>
      <c r="NWD380" s="669"/>
      <c r="NWE380" s="669"/>
      <c r="NWF380" s="669"/>
      <c r="NWG380" s="669"/>
      <c r="NWH380" s="669"/>
      <c r="NWI380" s="669"/>
      <c r="NWJ380" s="669"/>
      <c r="NWK380" s="669"/>
      <c r="NWL380" s="669"/>
      <c r="NWM380" s="669"/>
      <c r="NWN380" s="669"/>
      <c r="NWO380" s="669"/>
      <c r="NWP380" s="669"/>
      <c r="NWQ380" s="669"/>
      <c r="NWR380" s="669"/>
      <c r="NWS380" s="669"/>
      <c r="NWT380" s="669"/>
      <c r="NWU380" s="669"/>
      <c r="NWV380" s="669"/>
      <c r="NWW380" s="669"/>
      <c r="NWX380" s="669"/>
      <c r="NWY380" s="669"/>
      <c r="NWZ380" s="669"/>
      <c r="NXA380" s="669"/>
      <c r="NXB380" s="669"/>
      <c r="NXC380" s="669"/>
      <c r="NXD380" s="669"/>
      <c r="NXE380" s="669"/>
      <c r="NXF380" s="669"/>
      <c r="NXG380" s="669"/>
      <c r="NXH380" s="669"/>
      <c r="NXI380" s="669"/>
      <c r="NXJ380" s="669"/>
      <c r="NXK380" s="669"/>
      <c r="NXL380" s="669"/>
      <c r="NXM380" s="669"/>
      <c r="NXN380" s="669"/>
      <c r="NXO380" s="669"/>
      <c r="NXP380" s="669"/>
      <c r="NXQ380" s="669"/>
      <c r="NXR380" s="669"/>
      <c r="NXS380" s="669"/>
      <c r="NXT380" s="669"/>
      <c r="NXU380" s="669"/>
      <c r="NXV380" s="669"/>
      <c r="NXW380" s="669"/>
      <c r="NXX380" s="669"/>
      <c r="NXY380" s="669"/>
      <c r="NXZ380" s="669"/>
      <c r="NYA380" s="669"/>
      <c r="NYB380" s="669"/>
      <c r="NYC380" s="669"/>
      <c r="NYD380" s="669"/>
      <c r="NYE380" s="669"/>
      <c r="NYF380" s="669"/>
      <c r="NYG380" s="669"/>
      <c r="NYH380" s="669"/>
      <c r="NYI380" s="669"/>
      <c r="NYJ380" s="669"/>
      <c r="NYK380" s="669"/>
      <c r="NYL380" s="669"/>
      <c r="NYM380" s="669"/>
      <c r="NYN380" s="669"/>
      <c r="NYO380" s="669"/>
      <c r="NYP380" s="669"/>
      <c r="NYQ380" s="669"/>
      <c r="NYR380" s="669"/>
      <c r="NYS380" s="669"/>
      <c r="NYT380" s="669"/>
      <c r="NYU380" s="669"/>
      <c r="NYV380" s="669"/>
      <c r="NYW380" s="669"/>
      <c r="NYX380" s="669"/>
      <c r="NYY380" s="669"/>
      <c r="NYZ380" s="669"/>
      <c r="NZA380" s="669"/>
      <c r="NZB380" s="669"/>
      <c r="NZC380" s="669"/>
      <c r="NZD380" s="669"/>
      <c r="NZE380" s="669"/>
      <c r="NZF380" s="669"/>
      <c r="NZG380" s="669"/>
      <c r="NZH380" s="669"/>
      <c r="NZI380" s="669"/>
      <c r="NZJ380" s="669"/>
      <c r="NZK380" s="669"/>
      <c r="NZL380" s="669"/>
      <c r="NZM380" s="669"/>
      <c r="NZN380" s="669"/>
      <c r="NZO380" s="669"/>
      <c r="NZP380" s="669"/>
      <c r="NZQ380" s="669"/>
      <c r="NZR380" s="669"/>
      <c r="NZS380" s="669"/>
      <c r="NZT380" s="669"/>
      <c r="NZU380" s="669"/>
      <c r="NZV380" s="669"/>
      <c r="NZW380" s="669"/>
      <c r="NZX380" s="669"/>
      <c r="NZY380" s="669"/>
      <c r="NZZ380" s="669"/>
      <c r="OAA380" s="669"/>
      <c r="OAB380" s="669"/>
      <c r="OAC380" s="669"/>
      <c r="OAD380" s="669"/>
      <c r="OAE380" s="669"/>
      <c r="OAF380" s="669"/>
      <c r="OAG380" s="669"/>
      <c r="OAH380" s="669"/>
      <c r="OAI380" s="669"/>
      <c r="OAJ380" s="669"/>
      <c r="OAK380" s="669"/>
      <c r="OAL380" s="669"/>
      <c r="OAM380" s="669"/>
      <c r="OAN380" s="669"/>
      <c r="OAO380" s="669"/>
      <c r="OAP380" s="669"/>
      <c r="OAQ380" s="669"/>
      <c r="OAR380" s="669"/>
      <c r="OAS380" s="669"/>
      <c r="OAT380" s="669"/>
      <c r="OAU380" s="669"/>
      <c r="OAV380" s="669"/>
      <c r="OAW380" s="669"/>
      <c r="OAX380" s="669"/>
      <c r="OAY380" s="669"/>
      <c r="OAZ380" s="669"/>
      <c r="OBA380" s="669"/>
      <c r="OBB380" s="669"/>
      <c r="OBC380" s="669"/>
      <c r="OBD380" s="669"/>
      <c r="OBE380" s="669"/>
      <c r="OBF380" s="669"/>
      <c r="OBG380" s="669"/>
      <c r="OBH380" s="669"/>
      <c r="OBI380" s="669"/>
      <c r="OBJ380" s="669"/>
      <c r="OBK380" s="669"/>
      <c r="OBL380" s="669"/>
      <c r="OBM380" s="669"/>
      <c r="OBN380" s="669"/>
      <c r="OBO380" s="669"/>
      <c r="OBP380" s="669"/>
      <c r="OBQ380" s="669"/>
      <c r="OBR380" s="669"/>
      <c r="OBS380" s="669"/>
      <c r="OBT380" s="669"/>
      <c r="OBU380" s="669"/>
      <c r="OBV380" s="669"/>
      <c r="OBW380" s="669"/>
      <c r="OBX380" s="669"/>
      <c r="OBY380" s="669"/>
      <c r="OBZ380" s="669"/>
      <c r="OCA380" s="669"/>
      <c r="OCB380" s="669"/>
      <c r="OCC380" s="669"/>
      <c r="OCD380" s="669"/>
      <c r="OCE380" s="669"/>
      <c r="OCF380" s="669"/>
      <c r="OCG380" s="669"/>
      <c r="OCH380" s="669"/>
      <c r="OCI380" s="669"/>
      <c r="OCJ380" s="669"/>
      <c r="OCK380" s="669"/>
      <c r="OCL380" s="669"/>
      <c r="OCM380" s="669"/>
      <c r="OCN380" s="669"/>
      <c r="OCO380" s="669"/>
      <c r="OCP380" s="669"/>
      <c r="OCQ380" s="669"/>
      <c r="OCR380" s="669"/>
      <c r="OCS380" s="669"/>
      <c r="OCT380" s="669"/>
      <c r="OCU380" s="669"/>
      <c r="OCV380" s="669"/>
      <c r="OCW380" s="669"/>
      <c r="OCX380" s="669"/>
      <c r="OCY380" s="669"/>
      <c r="OCZ380" s="669"/>
      <c r="ODA380" s="669"/>
      <c r="ODB380" s="669"/>
      <c r="ODC380" s="669"/>
      <c r="ODD380" s="669"/>
      <c r="ODE380" s="669"/>
      <c r="ODF380" s="669"/>
      <c r="ODG380" s="669"/>
      <c r="ODH380" s="669"/>
      <c r="ODI380" s="669"/>
      <c r="ODJ380" s="669"/>
      <c r="ODK380" s="669"/>
      <c r="ODL380" s="669"/>
      <c r="ODM380" s="669"/>
      <c r="ODN380" s="669"/>
      <c r="ODO380" s="669"/>
      <c r="ODP380" s="669"/>
      <c r="ODQ380" s="669"/>
      <c r="ODR380" s="669"/>
      <c r="ODS380" s="669"/>
      <c r="ODT380" s="669"/>
      <c r="ODU380" s="669"/>
      <c r="ODV380" s="669"/>
      <c r="ODW380" s="669"/>
      <c r="ODX380" s="669"/>
      <c r="ODY380" s="669"/>
      <c r="ODZ380" s="669"/>
      <c r="OEA380" s="669"/>
      <c r="OEB380" s="669"/>
      <c r="OEC380" s="669"/>
      <c r="OED380" s="669"/>
      <c r="OEE380" s="669"/>
      <c r="OEF380" s="669"/>
      <c r="OEG380" s="669"/>
      <c r="OEH380" s="669"/>
      <c r="OEI380" s="669"/>
      <c r="OEJ380" s="669"/>
      <c r="OEK380" s="669"/>
      <c r="OEL380" s="669"/>
      <c r="OEM380" s="669"/>
      <c r="OEN380" s="669"/>
      <c r="OEO380" s="669"/>
      <c r="OEP380" s="669"/>
      <c r="OEQ380" s="669"/>
      <c r="OER380" s="669"/>
      <c r="OES380" s="669"/>
      <c r="OET380" s="669"/>
      <c r="OEU380" s="669"/>
      <c r="OEV380" s="669"/>
      <c r="OEW380" s="669"/>
      <c r="OEX380" s="669"/>
      <c r="OEY380" s="669"/>
      <c r="OEZ380" s="669"/>
      <c r="OFA380" s="669"/>
      <c r="OFB380" s="669"/>
      <c r="OFC380" s="669"/>
      <c r="OFD380" s="669"/>
      <c r="OFE380" s="669"/>
      <c r="OFF380" s="669"/>
      <c r="OFG380" s="669"/>
      <c r="OFH380" s="669"/>
      <c r="OFI380" s="669"/>
      <c r="OFJ380" s="669"/>
      <c r="OFK380" s="669"/>
      <c r="OFL380" s="669"/>
      <c r="OFM380" s="669"/>
      <c r="OFN380" s="669"/>
      <c r="OFO380" s="669"/>
      <c r="OFP380" s="669"/>
      <c r="OFQ380" s="669"/>
      <c r="OFR380" s="669"/>
      <c r="OFS380" s="669"/>
      <c r="OFT380" s="669"/>
      <c r="OFU380" s="669"/>
      <c r="OFV380" s="669"/>
      <c r="OFW380" s="669"/>
      <c r="OFX380" s="669"/>
      <c r="OFY380" s="669"/>
      <c r="OFZ380" s="669"/>
      <c r="OGA380" s="669"/>
      <c r="OGB380" s="669"/>
      <c r="OGC380" s="669"/>
      <c r="OGD380" s="669"/>
      <c r="OGE380" s="669"/>
      <c r="OGF380" s="669"/>
      <c r="OGG380" s="669"/>
      <c r="OGH380" s="669"/>
      <c r="OGI380" s="669"/>
      <c r="OGJ380" s="669"/>
      <c r="OGK380" s="669"/>
      <c r="OGL380" s="669"/>
      <c r="OGM380" s="669"/>
      <c r="OGN380" s="669"/>
      <c r="OGO380" s="669"/>
      <c r="OGP380" s="669"/>
      <c r="OGQ380" s="669"/>
      <c r="OGR380" s="669"/>
      <c r="OGS380" s="669"/>
      <c r="OGT380" s="669"/>
      <c r="OGU380" s="669"/>
      <c r="OGV380" s="669"/>
      <c r="OGW380" s="669"/>
      <c r="OGX380" s="669"/>
      <c r="OGY380" s="669"/>
      <c r="OGZ380" s="669"/>
      <c r="OHA380" s="669"/>
      <c r="OHB380" s="669"/>
      <c r="OHC380" s="669"/>
      <c r="OHD380" s="669"/>
      <c r="OHE380" s="669"/>
      <c r="OHF380" s="669"/>
      <c r="OHG380" s="669"/>
      <c r="OHH380" s="669"/>
      <c r="OHI380" s="669"/>
      <c r="OHJ380" s="669"/>
      <c r="OHK380" s="669"/>
      <c r="OHL380" s="669"/>
      <c r="OHM380" s="669"/>
      <c r="OHN380" s="669"/>
      <c r="OHO380" s="669"/>
      <c r="OHP380" s="669"/>
      <c r="OHQ380" s="669"/>
      <c r="OHR380" s="669"/>
      <c r="OHS380" s="669"/>
      <c r="OHT380" s="669"/>
      <c r="OHU380" s="669"/>
      <c r="OHV380" s="669"/>
      <c r="OHW380" s="669"/>
      <c r="OHX380" s="669"/>
      <c r="OHY380" s="669"/>
      <c r="OHZ380" s="669"/>
      <c r="OIA380" s="669"/>
      <c r="OIB380" s="669"/>
      <c r="OIC380" s="669"/>
      <c r="OID380" s="669"/>
      <c r="OIE380" s="669"/>
      <c r="OIF380" s="669"/>
      <c r="OIG380" s="669"/>
      <c r="OIH380" s="669"/>
      <c r="OII380" s="669"/>
      <c r="OIJ380" s="669"/>
      <c r="OIK380" s="669"/>
      <c r="OIL380" s="669"/>
      <c r="OIM380" s="669"/>
      <c r="OIN380" s="669"/>
      <c r="OIO380" s="669"/>
      <c r="OIP380" s="669"/>
      <c r="OIQ380" s="669"/>
      <c r="OIR380" s="669"/>
      <c r="OIS380" s="669"/>
      <c r="OIT380" s="669"/>
      <c r="OIU380" s="669"/>
      <c r="OIV380" s="669"/>
      <c r="OIW380" s="669"/>
      <c r="OIX380" s="669"/>
      <c r="OIY380" s="669"/>
      <c r="OIZ380" s="669"/>
      <c r="OJA380" s="669"/>
      <c r="OJB380" s="669"/>
      <c r="OJC380" s="669"/>
      <c r="OJD380" s="669"/>
      <c r="OJE380" s="669"/>
      <c r="OJF380" s="669"/>
      <c r="OJG380" s="669"/>
      <c r="OJH380" s="669"/>
      <c r="OJI380" s="669"/>
      <c r="OJJ380" s="669"/>
      <c r="OJK380" s="669"/>
      <c r="OJL380" s="669"/>
      <c r="OJM380" s="669"/>
      <c r="OJN380" s="669"/>
      <c r="OJO380" s="669"/>
      <c r="OJP380" s="669"/>
      <c r="OJQ380" s="669"/>
      <c r="OJR380" s="669"/>
      <c r="OJS380" s="669"/>
      <c r="OJT380" s="669"/>
      <c r="OJU380" s="669"/>
      <c r="OJV380" s="669"/>
      <c r="OJW380" s="669"/>
      <c r="OJX380" s="669"/>
      <c r="OJY380" s="669"/>
      <c r="OJZ380" s="669"/>
      <c r="OKA380" s="669"/>
      <c r="OKB380" s="669"/>
      <c r="OKC380" s="669"/>
      <c r="OKD380" s="669"/>
      <c r="OKE380" s="669"/>
      <c r="OKF380" s="669"/>
      <c r="OKG380" s="669"/>
      <c r="OKH380" s="669"/>
      <c r="OKI380" s="669"/>
      <c r="OKJ380" s="669"/>
      <c r="OKK380" s="669"/>
      <c r="OKL380" s="669"/>
      <c r="OKM380" s="669"/>
      <c r="OKN380" s="669"/>
      <c r="OKO380" s="669"/>
      <c r="OKP380" s="669"/>
      <c r="OKQ380" s="669"/>
      <c r="OKR380" s="669"/>
      <c r="OKS380" s="669"/>
      <c r="OKT380" s="669"/>
      <c r="OKU380" s="669"/>
      <c r="OKV380" s="669"/>
      <c r="OKW380" s="669"/>
      <c r="OKX380" s="669"/>
      <c r="OKY380" s="669"/>
      <c r="OKZ380" s="669"/>
      <c r="OLA380" s="669"/>
      <c r="OLB380" s="669"/>
      <c r="OLC380" s="669"/>
      <c r="OLD380" s="669"/>
      <c r="OLE380" s="669"/>
      <c r="OLF380" s="669"/>
      <c r="OLG380" s="669"/>
      <c r="OLH380" s="669"/>
      <c r="OLI380" s="669"/>
      <c r="OLJ380" s="669"/>
      <c r="OLK380" s="669"/>
      <c r="OLL380" s="669"/>
      <c r="OLM380" s="669"/>
      <c r="OLN380" s="669"/>
      <c r="OLO380" s="669"/>
      <c r="OLP380" s="669"/>
      <c r="OLQ380" s="669"/>
      <c r="OLR380" s="669"/>
      <c r="OLS380" s="669"/>
      <c r="OLT380" s="669"/>
      <c r="OLU380" s="669"/>
      <c r="OLV380" s="669"/>
      <c r="OLW380" s="669"/>
      <c r="OLX380" s="669"/>
      <c r="OLY380" s="669"/>
      <c r="OLZ380" s="669"/>
      <c r="OMA380" s="669"/>
      <c r="OMB380" s="669"/>
      <c r="OMC380" s="669"/>
      <c r="OMD380" s="669"/>
      <c r="OME380" s="669"/>
      <c r="OMF380" s="669"/>
      <c r="OMG380" s="669"/>
      <c r="OMH380" s="669"/>
      <c r="OMI380" s="669"/>
      <c r="OMJ380" s="669"/>
      <c r="OMK380" s="669"/>
      <c r="OML380" s="669"/>
      <c r="OMM380" s="669"/>
      <c r="OMN380" s="669"/>
      <c r="OMO380" s="669"/>
      <c r="OMP380" s="669"/>
      <c r="OMQ380" s="669"/>
      <c r="OMR380" s="669"/>
      <c r="OMS380" s="669"/>
      <c r="OMT380" s="669"/>
      <c r="OMU380" s="669"/>
      <c r="OMV380" s="669"/>
      <c r="OMW380" s="669"/>
      <c r="OMX380" s="669"/>
      <c r="OMY380" s="669"/>
      <c r="OMZ380" s="669"/>
      <c r="ONA380" s="669"/>
      <c r="ONB380" s="669"/>
      <c r="ONC380" s="669"/>
      <c r="OND380" s="669"/>
      <c r="ONE380" s="669"/>
      <c r="ONF380" s="669"/>
      <c r="ONG380" s="669"/>
      <c r="ONH380" s="669"/>
      <c r="ONI380" s="669"/>
      <c r="ONJ380" s="669"/>
      <c r="ONK380" s="669"/>
      <c r="ONL380" s="669"/>
      <c r="ONM380" s="669"/>
      <c r="ONN380" s="669"/>
      <c r="ONO380" s="669"/>
      <c r="ONP380" s="669"/>
      <c r="ONQ380" s="669"/>
      <c r="ONR380" s="669"/>
      <c r="ONS380" s="669"/>
      <c r="ONT380" s="669"/>
      <c r="ONU380" s="669"/>
      <c r="ONV380" s="669"/>
      <c r="ONW380" s="669"/>
      <c r="ONX380" s="669"/>
      <c r="ONY380" s="669"/>
      <c r="ONZ380" s="669"/>
      <c r="OOA380" s="669"/>
      <c r="OOB380" s="669"/>
      <c r="OOC380" s="669"/>
      <c r="OOD380" s="669"/>
      <c r="OOE380" s="669"/>
      <c r="OOF380" s="669"/>
      <c r="OOG380" s="669"/>
      <c r="OOH380" s="669"/>
      <c r="OOI380" s="669"/>
      <c r="OOJ380" s="669"/>
      <c r="OOK380" s="669"/>
      <c r="OOL380" s="669"/>
      <c r="OOM380" s="669"/>
      <c r="OON380" s="669"/>
      <c r="OOO380" s="669"/>
      <c r="OOP380" s="669"/>
      <c r="OOQ380" s="669"/>
      <c r="OOR380" s="669"/>
      <c r="OOS380" s="669"/>
      <c r="OOT380" s="669"/>
      <c r="OOU380" s="669"/>
      <c r="OOV380" s="669"/>
      <c r="OOW380" s="669"/>
      <c r="OOX380" s="669"/>
      <c r="OOY380" s="669"/>
      <c r="OOZ380" s="669"/>
      <c r="OPA380" s="669"/>
      <c r="OPB380" s="669"/>
      <c r="OPC380" s="669"/>
      <c r="OPD380" s="669"/>
      <c r="OPE380" s="669"/>
      <c r="OPF380" s="669"/>
      <c r="OPG380" s="669"/>
      <c r="OPH380" s="669"/>
      <c r="OPI380" s="669"/>
      <c r="OPJ380" s="669"/>
      <c r="OPK380" s="669"/>
      <c r="OPL380" s="669"/>
      <c r="OPM380" s="669"/>
      <c r="OPN380" s="669"/>
      <c r="OPO380" s="669"/>
      <c r="OPP380" s="669"/>
      <c r="OPQ380" s="669"/>
      <c r="OPR380" s="669"/>
      <c r="OPS380" s="669"/>
      <c r="OPT380" s="669"/>
      <c r="OPU380" s="669"/>
      <c r="OPV380" s="669"/>
      <c r="OPW380" s="669"/>
      <c r="OPX380" s="669"/>
      <c r="OPY380" s="669"/>
      <c r="OPZ380" s="669"/>
      <c r="OQA380" s="669"/>
      <c r="OQB380" s="669"/>
      <c r="OQC380" s="669"/>
      <c r="OQD380" s="669"/>
      <c r="OQE380" s="669"/>
      <c r="OQF380" s="669"/>
      <c r="OQG380" s="669"/>
      <c r="OQH380" s="669"/>
      <c r="OQI380" s="669"/>
      <c r="OQJ380" s="669"/>
      <c r="OQK380" s="669"/>
      <c r="OQL380" s="669"/>
      <c r="OQM380" s="669"/>
      <c r="OQN380" s="669"/>
      <c r="OQO380" s="669"/>
      <c r="OQP380" s="669"/>
      <c r="OQQ380" s="669"/>
      <c r="OQR380" s="669"/>
      <c r="OQS380" s="669"/>
      <c r="OQT380" s="669"/>
      <c r="OQU380" s="669"/>
      <c r="OQV380" s="669"/>
      <c r="OQW380" s="669"/>
      <c r="OQX380" s="669"/>
      <c r="OQY380" s="669"/>
      <c r="OQZ380" s="669"/>
      <c r="ORA380" s="669"/>
      <c r="ORB380" s="669"/>
      <c r="ORC380" s="669"/>
      <c r="ORD380" s="669"/>
      <c r="ORE380" s="669"/>
      <c r="ORF380" s="669"/>
      <c r="ORG380" s="669"/>
      <c r="ORH380" s="669"/>
      <c r="ORI380" s="669"/>
      <c r="ORJ380" s="669"/>
      <c r="ORK380" s="669"/>
      <c r="ORL380" s="669"/>
      <c r="ORM380" s="669"/>
      <c r="ORN380" s="669"/>
      <c r="ORO380" s="669"/>
      <c r="ORP380" s="669"/>
      <c r="ORQ380" s="669"/>
      <c r="ORR380" s="669"/>
      <c r="ORS380" s="669"/>
      <c r="ORT380" s="669"/>
      <c r="ORU380" s="669"/>
      <c r="ORV380" s="669"/>
      <c r="ORW380" s="669"/>
      <c r="ORX380" s="669"/>
      <c r="ORY380" s="669"/>
      <c r="ORZ380" s="669"/>
      <c r="OSA380" s="669"/>
      <c r="OSB380" s="669"/>
      <c r="OSC380" s="669"/>
      <c r="OSD380" s="669"/>
      <c r="OSE380" s="669"/>
      <c r="OSF380" s="669"/>
      <c r="OSG380" s="669"/>
      <c r="OSH380" s="669"/>
      <c r="OSI380" s="669"/>
      <c r="OSJ380" s="669"/>
      <c r="OSK380" s="669"/>
      <c r="OSL380" s="669"/>
      <c r="OSM380" s="669"/>
      <c r="OSN380" s="669"/>
      <c r="OSO380" s="669"/>
      <c r="OSP380" s="669"/>
      <c r="OSQ380" s="669"/>
      <c r="OSR380" s="669"/>
      <c r="OSS380" s="669"/>
      <c r="OST380" s="669"/>
      <c r="OSU380" s="669"/>
      <c r="OSV380" s="669"/>
      <c r="OSW380" s="669"/>
      <c r="OSX380" s="669"/>
      <c r="OSY380" s="669"/>
      <c r="OSZ380" s="669"/>
      <c r="OTA380" s="669"/>
      <c r="OTB380" s="669"/>
      <c r="OTC380" s="669"/>
      <c r="OTD380" s="669"/>
      <c r="OTE380" s="669"/>
      <c r="OTF380" s="669"/>
      <c r="OTG380" s="669"/>
      <c r="OTH380" s="669"/>
      <c r="OTI380" s="669"/>
      <c r="OTJ380" s="669"/>
      <c r="OTK380" s="669"/>
      <c r="OTL380" s="669"/>
      <c r="OTM380" s="669"/>
      <c r="OTN380" s="669"/>
      <c r="OTO380" s="669"/>
      <c r="OTP380" s="669"/>
      <c r="OTQ380" s="669"/>
      <c r="OTR380" s="669"/>
      <c r="OTS380" s="669"/>
      <c r="OTT380" s="669"/>
      <c r="OTU380" s="669"/>
      <c r="OTV380" s="669"/>
      <c r="OTW380" s="669"/>
      <c r="OTX380" s="669"/>
      <c r="OTY380" s="669"/>
      <c r="OTZ380" s="669"/>
      <c r="OUA380" s="669"/>
      <c r="OUB380" s="669"/>
      <c r="OUC380" s="669"/>
      <c r="OUD380" s="669"/>
      <c r="OUE380" s="669"/>
      <c r="OUF380" s="669"/>
      <c r="OUG380" s="669"/>
      <c r="OUH380" s="669"/>
      <c r="OUI380" s="669"/>
      <c r="OUJ380" s="669"/>
      <c r="OUK380" s="669"/>
      <c r="OUL380" s="669"/>
      <c r="OUM380" s="669"/>
      <c r="OUN380" s="669"/>
      <c r="OUO380" s="669"/>
      <c r="OUP380" s="669"/>
      <c r="OUQ380" s="669"/>
      <c r="OUR380" s="669"/>
      <c r="OUS380" s="669"/>
      <c r="OUT380" s="669"/>
      <c r="OUU380" s="669"/>
      <c r="OUV380" s="669"/>
      <c r="OUW380" s="669"/>
      <c r="OUX380" s="669"/>
      <c r="OUY380" s="669"/>
      <c r="OUZ380" s="669"/>
      <c r="OVA380" s="669"/>
      <c r="OVB380" s="669"/>
      <c r="OVC380" s="669"/>
      <c r="OVD380" s="669"/>
      <c r="OVE380" s="669"/>
      <c r="OVF380" s="669"/>
      <c r="OVG380" s="669"/>
      <c r="OVH380" s="669"/>
      <c r="OVI380" s="669"/>
      <c r="OVJ380" s="669"/>
      <c r="OVK380" s="669"/>
      <c r="OVL380" s="669"/>
      <c r="OVM380" s="669"/>
      <c r="OVN380" s="669"/>
      <c r="OVO380" s="669"/>
      <c r="OVP380" s="669"/>
      <c r="OVQ380" s="669"/>
      <c r="OVR380" s="669"/>
      <c r="OVS380" s="669"/>
      <c r="OVT380" s="669"/>
      <c r="OVU380" s="669"/>
      <c r="OVV380" s="669"/>
      <c r="OVW380" s="669"/>
      <c r="OVX380" s="669"/>
      <c r="OVY380" s="669"/>
      <c r="OVZ380" s="669"/>
      <c r="OWA380" s="669"/>
      <c r="OWB380" s="669"/>
      <c r="OWC380" s="669"/>
      <c r="OWD380" s="669"/>
      <c r="OWE380" s="669"/>
      <c r="OWF380" s="669"/>
      <c r="OWG380" s="669"/>
      <c r="OWH380" s="669"/>
      <c r="OWI380" s="669"/>
      <c r="OWJ380" s="669"/>
      <c r="OWK380" s="669"/>
      <c r="OWL380" s="669"/>
      <c r="OWM380" s="669"/>
      <c r="OWN380" s="669"/>
      <c r="OWO380" s="669"/>
      <c r="OWP380" s="669"/>
      <c r="OWQ380" s="669"/>
      <c r="OWR380" s="669"/>
      <c r="OWS380" s="669"/>
      <c r="OWT380" s="669"/>
      <c r="OWU380" s="669"/>
      <c r="OWV380" s="669"/>
      <c r="OWW380" s="669"/>
      <c r="OWX380" s="669"/>
      <c r="OWY380" s="669"/>
      <c r="OWZ380" s="669"/>
      <c r="OXA380" s="669"/>
      <c r="OXB380" s="669"/>
      <c r="OXC380" s="669"/>
      <c r="OXD380" s="669"/>
      <c r="OXE380" s="669"/>
      <c r="OXF380" s="669"/>
      <c r="OXG380" s="669"/>
      <c r="OXH380" s="669"/>
      <c r="OXI380" s="669"/>
      <c r="OXJ380" s="669"/>
      <c r="OXK380" s="669"/>
      <c r="OXL380" s="669"/>
      <c r="OXM380" s="669"/>
      <c r="OXN380" s="669"/>
      <c r="OXO380" s="669"/>
      <c r="OXP380" s="669"/>
      <c r="OXQ380" s="669"/>
      <c r="OXR380" s="669"/>
      <c r="OXS380" s="669"/>
      <c r="OXT380" s="669"/>
      <c r="OXU380" s="669"/>
      <c r="OXV380" s="669"/>
      <c r="OXW380" s="669"/>
      <c r="OXX380" s="669"/>
      <c r="OXY380" s="669"/>
      <c r="OXZ380" s="669"/>
      <c r="OYA380" s="669"/>
      <c r="OYB380" s="669"/>
      <c r="OYC380" s="669"/>
      <c r="OYD380" s="669"/>
      <c r="OYE380" s="669"/>
      <c r="OYF380" s="669"/>
      <c r="OYG380" s="669"/>
      <c r="OYH380" s="669"/>
      <c r="OYI380" s="669"/>
      <c r="OYJ380" s="669"/>
      <c r="OYK380" s="669"/>
      <c r="OYL380" s="669"/>
      <c r="OYM380" s="669"/>
      <c r="OYN380" s="669"/>
      <c r="OYO380" s="669"/>
      <c r="OYP380" s="669"/>
      <c r="OYQ380" s="669"/>
      <c r="OYR380" s="669"/>
      <c r="OYS380" s="669"/>
      <c r="OYT380" s="669"/>
      <c r="OYU380" s="669"/>
      <c r="OYV380" s="669"/>
      <c r="OYW380" s="669"/>
      <c r="OYX380" s="669"/>
      <c r="OYY380" s="669"/>
      <c r="OYZ380" s="669"/>
      <c r="OZA380" s="669"/>
      <c r="OZB380" s="669"/>
      <c r="OZC380" s="669"/>
      <c r="OZD380" s="669"/>
      <c r="OZE380" s="669"/>
      <c r="OZF380" s="669"/>
      <c r="OZG380" s="669"/>
      <c r="OZH380" s="669"/>
      <c r="OZI380" s="669"/>
      <c r="OZJ380" s="669"/>
      <c r="OZK380" s="669"/>
      <c r="OZL380" s="669"/>
      <c r="OZM380" s="669"/>
      <c r="OZN380" s="669"/>
      <c r="OZO380" s="669"/>
      <c r="OZP380" s="669"/>
      <c r="OZQ380" s="669"/>
      <c r="OZR380" s="669"/>
      <c r="OZS380" s="669"/>
      <c r="OZT380" s="669"/>
      <c r="OZU380" s="669"/>
      <c r="OZV380" s="669"/>
      <c r="OZW380" s="669"/>
      <c r="OZX380" s="669"/>
      <c r="OZY380" s="669"/>
      <c r="OZZ380" s="669"/>
      <c r="PAA380" s="669"/>
      <c r="PAB380" s="669"/>
      <c r="PAC380" s="669"/>
      <c r="PAD380" s="669"/>
      <c r="PAE380" s="669"/>
      <c r="PAF380" s="669"/>
      <c r="PAG380" s="669"/>
      <c r="PAH380" s="669"/>
      <c r="PAI380" s="669"/>
      <c r="PAJ380" s="669"/>
      <c r="PAK380" s="669"/>
      <c r="PAL380" s="669"/>
      <c r="PAM380" s="669"/>
      <c r="PAN380" s="669"/>
      <c r="PAO380" s="669"/>
      <c r="PAP380" s="669"/>
      <c r="PAQ380" s="669"/>
      <c r="PAR380" s="669"/>
      <c r="PAS380" s="669"/>
      <c r="PAT380" s="669"/>
      <c r="PAU380" s="669"/>
      <c r="PAV380" s="669"/>
      <c r="PAW380" s="669"/>
      <c r="PAX380" s="669"/>
      <c r="PAY380" s="669"/>
      <c r="PAZ380" s="669"/>
      <c r="PBA380" s="669"/>
      <c r="PBB380" s="669"/>
      <c r="PBC380" s="669"/>
      <c r="PBD380" s="669"/>
      <c r="PBE380" s="669"/>
      <c r="PBF380" s="669"/>
      <c r="PBG380" s="669"/>
      <c r="PBH380" s="669"/>
      <c r="PBI380" s="669"/>
      <c r="PBJ380" s="669"/>
      <c r="PBK380" s="669"/>
      <c r="PBL380" s="669"/>
      <c r="PBM380" s="669"/>
      <c r="PBN380" s="669"/>
      <c r="PBO380" s="669"/>
      <c r="PBP380" s="669"/>
      <c r="PBQ380" s="669"/>
      <c r="PBR380" s="669"/>
      <c r="PBS380" s="669"/>
      <c r="PBT380" s="669"/>
      <c r="PBU380" s="669"/>
      <c r="PBV380" s="669"/>
      <c r="PBW380" s="669"/>
      <c r="PBX380" s="669"/>
      <c r="PBY380" s="669"/>
      <c r="PBZ380" s="669"/>
      <c r="PCA380" s="669"/>
      <c r="PCB380" s="669"/>
      <c r="PCC380" s="669"/>
      <c r="PCD380" s="669"/>
      <c r="PCE380" s="669"/>
      <c r="PCF380" s="669"/>
      <c r="PCG380" s="669"/>
      <c r="PCH380" s="669"/>
      <c r="PCI380" s="669"/>
      <c r="PCJ380" s="669"/>
      <c r="PCK380" s="669"/>
      <c r="PCL380" s="669"/>
      <c r="PCM380" s="669"/>
      <c r="PCN380" s="669"/>
      <c r="PCO380" s="669"/>
      <c r="PCP380" s="669"/>
      <c r="PCQ380" s="669"/>
      <c r="PCR380" s="669"/>
      <c r="PCS380" s="669"/>
      <c r="PCT380" s="669"/>
      <c r="PCU380" s="669"/>
      <c r="PCV380" s="669"/>
      <c r="PCW380" s="669"/>
      <c r="PCX380" s="669"/>
      <c r="PCY380" s="669"/>
      <c r="PCZ380" s="669"/>
      <c r="PDA380" s="669"/>
      <c r="PDB380" s="669"/>
      <c r="PDC380" s="669"/>
      <c r="PDD380" s="669"/>
      <c r="PDE380" s="669"/>
      <c r="PDF380" s="669"/>
      <c r="PDG380" s="669"/>
      <c r="PDH380" s="669"/>
      <c r="PDI380" s="669"/>
      <c r="PDJ380" s="669"/>
      <c r="PDK380" s="669"/>
      <c r="PDL380" s="669"/>
      <c r="PDM380" s="669"/>
      <c r="PDN380" s="669"/>
      <c r="PDO380" s="669"/>
      <c r="PDP380" s="669"/>
      <c r="PDQ380" s="669"/>
      <c r="PDR380" s="669"/>
      <c r="PDS380" s="669"/>
      <c r="PDT380" s="669"/>
      <c r="PDU380" s="669"/>
      <c r="PDV380" s="669"/>
      <c r="PDW380" s="669"/>
      <c r="PDX380" s="669"/>
      <c r="PDY380" s="669"/>
      <c r="PDZ380" s="669"/>
      <c r="PEA380" s="669"/>
      <c r="PEB380" s="669"/>
      <c r="PEC380" s="669"/>
      <c r="PED380" s="669"/>
      <c r="PEE380" s="669"/>
      <c r="PEF380" s="669"/>
      <c r="PEG380" s="669"/>
      <c r="PEH380" s="669"/>
      <c r="PEI380" s="669"/>
      <c r="PEJ380" s="669"/>
      <c r="PEK380" s="669"/>
      <c r="PEL380" s="669"/>
      <c r="PEM380" s="669"/>
      <c r="PEN380" s="669"/>
      <c r="PEO380" s="669"/>
      <c r="PEP380" s="669"/>
      <c r="PEQ380" s="669"/>
      <c r="PER380" s="669"/>
      <c r="PES380" s="669"/>
      <c r="PET380" s="669"/>
      <c r="PEU380" s="669"/>
      <c r="PEV380" s="669"/>
      <c r="PEW380" s="669"/>
      <c r="PEX380" s="669"/>
      <c r="PEY380" s="669"/>
      <c r="PEZ380" s="669"/>
      <c r="PFA380" s="669"/>
      <c r="PFB380" s="669"/>
      <c r="PFC380" s="669"/>
      <c r="PFD380" s="669"/>
      <c r="PFE380" s="669"/>
      <c r="PFF380" s="669"/>
      <c r="PFG380" s="669"/>
      <c r="PFH380" s="669"/>
      <c r="PFI380" s="669"/>
      <c r="PFJ380" s="669"/>
      <c r="PFK380" s="669"/>
      <c r="PFL380" s="669"/>
      <c r="PFM380" s="669"/>
      <c r="PFN380" s="669"/>
      <c r="PFO380" s="669"/>
      <c r="PFP380" s="669"/>
      <c r="PFQ380" s="669"/>
      <c r="PFR380" s="669"/>
      <c r="PFS380" s="669"/>
      <c r="PFT380" s="669"/>
      <c r="PFU380" s="669"/>
      <c r="PFV380" s="669"/>
      <c r="PFW380" s="669"/>
      <c r="PFX380" s="669"/>
      <c r="PFY380" s="669"/>
      <c r="PFZ380" s="669"/>
      <c r="PGA380" s="669"/>
      <c r="PGB380" s="669"/>
      <c r="PGC380" s="669"/>
      <c r="PGD380" s="669"/>
      <c r="PGE380" s="669"/>
      <c r="PGF380" s="669"/>
      <c r="PGG380" s="669"/>
      <c r="PGH380" s="669"/>
      <c r="PGI380" s="669"/>
      <c r="PGJ380" s="669"/>
      <c r="PGK380" s="669"/>
      <c r="PGL380" s="669"/>
      <c r="PGM380" s="669"/>
      <c r="PGN380" s="669"/>
      <c r="PGO380" s="669"/>
      <c r="PGP380" s="669"/>
      <c r="PGQ380" s="669"/>
      <c r="PGR380" s="669"/>
      <c r="PGS380" s="669"/>
      <c r="PGT380" s="669"/>
      <c r="PGU380" s="669"/>
      <c r="PGV380" s="669"/>
      <c r="PGW380" s="669"/>
      <c r="PGX380" s="669"/>
      <c r="PGY380" s="669"/>
      <c r="PGZ380" s="669"/>
      <c r="PHA380" s="669"/>
      <c r="PHB380" s="669"/>
      <c r="PHC380" s="669"/>
      <c r="PHD380" s="669"/>
      <c r="PHE380" s="669"/>
      <c r="PHF380" s="669"/>
      <c r="PHG380" s="669"/>
      <c r="PHH380" s="669"/>
      <c r="PHI380" s="669"/>
      <c r="PHJ380" s="669"/>
      <c r="PHK380" s="669"/>
      <c r="PHL380" s="669"/>
      <c r="PHM380" s="669"/>
      <c r="PHN380" s="669"/>
      <c r="PHO380" s="669"/>
      <c r="PHP380" s="669"/>
      <c r="PHQ380" s="669"/>
      <c r="PHR380" s="669"/>
      <c r="PHS380" s="669"/>
      <c r="PHT380" s="669"/>
      <c r="PHU380" s="669"/>
      <c r="PHV380" s="669"/>
      <c r="PHW380" s="669"/>
      <c r="PHX380" s="669"/>
      <c r="PHY380" s="669"/>
      <c r="PHZ380" s="669"/>
      <c r="PIA380" s="669"/>
      <c r="PIB380" s="669"/>
      <c r="PIC380" s="669"/>
      <c r="PID380" s="669"/>
      <c r="PIE380" s="669"/>
      <c r="PIF380" s="669"/>
      <c r="PIG380" s="669"/>
      <c r="PIH380" s="669"/>
      <c r="PII380" s="669"/>
      <c r="PIJ380" s="669"/>
      <c r="PIK380" s="669"/>
      <c r="PIL380" s="669"/>
      <c r="PIM380" s="669"/>
      <c r="PIN380" s="669"/>
      <c r="PIO380" s="669"/>
      <c r="PIP380" s="669"/>
      <c r="PIQ380" s="669"/>
      <c r="PIR380" s="669"/>
      <c r="PIS380" s="669"/>
      <c r="PIT380" s="669"/>
      <c r="PIU380" s="669"/>
      <c r="PIV380" s="669"/>
      <c r="PIW380" s="669"/>
      <c r="PIX380" s="669"/>
      <c r="PIY380" s="669"/>
      <c r="PIZ380" s="669"/>
      <c r="PJA380" s="669"/>
      <c r="PJB380" s="669"/>
      <c r="PJC380" s="669"/>
      <c r="PJD380" s="669"/>
      <c r="PJE380" s="669"/>
      <c r="PJF380" s="669"/>
      <c r="PJG380" s="669"/>
      <c r="PJH380" s="669"/>
      <c r="PJI380" s="669"/>
      <c r="PJJ380" s="669"/>
      <c r="PJK380" s="669"/>
      <c r="PJL380" s="669"/>
      <c r="PJM380" s="669"/>
      <c r="PJN380" s="669"/>
      <c r="PJO380" s="669"/>
      <c r="PJP380" s="669"/>
      <c r="PJQ380" s="669"/>
      <c r="PJR380" s="669"/>
      <c r="PJS380" s="669"/>
      <c r="PJT380" s="669"/>
      <c r="PJU380" s="669"/>
      <c r="PJV380" s="669"/>
      <c r="PJW380" s="669"/>
      <c r="PJX380" s="669"/>
      <c r="PJY380" s="669"/>
      <c r="PJZ380" s="669"/>
      <c r="PKA380" s="669"/>
      <c r="PKB380" s="669"/>
      <c r="PKC380" s="669"/>
      <c r="PKD380" s="669"/>
      <c r="PKE380" s="669"/>
      <c r="PKF380" s="669"/>
      <c r="PKG380" s="669"/>
      <c r="PKH380" s="669"/>
      <c r="PKI380" s="669"/>
      <c r="PKJ380" s="669"/>
      <c r="PKK380" s="669"/>
      <c r="PKL380" s="669"/>
      <c r="PKM380" s="669"/>
      <c r="PKN380" s="669"/>
      <c r="PKO380" s="669"/>
      <c r="PKP380" s="669"/>
      <c r="PKQ380" s="669"/>
      <c r="PKR380" s="669"/>
      <c r="PKS380" s="669"/>
      <c r="PKT380" s="669"/>
      <c r="PKU380" s="669"/>
      <c r="PKV380" s="669"/>
      <c r="PKW380" s="669"/>
      <c r="PKX380" s="669"/>
      <c r="PKY380" s="669"/>
      <c r="PKZ380" s="669"/>
      <c r="PLA380" s="669"/>
      <c r="PLB380" s="669"/>
      <c r="PLC380" s="669"/>
      <c r="PLD380" s="669"/>
      <c r="PLE380" s="669"/>
      <c r="PLF380" s="669"/>
      <c r="PLG380" s="669"/>
      <c r="PLH380" s="669"/>
      <c r="PLI380" s="669"/>
      <c r="PLJ380" s="669"/>
      <c r="PLK380" s="669"/>
      <c r="PLL380" s="669"/>
      <c r="PLM380" s="669"/>
      <c r="PLN380" s="669"/>
      <c r="PLO380" s="669"/>
      <c r="PLP380" s="669"/>
      <c r="PLQ380" s="669"/>
      <c r="PLR380" s="669"/>
      <c r="PLS380" s="669"/>
      <c r="PLT380" s="669"/>
      <c r="PLU380" s="669"/>
      <c r="PLV380" s="669"/>
      <c r="PLW380" s="669"/>
      <c r="PLX380" s="669"/>
      <c r="PLY380" s="669"/>
      <c r="PLZ380" s="669"/>
      <c r="PMA380" s="669"/>
      <c r="PMB380" s="669"/>
      <c r="PMC380" s="669"/>
      <c r="PMD380" s="669"/>
      <c r="PME380" s="669"/>
      <c r="PMF380" s="669"/>
      <c r="PMG380" s="669"/>
      <c r="PMH380" s="669"/>
      <c r="PMI380" s="669"/>
      <c r="PMJ380" s="669"/>
      <c r="PMK380" s="669"/>
      <c r="PML380" s="669"/>
      <c r="PMM380" s="669"/>
      <c r="PMN380" s="669"/>
      <c r="PMO380" s="669"/>
      <c r="PMP380" s="669"/>
      <c r="PMQ380" s="669"/>
      <c r="PMR380" s="669"/>
      <c r="PMS380" s="669"/>
      <c r="PMT380" s="669"/>
      <c r="PMU380" s="669"/>
      <c r="PMV380" s="669"/>
      <c r="PMW380" s="669"/>
      <c r="PMX380" s="669"/>
      <c r="PMY380" s="669"/>
      <c r="PMZ380" s="669"/>
      <c r="PNA380" s="669"/>
      <c r="PNB380" s="669"/>
      <c r="PNC380" s="669"/>
      <c r="PND380" s="669"/>
      <c r="PNE380" s="669"/>
      <c r="PNF380" s="669"/>
      <c r="PNG380" s="669"/>
      <c r="PNH380" s="669"/>
      <c r="PNI380" s="669"/>
      <c r="PNJ380" s="669"/>
      <c r="PNK380" s="669"/>
      <c r="PNL380" s="669"/>
      <c r="PNM380" s="669"/>
      <c r="PNN380" s="669"/>
      <c r="PNO380" s="669"/>
      <c r="PNP380" s="669"/>
      <c r="PNQ380" s="669"/>
      <c r="PNR380" s="669"/>
      <c r="PNS380" s="669"/>
      <c r="PNT380" s="669"/>
      <c r="PNU380" s="669"/>
      <c r="PNV380" s="669"/>
      <c r="PNW380" s="669"/>
      <c r="PNX380" s="669"/>
      <c r="PNY380" s="669"/>
      <c r="PNZ380" s="669"/>
      <c r="POA380" s="669"/>
      <c r="POB380" s="669"/>
      <c r="POC380" s="669"/>
      <c r="POD380" s="669"/>
      <c r="POE380" s="669"/>
      <c r="POF380" s="669"/>
      <c r="POG380" s="669"/>
      <c r="POH380" s="669"/>
      <c r="POI380" s="669"/>
      <c r="POJ380" s="669"/>
      <c r="POK380" s="669"/>
      <c r="POL380" s="669"/>
      <c r="POM380" s="669"/>
      <c r="PON380" s="669"/>
      <c r="POO380" s="669"/>
      <c r="POP380" s="669"/>
      <c r="POQ380" s="669"/>
      <c r="POR380" s="669"/>
      <c r="POS380" s="669"/>
      <c r="POT380" s="669"/>
      <c r="POU380" s="669"/>
      <c r="POV380" s="669"/>
      <c r="POW380" s="669"/>
      <c r="POX380" s="669"/>
      <c r="POY380" s="669"/>
      <c r="POZ380" s="669"/>
      <c r="PPA380" s="669"/>
      <c r="PPB380" s="669"/>
      <c r="PPC380" s="669"/>
      <c r="PPD380" s="669"/>
      <c r="PPE380" s="669"/>
      <c r="PPF380" s="669"/>
      <c r="PPG380" s="669"/>
      <c r="PPH380" s="669"/>
      <c r="PPI380" s="669"/>
      <c r="PPJ380" s="669"/>
      <c r="PPK380" s="669"/>
      <c r="PPL380" s="669"/>
      <c r="PPM380" s="669"/>
      <c r="PPN380" s="669"/>
      <c r="PPO380" s="669"/>
      <c r="PPP380" s="669"/>
      <c r="PPQ380" s="669"/>
      <c r="PPR380" s="669"/>
      <c r="PPS380" s="669"/>
      <c r="PPT380" s="669"/>
      <c r="PPU380" s="669"/>
      <c r="PPV380" s="669"/>
      <c r="PPW380" s="669"/>
      <c r="PPX380" s="669"/>
      <c r="PPY380" s="669"/>
      <c r="PPZ380" s="669"/>
      <c r="PQA380" s="669"/>
      <c r="PQB380" s="669"/>
      <c r="PQC380" s="669"/>
      <c r="PQD380" s="669"/>
      <c r="PQE380" s="669"/>
      <c r="PQF380" s="669"/>
      <c r="PQG380" s="669"/>
      <c r="PQH380" s="669"/>
      <c r="PQI380" s="669"/>
      <c r="PQJ380" s="669"/>
      <c r="PQK380" s="669"/>
      <c r="PQL380" s="669"/>
      <c r="PQM380" s="669"/>
      <c r="PQN380" s="669"/>
      <c r="PQO380" s="669"/>
      <c r="PQP380" s="669"/>
      <c r="PQQ380" s="669"/>
      <c r="PQR380" s="669"/>
      <c r="PQS380" s="669"/>
      <c r="PQT380" s="669"/>
      <c r="PQU380" s="669"/>
      <c r="PQV380" s="669"/>
      <c r="PQW380" s="669"/>
      <c r="PQX380" s="669"/>
      <c r="PQY380" s="669"/>
      <c r="PQZ380" s="669"/>
      <c r="PRA380" s="669"/>
      <c r="PRB380" s="669"/>
      <c r="PRC380" s="669"/>
      <c r="PRD380" s="669"/>
      <c r="PRE380" s="669"/>
      <c r="PRF380" s="669"/>
      <c r="PRG380" s="669"/>
      <c r="PRH380" s="669"/>
      <c r="PRI380" s="669"/>
      <c r="PRJ380" s="669"/>
      <c r="PRK380" s="669"/>
      <c r="PRL380" s="669"/>
      <c r="PRM380" s="669"/>
      <c r="PRN380" s="669"/>
      <c r="PRO380" s="669"/>
      <c r="PRP380" s="669"/>
      <c r="PRQ380" s="669"/>
      <c r="PRR380" s="669"/>
      <c r="PRS380" s="669"/>
      <c r="PRT380" s="669"/>
      <c r="PRU380" s="669"/>
      <c r="PRV380" s="669"/>
      <c r="PRW380" s="669"/>
      <c r="PRX380" s="669"/>
      <c r="PRY380" s="669"/>
      <c r="PRZ380" s="669"/>
      <c r="PSA380" s="669"/>
      <c r="PSB380" s="669"/>
      <c r="PSC380" s="669"/>
      <c r="PSD380" s="669"/>
      <c r="PSE380" s="669"/>
      <c r="PSF380" s="669"/>
      <c r="PSG380" s="669"/>
      <c r="PSH380" s="669"/>
      <c r="PSI380" s="669"/>
      <c r="PSJ380" s="669"/>
      <c r="PSK380" s="669"/>
      <c r="PSL380" s="669"/>
      <c r="PSM380" s="669"/>
      <c r="PSN380" s="669"/>
      <c r="PSO380" s="669"/>
      <c r="PSP380" s="669"/>
      <c r="PSQ380" s="669"/>
      <c r="PSR380" s="669"/>
      <c r="PSS380" s="669"/>
      <c r="PST380" s="669"/>
      <c r="PSU380" s="669"/>
      <c r="PSV380" s="669"/>
      <c r="PSW380" s="669"/>
      <c r="PSX380" s="669"/>
      <c r="PSY380" s="669"/>
      <c r="PSZ380" s="669"/>
      <c r="PTA380" s="669"/>
      <c r="PTB380" s="669"/>
      <c r="PTC380" s="669"/>
      <c r="PTD380" s="669"/>
      <c r="PTE380" s="669"/>
      <c r="PTF380" s="669"/>
      <c r="PTG380" s="669"/>
      <c r="PTH380" s="669"/>
      <c r="PTI380" s="669"/>
      <c r="PTJ380" s="669"/>
      <c r="PTK380" s="669"/>
      <c r="PTL380" s="669"/>
      <c r="PTM380" s="669"/>
      <c r="PTN380" s="669"/>
      <c r="PTO380" s="669"/>
      <c r="PTP380" s="669"/>
      <c r="PTQ380" s="669"/>
      <c r="PTR380" s="669"/>
      <c r="PTS380" s="669"/>
      <c r="PTT380" s="669"/>
      <c r="PTU380" s="669"/>
      <c r="PTV380" s="669"/>
      <c r="PTW380" s="669"/>
      <c r="PTX380" s="669"/>
      <c r="PTY380" s="669"/>
      <c r="PTZ380" s="669"/>
      <c r="PUA380" s="669"/>
      <c r="PUB380" s="669"/>
      <c r="PUC380" s="669"/>
      <c r="PUD380" s="669"/>
      <c r="PUE380" s="669"/>
      <c r="PUF380" s="669"/>
      <c r="PUG380" s="669"/>
      <c r="PUH380" s="669"/>
      <c r="PUI380" s="669"/>
      <c r="PUJ380" s="669"/>
      <c r="PUK380" s="669"/>
      <c r="PUL380" s="669"/>
      <c r="PUM380" s="669"/>
      <c r="PUN380" s="669"/>
      <c r="PUO380" s="669"/>
      <c r="PUP380" s="669"/>
      <c r="PUQ380" s="669"/>
      <c r="PUR380" s="669"/>
      <c r="PUS380" s="669"/>
      <c r="PUT380" s="669"/>
      <c r="PUU380" s="669"/>
      <c r="PUV380" s="669"/>
      <c r="PUW380" s="669"/>
      <c r="PUX380" s="669"/>
      <c r="PUY380" s="669"/>
      <c r="PUZ380" s="669"/>
      <c r="PVA380" s="669"/>
      <c r="PVB380" s="669"/>
      <c r="PVC380" s="669"/>
      <c r="PVD380" s="669"/>
      <c r="PVE380" s="669"/>
      <c r="PVF380" s="669"/>
      <c r="PVG380" s="669"/>
      <c r="PVH380" s="669"/>
      <c r="PVI380" s="669"/>
      <c r="PVJ380" s="669"/>
      <c r="PVK380" s="669"/>
      <c r="PVL380" s="669"/>
      <c r="PVM380" s="669"/>
      <c r="PVN380" s="669"/>
      <c r="PVO380" s="669"/>
      <c r="PVP380" s="669"/>
      <c r="PVQ380" s="669"/>
      <c r="PVR380" s="669"/>
      <c r="PVS380" s="669"/>
      <c r="PVT380" s="669"/>
      <c r="PVU380" s="669"/>
      <c r="PVV380" s="669"/>
      <c r="PVW380" s="669"/>
      <c r="PVX380" s="669"/>
      <c r="PVY380" s="669"/>
      <c r="PVZ380" s="669"/>
      <c r="PWA380" s="669"/>
      <c r="PWB380" s="669"/>
      <c r="PWC380" s="669"/>
      <c r="PWD380" s="669"/>
      <c r="PWE380" s="669"/>
      <c r="PWF380" s="669"/>
      <c r="PWG380" s="669"/>
      <c r="PWH380" s="669"/>
      <c r="PWI380" s="669"/>
      <c r="PWJ380" s="669"/>
      <c r="PWK380" s="669"/>
      <c r="PWL380" s="669"/>
      <c r="PWM380" s="669"/>
      <c r="PWN380" s="669"/>
      <c r="PWO380" s="669"/>
      <c r="PWP380" s="669"/>
      <c r="PWQ380" s="669"/>
      <c r="PWR380" s="669"/>
      <c r="PWS380" s="669"/>
      <c r="PWT380" s="669"/>
      <c r="PWU380" s="669"/>
      <c r="PWV380" s="669"/>
      <c r="PWW380" s="669"/>
      <c r="PWX380" s="669"/>
      <c r="PWY380" s="669"/>
      <c r="PWZ380" s="669"/>
      <c r="PXA380" s="669"/>
      <c r="PXB380" s="669"/>
      <c r="PXC380" s="669"/>
      <c r="PXD380" s="669"/>
      <c r="PXE380" s="669"/>
      <c r="PXF380" s="669"/>
      <c r="PXG380" s="669"/>
      <c r="PXH380" s="669"/>
      <c r="PXI380" s="669"/>
      <c r="PXJ380" s="669"/>
      <c r="PXK380" s="669"/>
      <c r="PXL380" s="669"/>
      <c r="PXM380" s="669"/>
      <c r="PXN380" s="669"/>
      <c r="PXO380" s="669"/>
      <c r="PXP380" s="669"/>
      <c r="PXQ380" s="669"/>
      <c r="PXR380" s="669"/>
      <c r="PXS380" s="669"/>
      <c r="PXT380" s="669"/>
      <c r="PXU380" s="669"/>
      <c r="PXV380" s="669"/>
      <c r="PXW380" s="669"/>
      <c r="PXX380" s="669"/>
      <c r="PXY380" s="669"/>
      <c r="PXZ380" s="669"/>
      <c r="PYA380" s="669"/>
      <c r="PYB380" s="669"/>
      <c r="PYC380" s="669"/>
      <c r="PYD380" s="669"/>
      <c r="PYE380" s="669"/>
      <c r="PYF380" s="669"/>
      <c r="PYG380" s="669"/>
      <c r="PYH380" s="669"/>
      <c r="PYI380" s="669"/>
      <c r="PYJ380" s="669"/>
      <c r="PYK380" s="669"/>
      <c r="PYL380" s="669"/>
      <c r="PYM380" s="669"/>
      <c r="PYN380" s="669"/>
      <c r="PYO380" s="669"/>
      <c r="PYP380" s="669"/>
      <c r="PYQ380" s="669"/>
      <c r="PYR380" s="669"/>
      <c r="PYS380" s="669"/>
      <c r="PYT380" s="669"/>
      <c r="PYU380" s="669"/>
      <c r="PYV380" s="669"/>
      <c r="PYW380" s="669"/>
      <c r="PYX380" s="669"/>
      <c r="PYY380" s="669"/>
      <c r="PYZ380" s="669"/>
      <c r="PZA380" s="669"/>
      <c r="PZB380" s="669"/>
      <c r="PZC380" s="669"/>
      <c r="PZD380" s="669"/>
      <c r="PZE380" s="669"/>
      <c r="PZF380" s="669"/>
      <c r="PZG380" s="669"/>
      <c r="PZH380" s="669"/>
      <c r="PZI380" s="669"/>
      <c r="PZJ380" s="669"/>
      <c r="PZK380" s="669"/>
      <c r="PZL380" s="669"/>
      <c r="PZM380" s="669"/>
      <c r="PZN380" s="669"/>
      <c r="PZO380" s="669"/>
      <c r="PZP380" s="669"/>
      <c r="PZQ380" s="669"/>
      <c r="PZR380" s="669"/>
      <c r="PZS380" s="669"/>
      <c r="PZT380" s="669"/>
      <c r="PZU380" s="669"/>
      <c r="PZV380" s="669"/>
      <c r="PZW380" s="669"/>
      <c r="PZX380" s="669"/>
      <c r="PZY380" s="669"/>
      <c r="PZZ380" s="669"/>
      <c r="QAA380" s="669"/>
      <c r="QAB380" s="669"/>
      <c r="QAC380" s="669"/>
      <c r="QAD380" s="669"/>
      <c r="QAE380" s="669"/>
      <c r="QAF380" s="669"/>
      <c r="QAG380" s="669"/>
      <c r="QAH380" s="669"/>
      <c r="QAI380" s="669"/>
      <c r="QAJ380" s="669"/>
      <c r="QAK380" s="669"/>
      <c r="QAL380" s="669"/>
      <c r="QAM380" s="669"/>
      <c r="QAN380" s="669"/>
      <c r="QAO380" s="669"/>
      <c r="QAP380" s="669"/>
      <c r="QAQ380" s="669"/>
      <c r="QAR380" s="669"/>
      <c r="QAS380" s="669"/>
      <c r="QAT380" s="669"/>
      <c r="QAU380" s="669"/>
      <c r="QAV380" s="669"/>
      <c r="QAW380" s="669"/>
      <c r="QAX380" s="669"/>
      <c r="QAY380" s="669"/>
      <c r="QAZ380" s="669"/>
      <c r="QBA380" s="669"/>
      <c r="QBB380" s="669"/>
      <c r="QBC380" s="669"/>
      <c r="QBD380" s="669"/>
      <c r="QBE380" s="669"/>
      <c r="QBF380" s="669"/>
      <c r="QBG380" s="669"/>
      <c r="QBH380" s="669"/>
      <c r="QBI380" s="669"/>
      <c r="QBJ380" s="669"/>
      <c r="QBK380" s="669"/>
      <c r="QBL380" s="669"/>
      <c r="QBM380" s="669"/>
      <c r="QBN380" s="669"/>
      <c r="QBO380" s="669"/>
      <c r="QBP380" s="669"/>
      <c r="QBQ380" s="669"/>
      <c r="QBR380" s="669"/>
      <c r="QBS380" s="669"/>
      <c r="QBT380" s="669"/>
      <c r="QBU380" s="669"/>
      <c r="QBV380" s="669"/>
      <c r="QBW380" s="669"/>
      <c r="QBX380" s="669"/>
      <c r="QBY380" s="669"/>
      <c r="QBZ380" s="669"/>
      <c r="QCA380" s="669"/>
      <c r="QCB380" s="669"/>
      <c r="QCC380" s="669"/>
      <c r="QCD380" s="669"/>
      <c r="QCE380" s="669"/>
      <c r="QCF380" s="669"/>
      <c r="QCG380" s="669"/>
      <c r="QCH380" s="669"/>
      <c r="QCI380" s="669"/>
      <c r="QCJ380" s="669"/>
      <c r="QCK380" s="669"/>
      <c r="QCL380" s="669"/>
      <c r="QCM380" s="669"/>
      <c r="QCN380" s="669"/>
      <c r="QCO380" s="669"/>
      <c r="QCP380" s="669"/>
      <c r="QCQ380" s="669"/>
      <c r="QCR380" s="669"/>
      <c r="QCS380" s="669"/>
      <c r="QCT380" s="669"/>
      <c r="QCU380" s="669"/>
      <c r="QCV380" s="669"/>
      <c r="QCW380" s="669"/>
      <c r="QCX380" s="669"/>
      <c r="QCY380" s="669"/>
      <c r="QCZ380" s="669"/>
      <c r="QDA380" s="669"/>
      <c r="QDB380" s="669"/>
      <c r="QDC380" s="669"/>
      <c r="QDD380" s="669"/>
      <c r="QDE380" s="669"/>
      <c r="QDF380" s="669"/>
      <c r="QDG380" s="669"/>
      <c r="QDH380" s="669"/>
      <c r="QDI380" s="669"/>
      <c r="QDJ380" s="669"/>
      <c r="QDK380" s="669"/>
      <c r="QDL380" s="669"/>
      <c r="QDM380" s="669"/>
      <c r="QDN380" s="669"/>
      <c r="QDO380" s="669"/>
      <c r="QDP380" s="669"/>
      <c r="QDQ380" s="669"/>
      <c r="QDR380" s="669"/>
      <c r="QDS380" s="669"/>
      <c r="QDT380" s="669"/>
      <c r="QDU380" s="669"/>
      <c r="QDV380" s="669"/>
      <c r="QDW380" s="669"/>
      <c r="QDX380" s="669"/>
      <c r="QDY380" s="669"/>
      <c r="QDZ380" s="669"/>
      <c r="QEA380" s="669"/>
      <c r="QEB380" s="669"/>
      <c r="QEC380" s="669"/>
      <c r="QED380" s="669"/>
      <c r="QEE380" s="669"/>
      <c r="QEF380" s="669"/>
      <c r="QEG380" s="669"/>
      <c r="QEH380" s="669"/>
      <c r="QEI380" s="669"/>
      <c r="QEJ380" s="669"/>
      <c r="QEK380" s="669"/>
      <c r="QEL380" s="669"/>
      <c r="QEM380" s="669"/>
      <c r="QEN380" s="669"/>
      <c r="QEO380" s="669"/>
      <c r="QEP380" s="669"/>
      <c r="QEQ380" s="669"/>
      <c r="QER380" s="669"/>
      <c r="QES380" s="669"/>
      <c r="QET380" s="669"/>
      <c r="QEU380" s="669"/>
      <c r="QEV380" s="669"/>
      <c r="QEW380" s="669"/>
      <c r="QEX380" s="669"/>
      <c r="QEY380" s="669"/>
      <c r="QEZ380" s="669"/>
      <c r="QFA380" s="669"/>
      <c r="QFB380" s="669"/>
      <c r="QFC380" s="669"/>
      <c r="QFD380" s="669"/>
      <c r="QFE380" s="669"/>
      <c r="QFF380" s="669"/>
      <c r="QFG380" s="669"/>
      <c r="QFH380" s="669"/>
      <c r="QFI380" s="669"/>
      <c r="QFJ380" s="669"/>
      <c r="QFK380" s="669"/>
      <c r="QFL380" s="669"/>
      <c r="QFM380" s="669"/>
      <c r="QFN380" s="669"/>
      <c r="QFO380" s="669"/>
      <c r="QFP380" s="669"/>
      <c r="QFQ380" s="669"/>
      <c r="QFR380" s="669"/>
      <c r="QFS380" s="669"/>
      <c r="QFT380" s="669"/>
      <c r="QFU380" s="669"/>
      <c r="QFV380" s="669"/>
      <c r="QFW380" s="669"/>
      <c r="QFX380" s="669"/>
      <c r="QFY380" s="669"/>
      <c r="QFZ380" s="669"/>
      <c r="QGA380" s="669"/>
      <c r="QGB380" s="669"/>
      <c r="QGC380" s="669"/>
      <c r="QGD380" s="669"/>
      <c r="QGE380" s="669"/>
      <c r="QGF380" s="669"/>
      <c r="QGG380" s="669"/>
      <c r="QGH380" s="669"/>
      <c r="QGI380" s="669"/>
      <c r="QGJ380" s="669"/>
      <c r="QGK380" s="669"/>
      <c r="QGL380" s="669"/>
      <c r="QGM380" s="669"/>
      <c r="QGN380" s="669"/>
      <c r="QGO380" s="669"/>
      <c r="QGP380" s="669"/>
      <c r="QGQ380" s="669"/>
      <c r="QGR380" s="669"/>
      <c r="QGS380" s="669"/>
      <c r="QGT380" s="669"/>
      <c r="QGU380" s="669"/>
      <c r="QGV380" s="669"/>
      <c r="QGW380" s="669"/>
      <c r="QGX380" s="669"/>
      <c r="QGY380" s="669"/>
      <c r="QGZ380" s="669"/>
      <c r="QHA380" s="669"/>
      <c r="QHB380" s="669"/>
      <c r="QHC380" s="669"/>
      <c r="QHD380" s="669"/>
      <c r="QHE380" s="669"/>
      <c r="QHF380" s="669"/>
      <c r="QHG380" s="669"/>
      <c r="QHH380" s="669"/>
      <c r="QHI380" s="669"/>
      <c r="QHJ380" s="669"/>
      <c r="QHK380" s="669"/>
      <c r="QHL380" s="669"/>
      <c r="QHM380" s="669"/>
      <c r="QHN380" s="669"/>
      <c r="QHO380" s="669"/>
      <c r="QHP380" s="669"/>
      <c r="QHQ380" s="669"/>
      <c r="QHR380" s="669"/>
      <c r="QHS380" s="669"/>
      <c r="QHT380" s="669"/>
      <c r="QHU380" s="669"/>
      <c r="QHV380" s="669"/>
      <c r="QHW380" s="669"/>
      <c r="QHX380" s="669"/>
      <c r="QHY380" s="669"/>
      <c r="QHZ380" s="669"/>
      <c r="QIA380" s="669"/>
      <c r="QIB380" s="669"/>
      <c r="QIC380" s="669"/>
      <c r="QID380" s="669"/>
      <c r="QIE380" s="669"/>
      <c r="QIF380" s="669"/>
      <c r="QIG380" s="669"/>
      <c r="QIH380" s="669"/>
      <c r="QII380" s="669"/>
      <c r="QIJ380" s="669"/>
      <c r="QIK380" s="669"/>
      <c r="QIL380" s="669"/>
      <c r="QIM380" s="669"/>
      <c r="QIN380" s="669"/>
      <c r="QIO380" s="669"/>
      <c r="QIP380" s="669"/>
      <c r="QIQ380" s="669"/>
      <c r="QIR380" s="669"/>
      <c r="QIS380" s="669"/>
      <c r="QIT380" s="669"/>
      <c r="QIU380" s="669"/>
      <c r="QIV380" s="669"/>
      <c r="QIW380" s="669"/>
      <c r="QIX380" s="669"/>
      <c r="QIY380" s="669"/>
      <c r="QIZ380" s="669"/>
      <c r="QJA380" s="669"/>
      <c r="QJB380" s="669"/>
      <c r="QJC380" s="669"/>
      <c r="QJD380" s="669"/>
      <c r="QJE380" s="669"/>
      <c r="QJF380" s="669"/>
      <c r="QJG380" s="669"/>
      <c r="QJH380" s="669"/>
      <c r="QJI380" s="669"/>
      <c r="QJJ380" s="669"/>
      <c r="QJK380" s="669"/>
      <c r="QJL380" s="669"/>
      <c r="QJM380" s="669"/>
      <c r="QJN380" s="669"/>
      <c r="QJO380" s="669"/>
      <c r="QJP380" s="669"/>
      <c r="QJQ380" s="669"/>
      <c r="QJR380" s="669"/>
      <c r="QJS380" s="669"/>
      <c r="QJT380" s="669"/>
      <c r="QJU380" s="669"/>
      <c r="QJV380" s="669"/>
      <c r="QJW380" s="669"/>
      <c r="QJX380" s="669"/>
      <c r="QJY380" s="669"/>
      <c r="QJZ380" s="669"/>
      <c r="QKA380" s="669"/>
      <c r="QKB380" s="669"/>
      <c r="QKC380" s="669"/>
      <c r="QKD380" s="669"/>
      <c r="QKE380" s="669"/>
      <c r="QKF380" s="669"/>
      <c r="QKG380" s="669"/>
      <c r="QKH380" s="669"/>
      <c r="QKI380" s="669"/>
      <c r="QKJ380" s="669"/>
      <c r="QKK380" s="669"/>
      <c r="QKL380" s="669"/>
      <c r="QKM380" s="669"/>
      <c r="QKN380" s="669"/>
      <c r="QKO380" s="669"/>
      <c r="QKP380" s="669"/>
      <c r="QKQ380" s="669"/>
      <c r="QKR380" s="669"/>
      <c r="QKS380" s="669"/>
      <c r="QKT380" s="669"/>
      <c r="QKU380" s="669"/>
      <c r="QKV380" s="669"/>
      <c r="QKW380" s="669"/>
      <c r="QKX380" s="669"/>
      <c r="QKY380" s="669"/>
      <c r="QKZ380" s="669"/>
      <c r="QLA380" s="669"/>
      <c r="QLB380" s="669"/>
      <c r="QLC380" s="669"/>
      <c r="QLD380" s="669"/>
      <c r="QLE380" s="669"/>
      <c r="QLF380" s="669"/>
      <c r="QLG380" s="669"/>
      <c r="QLH380" s="669"/>
      <c r="QLI380" s="669"/>
      <c r="QLJ380" s="669"/>
      <c r="QLK380" s="669"/>
      <c r="QLL380" s="669"/>
      <c r="QLM380" s="669"/>
      <c r="QLN380" s="669"/>
      <c r="QLO380" s="669"/>
      <c r="QLP380" s="669"/>
      <c r="QLQ380" s="669"/>
      <c r="QLR380" s="669"/>
      <c r="QLS380" s="669"/>
      <c r="QLT380" s="669"/>
      <c r="QLU380" s="669"/>
      <c r="QLV380" s="669"/>
      <c r="QLW380" s="669"/>
      <c r="QLX380" s="669"/>
      <c r="QLY380" s="669"/>
      <c r="QLZ380" s="669"/>
      <c r="QMA380" s="669"/>
      <c r="QMB380" s="669"/>
      <c r="QMC380" s="669"/>
      <c r="QMD380" s="669"/>
      <c r="QME380" s="669"/>
      <c r="QMF380" s="669"/>
      <c r="QMG380" s="669"/>
      <c r="QMH380" s="669"/>
      <c r="QMI380" s="669"/>
      <c r="QMJ380" s="669"/>
      <c r="QMK380" s="669"/>
      <c r="QML380" s="669"/>
      <c r="QMM380" s="669"/>
      <c r="QMN380" s="669"/>
      <c r="QMO380" s="669"/>
      <c r="QMP380" s="669"/>
      <c r="QMQ380" s="669"/>
      <c r="QMR380" s="669"/>
      <c r="QMS380" s="669"/>
      <c r="QMT380" s="669"/>
      <c r="QMU380" s="669"/>
      <c r="QMV380" s="669"/>
      <c r="QMW380" s="669"/>
      <c r="QMX380" s="669"/>
      <c r="QMY380" s="669"/>
      <c r="QMZ380" s="669"/>
      <c r="QNA380" s="669"/>
      <c r="QNB380" s="669"/>
      <c r="QNC380" s="669"/>
      <c r="QND380" s="669"/>
      <c r="QNE380" s="669"/>
      <c r="QNF380" s="669"/>
      <c r="QNG380" s="669"/>
      <c r="QNH380" s="669"/>
      <c r="QNI380" s="669"/>
      <c r="QNJ380" s="669"/>
      <c r="QNK380" s="669"/>
      <c r="QNL380" s="669"/>
      <c r="QNM380" s="669"/>
      <c r="QNN380" s="669"/>
      <c r="QNO380" s="669"/>
      <c r="QNP380" s="669"/>
      <c r="QNQ380" s="669"/>
      <c r="QNR380" s="669"/>
      <c r="QNS380" s="669"/>
      <c r="QNT380" s="669"/>
      <c r="QNU380" s="669"/>
      <c r="QNV380" s="669"/>
      <c r="QNW380" s="669"/>
      <c r="QNX380" s="669"/>
      <c r="QNY380" s="669"/>
      <c r="QNZ380" s="669"/>
      <c r="QOA380" s="669"/>
      <c r="QOB380" s="669"/>
      <c r="QOC380" s="669"/>
      <c r="QOD380" s="669"/>
      <c r="QOE380" s="669"/>
      <c r="QOF380" s="669"/>
      <c r="QOG380" s="669"/>
      <c r="QOH380" s="669"/>
      <c r="QOI380" s="669"/>
      <c r="QOJ380" s="669"/>
      <c r="QOK380" s="669"/>
      <c r="QOL380" s="669"/>
      <c r="QOM380" s="669"/>
      <c r="QON380" s="669"/>
      <c r="QOO380" s="669"/>
      <c r="QOP380" s="669"/>
      <c r="QOQ380" s="669"/>
      <c r="QOR380" s="669"/>
      <c r="QOS380" s="669"/>
      <c r="QOT380" s="669"/>
      <c r="QOU380" s="669"/>
      <c r="QOV380" s="669"/>
      <c r="QOW380" s="669"/>
      <c r="QOX380" s="669"/>
      <c r="QOY380" s="669"/>
      <c r="QOZ380" s="669"/>
      <c r="QPA380" s="669"/>
      <c r="QPB380" s="669"/>
      <c r="QPC380" s="669"/>
      <c r="QPD380" s="669"/>
      <c r="QPE380" s="669"/>
      <c r="QPF380" s="669"/>
      <c r="QPG380" s="669"/>
      <c r="QPH380" s="669"/>
      <c r="QPI380" s="669"/>
      <c r="QPJ380" s="669"/>
      <c r="QPK380" s="669"/>
      <c r="QPL380" s="669"/>
      <c r="QPM380" s="669"/>
      <c r="QPN380" s="669"/>
      <c r="QPO380" s="669"/>
      <c r="QPP380" s="669"/>
      <c r="QPQ380" s="669"/>
      <c r="QPR380" s="669"/>
      <c r="QPS380" s="669"/>
      <c r="QPT380" s="669"/>
      <c r="QPU380" s="669"/>
      <c r="QPV380" s="669"/>
      <c r="QPW380" s="669"/>
      <c r="QPX380" s="669"/>
      <c r="QPY380" s="669"/>
      <c r="QPZ380" s="669"/>
      <c r="QQA380" s="669"/>
      <c r="QQB380" s="669"/>
      <c r="QQC380" s="669"/>
      <c r="QQD380" s="669"/>
      <c r="QQE380" s="669"/>
      <c r="QQF380" s="669"/>
      <c r="QQG380" s="669"/>
      <c r="QQH380" s="669"/>
      <c r="QQI380" s="669"/>
      <c r="QQJ380" s="669"/>
      <c r="QQK380" s="669"/>
      <c r="QQL380" s="669"/>
      <c r="QQM380" s="669"/>
      <c r="QQN380" s="669"/>
      <c r="QQO380" s="669"/>
      <c r="QQP380" s="669"/>
      <c r="QQQ380" s="669"/>
      <c r="QQR380" s="669"/>
      <c r="QQS380" s="669"/>
      <c r="QQT380" s="669"/>
      <c r="QQU380" s="669"/>
      <c r="QQV380" s="669"/>
      <c r="QQW380" s="669"/>
      <c r="QQX380" s="669"/>
      <c r="QQY380" s="669"/>
      <c r="QQZ380" s="669"/>
      <c r="QRA380" s="669"/>
      <c r="QRB380" s="669"/>
      <c r="QRC380" s="669"/>
      <c r="QRD380" s="669"/>
      <c r="QRE380" s="669"/>
      <c r="QRF380" s="669"/>
      <c r="QRG380" s="669"/>
      <c r="QRH380" s="669"/>
      <c r="QRI380" s="669"/>
      <c r="QRJ380" s="669"/>
      <c r="QRK380" s="669"/>
      <c r="QRL380" s="669"/>
      <c r="QRM380" s="669"/>
      <c r="QRN380" s="669"/>
      <c r="QRO380" s="669"/>
      <c r="QRP380" s="669"/>
      <c r="QRQ380" s="669"/>
      <c r="QRR380" s="669"/>
      <c r="QRS380" s="669"/>
      <c r="QRT380" s="669"/>
      <c r="QRU380" s="669"/>
      <c r="QRV380" s="669"/>
      <c r="QRW380" s="669"/>
      <c r="QRX380" s="669"/>
      <c r="QRY380" s="669"/>
      <c r="QRZ380" s="669"/>
      <c r="QSA380" s="669"/>
      <c r="QSB380" s="669"/>
      <c r="QSC380" s="669"/>
      <c r="QSD380" s="669"/>
      <c r="QSE380" s="669"/>
      <c r="QSF380" s="669"/>
      <c r="QSG380" s="669"/>
      <c r="QSH380" s="669"/>
      <c r="QSI380" s="669"/>
      <c r="QSJ380" s="669"/>
      <c r="QSK380" s="669"/>
      <c r="QSL380" s="669"/>
      <c r="QSM380" s="669"/>
      <c r="QSN380" s="669"/>
      <c r="QSO380" s="669"/>
      <c r="QSP380" s="669"/>
      <c r="QSQ380" s="669"/>
      <c r="QSR380" s="669"/>
      <c r="QSS380" s="669"/>
      <c r="QST380" s="669"/>
      <c r="QSU380" s="669"/>
      <c r="QSV380" s="669"/>
      <c r="QSW380" s="669"/>
      <c r="QSX380" s="669"/>
      <c r="QSY380" s="669"/>
      <c r="QSZ380" s="669"/>
      <c r="QTA380" s="669"/>
      <c r="QTB380" s="669"/>
      <c r="QTC380" s="669"/>
      <c r="QTD380" s="669"/>
      <c r="QTE380" s="669"/>
      <c r="QTF380" s="669"/>
      <c r="QTG380" s="669"/>
      <c r="QTH380" s="669"/>
      <c r="QTI380" s="669"/>
      <c r="QTJ380" s="669"/>
      <c r="QTK380" s="669"/>
      <c r="QTL380" s="669"/>
      <c r="QTM380" s="669"/>
      <c r="QTN380" s="669"/>
      <c r="QTO380" s="669"/>
      <c r="QTP380" s="669"/>
      <c r="QTQ380" s="669"/>
      <c r="QTR380" s="669"/>
      <c r="QTS380" s="669"/>
      <c r="QTT380" s="669"/>
      <c r="QTU380" s="669"/>
      <c r="QTV380" s="669"/>
      <c r="QTW380" s="669"/>
      <c r="QTX380" s="669"/>
      <c r="QTY380" s="669"/>
      <c r="QTZ380" s="669"/>
      <c r="QUA380" s="669"/>
      <c r="QUB380" s="669"/>
      <c r="QUC380" s="669"/>
      <c r="QUD380" s="669"/>
      <c r="QUE380" s="669"/>
      <c r="QUF380" s="669"/>
      <c r="QUG380" s="669"/>
      <c r="QUH380" s="669"/>
      <c r="QUI380" s="669"/>
      <c r="QUJ380" s="669"/>
      <c r="QUK380" s="669"/>
      <c r="QUL380" s="669"/>
      <c r="QUM380" s="669"/>
      <c r="QUN380" s="669"/>
      <c r="QUO380" s="669"/>
      <c r="QUP380" s="669"/>
      <c r="QUQ380" s="669"/>
      <c r="QUR380" s="669"/>
      <c r="QUS380" s="669"/>
      <c r="QUT380" s="669"/>
      <c r="QUU380" s="669"/>
      <c r="QUV380" s="669"/>
      <c r="QUW380" s="669"/>
      <c r="QUX380" s="669"/>
      <c r="QUY380" s="669"/>
      <c r="QUZ380" s="669"/>
      <c r="QVA380" s="669"/>
      <c r="QVB380" s="669"/>
      <c r="QVC380" s="669"/>
      <c r="QVD380" s="669"/>
      <c r="QVE380" s="669"/>
      <c r="QVF380" s="669"/>
      <c r="QVG380" s="669"/>
      <c r="QVH380" s="669"/>
      <c r="QVI380" s="669"/>
      <c r="QVJ380" s="669"/>
      <c r="QVK380" s="669"/>
      <c r="QVL380" s="669"/>
      <c r="QVM380" s="669"/>
      <c r="QVN380" s="669"/>
      <c r="QVO380" s="669"/>
      <c r="QVP380" s="669"/>
      <c r="QVQ380" s="669"/>
      <c r="QVR380" s="669"/>
      <c r="QVS380" s="669"/>
      <c r="QVT380" s="669"/>
      <c r="QVU380" s="669"/>
      <c r="QVV380" s="669"/>
      <c r="QVW380" s="669"/>
      <c r="QVX380" s="669"/>
      <c r="QVY380" s="669"/>
      <c r="QVZ380" s="669"/>
      <c r="QWA380" s="669"/>
      <c r="QWB380" s="669"/>
      <c r="QWC380" s="669"/>
      <c r="QWD380" s="669"/>
      <c r="QWE380" s="669"/>
      <c r="QWF380" s="669"/>
      <c r="QWG380" s="669"/>
      <c r="QWH380" s="669"/>
      <c r="QWI380" s="669"/>
      <c r="QWJ380" s="669"/>
      <c r="QWK380" s="669"/>
      <c r="QWL380" s="669"/>
      <c r="QWM380" s="669"/>
      <c r="QWN380" s="669"/>
      <c r="QWO380" s="669"/>
      <c r="QWP380" s="669"/>
      <c r="QWQ380" s="669"/>
      <c r="QWR380" s="669"/>
      <c r="QWS380" s="669"/>
      <c r="QWT380" s="669"/>
      <c r="QWU380" s="669"/>
      <c r="QWV380" s="669"/>
      <c r="QWW380" s="669"/>
      <c r="QWX380" s="669"/>
      <c r="QWY380" s="669"/>
      <c r="QWZ380" s="669"/>
      <c r="QXA380" s="669"/>
      <c r="QXB380" s="669"/>
      <c r="QXC380" s="669"/>
      <c r="QXD380" s="669"/>
      <c r="QXE380" s="669"/>
      <c r="QXF380" s="669"/>
      <c r="QXG380" s="669"/>
      <c r="QXH380" s="669"/>
      <c r="QXI380" s="669"/>
      <c r="QXJ380" s="669"/>
      <c r="QXK380" s="669"/>
      <c r="QXL380" s="669"/>
      <c r="QXM380" s="669"/>
      <c r="QXN380" s="669"/>
      <c r="QXO380" s="669"/>
      <c r="QXP380" s="669"/>
      <c r="QXQ380" s="669"/>
      <c r="QXR380" s="669"/>
      <c r="QXS380" s="669"/>
      <c r="QXT380" s="669"/>
      <c r="QXU380" s="669"/>
      <c r="QXV380" s="669"/>
      <c r="QXW380" s="669"/>
      <c r="QXX380" s="669"/>
      <c r="QXY380" s="669"/>
      <c r="QXZ380" s="669"/>
      <c r="QYA380" s="669"/>
      <c r="QYB380" s="669"/>
      <c r="QYC380" s="669"/>
      <c r="QYD380" s="669"/>
      <c r="QYE380" s="669"/>
      <c r="QYF380" s="669"/>
      <c r="QYG380" s="669"/>
      <c r="QYH380" s="669"/>
      <c r="QYI380" s="669"/>
      <c r="QYJ380" s="669"/>
      <c r="QYK380" s="669"/>
      <c r="QYL380" s="669"/>
      <c r="QYM380" s="669"/>
      <c r="QYN380" s="669"/>
      <c r="QYO380" s="669"/>
      <c r="QYP380" s="669"/>
      <c r="QYQ380" s="669"/>
      <c r="QYR380" s="669"/>
      <c r="QYS380" s="669"/>
      <c r="QYT380" s="669"/>
      <c r="QYU380" s="669"/>
      <c r="QYV380" s="669"/>
      <c r="QYW380" s="669"/>
      <c r="QYX380" s="669"/>
      <c r="QYY380" s="669"/>
      <c r="QYZ380" s="669"/>
      <c r="QZA380" s="669"/>
      <c r="QZB380" s="669"/>
      <c r="QZC380" s="669"/>
      <c r="QZD380" s="669"/>
      <c r="QZE380" s="669"/>
      <c r="QZF380" s="669"/>
      <c r="QZG380" s="669"/>
      <c r="QZH380" s="669"/>
      <c r="QZI380" s="669"/>
      <c r="QZJ380" s="669"/>
      <c r="QZK380" s="669"/>
      <c r="QZL380" s="669"/>
      <c r="QZM380" s="669"/>
      <c r="QZN380" s="669"/>
      <c r="QZO380" s="669"/>
      <c r="QZP380" s="669"/>
      <c r="QZQ380" s="669"/>
      <c r="QZR380" s="669"/>
      <c r="QZS380" s="669"/>
      <c r="QZT380" s="669"/>
      <c r="QZU380" s="669"/>
      <c r="QZV380" s="669"/>
      <c r="QZW380" s="669"/>
      <c r="QZX380" s="669"/>
      <c r="QZY380" s="669"/>
      <c r="QZZ380" s="669"/>
      <c r="RAA380" s="669"/>
      <c r="RAB380" s="669"/>
      <c r="RAC380" s="669"/>
      <c r="RAD380" s="669"/>
      <c r="RAE380" s="669"/>
      <c r="RAF380" s="669"/>
      <c r="RAG380" s="669"/>
      <c r="RAH380" s="669"/>
      <c r="RAI380" s="669"/>
      <c r="RAJ380" s="669"/>
      <c r="RAK380" s="669"/>
      <c r="RAL380" s="669"/>
      <c r="RAM380" s="669"/>
      <c r="RAN380" s="669"/>
      <c r="RAO380" s="669"/>
      <c r="RAP380" s="669"/>
      <c r="RAQ380" s="669"/>
      <c r="RAR380" s="669"/>
      <c r="RAS380" s="669"/>
      <c r="RAT380" s="669"/>
      <c r="RAU380" s="669"/>
      <c r="RAV380" s="669"/>
      <c r="RAW380" s="669"/>
      <c r="RAX380" s="669"/>
      <c r="RAY380" s="669"/>
      <c r="RAZ380" s="669"/>
      <c r="RBA380" s="669"/>
      <c r="RBB380" s="669"/>
      <c r="RBC380" s="669"/>
      <c r="RBD380" s="669"/>
      <c r="RBE380" s="669"/>
      <c r="RBF380" s="669"/>
      <c r="RBG380" s="669"/>
      <c r="RBH380" s="669"/>
      <c r="RBI380" s="669"/>
      <c r="RBJ380" s="669"/>
      <c r="RBK380" s="669"/>
      <c r="RBL380" s="669"/>
      <c r="RBM380" s="669"/>
      <c r="RBN380" s="669"/>
      <c r="RBO380" s="669"/>
      <c r="RBP380" s="669"/>
      <c r="RBQ380" s="669"/>
      <c r="RBR380" s="669"/>
      <c r="RBS380" s="669"/>
      <c r="RBT380" s="669"/>
      <c r="RBU380" s="669"/>
      <c r="RBV380" s="669"/>
      <c r="RBW380" s="669"/>
      <c r="RBX380" s="669"/>
      <c r="RBY380" s="669"/>
      <c r="RBZ380" s="669"/>
      <c r="RCA380" s="669"/>
      <c r="RCB380" s="669"/>
      <c r="RCC380" s="669"/>
      <c r="RCD380" s="669"/>
      <c r="RCE380" s="669"/>
      <c r="RCF380" s="669"/>
      <c r="RCG380" s="669"/>
      <c r="RCH380" s="669"/>
      <c r="RCI380" s="669"/>
      <c r="RCJ380" s="669"/>
      <c r="RCK380" s="669"/>
      <c r="RCL380" s="669"/>
      <c r="RCM380" s="669"/>
      <c r="RCN380" s="669"/>
      <c r="RCO380" s="669"/>
      <c r="RCP380" s="669"/>
      <c r="RCQ380" s="669"/>
      <c r="RCR380" s="669"/>
      <c r="RCS380" s="669"/>
      <c r="RCT380" s="669"/>
      <c r="RCU380" s="669"/>
      <c r="RCV380" s="669"/>
      <c r="RCW380" s="669"/>
      <c r="RCX380" s="669"/>
      <c r="RCY380" s="669"/>
      <c r="RCZ380" s="669"/>
      <c r="RDA380" s="669"/>
      <c r="RDB380" s="669"/>
      <c r="RDC380" s="669"/>
      <c r="RDD380" s="669"/>
      <c r="RDE380" s="669"/>
      <c r="RDF380" s="669"/>
      <c r="RDG380" s="669"/>
      <c r="RDH380" s="669"/>
      <c r="RDI380" s="669"/>
      <c r="RDJ380" s="669"/>
      <c r="RDK380" s="669"/>
      <c r="RDL380" s="669"/>
      <c r="RDM380" s="669"/>
      <c r="RDN380" s="669"/>
      <c r="RDO380" s="669"/>
      <c r="RDP380" s="669"/>
      <c r="RDQ380" s="669"/>
      <c r="RDR380" s="669"/>
      <c r="RDS380" s="669"/>
      <c r="RDT380" s="669"/>
      <c r="RDU380" s="669"/>
      <c r="RDV380" s="669"/>
      <c r="RDW380" s="669"/>
      <c r="RDX380" s="669"/>
      <c r="RDY380" s="669"/>
      <c r="RDZ380" s="669"/>
      <c r="REA380" s="669"/>
      <c r="REB380" s="669"/>
      <c r="REC380" s="669"/>
      <c r="RED380" s="669"/>
      <c r="REE380" s="669"/>
      <c r="REF380" s="669"/>
      <c r="REG380" s="669"/>
      <c r="REH380" s="669"/>
      <c r="REI380" s="669"/>
      <c r="REJ380" s="669"/>
      <c r="REK380" s="669"/>
      <c r="REL380" s="669"/>
      <c r="REM380" s="669"/>
      <c r="REN380" s="669"/>
      <c r="REO380" s="669"/>
      <c r="REP380" s="669"/>
      <c r="REQ380" s="669"/>
      <c r="RER380" s="669"/>
      <c r="RES380" s="669"/>
      <c r="RET380" s="669"/>
      <c r="REU380" s="669"/>
      <c r="REV380" s="669"/>
      <c r="REW380" s="669"/>
      <c r="REX380" s="669"/>
      <c r="REY380" s="669"/>
      <c r="REZ380" s="669"/>
      <c r="RFA380" s="669"/>
      <c r="RFB380" s="669"/>
      <c r="RFC380" s="669"/>
      <c r="RFD380" s="669"/>
      <c r="RFE380" s="669"/>
      <c r="RFF380" s="669"/>
      <c r="RFG380" s="669"/>
      <c r="RFH380" s="669"/>
      <c r="RFI380" s="669"/>
      <c r="RFJ380" s="669"/>
      <c r="RFK380" s="669"/>
      <c r="RFL380" s="669"/>
      <c r="RFM380" s="669"/>
      <c r="RFN380" s="669"/>
      <c r="RFO380" s="669"/>
      <c r="RFP380" s="669"/>
      <c r="RFQ380" s="669"/>
      <c r="RFR380" s="669"/>
      <c r="RFS380" s="669"/>
      <c r="RFT380" s="669"/>
      <c r="RFU380" s="669"/>
      <c r="RFV380" s="669"/>
      <c r="RFW380" s="669"/>
      <c r="RFX380" s="669"/>
      <c r="RFY380" s="669"/>
      <c r="RFZ380" s="669"/>
      <c r="RGA380" s="669"/>
      <c r="RGB380" s="669"/>
      <c r="RGC380" s="669"/>
      <c r="RGD380" s="669"/>
      <c r="RGE380" s="669"/>
      <c r="RGF380" s="669"/>
      <c r="RGG380" s="669"/>
      <c r="RGH380" s="669"/>
      <c r="RGI380" s="669"/>
      <c r="RGJ380" s="669"/>
      <c r="RGK380" s="669"/>
      <c r="RGL380" s="669"/>
      <c r="RGM380" s="669"/>
      <c r="RGN380" s="669"/>
      <c r="RGO380" s="669"/>
      <c r="RGP380" s="669"/>
      <c r="RGQ380" s="669"/>
      <c r="RGR380" s="669"/>
      <c r="RGS380" s="669"/>
      <c r="RGT380" s="669"/>
      <c r="RGU380" s="669"/>
      <c r="RGV380" s="669"/>
      <c r="RGW380" s="669"/>
      <c r="RGX380" s="669"/>
      <c r="RGY380" s="669"/>
      <c r="RGZ380" s="669"/>
      <c r="RHA380" s="669"/>
      <c r="RHB380" s="669"/>
      <c r="RHC380" s="669"/>
      <c r="RHD380" s="669"/>
      <c r="RHE380" s="669"/>
      <c r="RHF380" s="669"/>
      <c r="RHG380" s="669"/>
      <c r="RHH380" s="669"/>
      <c r="RHI380" s="669"/>
      <c r="RHJ380" s="669"/>
      <c r="RHK380" s="669"/>
      <c r="RHL380" s="669"/>
      <c r="RHM380" s="669"/>
      <c r="RHN380" s="669"/>
      <c r="RHO380" s="669"/>
      <c r="RHP380" s="669"/>
      <c r="RHQ380" s="669"/>
      <c r="RHR380" s="669"/>
      <c r="RHS380" s="669"/>
      <c r="RHT380" s="669"/>
      <c r="RHU380" s="669"/>
      <c r="RHV380" s="669"/>
      <c r="RHW380" s="669"/>
      <c r="RHX380" s="669"/>
      <c r="RHY380" s="669"/>
      <c r="RHZ380" s="669"/>
      <c r="RIA380" s="669"/>
      <c r="RIB380" s="669"/>
      <c r="RIC380" s="669"/>
      <c r="RID380" s="669"/>
      <c r="RIE380" s="669"/>
      <c r="RIF380" s="669"/>
      <c r="RIG380" s="669"/>
      <c r="RIH380" s="669"/>
      <c r="RII380" s="669"/>
      <c r="RIJ380" s="669"/>
      <c r="RIK380" s="669"/>
      <c r="RIL380" s="669"/>
      <c r="RIM380" s="669"/>
      <c r="RIN380" s="669"/>
      <c r="RIO380" s="669"/>
      <c r="RIP380" s="669"/>
      <c r="RIQ380" s="669"/>
      <c r="RIR380" s="669"/>
      <c r="RIS380" s="669"/>
      <c r="RIT380" s="669"/>
      <c r="RIU380" s="669"/>
      <c r="RIV380" s="669"/>
      <c r="RIW380" s="669"/>
      <c r="RIX380" s="669"/>
      <c r="RIY380" s="669"/>
      <c r="RIZ380" s="669"/>
      <c r="RJA380" s="669"/>
      <c r="RJB380" s="669"/>
      <c r="RJC380" s="669"/>
      <c r="RJD380" s="669"/>
      <c r="RJE380" s="669"/>
      <c r="RJF380" s="669"/>
      <c r="RJG380" s="669"/>
      <c r="RJH380" s="669"/>
      <c r="RJI380" s="669"/>
      <c r="RJJ380" s="669"/>
      <c r="RJK380" s="669"/>
      <c r="RJL380" s="669"/>
      <c r="RJM380" s="669"/>
      <c r="RJN380" s="669"/>
      <c r="RJO380" s="669"/>
      <c r="RJP380" s="669"/>
      <c r="RJQ380" s="669"/>
      <c r="RJR380" s="669"/>
      <c r="RJS380" s="669"/>
      <c r="RJT380" s="669"/>
      <c r="RJU380" s="669"/>
      <c r="RJV380" s="669"/>
      <c r="RJW380" s="669"/>
      <c r="RJX380" s="669"/>
      <c r="RJY380" s="669"/>
      <c r="RJZ380" s="669"/>
      <c r="RKA380" s="669"/>
      <c r="RKB380" s="669"/>
      <c r="RKC380" s="669"/>
      <c r="RKD380" s="669"/>
      <c r="RKE380" s="669"/>
      <c r="RKF380" s="669"/>
      <c r="RKG380" s="669"/>
      <c r="RKH380" s="669"/>
      <c r="RKI380" s="669"/>
      <c r="RKJ380" s="669"/>
      <c r="RKK380" s="669"/>
      <c r="RKL380" s="669"/>
      <c r="RKM380" s="669"/>
      <c r="RKN380" s="669"/>
      <c r="RKO380" s="669"/>
      <c r="RKP380" s="669"/>
      <c r="RKQ380" s="669"/>
      <c r="RKR380" s="669"/>
      <c r="RKS380" s="669"/>
      <c r="RKT380" s="669"/>
      <c r="RKU380" s="669"/>
      <c r="RKV380" s="669"/>
      <c r="RKW380" s="669"/>
      <c r="RKX380" s="669"/>
      <c r="RKY380" s="669"/>
      <c r="RKZ380" s="669"/>
      <c r="RLA380" s="669"/>
      <c r="RLB380" s="669"/>
      <c r="RLC380" s="669"/>
      <c r="RLD380" s="669"/>
      <c r="RLE380" s="669"/>
      <c r="RLF380" s="669"/>
      <c r="RLG380" s="669"/>
      <c r="RLH380" s="669"/>
      <c r="RLI380" s="669"/>
      <c r="RLJ380" s="669"/>
      <c r="RLK380" s="669"/>
      <c r="RLL380" s="669"/>
      <c r="RLM380" s="669"/>
      <c r="RLN380" s="669"/>
      <c r="RLO380" s="669"/>
      <c r="RLP380" s="669"/>
      <c r="RLQ380" s="669"/>
      <c r="RLR380" s="669"/>
      <c r="RLS380" s="669"/>
      <c r="RLT380" s="669"/>
      <c r="RLU380" s="669"/>
      <c r="RLV380" s="669"/>
      <c r="RLW380" s="669"/>
      <c r="RLX380" s="669"/>
      <c r="RLY380" s="669"/>
      <c r="RLZ380" s="669"/>
      <c r="RMA380" s="669"/>
      <c r="RMB380" s="669"/>
      <c r="RMC380" s="669"/>
      <c r="RMD380" s="669"/>
      <c r="RME380" s="669"/>
      <c r="RMF380" s="669"/>
      <c r="RMG380" s="669"/>
      <c r="RMH380" s="669"/>
      <c r="RMI380" s="669"/>
      <c r="RMJ380" s="669"/>
      <c r="RMK380" s="669"/>
      <c r="RML380" s="669"/>
      <c r="RMM380" s="669"/>
      <c r="RMN380" s="669"/>
      <c r="RMO380" s="669"/>
      <c r="RMP380" s="669"/>
      <c r="RMQ380" s="669"/>
      <c r="RMR380" s="669"/>
      <c r="RMS380" s="669"/>
      <c r="RMT380" s="669"/>
      <c r="RMU380" s="669"/>
      <c r="RMV380" s="669"/>
      <c r="RMW380" s="669"/>
      <c r="RMX380" s="669"/>
      <c r="RMY380" s="669"/>
      <c r="RMZ380" s="669"/>
      <c r="RNA380" s="669"/>
      <c r="RNB380" s="669"/>
      <c r="RNC380" s="669"/>
      <c r="RND380" s="669"/>
      <c r="RNE380" s="669"/>
      <c r="RNF380" s="669"/>
      <c r="RNG380" s="669"/>
      <c r="RNH380" s="669"/>
      <c r="RNI380" s="669"/>
      <c r="RNJ380" s="669"/>
      <c r="RNK380" s="669"/>
      <c r="RNL380" s="669"/>
      <c r="RNM380" s="669"/>
      <c r="RNN380" s="669"/>
      <c r="RNO380" s="669"/>
      <c r="RNP380" s="669"/>
      <c r="RNQ380" s="669"/>
      <c r="RNR380" s="669"/>
      <c r="RNS380" s="669"/>
      <c r="RNT380" s="669"/>
      <c r="RNU380" s="669"/>
      <c r="RNV380" s="669"/>
      <c r="RNW380" s="669"/>
      <c r="RNX380" s="669"/>
      <c r="RNY380" s="669"/>
      <c r="RNZ380" s="669"/>
      <c r="ROA380" s="669"/>
      <c r="ROB380" s="669"/>
      <c r="ROC380" s="669"/>
      <c r="ROD380" s="669"/>
      <c r="ROE380" s="669"/>
      <c r="ROF380" s="669"/>
      <c r="ROG380" s="669"/>
      <c r="ROH380" s="669"/>
      <c r="ROI380" s="669"/>
      <c r="ROJ380" s="669"/>
      <c r="ROK380" s="669"/>
      <c r="ROL380" s="669"/>
      <c r="ROM380" s="669"/>
      <c r="RON380" s="669"/>
      <c r="ROO380" s="669"/>
      <c r="ROP380" s="669"/>
      <c r="ROQ380" s="669"/>
      <c r="ROR380" s="669"/>
      <c r="ROS380" s="669"/>
      <c r="ROT380" s="669"/>
      <c r="ROU380" s="669"/>
      <c r="ROV380" s="669"/>
      <c r="ROW380" s="669"/>
      <c r="ROX380" s="669"/>
      <c r="ROY380" s="669"/>
      <c r="ROZ380" s="669"/>
      <c r="RPA380" s="669"/>
      <c r="RPB380" s="669"/>
      <c r="RPC380" s="669"/>
      <c r="RPD380" s="669"/>
      <c r="RPE380" s="669"/>
      <c r="RPF380" s="669"/>
      <c r="RPG380" s="669"/>
      <c r="RPH380" s="669"/>
      <c r="RPI380" s="669"/>
      <c r="RPJ380" s="669"/>
      <c r="RPK380" s="669"/>
      <c r="RPL380" s="669"/>
      <c r="RPM380" s="669"/>
      <c r="RPN380" s="669"/>
      <c r="RPO380" s="669"/>
      <c r="RPP380" s="669"/>
      <c r="RPQ380" s="669"/>
      <c r="RPR380" s="669"/>
      <c r="RPS380" s="669"/>
      <c r="RPT380" s="669"/>
      <c r="RPU380" s="669"/>
      <c r="RPV380" s="669"/>
      <c r="RPW380" s="669"/>
      <c r="RPX380" s="669"/>
      <c r="RPY380" s="669"/>
      <c r="RPZ380" s="669"/>
      <c r="RQA380" s="669"/>
      <c r="RQB380" s="669"/>
      <c r="RQC380" s="669"/>
      <c r="RQD380" s="669"/>
      <c r="RQE380" s="669"/>
      <c r="RQF380" s="669"/>
      <c r="RQG380" s="669"/>
      <c r="RQH380" s="669"/>
      <c r="RQI380" s="669"/>
      <c r="RQJ380" s="669"/>
      <c r="RQK380" s="669"/>
      <c r="RQL380" s="669"/>
      <c r="RQM380" s="669"/>
      <c r="RQN380" s="669"/>
      <c r="RQO380" s="669"/>
      <c r="RQP380" s="669"/>
      <c r="RQQ380" s="669"/>
      <c r="RQR380" s="669"/>
      <c r="RQS380" s="669"/>
      <c r="RQT380" s="669"/>
      <c r="RQU380" s="669"/>
      <c r="RQV380" s="669"/>
      <c r="RQW380" s="669"/>
      <c r="RQX380" s="669"/>
      <c r="RQY380" s="669"/>
      <c r="RQZ380" s="669"/>
      <c r="RRA380" s="669"/>
      <c r="RRB380" s="669"/>
      <c r="RRC380" s="669"/>
      <c r="RRD380" s="669"/>
      <c r="RRE380" s="669"/>
      <c r="RRF380" s="669"/>
      <c r="RRG380" s="669"/>
      <c r="RRH380" s="669"/>
      <c r="RRI380" s="669"/>
      <c r="RRJ380" s="669"/>
      <c r="RRK380" s="669"/>
      <c r="RRL380" s="669"/>
      <c r="RRM380" s="669"/>
      <c r="RRN380" s="669"/>
      <c r="RRO380" s="669"/>
      <c r="RRP380" s="669"/>
      <c r="RRQ380" s="669"/>
      <c r="RRR380" s="669"/>
      <c r="RRS380" s="669"/>
      <c r="RRT380" s="669"/>
      <c r="RRU380" s="669"/>
      <c r="RRV380" s="669"/>
      <c r="RRW380" s="669"/>
      <c r="RRX380" s="669"/>
      <c r="RRY380" s="669"/>
      <c r="RRZ380" s="669"/>
      <c r="RSA380" s="669"/>
      <c r="RSB380" s="669"/>
      <c r="RSC380" s="669"/>
      <c r="RSD380" s="669"/>
      <c r="RSE380" s="669"/>
      <c r="RSF380" s="669"/>
      <c r="RSG380" s="669"/>
      <c r="RSH380" s="669"/>
      <c r="RSI380" s="669"/>
      <c r="RSJ380" s="669"/>
      <c r="RSK380" s="669"/>
      <c r="RSL380" s="669"/>
      <c r="RSM380" s="669"/>
      <c r="RSN380" s="669"/>
      <c r="RSO380" s="669"/>
      <c r="RSP380" s="669"/>
      <c r="RSQ380" s="669"/>
      <c r="RSR380" s="669"/>
      <c r="RSS380" s="669"/>
      <c r="RST380" s="669"/>
      <c r="RSU380" s="669"/>
      <c r="RSV380" s="669"/>
      <c r="RSW380" s="669"/>
      <c r="RSX380" s="669"/>
      <c r="RSY380" s="669"/>
      <c r="RSZ380" s="669"/>
      <c r="RTA380" s="669"/>
      <c r="RTB380" s="669"/>
      <c r="RTC380" s="669"/>
      <c r="RTD380" s="669"/>
      <c r="RTE380" s="669"/>
      <c r="RTF380" s="669"/>
      <c r="RTG380" s="669"/>
      <c r="RTH380" s="669"/>
      <c r="RTI380" s="669"/>
      <c r="RTJ380" s="669"/>
      <c r="RTK380" s="669"/>
      <c r="RTL380" s="669"/>
      <c r="RTM380" s="669"/>
      <c r="RTN380" s="669"/>
      <c r="RTO380" s="669"/>
      <c r="RTP380" s="669"/>
      <c r="RTQ380" s="669"/>
      <c r="RTR380" s="669"/>
      <c r="RTS380" s="669"/>
      <c r="RTT380" s="669"/>
      <c r="RTU380" s="669"/>
      <c r="RTV380" s="669"/>
      <c r="RTW380" s="669"/>
      <c r="RTX380" s="669"/>
      <c r="RTY380" s="669"/>
      <c r="RTZ380" s="669"/>
      <c r="RUA380" s="669"/>
      <c r="RUB380" s="669"/>
      <c r="RUC380" s="669"/>
      <c r="RUD380" s="669"/>
      <c r="RUE380" s="669"/>
      <c r="RUF380" s="669"/>
      <c r="RUG380" s="669"/>
      <c r="RUH380" s="669"/>
      <c r="RUI380" s="669"/>
      <c r="RUJ380" s="669"/>
      <c r="RUK380" s="669"/>
      <c r="RUL380" s="669"/>
      <c r="RUM380" s="669"/>
      <c r="RUN380" s="669"/>
      <c r="RUO380" s="669"/>
      <c r="RUP380" s="669"/>
      <c r="RUQ380" s="669"/>
      <c r="RUR380" s="669"/>
      <c r="RUS380" s="669"/>
      <c r="RUT380" s="669"/>
      <c r="RUU380" s="669"/>
      <c r="RUV380" s="669"/>
      <c r="RUW380" s="669"/>
      <c r="RUX380" s="669"/>
      <c r="RUY380" s="669"/>
      <c r="RUZ380" s="669"/>
      <c r="RVA380" s="669"/>
      <c r="RVB380" s="669"/>
      <c r="RVC380" s="669"/>
      <c r="RVD380" s="669"/>
      <c r="RVE380" s="669"/>
      <c r="RVF380" s="669"/>
      <c r="RVG380" s="669"/>
      <c r="RVH380" s="669"/>
      <c r="RVI380" s="669"/>
      <c r="RVJ380" s="669"/>
      <c r="RVK380" s="669"/>
      <c r="RVL380" s="669"/>
      <c r="RVM380" s="669"/>
      <c r="RVN380" s="669"/>
      <c r="RVO380" s="669"/>
      <c r="RVP380" s="669"/>
      <c r="RVQ380" s="669"/>
      <c r="RVR380" s="669"/>
      <c r="RVS380" s="669"/>
      <c r="RVT380" s="669"/>
      <c r="RVU380" s="669"/>
      <c r="RVV380" s="669"/>
      <c r="RVW380" s="669"/>
      <c r="RVX380" s="669"/>
      <c r="RVY380" s="669"/>
      <c r="RVZ380" s="669"/>
      <c r="RWA380" s="669"/>
      <c r="RWB380" s="669"/>
      <c r="RWC380" s="669"/>
      <c r="RWD380" s="669"/>
      <c r="RWE380" s="669"/>
      <c r="RWF380" s="669"/>
      <c r="RWG380" s="669"/>
      <c r="RWH380" s="669"/>
      <c r="RWI380" s="669"/>
      <c r="RWJ380" s="669"/>
      <c r="RWK380" s="669"/>
      <c r="RWL380" s="669"/>
      <c r="RWM380" s="669"/>
      <c r="RWN380" s="669"/>
      <c r="RWO380" s="669"/>
      <c r="RWP380" s="669"/>
      <c r="RWQ380" s="669"/>
      <c r="RWR380" s="669"/>
      <c r="RWS380" s="669"/>
      <c r="RWT380" s="669"/>
      <c r="RWU380" s="669"/>
      <c r="RWV380" s="669"/>
      <c r="RWW380" s="669"/>
      <c r="RWX380" s="669"/>
      <c r="RWY380" s="669"/>
      <c r="RWZ380" s="669"/>
      <c r="RXA380" s="669"/>
      <c r="RXB380" s="669"/>
      <c r="RXC380" s="669"/>
      <c r="RXD380" s="669"/>
      <c r="RXE380" s="669"/>
      <c r="RXF380" s="669"/>
      <c r="RXG380" s="669"/>
      <c r="RXH380" s="669"/>
      <c r="RXI380" s="669"/>
      <c r="RXJ380" s="669"/>
      <c r="RXK380" s="669"/>
      <c r="RXL380" s="669"/>
      <c r="RXM380" s="669"/>
      <c r="RXN380" s="669"/>
      <c r="RXO380" s="669"/>
      <c r="RXP380" s="669"/>
      <c r="RXQ380" s="669"/>
      <c r="RXR380" s="669"/>
      <c r="RXS380" s="669"/>
      <c r="RXT380" s="669"/>
      <c r="RXU380" s="669"/>
      <c r="RXV380" s="669"/>
      <c r="RXW380" s="669"/>
      <c r="RXX380" s="669"/>
      <c r="RXY380" s="669"/>
      <c r="RXZ380" s="669"/>
      <c r="RYA380" s="669"/>
      <c r="RYB380" s="669"/>
      <c r="RYC380" s="669"/>
      <c r="RYD380" s="669"/>
      <c r="RYE380" s="669"/>
      <c r="RYF380" s="669"/>
      <c r="RYG380" s="669"/>
      <c r="RYH380" s="669"/>
      <c r="RYI380" s="669"/>
      <c r="RYJ380" s="669"/>
      <c r="RYK380" s="669"/>
      <c r="RYL380" s="669"/>
      <c r="RYM380" s="669"/>
      <c r="RYN380" s="669"/>
      <c r="RYO380" s="669"/>
      <c r="RYP380" s="669"/>
      <c r="RYQ380" s="669"/>
      <c r="RYR380" s="669"/>
      <c r="RYS380" s="669"/>
      <c r="RYT380" s="669"/>
      <c r="RYU380" s="669"/>
      <c r="RYV380" s="669"/>
      <c r="RYW380" s="669"/>
      <c r="RYX380" s="669"/>
      <c r="RYY380" s="669"/>
      <c r="RYZ380" s="669"/>
      <c r="RZA380" s="669"/>
      <c r="RZB380" s="669"/>
      <c r="RZC380" s="669"/>
      <c r="RZD380" s="669"/>
      <c r="RZE380" s="669"/>
      <c r="RZF380" s="669"/>
      <c r="RZG380" s="669"/>
      <c r="RZH380" s="669"/>
      <c r="RZI380" s="669"/>
      <c r="RZJ380" s="669"/>
      <c r="RZK380" s="669"/>
      <c r="RZL380" s="669"/>
      <c r="RZM380" s="669"/>
      <c r="RZN380" s="669"/>
      <c r="RZO380" s="669"/>
      <c r="RZP380" s="669"/>
      <c r="RZQ380" s="669"/>
      <c r="RZR380" s="669"/>
      <c r="RZS380" s="669"/>
      <c r="RZT380" s="669"/>
      <c r="RZU380" s="669"/>
      <c r="RZV380" s="669"/>
      <c r="RZW380" s="669"/>
      <c r="RZX380" s="669"/>
      <c r="RZY380" s="669"/>
      <c r="RZZ380" s="669"/>
      <c r="SAA380" s="669"/>
      <c r="SAB380" s="669"/>
      <c r="SAC380" s="669"/>
      <c r="SAD380" s="669"/>
      <c r="SAE380" s="669"/>
      <c r="SAF380" s="669"/>
      <c r="SAG380" s="669"/>
      <c r="SAH380" s="669"/>
      <c r="SAI380" s="669"/>
      <c r="SAJ380" s="669"/>
      <c r="SAK380" s="669"/>
      <c r="SAL380" s="669"/>
      <c r="SAM380" s="669"/>
      <c r="SAN380" s="669"/>
      <c r="SAO380" s="669"/>
      <c r="SAP380" s="669"/>
      <c r="SAQ380" s="669"/>
      <c r="SAR380" s="669"/>
      <c r="SAS380" s="669"/>
      <c r="SAT380" s="669"/>
      <c r="SAU380" s="669"/>
      <c r="SAV380" s="669"/>
      <c r="SAW380" s="669"/>
      <c r="SAX380" s="669"/>
      <c r="SAY380" s="669"/>
      <c r="SAZ380" s="669"/>
      <c r="SBA380" s="669"/>
      <c r="SBB380" s="669"/>
      <c r="SBC380" s="669"/>
      <c r="SBD380" s="669"/>
      <c r="SBE380" s="669"/>
      <c r="SBF380" s="669"/>
      <c r="SBG380" s="669"/>
      <c r="SBH380" s="669"/>
      <c r="SBI380" s="669"/>
      <c r="SBJ380" s="669"/>
      <c r="SBK380" s="669"/>
      <c r="SBL380" s="669"/>
      <c r="SBM380" s="669"/>
      <c r="SBN380" s="669"/>
      <c r="SBO380" s="669"/>
      <c r="SBP380" s="669"/>
      <c r="SBQ380" s="669"/>
      <c r="SBR380" s="669"/>
      <c r="SBS380" s="669"/>
      <c r="SBT380" s="669"/>
      <c r="SBU380" s="669"/>
      <c r="SBV380" s="669"/>
      <c r="SBW380" s="669"/>
      <c r="SBX380" s="669"/>
      <c r="SBY380" s="669"/>
      <c r="SBZ380" s="669"/>
      <c r="SCA380" s="669"/>
      <c r="SCB380" s="669"/>
      <c r="SCC380" s="669"/>
      <c r="SCD380" s="669"/>
      <c r="SCE380" s="669"/>
      <c r="SCF380" s="669"/>
      <c r="SCG380" s="669"/>
      <c r="SCH380" s="669"/>
      <c r="SCI380" s="669"/>
      <c r="SCJ380" s="669"/>
      <c r="SCK380" s="669"/>
      <c r="SCL380" s="669"/>
      <c r="SCM380" s="669"/>
      <c r="SCN380" s="669"/>
      <c r="SCO380" s="669"/>
      <c r="SCP380" s="669"/>
      <c r="SCQ380" s="669"/>
      <c r="SCR380" s="669"/>
      <c r="SCS380" s="669"/>
      <c r="SCT380" s="669"/>
      <c r="SCU380" s="669"/>
      <c r="SCV380" s="669"/>
      <c r="SCW380" s="669"/>
      <c r="SCX380" s="669"/>
      <c r="SCY380" s="669"/>
      <c r="SCZ380" s="669"/>
      <c r="SDA380" s="669"/>
      <c r="SDB380" s="669"/>
      <c r="SDC380" s="669"/>
      <c r="SDD380" s="669"/>
      <c r="SDE380" s="669"/>
      <c r="SDF380" s="669"/>
      <c r="SDG380" s="669"/>
      <c r="SDH380" s="669"/>
      <c r="SDI380" s="669"/>
      <c r="SDJ380" s="669"/>
      <c r="SDK380" s="669"/>
      <c r="SDL380" s="669"/>
      <c r="SDM380" s="669"/>
      <c r="SDN380" s="669"/>
      <c r="SDO380" s="669"/>
      <c r="SDP380" s="669"/>
      <c r="SDQ380" s="669"/>
      <c r="SDR380" s="669"/>
      <c r="SDS380" s="669"/>
      <c r="SDT380" s="669"/>
      <c r="SDU380" s="669"/>
      <c r="SDV380" s="669"/>
      <c r="SDW380" s="669"/>
      <c r="SDX380" s="669"/>
      <c r="SDY380" s="669"/>
      <c r="SDZ380" s="669"/>
      <c r="SEA380" s="669"/>
      <c r="SEB380" s="669"/>
      <c r="SEC380" s="669"/>
      <c r="SED380" s="669"/>
      <c r="SEE380" s="669"/>
      <c r="SEF380" s="669"/>
      <c r="SEG380" s="669"/>
      <c r="SEH380" s="669"/>
      <c r="SEI380" s="669"/>
      <c r="SEJ380" s="669"/>
      <c r="SEK380" s="669"/>
      <c r="SEL380" s="669"/>
      <c r="SEM380" s="669"/>
      <c r="SEN380" s="669"/>
      <c r="SEO380" s="669"/>
      <c r="SEP380" s="669"/>
      <c r="SEQ380" s="669"/>
      <c r="SER380" s="669"/>
      <c r="SES380" s="669"/>
      <c r="SET380" s="669"/>
      <c r="SEU380" s="669"/>
      <c r="SEV380" s="669"/>
      <c r="SEW380" s="669"/>
      <c r="SEX380" s="669"/>
      <c r="SEY380" s="669"/>
      <c r="SEZ380" s="669"/>
      <c r="SFA380" s="669"/>
      <c r="SFB380" s="669"/>
      <c r="SFC380" s="669"/>
      <c r="SFD380" s="669"/>
      <c r="SFE380" s="669"/>
      <c r="SFF380" s="669"/>
      <c r="SFG380" s="669"/>
      <c r="SFH380" s="669"/>
      <c r="SFI380" s="669"/>
      <c r="SFJ380" s="669"/>
      <c r="SFK380" s="669"/>
      <c r="SFL380" s="669"/>
      <c r="SFM380" s="669"/>
      <c r="SFN380" s="669"/>
      <c r="SFO380" s="669"/>
      <c r="SFP380" s="669"/>
      <c r="SFQ380" s="669"/>
      <c r="SFR380" s="669"/>
      <c r="SFS380" s="669"/>
      <c r="SFT380" s="669"/>
      <c r="SFU380" s="669"/>
      <c r="SFV380" s="669"/>
      <c r="SFW380" s="669"/>
      <c r="SFX380" s="669"/>
      <c r="SFY380" s="669"/>
      <c r="SFZ380" s="669"/>
      <c r="SGA380" s="669"/>
      <c r="SGB380" s="669"/>
      <c r="SGC380" s="669"/>
      <c r="SGD380" s="669"/>
      <c r="SGE380" s="669"/>
      <c r="SGF380" s="669"/>
      <c r="SGG380" s="669"/>
      <c r="SGH380" s="669"/>
      <c r="SGI380" s="669"/>
      <c r="SGJ380" s="669"/>
      <c r="SGK380" s="669"/>
      <c r="SGL380" s="669"/>
      <c r="SGM380" s="669"/>
      <c r="SGN380" s="669"/>
      <c r="SGO380" s="669"/>
      <c r="SGP380" s="669"/>
      <c r="SGQ380" s="669"/>
      <c r="SGR380" s="669"/>
      <c r="SGS380" s="669"/>
      <c r="SGT380" s="669"/>
      <c r="SGU380" s="669"/>
      <c r="SGV380" s="669"/>
      <c r="SGW380" s="669"/>
      <c r="SGX380" s="669"/>
      <c r="SGY380" s="669"/>
      <c r="SGZ380" s="669"/>
      <c r="SHA380" s="669"/>
      <c r="SHB380" s="669"/>
      <c r="SHC380" s="669"/>
      <c r="SHD380" s="669"/>
      <c r="SHE380" s="669"/>
      <c r="SHF380" s="669"/>
      <c r="SHG380" s="669"/>
      <c r="SHH380" s="669"/>
      <c r="SHI380" s="669"/>
      <c r="SHJ380" s="669"/>
      <c r="SHK380" s="669"/>
      <c r="SHL380" s="669"/>
      <c r="SHM380" s="669"/>
      <c r="SHN380" s="669"/>
      <c r="SHO380" s="669"/>
      <c r="SHP380" s="669"/>
      <c r="SHQ380" s="669"/>
      <c r="SHR380" s="669"/>
      <c r="SHS380" s="669"/>
      <c r="SHT380" s="669"/>
      <c r="SHU380" s="669"/>
      <c r="SHV380" s="669"/>
      <c r="SHW380" s="669"/>
      <c r="SHX380" s="669"/>
      <c r="SHY380" s="669"/>
      <c r="SHZ380" s="669"/>
      <c r="SIA380" s="669"/>
      <c r="SIB380" s="669"/>
      <c r="SIC380" s="669"/>
      <c r="SID380" s="669"/>
      <c r="SIE380" s="669"/>
      <c r="SIF380" s="669"/>
      <c r="SIG380" s="669"/>
      <c r="SIH380" s="669"/>
      <c r="SII380" s="669"/>
      <c r="SIJ380" s="669"/>
      <c r="SIK380" s="669"/>
      <c r="SIL380" s="669"/>
      <c r="SIM380" s="669"/>
      <c r="SIN380" s="669"/>
      <c r="SIO380" s="669"/>
      <c r="SIP380" s="669"/>
      <c r="SIQ380" s="669"/>
      <c r="SIR380" s="669"/>
      <c r="SIS380" s="669"/>
      <c r="SIT380" s="669"/>
      <c r="SIU380" s="669"/>
      <c r="SIV380" s="669"/>
      <c r="SIW380" s="669"/>
      <c r="SIX380" s="669"/>
      <c r="SIY380" s="669"/>
      <c r="SIZ380" s="669"/>
      <c r="SJA380" s="669"/>
      <c r="SJB380" s="669"/>
      <c r="SJC380" s="669"/>
      <c r="SJD380" s="669"/>
      <c r="SJE380" s="669"/>
      <c r="SJF380" s="669"/>
      <c r="SJG380" s="669"/>
      <c r="SJH380" s="669"/>
      <c r="SJI380" s="669"/>
      <c r="SJJ380" s="669"/>
      <c r="SJK380" s="669"/>
      <c r="SJL380" s="669"/>
      <c r="SJM380" s="669"/>
      <c r="SJN380" s="669"/>
      <c r="SJO380" s="669"/>
      <c r="SJP380" s="669"/>
      <c r="SJQ380" s="669"/>
      <c r="SJR380" s="669"/>
      <c r="SJS380" s="669"/>
      <c r="SJT380" s="669"/>
      <c r="SJU380" s="669"/>
      <c r="SJV380" s="669"/>
      <c r="SJW380" s="669"/>
      <c r="SJX380" s="669"/>
      <c r="SJY380" s="669"/>
      <c r="SJZ380" s="669"/>
      <c r="SKA380" s="669"/>
      <c r="SKB380" s="669"/>
      <c r="SKC380" s="669"/>
      <c r="SKD380" s="669"/>
      <c r="SKE380" s="669"/>
      <c r="SKF380" s="669"/>
      <c r="SKG380" s="669"/>
      <c r="SKH380" s="669"/>
      <c r="SKI380" s="669"/>
      <c r="SKJ380" s="669"/>
      <c r="SKK380" s="669"/>
      <c r="SKL380" s="669"/>
      <c r="SKM380" s="669"/>
      <c r="SKN380" s="669"/>
      <c r="SKO380" s="669"/>
      <c r="SKP380" s="669"/>
      <c r="SKQ380" s="669"/>
      <c r="SKR380" s="669"/>
      <c r="SKS380" s="669"/>
      <c r="SKT380" s="669"/>
      <c r="SKU380" s="669"/>
      <c r="SKV380" s="669"/>
      <c r="SKW380" s="669"/>
      <c r="SKX380" s="669"/>
      <c r="SKY380" s="669"/>
      <c r="SKZ380" s="669"/>
      <c r="SLA380" s="669"/>
      <c r="SLB380" s="669"/>
      <c r="SLC380" s="669"/>
      <c r="SLD380" s="669"/>
      <c r="SLE380" s="669"/>
      <c r="SLF380" s="669"/>
      <c r="SLG380" s="669"/>
      <c r="SLH380" s="669"/>
      <c r="SLI380" s="669"/>
      <c r="SLJ380" s="669"/>
      <c r="SLK380" s="669"/>
      <c r="SLL380" s="669"/>
      <c r="SLM380" s="669"/>
      <c r="SLN380" s="669"/>
      <c r="SLO380" s="669"/>
      <c r="SLP380" s="669"/>
      <c r="SLQ380" s="669"/>
      <c r="SLR380" s="669"/>
      <c r="SLS380" s="669"/>
      <c r="SLT380" s="669"/>
      <c r="SLU380" s="669"/>
      <c r="SLV380" s="669"/>
      <c r="SLW380" s="669"/>
      <c r="SLX380" s="669"/>
      <c r="SLY380" s="669"/>
      <c r="SLZ380" s="669"/>
      <c r="SMA380" s="669"/>
      <c r="SMB380" s="669"/>
      <c r="SMC380" s="669"/>
      <c r="SMD380" s="669"/>
      <c r="SME380" s="669"/>
      <c r="SMF380" s="669"/>
      <c r="SMG380" s="669"/>
      <c r="SMH380" s="669"/>
      <c r="SMI380" s="669"/>
      <c r="SMJ380" s="669"/>
      <c r="SMK380" s="669"/>
      <c r="SML380" s="669"/>
      <c r="SMM380" s="669"/>
      <c r="SMN380" s="669"/>
      <c r="SMO380" s="669"/>
      <c r="SMP380" s="669"/>
      <c r="SMQ380" s="669"/>
      <c r="SMR380" s="669"/>
      <c r="SMS380" s="669"/>
      <c r="SMT380" s="669"/>
      <c r="SMU380" s="669"/>
      <c r="SMV380" s="669"/>
      <c r="SMW380" s="669"/>
      <c r="SMX380" s="669"/>
      <c r="SMY380" s="669"/>
      <c r="SMZ380" s="669"/>
      <c r="SNA380" s="669"/>
      <c r="SNB380" s="669"/>
      <c r="SNC380" s="669"/>
      <c r="SND380" s="669"/>
      <c r="SNE380" s="669"/>
      <c r="SNF380" s="669"/>
      <c r="SNG380" s="669"/>
      <c r="SNH380" s="669"/>
      <c r="SNI380" s="669"/>
      <c r="SNJ380" s="669"/>
      <c r="SNK380" s="669"/>
      <c r="SNL380" s="669"/>
      <c r="SNM380" s="669"/>
      <c r="SNN380" s="669"/>
      <c r="SNO380" s="669"/>
      <c r="SNP380" s="669"/>
      <c r="SNQ380" s="669"/>
      <c r="SNR380" s="669"/>
      <c r="SNS380" s="669"/>
      <c r="SNT380" s="669"/>
      <c r="SNU380" s="669"/>
      <c r="SNV380" s="669"/>
      <c r="SNW380" s="669"/>
      <c r="SNX380" s="669"/>
      <c r="SNY380" s="669"/>
      <c r="SNZ380" s="669"/>
      <c r="SOA380" s="669"/>
      <c r="SOB380" s="669"/>
      <c r="SOC380" s="669"/>
      <c r="SOD380" s="669"/>
      <c r="SOE380" s="669"/>
      <c r="SOF380" s="669"/>
      <c r="SOG380" s="669"/>
      <c r="SOH380" s="669"/>
      <c r="SOI380" s="669"/>
      <c r="SOJ380" s="669"/>
      <c r="SOK380" s="669"/>
      <c r="SOL380" s="669"/>
      <c r="SOM380" s="669"/>
      <c r="SON380" s="669"/>
      <c r="SOO380" s="669"/>
      <c r="SOP380" s="669"/>
      <c r="SOQ380" s="669"/>
      <c r="SOR380" s="669"/>
      <c r="SOS380" s="669"/>
      <c r="SOT380" s="669"/>
      <c r="SOU380" s="669"/>
      <c r="SOV380" s="669"/>
      <c r="SOW380" s="669"/>
      <c r="SOX380" s="669"/>
      <c r="SOY380" s="669"/>
      <c r="SOZ380" s="669"/>
      <c r="SPA380" s="669"/>
      <c r="SPB380" s="669"/>
      <c r="SPC380" s="669"/>
      <c r="SPD380" s="669"/>
      <c r="SPE380" s="669"/>
      <c r="SPF380" s="669"/>
      <c r="SPG380" s="669"/>
      <c r="SPH380" s="669"/>
      <c r="SPI380" s="669"/>
      <c r="SPJ380" s="669"/>
      <c r="SPK380" s="669"/>
      <c r="SPL380" s="669"/>
      <c r="SPM380" s="669"/>
      <c r="SPN380" s="669"/>
      <c r="SPO380" s="669"/>
      <c r="SPP380" s="669"/>
      <c r="SPQ380" s="669"/>
      <c r="SPR380" s="669"/>
      <c r="SPS380" s="669"/>
      <c r="SPT380" s="669"/>
      <c r="SPU380" s="669"/>
      <c r="SPV380" s="669"/>
      <c r="SPW380" s="669"/>
      <c r="SPX380" s="669"/>
      <c r="SPY380" s="669"/>
      <c r="SPZ380" s="669"/>
      <c r="SQA380" s="669"/>
      <c r="SQB380" s="669"/>
      <c r="SQC380" s="669"/>
      <c r="SQD380" s="669"/>
      <c r="SQE380" s="669"/>
      <c r="SQF380" s="669"/>
      <c r="SQG380" s="669"/>
      <c r="SQH380" s="669"/>
      <c r="SQI380" s="669"/>
      <c r="SQJ380" s="669"/>
      <c r="SQK380" s="669"/>
      <c r="SQL380" s="669"/>
      <c r="SQM380" s="669"/>
      <c r="SQN380" s="669"/>
      <c r="SQO380" s="669"/>
      <c r="SQP380" s="669"/>
      <c r="SQQ380" s="669"/>
      <c r="SQR380" s="669"/>
      <c r="SQS380" s="669"/>
      <c r="SQT380" s="669"/>
      <c r="SQU380" s="669"/>
      <c r="SQV380" s="669"/>
      <c r="SQW380" s="669"/>
      <c r="SQX380" s="669"/>
      <c r="SQY380" s="669"/>
      <c r="SQZ380" s="669"/>
      <c r="SRA380" s="669"/>
      <c r="SRB380" s="669"/>
      <c r="SRC380" s="669"/>
      <c r="SRD380" s="669"/>
      <c r="SRE380" s="669"/>
      <c r="SRF380" s="669"/>
      <c r="SRG380" s="669"/>
      <c r="SRH380" s="669"/>
      <c r="SRI380" s="669"/>
      <c r="SRJ380" s="669"/>
      <c r="SRK380" s="669"/>
      <c r="SRL380" s="669"/>
      <c r="SRM380" s="669"/>
      <c r="SRN380" s="669"/>
      <c r="SRO380" s="669"/>
      <c r="SRP380" s="669"/>
      <c r="SRQ380" s="669"/>
      <c r="SRR380" s="669"/>
      <c r="SRS380" s="669"/>
      <c r="SRT380" s="669"/>
      <c r="SRU380" s="669"/>
      <c r="SRV380" s="669"/>
      <c r="SRW380" s="669"/>
      <c r="SRX380" s="669"/>
      <c r="SRY380" s="669"/>
      <c r="SRZ380" s="669"/>
      <c r="SSA380" s="669"/>
      <c r="SSB380" s="669"/>
      <c r="SSC380" s="669"/>
      <c r="SSD380" s="669"/>
      <c r="SSE380" s="669"/>
      <c r="SSF380" s="669"/>
      <c r="SSG380" s="669"/>
      <c r="SSH380" s="669"/>
      <c r="SSI380" s="669"/>
      <c r="SSJ380" s="669"/>
      <c r="SSK380" s="669"/>
      <c r="SSL380" s="669"/>
      <c r="SSM380" s="669"/>
      <c r="SSN380" s="669"/>
      <c r="SSO380" s="669"/>
      <c r="SSP380" s="669"/>
      <c r="SSQ380" s="669"/>
      <c r="SSR380" s="669"/>
      <c r="SSS380" s="669"/>
      <c r="SST380" s="669"/>
      <c r="SSU380" s="669"/>
      <c r="SSV380" s="669"/>
      <c r="SSW380" s="669"/>
      <c r="SSX380" s="669"/>
      <c r="SSY380" s="669"/>
      <c r="SSZ380" s="669"/>
      <c r="STA380" s="669"/>
      <c r="STB380" s="669"/>
      <c r="STC380" s="669"/>
      <c r="STD380" s="669"/>
      <c r="STE380" s="669"/>
      <c r="STF380" s="669"/>
      <c r="STG380" s="669"/>
      <c r="STH380" s="669"/>
      <c r="STI380" s="669"/>
      <c r="STJ380" s="669"/>
      <c r="STK380" s="669"/>
      <c r="STL380" s="669"/>
      <c r="STM380" s="669"/>
      <c r="STN380" s="669"/>
      <c r="STO380" s="669"/>
      <c r="STP380" s="669"/>
      <c r="STQ380" s="669"/>
      <c r="STR380" s="669"/>
      <c r="STS380" s="669"/>
      <c r="STT380" s="669"/>
      <c r="STU380" s="669"/>
      <c r="STV380" s="669"/>
      <c r="STW380" s="669"/>
      <c r="STX380" s="669"/>
      <c r="STY380" s="669"/>
      <c r="STZ380" s="669"/>
      <c r="SUA380" s="669"/>
      <c r="SUB380" s="669"/>
      <c r="SUC380" s="669"/>
      <c r="SUD380" s="669"/>
      <c r="SUE380" s="669"/>
      <c r="SUF380" s="669"/>
      <c r="SUG380" s="669"/>
      <c r="SUH380" s="669"/>
      <c r="SUI380" s="669"/>
      <c r="SUJ380" s="669"/>
      <c r="SUK380" s="669"/>
      <c r="SUL380" s="669"/>
      <c r="SUM380" s="669"/>
      <c r="SUN380" s="669"/>
      <c r="SUO380" s="669"/>
      <c r="SUP380" s="669"/>
      <c r="SUQ380" s="669"/>
      <c r="SUR380" s="669"/>
      <c r="SUS380" s="669"/>
      <c r="SUT380" s="669"/>
      <c r="SUU380" s="669"/>
      <c r="SUV380" s="669"/>
      <c r="SUW380" s="669"/>
      <c r="SUX380" s="669"/>
      <c r="SUY380" s="669"/>
      <c r="SUZ380" s="669"/>
      <c r="SVA380" s="669"/>
      <c r="SVB380" s="669"/>
      <c r="SVC380" s="669"/>
      <c r="SVD380" s="669"/>
      <c r="SVE380" s="669"/>
      <c r="SVF380" s="669"/>
      <c r="SVG380" s="669"/>
      <c r="SVH380" s="669"/>
      <c r="SVI380" s="669"/>
      <c r="SVJ380" s="669"/>
      <c r="SVK380" s="669"/>
      <c r="SVL380" s="669"/>
      <c r="SVM380" s="669"/>
      <c r="SVN380" s="669"/>
      <c r="SVO380" s="669"/>
      <c r="SVP380" s="669"/>
      <c r="SVQ380" s="669"/>
      <c r="SVR380" s="669"/>
      <c r="SVS380" s="669"/>
      <c r="SVT380" s="669"/>
      <c r="SVU380" s="669"/>
      <c r="SVV380" s="669"/>
      <c r="SVW380" s="669"/>
      <c r="SVX380" s="669"/>
      <c r="SVY380" s="669"/>
      <c r="SVZ380" s="669"/>
      <c r="SWA380" s="669"/>
      <c r="SWB380" s="669"/>
      <c r="SWC380" s="669"/>
      <c r="SWD380" s="669"/>
      <c r="SWE380" s="669"/>
      <c r="SWF380" s="669"/>
      <c r="SWG380" s="669"/>
      <c r="SWH380" s="669"/>
      <c r="SWI380" s="669"/>
      <c r="SWJ380" s="669"/>
      <c r="SWK380" s="669"/>
      <c r="SWL380" s="669"/>
      <c r="SWM380" s="669"/>
      <c r="SWN380" s="669"/>
      <c r="SWO380" s="669"/>
      <c r="SWP380" s="669"/>
      <c r="SWQ380" s="669"/>
      <c r="SWR380" s="669"/>
      <c r="SWS380" s="669"/>
      <c r="SWT380" s="669"/>
      <c r="SWU380" s="669"/>
      <c r="SWV380" s="669"/>
      <c r="SWW380" s="669"/>
      <c r="SWX380" s="669"/>
      <c r="SWY380" s="669"/>
      <c r="SWZ380" s="669"/>
      <c r="SXA380" s="669"/>
      <c r="SXB380" s="669"/>
      <c r="SXC380" s="669"/>
      <c r="SXD380" s="669"/>
      <c r="SXE380" s="669"/>
      <c r="SXF380" s="669"/>
      <c r="SXG380" s="669"/>
      <c r="SXH380" s="669"/>
      <c r="SXI380" s="669"/>
      <c r="SXJ380" s="669"/>
      <c r="SXK380" s="669"/>
      <c r="SXL380" s="669"/>
      <c r="SXM380" s="669"/>
      <c r="SXN380" s="669"/>
      <c r="SXO380" s="669"/>
      <c r="SXP380" s="669"/>
      <c r="SXQ380" s="669"/>
      <c r="SXR380" s="669"/>
      <c r="SXS380" s="669"/>
      <c r="SXT380" s="669"/>
      <c r="SXU380" s="669"/>
      <c r="SXV380" s="669"/>
      <c r="SXW380" s="669"/>
      <c r="SXX380" s="669"/>
      <c r="SXY380" s="669"/>
      <c r="SXZ380" s="669"/>
      <c r="SYA380" s="669"/>
      <c r="SYB380" s="669"/>
      <c r="SYC380" s="669"/>
      <c r="SYD380" s="669"/>
      <c r="SYE380" s="669"/>
      <c r="SYF380" s="669"/>
      <c r="SYG380" s="669"/>
      <c r="SYH380" s="669"/>
      <c r="SYI380" s="669"/>
      <c r="SYJ380" s="669"/>
      <c r="SYK380" s="669"/>
      <c r="SYL380" s="669"/>
      <c r="SYM380" s="669"/>
      <c r="SYN380" s="669"/>
      <c r="SYO380" s="669"/>
      <c r="SYP380" s="669"/>
      <c r="SYQ380" s="669"/>
      <c r="SYR380" s="669"/>
      <c r="SYS380" s="669"/>
      <c r="SYT380" s="669"/>
      <c r="SYU380" s="669"/>
      <c r="SYV380" s="669"/>
      <c r="SYW380" s="669"/>
      <c r="SYX380" s="669"/>
      <c r="SYY380" s="669"/>
      <c r="SYZ380" s="669"/>
      <c r="SZA380" s="669"/>
      <c r="SZB380" s="669"/>
      <c r="SZC380" s="669"/>
      <c r="SZD380" s="669"/>
      <c r="SZE380" s="669"/>
      <c r="SZF380" s="669"/>
      <c r="SZG380" s="669"/>
      <c r="SZH380" s="669"/>
      <c r="SZI380" s="669"/>
      <c r="SZJ380" s="669"/>
      <c r="SZK380" s="669"/>
      <c r="SZL380" s="669"/>
      <c r="SZM380" s="669"/>
      <c r="SZN380" s="669"/>
      <c r="SZO380" s="669"/>
      <c r="SZP380" s="669"/>
      <c r="SZQ380" s="669"/>
      <c r="SZR380" s="669"/>
      <c r="SZS380" s="669"/>
      <c r="SZT380" s="669"/>
      <c r="SZU380" s="669"/>
      <c r="SZV380" s="669"/>
      <c r="SZW380" s="669"/>
      <c r="SZX380" s="669"/>
      <c r="SZY380" s="669"/>
      <c r="SZZ380" s="669"/>
      <c r="TAA380" s="669"/>
      <c r="TAB380" s="669"/>
      <c r="TAC380" s="669"/>
      <c r="TAD380" s="669"/>
      <c r="TAE380" s="669"/>
      <c r="TAF380" s="669"/>
      <c r="TAG380" s="669"/>
      <c r="TAH380" s="669"/>
      <c r="TAI380" s="669"/>
      <c r="TAJ380" s="669"/>
      <c r="TAK380" s="669"/>
      <c r="TAL380" s="669"/>
      <c r="TAM380" s="669"/>
      <c r="TAN380" s="669"/>
      <c r="TAO380" s="669"/>
      <c r="TAP380" s="669"/>
      <c r="TAQ380" s="669"/>
      <c r="TAR380" s="669"/>
      <c r="TAS380" s="669"/>
      <c r="TAT380" s="669"/>
      <c r="TAU380" s="669"/>
      <c r="TAV380" s="669"/>
      <c r="TAW380" s="669"/>
      <c r="TAX380" s="669"/>
      <c r="TAY380" s="669"/>
      <c r="TAZ380" s="669"/>
      <c r="TBA380" s="669"/>
      <c r="TBB380" s="669"/>
      <c r="TBC380" s="669"/>
      <c r="TBD380" s="669"/>
      <c r="TBE380" s="669"/>
      <c r="TBF380" s="669"/>
      <c r="TBG380" s="669"/>
      <c r="TBH380" s="669"/>
      <c r="TBI380" s="669"/>
      <c r="TBJ380" s="669"/>
      <c r="TBK380" s="669"/>
      <c r="TBL380" s="669"/>
      <c r="TBM380" s="669"/>
      <c r="TBN380" s="669"/>
      <c r="TBO380" s="669"/>
      <c r="TBP380" s="669"/>
      <c r="TBQ380" s="669"/>
      <c r="TBR380" s="669"/>
      <c r="TBS380" s="669"/>
      <c r="TBT380" s="669"/>
      <c r="TBU380" s="669"/>
      <c r="TBV380" s="669"/>
      <c r="TBW380" s="669"/>
      <c r="TBX380" s="669"/>
      <c r="TBY380" s="669"/>
      <c r="TBZ380" s="669"/>
      <c r="TCA380" s="669"/>
      <c r="TCB380" s="669"/>
      <c r="TCC380" s="669"/>
      <c r="TCD380" s="669"/>
      <c r="TCE380" s="669"/>
      <c r="TCF380" s="669"/>
      <c r="TCG380" s="669"/>
      <c r="TCH380" s="669"/>
      <c r="TCI380" s="669"/>
      <c r="TCJ380" s="669"/>
      <c r="TCK380" s="669"/>
      <c r="TCL380" s="669"/>
      <c r="TCM380" s="669"/>
      <c r="TCN380" s="669"/>
      <c r="TCO380" s="669"/>
      <c r="TCP380" s="669"/>
      <c r="TCQ380" s="669"/>
      <c r="TCR380" s="669"/>
      <c r="TCS380" s="669"/>
      <c r="TCT380" s="669"/>
      <c r="TCU380" s="669"/>
      <c r="TCV380" s="669"/>
      <c r="TCW380" s="669"/>
      <c r="TCX380" s="669"/>
      <c r="TCY380" s="669"/>
      <c r="TCZ380" s="669"/>
      <c r="TDA380" s="669"/>
      <c r="TDB380" s="669"/>
      <c r="TDC380" s="669"/>
      <c r="TDD380" s="669"/>
      <c r="TDE380" s="669"/>
      <c r="TDF380" s="669"/>
      <c r="TDG380" s="669"/>
      <c r="TDH380" s="669"/>
      <c r="TDI380" s="669"/>
      <c r="TDJ380" s="669"/>
      <c r="TDK380" s="669"/>
      <c r="TDL380" s="669"/>
      <c r="TDM380" s="669"/>
      <c r="TDN380" s="669"/>
      <c r="TDO380" s="669"/>
      <c r="TDP380" s="669"/>
      <c r="TDQ380" s="669"/>
      <c r="TDR380" s="669"/>
      <c r="TDS380" s="669"/>
      <c r="TDT380" s="669"/>
      <c r="TDU380" s="669"/>
      <c r="TDV380" s="669"/>
      <c r="TDW380" s="669"/>
      <c r="TDX380" s="669"/>
      <c r="TDY380" s="669"/>
      <c r="TDZ380" s="669"/>
      <c r="TEA380" s="669"/>
      <c r="TEB380" s="669"/>
      <c r="TEC380" s="669"/>
      <c r="TED380" s="669"/>
      <c r="TEE380" s="669"/>
      <c r="TEF380" s="669"/>
      <c r="TEG380" s="669"/>
      <c r="TEH380" s="669"/>
      <c r="TEI380" s="669"/>
      <c r="TEJ380" s="669"/>
      <c r="TEK380" s="669"/>
      <c r="TEL380" s="669"/>
      <c r="TEM380" s="669"/>
      <c r="TEN380" s="669"/>
      <c r="TEO380" s="669"/>
      <c r="TEP380" s="669"/>
      <c r="TEQ380" s="669"/>
      <c r="TER380" s="669"/>
      <c r="TES380" s="669"/>
      <c r="TET380" s="669"/>
      <c r="TEU380" s="669"/>
      <c r="TEV380" s="669"/>
      <c r="TEW380" s="669"/>
      <c r="TEX380" s="669"/>
      <c r="TEY380" s="669"/>
      <c r="TEZ380" s="669"/>
      <c r="TFA380" s="669"/>
      <c r="TFB380" s="669"/>
      <c r="TFC380" s="669"/>
      <c r="TFD380" s="669"/>
      <c r="TFE380" s="669"/>
      <c r="TFF380" s="669"/>
      <c r="TFG380" s="669"/>
      <c r="TFH380" s="669"/>
      <c r="TFI380" s="669"/>
      <c r="TFJ380" s="669"/>
      <c r="TFK380" s="669"/>
      <c r="TFL380" s="669"/>
      <c r="TFM380" s="669"/>
      <c r="TFN380" s="669"/>
      <c r="TFO380" s="669"/>
      <c r="TFP380" s="669"/>
      <c r="TFQ380" s="669"/>
      <c r="TFR380" s="669"/>
      <c r="TFS380" s="669"/>
      <c r="TFT380" s="669"/>
      <c r="TFU380" s="669"/>
      <c r="TFV380" s="669"/>
      <c r="TFW380" s="669"/>
      <c r="TFX380" s="669"/>
      <c r="TFY380" s="669"/>
      <c r="TFZ380" s="669"/>
      <c r="TGA380" s="669"/>
      <c r="TGB380" s="669"/>
      <c r="TGC380" s="669"/>
      <c r="TGD380" s="669"/>
      <c r="TGE380" s="669"/>
      <c r="TGF380" s="669"/>
      <c r="TGG380" s="669"/>
      <c r="TGH380" s="669"/>
      <c r="TGI380" s="669"/>
      <c r="TGJ380" s="669"/>
      <c r="TGK380" s="669"/>
      <c r="TGL380" s="669"/>
      <c r="TGM380" s="669"/>
      <c r="TGN380" s="669"/>
      <c r="TGO380" s="669"/>
      <c r="TGP380" s="669"/>
      <c r="TGQ380" s="669"/>
      <c r="TGR380" s="669"/>
      <c r="TGS380" s="669"/>
      <c r="TGT380" s="669"/>
      <c r="TGU380" s="669"/>
      <c r="TGV380" s="669"/>
      <c r="TGW380" s="669"/>
      <c r="TGX380" s="669"/>
      <c r="TGY380" s="669"/>
      <c r="TGZ380" s="669"/>
      <c r="THA380" s="669"/>
      <c r="THB380" s="669"/>
      <c r="THC380" s="669"/>
      <c r="THD380" s="669"/>
      <c r="THE380" s="669"/>
      <c r="THF380" s="669"/>
      <c r="THG380" s="669"/>
      <c r="THH380" s="669"/>
      <c r="THI380" s="669"/>
      <c r="THJ380" s="669"/>
      <c r="THK380" s="669"/>
      <c r="THL380" s="669"/>
      <c r="THM380" s="669"/>
      <c r="THN380" s="669"/>
      <c r="THO380" s="669"/>
      <c r="THP380" s="669"/>
      <c r="THQ380" s="669"/>
      <c r="THR380" s="669"/>
      <c r="THS380" s="669"/>
      <c r="THT380" s="669"/>
      <c r="THU380" s="669"/>
      <c r="THV380" s="669"/>
      <c r="THW380" s="669"/>
      <c r="THX380" s="669"/>
      <c r="THY380" s="669"/>
      <c r="THZ380" s="669"/>
      <c r="TIA380" s="669"/>
      <c r="TIB380" s="669"/>
      <c r="TIC380" s="669"/>
      <c r="TID380" s="669"/>
      <c r="TIE380" s="669"/>
      <c r="TIF380" s="669"/>
      <c r="TIG380" s="669"/>
      <c r="TIH380" s="669"/>
      <c r="TII380" s="669"/>
      <c r="TIJ380" s="669"/>
      <c r="TIK380" s="669"/>
      <c r="TIL380" s="669"/>
      <c r="TIM380" s="669"/>
      <c r="TIN380" s="669"/>
      <c r="TIO380" s="669"/>
      <c r="TIP380" s="669"/>
      <c r="TIQ380" s="669"/>
      <c r="TIR380" s="669"/>
      <c r="TIS380" s="669"/>
      <c r="TIT380" s="669"/>
      <c r="TIU380" s="669"/>
      <c r="TIV380" s="669"/>
      <c r="TIW380" s="669"/>
      <c r="TIX380" s="669"/>
      <c r="TIY380" s="669"/>
      <c r="TIZ380" s="669"/>
      <c r="TJA380" s="669"/>
      <c r="TJB380" s="669"/>
      <c r="TJC380" s="669"/>
      <c r="TJD380" s="669"/>
      <c r="TJE380" s="669"/>
      <c r="TJF380" s="669"/>
      <c r="TJG380" s="669"/>
      <c r="TJH380" s="669"/>
      <c r="TJI380" s="669"/>
      <c r="TJJ380" s="669"/>
      <c r="TJK380" s="669"/>
      <c r="TJL380" s="669"/>
      <c r="TJM380" s="669"/>
      <c r="TJN380" s="669"/>
      <c r="TJO380" s="669"/>
      <c r="TJP380" s="669"/>
      <c r="TJQ380" s="669"/>
      <c r="TJR380" s="669"/>
      <c r="TJS380" s="669"/>
      <c r="TJT380" s="669"/>
      <c r="TJU380" s="669"/>
      <c r="TJV380" s="669"/>
      <c r="TJW380" s="669"/>
      <c r="TJX380" s="669"/>
      <c r="TJY380" s="669"/>
      <c r="TJZ380" s="669"/>
      <c r="TKA380" s="669"/>
      <c r="TKB380" s="669"/>
      <c r="TKC380" s="669"/>
      <c r="TKD380" s="669"/>
      <c r="TKE380" s="669"/>
      <c r="TKF380" s="669"/>
      <c r="TKG380" s="669"/>
      <c r="TKH380" s="669"/>
      <c r="TKI380" s="669"/>
      <c r="TKJ380" s="669"/>
      <c r="TKK380" s="669"/>
      <c r="TKL380" s="669"/>
      <c r="TKM380" s="669"/>
      <c r="TKN380" s="669"/>
      <c r="TKO380" s="669"/>
      <c r="TKP380" s="669"/>
      <c r="TKQ380" s="669"/>
      <c r="TKR380" s="669"/>
      <c r="TKS380" s="669"/>
      <c r="TKT380" s="669"/>
      <c r="TKU380" s="669"/>
      <c r="TKV380" s="669"/>
      <c r="TKW380" s="669"/>
      <c r="TKX380" s="669"/>
      <c r="TKY380" s="669"/>
      <c r="TKZ380" s="669"/>
      <c r="TLA380" s="669"/>
      <c r="TLB380" s="669"/>
      <c r="TLC380" s="669"/>
      <c r="TLD380" s="669"/>
      <c r="TLE380" s="669"/>
      <c r="TLF380" s="669"/>
      <c r="TLG380" s="669"/>
      <c r="TLH380" s="669"/>
      <c r="TLI380" s="669"/>
      <c r="TLJ380" s="669"/>
      <c r="TLK380" s="669"/>
      <c r="TLL380" s="669"/>
      <c r="TLM380" s="669"/>
      <c r="TLN380" s="669"/>
      <c r="TLO380" s="669"/>
      <c r="TLP380" s="669"/>
      <c r="TLQ380" s="669"/>
      <c r="TLR380" s="669"/>
      <c r="TLS380" s="669"/>
      <c r="TLT380" s="669"/>
      <c r="TLU380" s="669"/>
      <c r="TLV380" s="669"/>
      <c r="TLW380" s="669"/>
      <c r="TLX380" s="669"/>
      <c r="TLY380" s="669"/>
      <c r="TLZ380" s="669"/>
      <c r="TMA380" s="669"/>
      <c r="TMB380" s="669"/>
      <c r="TMC380" s="669"/>
      <c r="TMD380" s="669"/>
      <c r="TME380" s="669"/>
      <c r="TMF380" s="669"/>
      <c r="TMG380" s="669"/>
      <c r="TMH380" s="669"/>
      <c r="TMI380" s="669"/>
      <c r="TMJ380" s="669"/>
      <c r="TMK380" s="669"/>
      <c r="TML380" s="669"/>
      <c r="TMM380" s="669"/>
      <c r="TMN380" s="669"/>
      <c r="TMO380" s="669"/>
      <c r="TMP380" s="669"/>
      <c r="TMQ380" s="669"/>
      <c r="TMR380" s="669"/>
      <c r="TMS380" s="669"/>
      <c r="TMT380" s="669"/>
      <c r="TMU380" s="669"/>
      <c r="TMV380" s="669"/>
      <c r="TMW380" s="669"/>
      <c r="TMX380" s="669"/>
      <c r="TMY380" s="669"/>
      <c r="TMZ380" s="669"/>
      <c r="TNA380" s="669"/>
      <c r="TNB380" s="669"/>
      <c r="TNC380" s="669"/>
      <c r="TND380" s="669"/>
      <c r="TNE380" s="669"/>
      <c r="TNF380" s="669"/>
      <c r="TNG380" s="669"/>
      <c r="TNH380" s="669"/>
      <c r="TNI380" s="669"/>
      <c r="TNJ380" s="669"/>
      <c r="TNK380" s="669"/>
      <c r="TNL380" s="669"/>
      <c r="TNM380" s="669"/>
      <c r="TNN380" s="669"/>
      <c r="TNO380" s="669"/>
      <c r="TNP380" s="669"/>
      <c r="TNQ380" s="669"/>
      <c r="TNR380" s="669"/>
      <c r="TNS380" s="669"/>
      <c r="TNT380" s="669"/>
      <c r="TNU380" s="669"/>
      <c r="TNV380" s="669"/>
      <c r="TNW380" s="669"/>
      <c r="TNX380" s="669"/>
      <c r="TNY380" s="669"/>
      <c r="TNZ380" s="669"/>
      <c r="TOA380" s="669"/>
      <c r="TOB380" s="669"/>
      <c r="TOC380" s="669"/>
      <c r="TOD380" s="669"/>
      <c r="TOE380" s="669"/>
      <c r="TOF380" s="669"/>
      <c r="TOG380" s="669"/>
      <c r="TOH380" s="669"/>
      <c r="TOI380" s="669"/>
      <c r="TOJ380" s="669"/>
      <c r="TOK380" s="669"/>
      <c r="TOL380" s="669"/>
      <c r="TOM380" s="669"/>
      <c r="TON380" s="669"/>
      <c r="TOO380" s="669"/>
      <c r="TOP380" s="669"/>
      <c r="TOQ380" s="669"/>
      <c r="TOR380" s="669"/>
      <c r="TOS380" s="669"/>
      <c r="TOT380" s="669"/>
      <c r="TOU380" s="669"/>
      <c r="TOV380" s="669"/>
      <c r="TOW380" s="669"/>
      <c r="TOX380" s="669"/>
      <c r="TOY380" s="669"/>
      <c r="TOZ380" s="669"/>
      <c r="TPA380" s="669"/>
      <c r="TPB380" s="669"/>
      <c r="TPC380" s="669"/>
      <c r="TPD380" s="669"/>
      <c r="TPE380" s="669"/>
      <c r="TPF380" s="669"/>
      <c r="TPG380" s="669"/>
      <c r="TPH380" s="669"/>
      <c r="TPI380" s="669"/>
      <c r="TPJ380" s="669"/>
      <c r="TPK380" s="669"/>
      <c r="TPL380" s="669"/>
      <c r="TPM380" s="669"/>
      <c r="TPN380" s="669"/>
      <c r="TPO380" s="669"/>
      <c r="TPP380" s="669"/>
      <c r="TPQ380" s="669"/>
      <c r="TPR380" s="669"/>
      <c r="TPS380" s="669"/>
      <c r="TPT380" s="669"/>
      <c r="TPU380" s="669"/>
      <c r="TPV380" s="669"/>
      <c r="TPW380" s="669"/>
      <c r="TPX380" s="669"/>
      <c r="TPY380" s="669"/>
      <c r="TPZ380" s="669"/>
      <c r="TQA380" s="669"/>
      <c r="TQB380" s="669"/>
      <c r="TQC380" s="669"/>
      <c r="TQD380" s="669"/>
      <c r="TQE380" s="669"/>
      <c r="TQF380" s="669"/>
      <c r="TQG380" s="669"/>
      <c r="TQH380" s="669"/>
      <c r="TQI380" s="669"/>
      <c r="TQJ380" s="669"/>
      <c r="TQK380" s="669"/>
      <c r="TQL380" s="669"/>
      <c r="TQM380" s="669"/>
      <c r="TQN380" s="669"/>
      <c r="TQO380" s="669"/>
      <c r="TQP380" s="669"/>
      <c r="TQQ380" s="669"/>
      <c r="TQR380" s="669"/>
      <c r="TQS380" s="669"/>
      <c r="TQT380" s="669"/>
      <c r="TQU380" s="669"/>
      <c r="TQV380" s="669"/>
      <c r="TQW380" s="669"/>
      <c r="TQX380" s="669"/>
      <c r="TQY380" s="669"/>
      <c r="TQZ380" s="669"/>
      <c r="TRA380" s="669"/>
      <c r="TRB380" s="669"/>
      <c r="TRC380" s="669"/>
      <c r="TRD380" s="669"/>
      <c r="TRE380" s="669"/>
      <c r="TRF380" s="669"/>
      <c r="TRG380" s="669"/>
      <c r="TRH380" s="669"/>
      <c r="TRI380" s="669"/>
      <c r="TRJ380" s="669"/>
      <c r="TRK380" s="669"/>
      <c r="TRL380" s="669"/>
      <c r="TRM380" s="669"/>
      <c r="TRN380" s="669"/>
      <c r="TRO380" s="669"/>
      <c r="TRP380" s="669"/>
      <c r="TRQ380" s="669"/>
      <c r="TRR380" s="669"/>
      <c r="TRS380" s="669"/>
      <c r="TRT380" s="669"/>
      <c r="TRU380" s="669"/>
      <c r="TRV380" s="669"/>
      <c r="TRW380" s="669"/>
      <c r="TRX380" s="669"/>
      <c r="TRY380" s="669"/>
      <c r="TRZ380" s="669"/>
      <c r="TSA380" s="669"/>
      <c r="TSB380" s="669"/>
      <c r="TSC380" s="669"/>
      <c r="TSD380" s="669"/>
      <c r="TSE380" s="669"/>
      <c r="TSF380" s="669"/>
      <c r="TSG380" s="669"/>
      <c r="TSH380" s="669"/>
      <c r="TSI380" s="669"/>
      <c r="TSJ380" s="669"/>
      <c r="TSK380" s="669"/>
      <c r="TSL380" s="669"/>
      <c r="TSM380" s="669"/>
      <c r="TSN380" s="669"/>
      <c r="TSO380" s="669"/>
      <c r="TSP380" s="669"/>
      <c r="TSQ380" s="669"/>
      <c r="TSR380" s="669"/>
      <c r="TSS380" s="669"/>
      <c r="TST380" s="669"/>
      <c r="TSU380" s="669"/>
      <c r="TSV380" s="669"/>
      <c r="TSW380" s="669"/>
      <c r="TSX380" s="669"/>
      <c r="TSY380" s="669"/>
      <c r="TSZ380" s="669"/>
      <c r="TTA380" s="669"/>
      <c r="TTB380" s="669"/>
      <c r="TTC380" s="669"/>
      <c r="TTD380" s="669"/>
      <c r="TTE380" s="669"/>
      <c r="TTF380" s="669"/>
      <c r="TTG380" s="669"/>
      <c r="TTH380" s="669"/>
      <c r="TTI380" s="669"/>
      <c r="TTJ380" s="669"/>
      <c r="TTK380" s="669"/>
      <c r="TTL380" s="669"/>
      <c r="TTM380" s="669"/>
      <c r="TTN380" s="669"/>
      <c r="TTO380" s="669"/>
      <c r="TTP380" s="669"/>
      <c r="TTQ380" s="669"/>
      <c r="TTR380" s="669"/>
      <c r="TTS380" s="669"/>
      <c r="TTT380" s="669"/>
      <c r="TTU380" s="669"/>
      <c r="TTV380" s="669"/>
      <c r="TTW380" s="669"/>
      <c r="TTX380" s="669"/>
      <c r="TTY380" s="669"/>
      <c r="TTZ380" s="669"/>
      <c r="TUA380" s="669"/>
      <c r="TUB380" s="669"/>
      <c r="TUC380" s="669"/>
      <c r="TUD380" s="669"/>
      <c r="TUE380" s="669"/>
      <c r="TUF380" s="669"/>
      <c r="TUG380" s="669"/>
      <c r="TUH380" s="669"/>
      <c r="TUI380" s="669"/>
      <c r="TUJ380" s="669"/>
      <c r="TUK380" s="669"/>
      <c r="TUL380" s="669"/>
      <c r="TUM380" s="669"/>
      <c r="TUN380" s="669"/>
      <c r="TUO380" s="669"/>
      <c r="TUP380" s="669"/>
      <c r="TUQ380" s="669"/>
      <c r="TUR380" s="669"/>
      <c r="TUS380" s="669"/>
      <c r="TUT380" s="669"/>
      <c r="TUU380" s="669"/>
      <c r="TUV380" s="669"/>
      <c r="TUW380" s="669"/>
      <c r="TUX380" s="669"/>
      <c r="TUY380" s="669"/>
      <c r="TUZ380" s="669"/>
      <c r="TVA380" s="669"/>
      <c r="TVB380" s="669"/>
      <c r="TVC380" s="669"/>
      <c r="TVD380" s="669"/>
      <c r="TVE380" s="669"/>
      <c r="TVF380" s="669"/>
      <c r="TVG380" s="669"/>
      <c r="TVH380" s="669"/>
      <c r="TVI380" s="669"/>
      <c r="TVJ380" s="669"/>
      <c r="TVK380" s="669"/>
      <c r="TVL380" s="669"/>
      <c r="TVM380" s="669"/>
      <c r="TVN380" s="669"/>
      <c r="TVO380" s="669"/>
      <c r="TVP380" s="669"/>
      <c r="TVQ380" s="669"/>
      <c r="TVR380" s="669"/>
      <c r="TVS380" s="669"/>
      <c r="TVT380" s="669"/>
      <c r="TVU380" s="669"/>
      <c r="TVV380" s="669"/>
      <c r="TVW380" s="669"/>
      <c r="TVX380" s="669"/>
      <c r="TVY380" s="669"/>
      <c r="TVZ380" s="669"/>
      <c r="TWA380" s="669"/>
      <c r="TWB380" s="669"/>
      <c r="TWC380" s="669"/>
      <c r="TWD380" s="669"/>
      <c r="TWE380" s="669"/>
      <c r="TWF380" s="669"/>
      <c r="TWG380" s="669"/>
      <c r="TWH380" s="669"/>
      <c r="TWI380" s="669"/>
      <c r="TWJ380" s="669"/>
      <c r="TWK380" s="669"/>
      <c r="TWL380" s="669"/>
      <c r="TWM380" s="669"/>
      <c r="TWN380" s="669"/>
      <c r="TWO380" s="669"/>
      <c r="TWP380" s="669"/>
      <c r="TWQ380" s="669"/>
      <c r="TWR380" s="669"/>
      <c r="TWS380" s="669"/>
      <c r="TWT380" s="669"/>
      <c r="TWU380" s="669"/>
      <c r="TWV380" s="669"/>
      <c r="TWW380" s="669"/>
      <c r="TWX380" s="669"/>
      <c r="TWY380" s="669"/>
      <c r="TWZ380" s="669"/>
      <c r="TXA380" s="669"/>
      <c r="TXB380" s="669"/>
      <c r="TXC380" s="669"/>
      <c r="TXD380" s="669"/>
      <c r="TXE380" s="669"/>
      <c r="TXF380" s="669"/>
      <c r="TXG380" s="669"/>
      <c r="TXH380" s="669"/>
      <c r="TXI380" s="669"/>
      <c r="TXJ380" s="669"/>
      <c r="TXK380" s="669"/>
      <c r="TXL380" s="669"/>
      <c r="TXM380" s="669"/>
      <c r="TXN380" s="669"/>
      <c r="TXO380" s="669"/>
      <c r="TXP380" s="669"/>
      <c r="TXQ380" s="669"/>
      <c r="TXR380" s="669"/>
      <c r="TXS380" s="669"/>
      <c r="TXT380" s="669"/>
      <c r="TXU380" s="669"/>
      <c r="TXV380" s="669"/>
      <c r="TXW380" s="669"/>
      <c r="TXX380" s="669"/>
      <c r="TXY380" s="669"/>
      <c r="TXZ380" s="669"/>
      <c r="TYA380" s="669"/>
      <c r="TYB380" s="669"/>
      <c r="TYC380" s="669"/>
      <c r="TYD380" s="669"/>
      <c r="TYE380" s="669"/>
      <c r="TYF380" s="669"/>
      <c r="TYG380" s="669"/>
      <c r="TYH380" s="669"/>
      <c r="TYI380" s="669"/>
      <c r="TYJ380" s="669"/>
      <c r="TYK380" s="669"/>
      <c r="TYL380" s="669"/>
      <c r="TYM380" s="669"/>
      <c r="TYN380" s="669"/>
      <c r="TYO380" s="669"/>
      <c r="TYP380" s="669"/>
      <c r="TYQ380" s="669"/>
      <c r="TYR380" s="669"/>
      <c r="TYS380" s="669"/>
      <c r="TYT380" s="669"/>
      <c r="TYU380" s="669"/>
      <c r="TYV380" s="669"/>
      <c r="TYW380" s="669"/>
      <c r="TYX380" s="669"/>
      <c r="TYY380" s="669"/>
      <c r="TYZ380" s="669"/>
      <c r="TZA380" s="669"/>
      <c r="TZB380" s="669"/>
      <c r="TZC380" s="669"/>
      <c r="TZD380" s="669"/>
      <c r="TZE380" s="669"/>
      <c r="TZF380" s="669"/>
      <c r="TZG380" s="669"/>
      <c r="TZH380" s="669"/>
      <c r="TZI380" s="669"/>
      <c r="TZJ380" s="669"/>
      <c r="TZK380" s="669"/>
      <c r="TZL380" s="669"/>
      <c r="TZM380" s="669"/>
      <c r="TZN380" s="669"/>
      <c r="TZO380" s="669"/>
      <c r="TZP380" s="669"/>
      <c r="TZQ380" s="669"/>
      <c r="TZR380" s="669"/>
      <c r="TZS380" s="669"/>
      <c r="TZT380" s="669"/>
      <c r="TZU380" s="669"/>
      <c r="TZV380" s="669"/>
      <c r="TZW380" s="669"/>
      <c r="TZX380" s="669"/>
      <c r="TZY380" s="669"/>
      <c r="TZZ380" s="669"/>
      <c r="UAA380" s="669"/>
      <c r="UAB380" s="669"/>
      <c r="UAC380" s="669"/>
      <c r="UAD380" s="669"/>
      <c r="UAE380" s="669"/>
      <c r="UAF380" s="669"/>
      <c r="UAG380" s="669"/>
      <c r="UAH380" s="669"/>
      <c r="UAI380" s="669"/>
      <c r="UAJ380" s="669"/>
      <c r="UAK380" s="669"/>
      <c r="UAL380" s="669"/>
      <c r="UAM380" s="669"/>
      <c r="UAN380" s="669"/>
      <c r="UAO380" s="669"/>
      <c r="UAP380" s="669"/>
      <c r="UAQ380" s="669"/>
      <c r="UAR380" s="669"/>
      <c r="UAS380" s="669"/>
      <c r="UAT380" s="669"/>
      <c r="UAU380" s="669"/>
      <c r="UAV380" s="669"/>
      <c r="UAW380" s="669"/>
      <c r="UAX380" s="669"/>
      <c r="UAY380" s="669"/>
      <c r="UAZ380" s="669"/>
      <c r="UBA380" s="669"/>
      <c r="UBB380" s="669"/>
      <c r="UBC380" s="669"/>
      <c r="UBD380" s="669"/>
      <c r="UBE380" s="669"/>
      <c r="UBF380" s="669"/>
      <c r="UBG380" s="669"/>
      <c r="UBH380" s="669"/>
      <c r="UBI380" s="669"/>
      <c r="UBJ380" s="669"/>
      <c r="UBK380" s="669"/>
      <c r="UBL380" s="669"/>
      <c r="UBM380" s="669"/>
      <c r="UBN380" s="669"/>
      <c r="UBO380" s="669"/>
      <c r="UBP380" s="669"/>
      <c r="UBQ380" s="669"/>
      <c r="UBR380" s="669"/>
      <c r="UBS380" s="669"/>
      <c r="UBT380" s="669"/>
      <c r="UBU380" s="669"/>
      <c r="UBV380" s="669"/>
      <c r="UBW380" s="669"/>
      <c r="UBX380" s="669"/>
      <c r="UBY380" s="669"/>
      <c r="UBZ380" s="669"/>
      <c r="UCA380" s="669"/>
      <c r="UCB380" s="669"/>
      <c r="UCC380" s="669"/>
      <c r="UCD380" s="669"/>
      <c r="UCE380" s="669"/>
      <c r="UCF380" s="669"/>
      <c r="UCG380" s="669"/>
      <c r="UCH380" s="669"/>
      <c r="UCI380" s="669"/>
      <c r="UCJ380" s="669"/>
      <c r="UCK380" s="669"/>
      <c r="UCL380" s="669"/>
      <c r="UCM380" s="669"/>
      <c r="UCN380" s="669"/>
      <c r="UCO380" s="669"/>
      <c r="UCP380" s="669"/>
      <c r="UCQ380" s="669"/>
      <c r="UCR380" s="669"/>
      <c r="UCS380" s="669"/>
      <c r="UCT380" s="669"/>
      <c r="UCU380" s="669"/>
      <c r="UCV380" s="669"/>
      <c r="UCW380" s="669"/>
      <c r="UCX380" s="669"/>
      <c r="UCY380" s="669"/>
      <c r="UCZ380" s="669"/>
      <c r="UDA380" s="669"/>
      <c r="UDB380" s="669"/>
      <c r="UDC380" s="669"/>
      <c r="UDD380" s="669"/>
      <c r="UDE380" s="669"/>
      <c r="UDF380" s="669"/>
      <c r="UDG380" s="669"/>
      <c r="UDH380" s="669"/>
      <c r="UDI380" s="669"/>
      <c r="UDJ380" s="669"/>
      <c r="UDK380" s="669"/>
      <c r="UDL380" s="669"/>
      <c r="UDM380" s="669"/>
      <c r="UDN380" s="669"/>
      <c r="UDO380" s="669"/>
      <c r="UDP380" s="669"/>
      <c r="UDQ380" s="669"/>
      <c r="UDR380" s="669"/>
      <c r="UDS380" s="669"/>
      <c r="UDT380" s="669"/>
      <c r="UDU380" s="669"/>
      <c r="UDV380" s="669"/>
      <c r="UDW380" s="669"/>
      <c r="UDX380" s="669"/>
      <c r="UDY380" s="669"/>
      <c r="UDZ380" s="669"/>
      <c r="UEA380" s="669"/>
      <c r="UEB380" s="669"/>
      <c r="UEC380" s="669"/>
      <c r="UED380" s="669"/>
      <c r="UEE380" s="669"/>
      <c r="UEF380" s="669"/>
      <c r="UEG380" s="669"/>
      <c r="UEH380" s="669"/>
      <c r="UEI380" s="669"/>
      <c r="UEJ380" s="669"/>
      <c r="UEK380" s="669"/>
      <c r="UEL380" s="669"/>
      <c r="UEM380" s="669"/>
      <c r="UEN380" s="669"/>
      <c r="UEO380" s="669"/>
      <c r="UEP380" s="669"/>
      <c r="UEQ380" s="669"/>
      <c r="UER380" s="669"/>
      <c r="UES380" s="669"/>
      <c r="UET380" s="669"/>
      <c r="UEU380" s="669"/>
      <c r="UEV380" s="669"/>
      <c r="UEW380" s="669"/>
      <c r="UEX380" s="669"/>
      <c r="UEY380" s="669"/>
      <c r="UEZ380" s="669"/>
      <c r="UFA380" s="669"/>
      <c r="UFB380" s="669"/>
      <c r="UFC380" s="669"/>
      <c r="UFD380" s="669"/>
      <c r="UFE380" s="669"/>
      <c r="UFF380" s="669"/>
      <c r="UFG380" s="669"/>
      <c r="UFH380" s="669"/>
      <c r="UFI380" s="669"/>
      <c r="UFJ380" s="669"/>
      <c r="UFK380" s="669"/>
      <c r="UFL380" s="669"/>
      <c r="UFM380" s="669"/>
      <c r="UFN380" s="669"/>
      <c r="UFO380" s="669"/>
      <c r="UFP380" s="669"/>
      <c r="UFQ380" s="669"/>
      <c r="UFR380" s="669"/>
      <c r="UFS380" s="669"/>
      <c r="UFT380" s="669"/>
      <c r="UFU380" s="669"/>
      <c r="UFV380" s="669"/>
      <c r="UFW380" s="669"/>
      <c r="UFX380" s="669"/>
      <c r="UFY380" s="669"/>
      <c r="UFZ380" s="669"/>
      <c r="UGA380" s="669"/>
      <c r="UGB380" s="669"/>
      <c r="UGC380" s="669"/>
      <c r="UGD380" s="669"/>
      <c r="UGE380" s="669"/>
      <c r="UGF380" s="669"/>
      <c r="UGG380" s="669"/>
      <c r="UGH380" s="669"/>
      <c r="UGI380" s="669"/>
      <c r="UGJ380" s="669"/>
      <c r="UGK380" s="669"/>
      <c r="UGL380" s="669"/>
      <c r="UGM380" s="669"/>
      <c r="UGN380" s="669"/>
      <c r="UGO380" s="669"/>
      <c r="UGP380" s="669"/>
      <c r="UGQ380" s="669"/>
      <c r="UGR380" s="669"/>
      <c r="UGS380" s="669"/>
      <c r="UGT380" s="669"/>
      <c r="UGU380" s="669"/>
      <c r="UGV380" s="669"/>
      <c r="UGW380" s="669"/>
      <c r="UGX380" s="669"/>
      <c r="UGY380" s="669"/>
      <c r="UGZ380" s="669"/>
      <c r="UHA380" s="669"/>
      <c r="UHB380" s="669"/>
      <c r="UHC380" s="669"/>
      <c r="UHD380" s="669"/>
      <c r="UHE380" s="669"/>
      <c r="UHF380" s="669"/>
      <c r="UHG380" s="669"/>
      <c r="UHH380" s="669"/>
      <c r="UHI380" s="669"/>
      <c r="UHJ380" s="669"/>
      <c r="UHK380" s="669"/>
      <c r="UHL380" s="669"/>
      <c r="UHM380" s="669"/>
      <c r="UHN380" s="669"/>
      <c r="UHO380" s="669"/>
      <c r="UHP380" s="669"/>
      <c r="UHQ380" s="669"/>
      <c r="UHR380" s="669"/>
      <c r="UHS380" s="669"/>
      <c r="UHT380" s="669"/>
      <c r="UHU380" s="669"/>
      <c r="UHV380" s="669"/>
      <c r="UHW380" s="669"/>
      <c r="UHX380" s="669"/>
      <c r="UHY380" s="669"/>
      <c r="UHZ380" s="669"/>
      <c r="UIA380" s="669"/>
      <c r="UIB380" s="669"/>
      <c r="UIC380" s="669"/>
      <c r="UID380" s="669"/>
      <c r="UIE380" s="669"/>
      <c r="UIF380" s="669"/>
      <c r="UIG380" s="669"/>
      <c r="UIH380" s="669"/>
      <c r="UII380" s="669"/>
      <c r="UIJ380" s="669"/>
      <c r="UIK380" s="669"/>
      <c r="UIL380" s="669"/>
      <c r="UIM380" s="669"/>
      <c r="UIN380" s="669"/>
      <c r="UIO380" s="669"/>
      <c r="UIP380" s="669"/>
      <c r="UIQ380" s="669"/>
      <c r="UIR380" s="669"/>
      <c r="UIS380" s="669"/>
      <c r="UIT380" s="669"/>
      <c r="UIU380" s="669"/>
      <c r="UIV380" s="669"/>
      <c r="UIW380" s="669"/>
      <c r="UIX380" s="669"/>
      <c r="UIY380" s="669"/>
      <c r="UIZ380" s="669"/>
      <c r="UJA380" s="669"/>
      <c r="UJB380" s="669"/>
      <c r="UJC380" s="669"/>
      <c r="UJD380" s="669"/>
      <c r="UJE380" s="669"/>
      <c r="UJF380" s="669"/>
      <c r="UJG380" s="669"/>
      <c r="UJH380" s="669"/>
      <c r="UJI380" s="669"/>
      <c r="UJJ380" s="669"/>
      <c r="UJK380" s="669"/>
      <c r="UJL380" s="669"/>
      <c r="UJM380" s="669"/>
      <c r="UJN380" s="669"/>
      <c r="UJO380" s="669"/>
      <c r="UJP380" s="669"/>
      <c r="UJQ380" s="669"/>
      <c r="UJR380" s="669"/>
      <c r="UJS380" s="669"/>
      <c r="UJT380" s="669"/>
      <c r="UJU380" s="669"/>
      <c r="UJV380" s="669"/>
      <c r="UJW380" s="669"/>
      <c r="UJX380" s="669"/>
      <c r="UJY380" s="669"/>
      <c r="UJZ380" s="669"/>
      <c r="UKA380" s="669"/>
      <c r="UKB380" s="669"/>
      <c r="UKC380" s="669"/>
      <c r="UKD380" s="669"/>
      <c r="UKE380" s="669"/>
      <c r="UKF380" s="669"/>
      <c r="UKG380" s="669"/>
      <c r="UKH380" s="669"/>
      <c r="UKI380" s="669"/>
      <c r="UKJ380" s="669"/>
      <c r="UKK380" s="669"/>
      <c r="UKL380" s="669"/>
      <c r="UKM380" s="669"/>
      <c r="UKN380" s="669"/>
      <c r="UKO380" s="669"/>
      <c r="UKP380" s="669"/>
      <c r="UKQ380" s="669"/>
      <c r="UKR380" s="669"/>
      <c r="UKS380" s="669"/>
      <c r="UKT380" s="669"/>
      <c r="UKU380" s="669"/>
      <c r="UKV380" s="669"/>
      <c r="UKW380" s="669"/>
      <c r="UKX380" s="669"/>
      <c r="UKY380" s="669"/>
      <c r="UKZ380" s="669"/>
      <c r="ULA380" s="669"/>
      <c r="ULB380" s="669"/>
      <c r="ULC380" s="669"/>
      <c r="ULD380" s="669"/>
      <c r="ULE380" s="669"/>
      <c r="ULF380" s="669"/>
      <c r="ULG380" s="669"/>
      <c r="ULH380" s="669"/>
      <c r="ULI380" s="669"/>
      <c r="ULJ380" s="669"/>
      <c r="ULK380" s="669"/>
      <c r="ULL380" s="669"/>
      <c r="ULM380" s="669"/>
      <c r="ULN380" s="669"/>
      <c r="ULO380" s="669"/>
      <c r="ULP380" s="669"/>
      <c r="ULQ380" s="669"/>
      <c r="ULR380" s="669"/>
      <c r="ULS380" s="669"/>
      <c r="ULT380" s="669"/>
      <c r="ULU380" s="669"/>
      <c r="ULV380" s="669"/>
      <c r="ULW380" s="669"/>
      <c r="ULX380" s="669"/>
      <c r="ULY380" s="669"/>
      <c r="ULZ380" s="669"/>
      <c r="UMA380" s="669"/>
      <c r="UMB380" s="669"/>
      <c r="UMC380" s="669"/>
      <c r="UMD380" s="669"/>
      <c r="UME380" s="669"/>
      <c r="UMF380" s="669"/>
      <c r="UMG380" s="669"/>
      <c r="UMH380" s="669"/>
      <c r="UMI380" s="669"/>
      <c r="UMJ380" s="669"/>
      <c r="UMK380" s="669"/>
      <c r="UML380" s="669"/>
      <c r="UMM380" s="669"/>
      <c r="UMN380" s="669"/>
      <c r="UMO380" s="669"/>
      <c r="UMP380" s="669"/>
      <c r="UMQ380" s="669"/>
      <c r="UMR380" s="669"/>
      <c r="UMS380" s="669"/>
      <c r="UMT380" s="669"/>
      <c r="UMU380" s="669"/>
      <c r="UMV380" s="669"/>
      <c r="UMW380" s="669"/>
      <c r="UMX380" s="669"/>
      <c r="UMY380" s="669"/>
      <c r="UMZ380" s="669"/>
      <c r="UNA380" s="669"/>
      <c r="UNB380" s="669"/>
      <c r="UNC380" s="669"/>
      <c r="UND380" s="669"/>
      <c r="UNE380" s="669"/>
      <c r="UNF380" s="669"/>
      <c r="UNG380" s="669"/>
      <c r="UNH380" s="669"/>
      <c r="UNI380" s="669"/>
      <c r="UNJ380" s="669"/>
      <c r="UNK380" s="669"/>
      <c r="UNL380" s="669"/>
      <c r="UNM380" s="669"/>
      <c r="UNN380" s="669"/>
      <c r="UNO380" s="669"/>
      <c r="UNP380" s="669"/>
      <c r="UNQ380" s="669"/>
      <c r="UNR380" s="669"/>
      <c r="UNS380" s="669"/>
      <c r="UNT380" s="669"/>
      <c r="UNU380" s="669"/>
      <c r="UNV380" s="669"/>
      <c r="UNW380" s="669"/>
      <c r="UNX380" s="669"/>
      <c r="UNY380" s="669"/>
      <c r="UNZ380" s="669"/>
      <c r="UOA380" s="669"/>
      <c r="UOB380" s="669"/>
      <c r="UOC380" s="669"/>
      <c r="UOD380" s="669"/>
      <c r="UOE380" s="669"/>
      <c r="UOF380" s="669"/>
      <c r="UOG380" s="669"/>
      <c r="UOH380" s="669"/>
      <c r="UOI380" s="669"/>
      <c r="UOJ380" s="669"/>
      <c r="UOK380" s="669"/>
      <c r="UOL380" s="669"/>
      <c r="UOM380" s="669"/>
      <c r="UON380" s="669"/>
      <c r="UOO380" s="669"/>
      <c r="UOP380" s="669"/>
      <c r="UOQ380" s="669"/>
      <c r="UOR380" s="669"/>
      <c r="UOS380" s="669"/>
      <c r="UOT380" s="669"/>
      <c r="UOU380" s="669"/>
      <c r="UOV380" s="669"/>
      <c r="UOW380" s="669"/>
      <c r="UOX380" s="669"/>
      <c r="UOY380" s="669"/>
      <c r="UOZ380" s="669"/>
      <c r="UPA380" s="669"/>
      <c r="UPB380" s="669"/>
      <c r="UPC380" s="669"/>
      <c r="UPD380" s="669"/>
      <c r="UPE380" s="669"/>
      <c r="UPF380" s="669"/>
      <c r="UPG380" s="669"/>
      <c r="UPH380" s="669"/>
      <c r="UPI380" s="669"/>
      <c r="UPJ380" s="669"/>
      <c r="UPK380" s="669"/>
      <c r="UPL380" s="669"/>
      <c r="UPM380" s="669"/>
      <c r="UPN380" s="669"/>
      <c r="UPO380" s="669"/>
      <c r="UPP380" s="669"/>
      <c r="UPQ380" s="669"/>
      <c r="UPR380" s="669"/>
      <c r="UPS380" s="669"/>
      <c r="UPT380" s="669"/>
      <c r="UPU380" s="669"/>
      <c r="UPV380" s="669"/>
      <c r="UPW380" s="669"/>
      <c r="UPX380" s="669"/>
      <c r="UPY380" s="669"/>
      <c r="UPZ380" s="669"/>
      <c r="UQA380" s="669"/>
      <c r="UQB380" s="669"/>
      <c r="UQC380" s="669"/>
      <c r="UQD380" s="669"/>
      <c r="UQE380" s="669"/>
      <c r="UQF380" s="669"/>
      <c r="UQG380" s="669"/>
      <c r="UQH380" s="669"/>
      <c r="UQI380" s="669"/>
      <c r="UQJ380" s="669"/>
      <c r="UQK380" s="669"/>
      <c r="UQL380" s="669"/>
      <c r="UQM380" s="669"/>
      <c r="UQN380" s="669"/>
      <c r="UQO380" s="669"/>
      <c r="UQP380" s="669"/>
      <c r="UQQ380" s="669"/>
      <c r="UQR380" s="669"/>
      <c r="UQS380" s="669"/>
      <c r="UQT380" s="669"/>
      <c r="UQU380" s="669"/>
      <c r="UQV380" s="669"/>
      <c r="UQW380" s="669"/>
      <c r="UQX380" s="669"/>
      <c r="UQY380" s="669"/>
      <c r="UQZ380" s="669"/>
      <c r="URA380" s="669"/>
      <c r="URB380" s="669"/>
      <c r="URC380" s="669"/>
      <c r="URD380" s="669"/>
      <c r="URE380" s="669"/>
      <c r="URF380" s="669"/>
      <c r="URG380" s="669"/>
      <c r="URH380" s="669"/>
      <c r="URI380" s="669"/>
      <c r="URJ380" s="669"/>
      <c r="URK380" s="669"/>
      <c r="URL380" s="669"/>
      <c r="URM380" s="669"/>
      <c r="URN380" s="669"/>
      <c r="URO380" s="669"/>
      <c r="URP380" s="669"/>
      <c r="URQ380" s="669"/>
      <c r="URR380" s="669"/>
      <c r="URS380" s="669"/>
      <c r="URT380" s="669"/>
      <c r="URU380" s="669"/>
      <c r="URV380" s="669"/>
      <c r="URW380" s="669"/>
      <c r="URX380" s="669"/>
      <c r="URY380" s="669"/>
      <c r="URZ380" s="669"/>
      <c r="USA380" s="669"/>
      <c r="USB380" s="669"/>
      <c r="USC380" s="669"/>
      <c r="USD380" s="669"/>
      <c r="USE380" s="669"/>
      <c r="USF380" s="669"/>
      <c r="USG380" s="669"/>
      <c r="USH380" s="669"/>
      <c r="USI380" s="669"/>
      <c r="USJ380" s="669"/>
      <c r="USK380" s="669"/>
      <c r="USL380" s="669"/>
      <c r="USM380" s="669"/>
      <c r="USN380" s="669"/>
      <c r="USO380" s="669"/>
      <c r="USP380" s="669"/>
      <c r="USQ380" s="669"/>
      <c r="USR380" s="669"/>
      <c r="USS380" s="669"/>
      <c r="UST380" s="669"/>
      <c r="USU380" s="669"/>
      <c r="USV380" s="669"/>
      <c r="USW380" s="669"/>
      <c r="USX380" s="669"/>
      <c r="USY380" s="669"/>
      <c r="USZ380" s="669"/>
      <c r="UTA380" s="669"/>
      <c r="UTB380" s="669"/>
      <c r="UTC380" s="669"/>
      <c r="UTD380" s="669"/>
      <c r="UTE380" s="669"/>
      <c r="UTF380" s="669"/>
      <c r="UTG380" s="669"/>
      <c r="UTH380" s="669"/>
      <c r="UTI380" s="669"/>
      <c r="UTJ380" s="669"/>
      <c r="UTK380" s="669"/>
      <c r="UTL380" s="669"/>
      <c r="UTM380" s="669"/>
      <c r="UTN380" s="669"/>
      <c r="UTO380" s="669"/>
      <c r="UTP380" s="669"/>
      <c r="UTQ380" s="669"/>
      <c r="UTR380" s="669"/>
      <c r="UTS380" s="669"/>
      <c r="UTT380" s="669"/>
      <c r="UTU380" s="669"/>
      <c r="UTV380" s="669"/>
      <c r="UTW380" s="669"/>
      <c r="UTX380" s="669"/>
      <c r="UTY380" s="669"/>
      <c r="UTZ380" s="669"/>
      <c r="UUA380" s="669"/>
      <c r="UUB380" s="669"/>
      <c r="UUC380" s="669"/>
      <c r="UUD380" s="669"/>
      <c r="UUE380" s="669"/>
      <c r="UUF380" s="669"/>
      <c r="UUG380" s="669"/>
      <c r="UUH380" s="669"/>
      <c r="UUI380" s="669"/>
      <c r="UUJ380" s="669"/>
      <c r="UUK380" s="669"/>
      <c r="UUL380" s="669"/>
      <c r="UUM380" s="669"/>
      <c r="UUN380" s="669"/>
      <c r="UUO380" s="669"/>
      <c r="UUP380" s="669"/>
      <c r="UUQ380" s="669"/>
      <c r="UUR380" s="669"/>
      <c r="UUS380" s="669"/>
      <c r="UUT380" s="669"/>
      <c r="UUU380" s="669"/>
      <c r="UUV380" s="669"/>
      <c r="UUW380" s="669"/>
      <c r="UUX380" s="669"/>
      <c r="UUY380" s="669"/>
      <c r="UUZ380" s="669"/>
      <c r="UVA380" s="669"/>
      <c r="UVB380" s="669"/>
      <c r="UVC380" s="669"/>
      <c r="UVD380" s="669"/>
      <c r="UVE380" s="669"/>
      <c r="UVF380" s="669"/>
      <c r="UVG380" s="669"/>
      <c r="UVH380" s="669"/>
      <c r="UVI380" s="669"/>
      <c r="UVJ380" s="669"/>
      <c r="UVK380" s="669"/>
      <c r="UVL380" s="669"/>
      <c r="UVM380" s="669"/>
      <c r="UVN380" s="669"/>
      <c r="UVO380" s="669"/>
      <c r="UVP380" s="669"/>
      <c r="UVQ380" s="669"/>
      <c r="UVR380" s="669"/>
      <c r="UVS380" s="669"/>
      <c r="UVT380" s="669"/>
      <c r="UVU380" s="669"/>
      <c r="UVV380" s="669"/>
      <c r="UVW380" s="669"/>
      <c r="UVX380" s="669"/>
      <c r="UVY380" s="669"/>
      <c r="UVZ380" s="669"/>
      <c r="UWA380" s="669"/>
      <c r="UWB380" s="669"/>
      <c r="UWC380" s="669"/>
      <c r="UWD380" s="669"/>
      <c r="UWE380" s="669"/>
      <c r="UWF380" s="669"/>
      <c r="UWG380" s="669"/>
      <c r="UWH380" s="669"/>
      <c r="UWI380" s="669"/>
      <c r="UWJ380" s="669"/>
      <c r="UWK380" s="669"/>
      <c r="UWL380" s="669"/>
      <c r="UWM380" s="669"/>
      <c r="UWN380" s="669"/>
      <c r="UWO380" s="669"/>
      <c r="UWP380" s="669"/>
      <c r="UWQ380" s="669"/>
      <c r="UWR380" s="669"/>
      <c r="UWS380" s="669"/>
      <c r="UWT380" s="669"/>
      <c r="UWU380" s="669"/>
      <c r="UWV380" s="669"/>
      <c r="UWW380" s="669"/>
      <c r="UWX380" s="669"/>
      <c r="UWY380" s="669"/>
      <c r="UWZ380" s="669"/>
      <c r="UXA380" s="669"/>
      <c r="UXB380" s="669"/>
      <c r="UXC380" s="669"/>
      <c r="UXD380" s="669"/>
      <c r="UXE380" s="669"/>
      <c r="UXF380" s="669"/>
      <c r="UXG380" s="669"/>
      <c r="UXH380" s="669"/>
      <c r="UXI380" s="669"/>
      <c r="UXJ380" s="669"/>
      <c r="UXK380" s="669"/>
      <c r="UXL380" s="669"/>
      <c r="UXM380" s="669"/>
      <c r="UXN380" s="669"/>
      <c r="UXO380" s="669"/>
      <c r="UXP380" s="669"/>
      <c r="UXQ380" s="669"/>
      <c r="UXR380" s="669"/>
      <c r="UXS380" s="669"/>
      <c r="UXT380" s="669"/>
      <c r="UXU380" s="669"/>
      <c r="UXV380" s="669"/>
      <c r="UXW380" s="669"/>
      <c r="UXX380" s="669"/>
      <c r="UXY380" s="669"/>
      <c r="UXZ380" s="669"/>
      <c r="UYA380" s="669"/>
      <c r="UYB380" s="669"/>
      <c r="UYC380" s="669"/>
      <c r="UYD380" s="669"/>
      <c r="UYE380" s="669"/>
      <c r="UYF380" s="669"/>
      <c r="UYG380" s="669"/>
      <c r="UYH380" s="669"/>
      <c r="UYI380" s="669"/>
      <c r="UYJ380" s="669"/>
      <c r="UYK380" s="669"/>
      <c r="UYL380" s="669"/>
      <c r="UYM380" s="669"/>
      <c r="UYN380" s="669"/>
      <c r="UYO380" s="669"/>
      <c r="UYP380" s="669"/>
      <c r="UYQ380" s="669"/>
      <c r="UYR380" s="669"/>
      <c r="UYS380" s="669"/>
      <c r="UYT380" s="669"/>
      <c r="UYU380" s="669"/>
      <c r="UYV380" s="669"/>
      <c r="UYW380" s="669"/>
      <c r="UYX380" s="669"/>
      <c r="UYY380" s="669"/>
      <c r="UYZ380" s="669"/>
      <c r="UZA380" s="669"/>
      <c r="UZB380" s="669"/>
      <c r="UZC380" s="669"/>
      <c r="UZD380" s="669"/>
      <c r="UZE380" s="669"/>
      <c r="UZF380" s="669"/>
      <c r="UZG380" s="669"/>
      <c r="UZH380" s="669"/>
      <c r="UZI380" s="669"/>
      <c r="UZJ380" s="669"/>
      <c r="UZK380" s="669"/>
      <c r="UZL380" s="669"/>
      <c r="UZM380" s="669"/>
      <c r="UZN380" s="669"/>
      <c r="UZO380" s="669"/>
      <c r="UZP380" s="669"/>
      <c r="UZQ380" s="669"/>
      <c r="UZR380" s="669"/>
      <c r="UZS380" s="669"/>
      <c r="UZT380" s="669"/>
      <c r="UZU380" s="669"/>
      <c r="UZV380" s="669"/>
      <c r="UZW380" s="669"/>
      <c r="UZX380" s="669"/>
      <c r="UZY380" s="669"/>
      <c r="UZZ380" s="669"/>
      <c r="VAA380" s="669"/>
      <c r="VAB380" s="669"/>
      <c r="VAC380" s="669"/>
      <c r="VAD380" s="669"/>
      <c r="VAE380" s="669"/>
      <c r="VAF380" s="669"/>
      <c r="VAG380" s="669"/>
      <c r="VAH380" s="669"/>
      <c r="VAI380" s="669"/>
      <c r="VAJ380" s="669"/>
      <c r="VAK380" s="669"/>
      <c r="VAL380" s="669"/>
      <c r="VAM380" s="669"/>
      <c r="VAN380" s="669"/>
      <c r="VAO380" s="669"/>
      <c r="VAP380" s="669"/>
      <c r="VAQ380" s="669"/>
      <c r="VAR380" s="669"/>
      <c r="VAS380" s="669"/>
      <c r="VAT380" s="669"/>
      <c r="VAU380" s="669"/>
      <c r="VAV380" s="669"/>
      <c r="VAW380" s="669"/>
      <c r="VAX380" s="669"/>
      <c r="VAY380" s="669"/>
      <c r="VAZ380" s="669"/>
      <c r="VBA380" s="669"/>
      <c r="VBB380" s="669"/>
      <c r="VBC380" s="669"/>
      <c r="VBD380" s="669"/>
      <c r="VBE380" s="669"/>
      <c r="VBF380" s="669"/>
      <c r="VBG380" s="669"/>
      <c r="VBH380" s="669"/>
      <c r="VBI380" s="669"/>
      <c r="VBJ380" s="669"/>
      <c r="VBK380" s="669"/>
      <c r="VBL380" s="669"/>
      <c r="VBM380" s="669"/>
      <c r="VBN380" s="669"/>
      <c r="VBO380" s="669"/>
      <c r="VBP380" s="669"/>
      <c r="VBQ380" s="669"/>
      <c r="VBR380" s="669"/>
      <c r="VBS380" s="669"/>
      <c r="VBT380" s="669"/>
      <c r="VBU380" s="669"/>
      <c r="VBV380" s="669"/>
      <c r="VBW380" s="669"/>
      <c r="VBX380" s="669"/>
      <c r="VBY380" s="669"/>
      <c r="VBZ380" s="669"/>
      <c r="VCA380" s="669"/>
      <c r="VCB380" s="669"/>
      <c r="VCC380" s="669"/>
      <c r="VCD380" s="669"/>
      <c r="VCE380" s="669"/>
      <c r="VCF380" s="669"/>
      <c r="VCG380" s="669"/>
      <c r="VCH380" s="669"/>
      <c r="VCI380" s="669"/>
      <c r="VCJ380" s="669"/>
      <c r="VCK380" s="669"/>
      <c r="VCL380" s="669"/>
      <c r="VCM380" s="669"/>
      <c r="VCN380" s="669"/>
      <c r="VCO380" s="669"/>
      <c r="VCP380" s="669"/>
      <c r="VCQ380" s="669"/>
      <c r="VCR380" s="669"/>
      <c r="VCS380" s="669"/>
      <c r="VCT380" s="669"/>
      <c r="VCU380" s="669"/>
      <c r="VCV380" s="669"/>
      <c r="VCW380" s="669"/>
      <c r="VCX380" s="669"/>
      <c r="VCY380" s="669"/>
      <c r="VCZ380" s="669"/>
      <c r="VDA380" s="669"/>
      <c r="VDB380" s="669"/>
      <c r="VDC380" s="669"/>
      <c r="VDD380" s="669"/>
      <c r="VDE380" s="669"/>
      <c r="VDF380" s="669"/>
      <c r="VDG380" s="669"/>
      <c r="VDH380" s="669"/>
      <c r="VDI380" s="669"/>
      <c r="VDJ380" s="669"/>
      <c r="VDK380" s="669"/>
      <c r="VDL380" s="669"/>
      <c r="VDM380" s="669"/>
      <c r="VDN380" s="669"/>
      <c r="VDO380" s="669"/>
      <c r="VDP380" s="669"/>
      <c r="VDQ380" s="669"/>
      <c r="VDR380" s="669"/>
      <c r="VDS380" s="669"/>
      <c r="VDT380" s="669"/>
      <c r="VDU380" s="669"/>
      <c r="VDV380" s="669"/>
      <c r="VDW380" s="669"/>
      <c r="VDX380" s="669"/>
      <c r="VDY380" s="669"/>
      <c r="VDZ380" s="669"/>
      <c r="VEA380" s="669"/>
      <c r="VEB380" s="669"/>
      <c r="VEC380" s="669"/>
      <c r="VED380" s="669"/>
      <c r="VEE380" s="669"/>
      <c r="VEF380" s="669"/>
      <c r="VEG380" s="669"/>
      <c r="VEH380" s="669"/>
      <c r="VEI380" s="669"/>
      <c r="VEJ380" s="669"/>
      <c r="VEK380" s="669"/>
      <c r="VEL380" s="669"/>
      <c r="VEM380" s="669"/>
      <c r="VEN380" s="669"/>
      <c r="VEO380" s="669"/>
      <c r="VEP380" s="669"/>
      <c r="VEQ380" s="669"/>
      <c r="VER380" s="669"/>
      <c r="VES380" s="669"/>
      <c r="VET380" s="669"/>
      <c r="VEU380" s="669"/>
      <c r="VEV380" s="669"/>
      <c r="VEW380" s="669"/>
      <c r="VEX380" s="669"/>
      <c r="VEY380" s="669"/>
      <c r="VEZ380" s="669"/>
      <c r="VFA380" s="669"/>
      <c r="VFB380" s="669"/>
      <c r="VFC380" s="669"/>
      <c r="VFD380" s="669"/>
      <c r="VFE380" s="669"/>
      <c r="VFF380" s="669"/>
      <c r="VFG380" s="669"/>
      <c r="VFH380" s="669"/>
      <c r="VFI380" s="669"/>
      <c r="VFJ380" s="669"/>
      <c r="VFK380" s="669"/>
      <c r="VFL380" s="669"/>
      <c r="VFM380" s="669"/>
      <c r="VFN380" s="669"/>
      <c r="VFO380" s="669"/>
      <c r="VFP380" s="669"/>
      <c r="VFQ380" s="669"/>
      <c r="VFR380" s="669"/>
      <c r="VFS380" s="669"/>
      <c r="VFT380" s="669"/>
      <c r="VFU380" s="669"/>
      <c r="VFV380" s="669"/>
      <c r="VFW380" s="669"/>
      <c r="VFX380" s="669"/>
      <c r="VFY380" s="669"/>
      <c r="VFZ380" s="669"/>
      <c r="VGA380" s="669"/>
      <c r="VGB380" s="669"/>
      <c r="VGC380" s="669"/>
      <c r="VGD380" s="669"/>
      <c r="VGE380" s="669"/>
      <c r="VGF380" s="669"/>
      <c r="VGG380" s="669"/>
      <c r="VGH380" s="669"/>
      <c r="VGI380" s="669"/>
      <c r="VGJ380" s="669"/>
      <c r="VGK380" s="669"/>
      <c r="VGL380" s="669"/>
      <c r="VGM380" s="669"/>
      <c r="VGN380" s="669"/>
      <c r="VGO380" s="669"/>
      <c r="VGP380" s="669"/>
      <c r="VGQ380" s="669"/>
      <c r="VGR380" s="669"/>
      <c r="VGS380" s="669"/>
      <c r="VGT380" s="669"/>
      <c r="VGU380" s="669"/>
      <c r="VGV380" s="669"/>
      <c r="VGW380" s="669"/>
      <c r="VGX380" s="669"/>
      <c r="VGY380" s="669"/>
      <c r="VGZ380" s="669"/>
      <c r="VHA380" s="669"/>
      <c r="VHB380" s="669"/>
      <c r="VHC380" s="669"/>
      <c r="VHD380" s="669"/>
      <c r="VHE380" s="669"/>
      <c r="VHF380" s="669"/>
      <c r="VHG380" s="669"/>
      <c r="VHH380" s="669"/>
      <c r="VHI380" s="669"/>
      <c r="VHJ380" s="669"/>
      <c r="VHK380" s="669"/>
      <c r="VHL380" s="669"/>
      <c r="VHM380" s="669"/>
      <c r="VHN380" s="669"/>
      <c r="VHO380" s="669"/>
      <c r="VHP380" s="669"/>
      <c r="VHQ380" s="669"/>
      <c r="VHR380" s="669"/>
      <c r="VHS380" s="669"/>
      <c r="VHT380" s="669"/>
      <c r="VHU380" s="669"/>
      <c r="VHV380" s="669"/>
      <c r="VHW380" s="669"/>
      <c r="VHX380" s="669"/>
      <c r="VHY380" s="669"/>
      <c r="VHZ380" s="669"/>
      <c r="VIA380" s="669"/>
      <c r="VIB380" s="669"/>
      <c r="VIC380" s="669"/>
      <c r="VID380" s="669"/>
      <c r="VIE380" s="669"/>
      <c r="VIF380" s="669"/>
      <c r="VIG380" s="669"/>
      <c r="VIH380" s="669"/>
      <c r="VII380" s="669"/>
      <c r="VIJ380" s="669"/>
      <c r="VIK380" s="669"/>
      <c r="VIL380" s="669"/>
      <c r="VIM380" s="669"/>
      <c r="VIN380" s="669"/>
      <c r="VIO380" s="669"/>
      <c r="VIP380" s="669"/>
      <c r="VIQ380" s="669"/>
      <c r="VIR380" s="669"/>
      <c r="VIS380" s="669"/>
      <c r="VIT380" s="669"/>
      <c r="VIU380" s="669"/>
      <c r="VIV380" s="669"/>
      <c r="VIW380" s="669"/>
      <c r="VIX380" s="669"/>
      <c r="VIY380" s="669"/>
      <c r="VIZ380" s="669"/>
      <c r="VJA380" s="669"/>
      <c r="VJB380" s="669"/>
      <c r="VJC380" s="669"/>
      <c r="VJD380" s="669"/>
      <c r="VJE380" s="669"/>
      <c r="VJF380" s="669"/>
      <c r="VJG380" s="669"/>
      <c r="VJH380" s="669"/>
      <c r="VJI380" s="669"/>
      <c r="VJJ380" s="669"/>
      <c r="VJK380" s="669"/>
      <c r="VJL380" s="669"/>
      <c r="VJM380" s="669"/>
      <c r="VJN380" s="669"/>
      <c r="VJO380" s="669"/>
      <c r="VJP380" s="669"/>
      <c r="VJQ380" s="669"/>
      <c r="VJR380" s="669"/>
      <c r="VJS380" s="669"/>
      <c r="VJT380" s="669"/>
      <c r="VJU380" s="669"/>
      <c r="VJV380" s="669"/>
      <c r="VJW380" s="669"/>
      <c r="VJX380" s="669"/>
      <c r="VJY380" s="669"/>
      <c r="VJZ380" s="669"/>
      <c r="VKA380" s="669"/>
      <c r="VKB380" s="669"/>
      <c r="VKC380" s="669"/>
      <c r="VKD380" s="669"/>
      <c r="VKE380" s="669"/>
      <c r="VKF380" s="669"/>
      <c r="VKG380" s="669"/>
      <c r="VKH380" s="669"/>
      <c r="VKI380" s="669"/>
      <c r="VKJ380" s="669"/>
      <c r="VKK380" s="669"/>
      <c r="VKL380" s="669"/>
      <c r="VKM380" s="669"/>
      <c r="VKN380" s="669"/>
      <c r="VKO380" s="669"/>
      <c r="VKP380" s="669"/>
      <c r="VKQ380" s="669"/>
      <c r="VKR380" s="669"/>
      <c r="VKS380" s="669"/>
      <c r="VKT380" s="669"/>
      <c r="VKU380" s="669"/>
      <c r="VKV380" s="669"/>
      <c r="VKW380" s="669"/>
      <c r="VKX380" s="669"/>
      <c r="VKY380" s="669"/>
      <c r="VKZ380" s="669"/>
      <c r="VLA380" s="669"/>
      <c r="VLB380" s="669"/>
      <c r="VLC380" s="669"/>
      <c r="VLD380" s="669"/>
      <c r="VLE380" s="669"/>
      <c r="VLF380" s="669"/>
      <c r="VLG380" s="669"/>
      <c r="VLH380" s="669"/>
      <c r="VLI380" s="669"/>
      <c r="VLJ380" s="669"/>
      <c r="VLK380" s="669"/>
      <c r="VLL380" s="669"/>
      <c r="VLM380" s="669"/>
      <c r="VLN380" s="669"/>
      <c r="VLO380" s="669"/>
      <c r="VLP380" s="669"/>
      <c r="VLQ380" s="669"/>
      <c r="VLR380" s="669"/>
      <c r="VLS380" s="669"/>
      <c r="VLT380" s="669"/>
      <c r="VLU380" s="669"/>
      <c r="VLV380" s="669"/>
      <c r="VLW380" s="669"/>
      <c r="VLX380" s="669"/>
      <c r="VLY380" s="669"/>
      <c r="VLZ380" s="669"/>
      <c r="VMA380" s="669"/>
      <c r="VMB380" s="669"/>
      <c r="VMC380" s="669"/>
      <c r="VMD380" s="669"/>
      <c r="VME380" s="669"/>
      <c r="VMF380" s="669"/>
      <c r="VMG380" s="669"/>
      <c r="VMH380" s="669"/>
      <c r="VMI380" s="669"/>
      <c r="VMJ380" s="669"/>
      <c r="VMK380" s="669"/>
      <c r="VML380" s="669"/>
      <c r="VMM380" s="669"/>
      <c r="VMN380" s="669"/>
      <c r="VMO380" s="669"/>
      <c r="VMP380" s="669"/>
      <c r="VMQ380" s="669"/>
      <c r="VMR380" s="669"/>
      <c r="VMS380" s="669"/>
      <c r="VMT380" s="669"/>
      <c r="VMU380" s="669"/>
      <c r="VMV380" s="669"/>
      <c r="VMW380" s="669"/>
      <c r="VMX380" s="669"/>
      <c r="VMY380" s="669"/>
      <c r="VMZ380" s="669"/>
      <c r="VNA380" s="669"/>
      <c r="VNB380" s="669"/>
      <c r="VNC380" s="669"/>
      <c r="VND380" s="669"/>
      <c r="VNE380" s="669"/>
      <c r="VNF380" s="669"/>
      <c r="VNG380" s="669"/>
      <c r="VNH380" s="669"/>
      <c r="VNI380" s="669"/>
      <c r="VNJ380" s="669"/>
      <c r="VNK380" s="669"/>
      <c r="VNL380" s="669"/>
      <c r="VNM380" s="669"/>
      <c r="VNN380" s="669"/>
      <c r="VNO380" s="669"/>
      <c r="VNP380" s="669"/>
      <c r="VNQ380" s="669"/>
      <c r="VNR380" s="669"/>
      <c r="VNS380" s="669"/>
      <c r="VNT380" s="669"/>
      <c r="VNU380" s="669"/>
      <c r="VNV380" s="669"/>
      <c r="VNW380" s="669"/>
      <c r="VNX380" s="669"/>
      <c r="VNY380" s="669"/>
      <c r="VNZ380" s="669"/>
      <c r="VOA380" s="669"/>
      <c r="VOB380" s="669"/>
      <c r="VOC380" s="669"/>
      <c r="VOD380" s="669"/>
      <c r="VOE380" s="669"/>
      <c r="VOF380" s="669"/>
      <c r="VOG380" s="669"/>
      <c r="VOH380" s="669"/>
      <c r="VOI380" s="669"/>
      <c r="VOJ380" s="669"/>
      <c r="VOK380" s="669"/>
      <c r="VOL380" s="669"/>
      <c r="VOM380" s="669"/>
      <c r="VON380" s="669"/>
      <c r="VOO380" s="669"/>
      <c r="VOP380" s="669"/>
      <c r="VOQ380" s="669"/>
      <c r="VOR380" s="669"/>
      <c r="VOS380" s="669"/>
      <c r="VOT380" s="669"/>
      <c r="VOU380" s="669"/>
      <c r="VOV380" s="669"/>
      <c r="VOW380" s="669"/>
      <c r="VOX380" s="669"/>
      <c r="VOY380" s="669"/>
      <c r="VOZ380" s="669"/>
      <c r="VPA380" s="669"/>
      <c r="VPB380" s="669"/>
      <c r="VPC380" s="669"/>
      <c r="VPD380" s="669"/>
      <c r="VPE380" s="669"/>
      <c r="VPF380" s="669"/>
      <c r="VPG380" s="669"/>
      <c r="VPH380" s="669"/>
      <c r="VPI380" s="669"/>
      <c r="VPJ380" s="669"/>
      <c r="VPK380" s="669"/>
      <c r="VPL380" s="669"/>
      <c r="VPM380" s="669"/>
      <c r="VPN380" s="669"/>
      <c r="VPO380" s="669"/>
      <c r="VPP380" s="669"/>
      <c r="VPQ380" s="669"/>
      <c r="VPR380" s="669"/>
      <c r="VPS380" s="669"/>
      <c r="VPT380" s="669"/>
      <c r="VPU380" s="669"/>
      <c r="VPV380" s="669"/>
      <c r="VPW380" s="669"/>
      <c r="VPX380" s="669"/>
      <c r="VPY380" s="669"/>
      <c r="VPZ380" s="669"/>
      <c r="VQA380" s="669"/>
      <c r="VQB380" s="669"/>
      <c r="VQC380" s="669"/>
      <c r="VQD380" s="669"/>
      <c r="VQE380" s="669"/>
      <c r="VQF380" s="669"/>
      <c r="VQG380" s="669"/>
      <c r="VQH380" s="669"/>
      <c r="VQI380" s="669"/>
      <c r="VQJ380" s="669"/>
      <c r="VQK380" s="669"/>
      <c r="VQL380" s="669"/>
      <c r="VQM380" s="669"/>
      <c r="VQN380" s="669"/>
      <c r="VQO380" s="669"/>
      <c r="VQP380" s="669"/>
      <c r="VQQ380" s="669"/>
      <c r="VQR380" s="669"/>
      <c r="VQS380" s="669"/>
      <c r="VQT380" s="669"/>
      <c r="VQU380" s="669"/>
      <c r="VQV380" s="669"/>
      <c r="VQW380" s="669"/>
      <c r="VQX380" s="669"/>
      <c r="VQY380" s="669"/>
      <c r="VQZ380" s="669"/>
      <c r="VRA380" s="669"/>
      <c r="VRB380" s="669"/>
      <c r="VRC380" s="669"/>
      <c r="VRD380" s="669"/>
      <c r="VRE380" s="669"/>
      <c r="VRF380" s="669"/>
      <c r="VRG380" s="669"/>
      <c r="VRH380" s="669"/>
      <c r="VRI380" s="669"/>
      <c r="VRJ380" s="669"/>
      <c r="VRK380" s="669"/>
      <c r="VRL380" s="669"/>
      <c r="VRM380" s="669"/>
      <c r="VRN380" s="669"/>
      <c r="VRO380" s="669"/>
      <c r="VRP380" s="669"/>
      <c r="VRQ380" s="669"/>
      <c r="VRR380" s="669"/>
      <c r="VRS380" s="669"/>
      <c r="VRT380" s="669"/>
      <c r="VRU380" s="669"/>
      <c r="VRV380" s="669"/>
      <c r="VRW380" s="669"/>
      <c r="VRX380" s="669"/>
      <c r="VRY380" s="669"/>
      <c r="VRZ380" s="669"/>
      <c r="VSA380" s="669"/>
      <c r="VSB380" s="669"/>
      <c r="VSC380" s="669"/>
      <c r="VSD380" s="669"/>
      <c r="VSE380" s="669"/>
      <c r="VSF380" s="669"/>
      <c r="VSG380" s="669"/>
      <c r="VSH380" s="669"/>
      <c r="VSI380" s="669"/>
      <c r="VSJ380" s="669"/>
      <c r="VSK380" s="669"/>
      <c r="VSL380" s="669"/>
      <c r="VSM380" s="669"/>
      <c r="VSN380" s="669"/>
      <c r="VSO380" s="669"/>
      <c r="VSP380" s="669"/>
      <c r="VSQ380" s="669"/>
      <c r="VSR380" s="669"/>
      <c r="VSS380" s="669"/>
      <c r="VST380" s="669"/>
      <c r="VSU380" s="669"/>
      <c r="VSV380" s="669"/>
      <c r="VSW380" s="669"/>
      <c r="VSX380" s="669"/>
      <c r="VSY380" s="669"/>
      <c r="VSZ380" s="669"/>
      <c r="VTA380" s="669"/>
      <c r="VTB380" s="669"/>
      <c r="VTC380" s="669"/>
      <c r="VTD380" s="669"/>
      <c r="VTE380" s="669"/>
      <c r="VTF380" s="669"/>
      <c r="VTG380" s="669"/>
      <c r="VTH380" s="669"/>
      <c r="VTI380" s="669"/>
      <c r="VTJ380" s="669"/>
      <c r="VTK380" s="669"/>
      <c r="VTL380" s="669"/>
      <c r="VTM380" s="669"/>
      <c r="VTN380" s="669"/>
      <c r="VTO380" s="669"/>
      <c r="VTP380" s="669"/>
      <c r="VTQ380" s="669"/>
      <c r="VTR380" s="669"/>
      <c r="VTS380" s="669"/>
      <c r="VTT380" s="669"/>
      <c r="VTU380" s="669"/>
      <c r="VTV380" s="669"/>
      <c r="VTW380" s="669"/>
      <c r="VTX380" s="669"/>
      <c r="VTY380" s="669"/>
      <c r="VTZ380" s="669"/>
      <c r="VUA380" s="669"/>
      <c r="VUB380" s="669"/>
      <c r="VUC380" s="669"/>
      <c r="VUD380" s="669"/>
      <c r="VUE380" s="669"/>
      <c r="VUF380" s="669"/>
      <c r="VUG380" s="669"/>
      <c r="VUH380" s="669"/>
      <c r="VUI380" s="669"/>
      <c r="VUJ380" s="669"/>
      <c r="VUK380" s="669"/>
      <c r="VUL380" s="669"/>
      <c r="VUM380" s="669"/>
      <c r="VUN380" s="669"/>
      <c r="VUO380" s="669"/>
      <c r="VUP380" s="669"/>
      <c r="VUQ380" s="669"/>
      <c r="VUR380" s="669"/>
      <c r="VUS380" s="669"/>
      <c r="VUT380" s="669"/>
      <c r="VUU380" s="669"/>
      <c r="VUV380" s="669"/>
      <c r="VUW380" s="669"/>
      <c r="VUX380" s="669"/>
      <c r="VUY380" s="669"/>
      <c r="VUZ380" s="669"/>
      <c r="VVA380" s="669"/>
      <c r="VVB380" s="669"/>
      <c r="VVC380" s="669"/>
      <c r="VVD380" s="669"/>
      <c r="VVE380" s="669"/>
      <c r="VVF380" s="669"/>
      <c r="VVG380" s="669"/>
      <c r="VVH380" s="669"/>
      <c r="VVI380" s="669"/>
      <c r="VVJ380" s="669"/>
      <c r="VVK380" s="669"/>
      <c r="VVL380" s="669"/>
      <c r="VVM380" s="669"/>
      <c r="VVN380" s="669"/>
      <c r="VVO380" s="669"/>
      <c r="VVP380" s="669"/>
      <c r="VVQ380" s="669"/>
      <c r="VVR380" s="669"/>
      <c r="VVS380" s="669"/>
      <c r="VVT380" s="669"/>
      <c r="VVU380" s="669"/>
      <c r="VVV380" s="669"/>
      <c r="VVW380" s="669"/>
      <c r="VVX380" s="669"/>
      <c r="VVY380" s="669"/>
      <c r="VVZ380" s="669"/>
      <c r="VWA380" s="669"/>
      <c r="VWB380" s="669"/>
      <c r="VWC380" s="669"/>
      <c r="VWD380" s="669"/>
      <c r="VWE380" s="669"/>
      <c r="VWF380" s="669"/>
      <c r="VWG380" s="669"/>
      <c r="VWH380" s="669"/>
      <c r="VWI380" s="669"/>
      <c r="VWJ380" s="669"/>
      <c r="VWK380" s="669"/>
      <c r="VWL380" s="669"/>
      <c r="VWM380" s="669"/>
      <c r="VWN380" s="669"/>
      <c r="VWO380" s="669"/>
      <c r="VWP380" s="669"/>
      <c r="VWQ380" s="669"/>
      <c r="VWR380" s="669"/>
      <c r="VWS380" s="669"/>
      <c r="VWT380" s="669"/>
      <c r="VWU380" s="669"/>
      <c r="VWV380" s="669"/>
      <c r="VWW380" s="669"/>
      <c r="VWX380" s="669"/>
      <c r="VWY380" s="669"/>
      <c r="VWZ380" s="669"/>
      <c r="VXA380" s="669"/>
      <c r="VXB380" s="669"/>
      <c r="VXC380" s="669"/>
      <c r="VXD380" s="669"/>
      <c r="VXE380" s="669"/>
      <c r="VXF380" s="669"/>
      <c r="VXG380" s="669"/>
      <c r="VXH380" s="669"/>
      <c r="VXI380" s="669"/>
      <c r="VXJ380" s="669"/>
      <c r="VXK380" s="669"/>
      <c r="VXL380" s="669"/>
      <c r="VXM380" s="669"/>
      <c r="VXN380" s="669"/>
      <c r="VXO380" s="669"/>
      <c r="VXP380" s="669"/>
      <c r="VXQ380" s="669"/>
      <c r="VXR380" s="669"/>
      <c r="VXS380" s="669"/>
      <c r="VXT380" s="669"/>
      <c r="VXU380" s="669"/>
      <c r="VXV380" s="669"/>
      <c r="VXW380" s="669"/>
      <c r="VXX380" s="669"/>
      <c r="VXY380" s="669"/>
      <c r="VXZ380" s="669"/>
      <c r="VYA380" s="669"/>
      <c r="VYB380" s="669"/>
      <c r="VYC380" s="669"/>
      <c r="VYD380" s="669"/>
      <c r="VYE380" s="669"/>
      <c r="VYF380" s="669"/>
      <c r="VYG380" s="669"/>
      <c r="VYH380" s="669"/>
      <c r="VYI380" s="669"/>
      <c r="VYJ380" s="669"/>
      <c r="VYK380" s="669"/>
      <c r="VYL380" s="669"/>
      <c r="VYM380" s="669"/>
      <c r="VYN380" s="669"/>
      <c r="VYO380" s="669"/>
      <c r="VYP380" s="669"/>
      <c r="VYQ380" s="669"/>
      <c r="VYR380" s="669"/>
      <c r="VYS380" s="669"/>
      <c r="VYT380" s="669"/>
      <c r="VYU380" s="669"/>
      <c r="VYV380" s="669"/>
      <c r="VYW380" s="669"/>
      <c r="VYX380" s="669"/>
      <c r="VYY380" s="669"/>
      <c r="VYZ380" s="669"/>
      <c r="VZA380" s="669"/>
      <c r="VZB380" s="669"/>
      <c r="VZC380" s="669"/>
      <c r="VZD380" s="669"/>
      <c r="VZE380" s="669"/>
      <c r="VZF380" s="669"/>
      <c r="VZG380" s="669"/>
      <c r="VZH380" s="669"/>
      <c r="VZI380" s="669"/>
      <c r="VZJ380" s="669"/>
      <c r="VZK380" s="669"/>
      <c r="VZL380" s="669"/>
      <c r="VZM380" s="669"/>
      <c r="VZN380" s="669"/>
      <c r="VZO380" s="669"/>
      <c r="VZP380" s="669"/>
      <c r="VZQ380" s="669"/>
      <c r="VZR380" s="669"/>
      <c r="VZS380" s="669"/>
      <c r="VZT380" s="669"/>
      <c r="VZU380" s="669"/>
      <c r="VZV380" s="669"/>
      <c r="VZW380" s="669"/>
      <c r="VZX380" s="669"/>
      <c r="VZY380" s="669"/>
      <c r="VZZ380" s="669"/>
      <c r="WAA380" s="669"/>
      <c r="WAB380" s="669"/>
      <c r="WAC380" s="669"/>
      <c r="WAD380" s="669"/>
      <c r="WAE380" s="669"/>
      <c r="WAF380" s="669"/>
      <c r="WAG380" s="669"/>
      <c r="WAH380" s="669"/>
      <c r="WAI380" s="669"/>
      <c r="WAJ380" s="669"/>
      <c r="WAK380" s="669"/>
      <c r="WAL380" s="669"/>
      <c r="WAM380" s="669"/>
      <c r="WAN380" s="669"/>
      <c r="WAO380" s="669"/>
      <c r="WAP380" s="669"/>
      <c r="WAQ380" s="669"/>
      <c r="WAR380" s="669"/>
      <c r="WAS380" s="669"/>
      <c r="WAT380" s="669"/>
      <c r="WAU380" s="669"/>
      <c r="WAV380" s="669"/>
      <c r="WAW380" s="669"/>
      <c r="WAX380" s="669"/>
      <c r="WAY380" s="669"/>
      <c r="WAZ380" s="669"/>
      <c r="WBA380" s="669"/>
      <c r="WBB380" s="669"/>
      <c r="WBC380" s="669"/>
      <c r="WBD380" s="669"/>
      <c r="WBE380" s="669"/>
      <c r="WBF380" s="669"/>
      <c r="WBG380" s="669"/>
      <c r="WBH380" s="669"/>
      <c r="WBI380" s="669"/>
      <c r="WBJ380" s="669"/>
      <c r="WBK380" s="669"/>
      <c r="WBL380" s="669"/>
      <c r="WBM380" s="669"/>
      <c r="WBN380" s="669"/>
      <c r="WBO380" s="669"/>
      <c r="WBP380" s="669"/>
      <c r="WBQ380" s="669"/>
      <c r="WBR380" s="669"/>
      <c r="WBS380" s="669"/>
      <c r="WBT380" s="669"/>
      <c r="WBU380" s="669"/>
      <c r="WBV380" s="669"/>
      <c r="WBW380" s="669"/>
      <c r="WBX380" s="669"/>
      <c r="WBY380" s="669"/>
      <c r="WBZ380" s="669"/>
      <c r="WCA380" s="669"/>
      <c r="WCB380" s="669"/>
      <c r="WCC380" s="669"/>
      <c r="WCD380" s="669"/>
      <c r="WCE380" s="669"/>
      <c r="WCF380" s="669"/>
      <c r="WCG380" s="669"/>
      <c r="WCH380" s="669"/>
      <c r="WCI380" s="669"/>
      <c r="WCJ380" s="669"/>
      <c r="WCK380" s="669"/>
      <c r="WCL380" s="669"/>
      <c r="WCM380" s="669"/>
      <c r="WCN380" s="669"/>
      <c r="WCO380" s="669"/>
      <c r="WCP380" s="669"/>
      <c r="WCQ380" s="669"/>
      <c r="WCR380" s="669"/>
      <c r="WCS380" s="669"/>
      <c r="WCT380" s="669"/>
      <c r="WCU380" s="669"/>
      <c r="WCV380" s="669"/>
      <c r="WCW380" s="669"/>
      <c r="WCX380" s="669"/>
      <c r="WCY380" s="669"/>
      <c r="WCZ380" s="669"/>
      <c r="WDA380" s="669"/>
      <c r="WDB380" s="669"/>
      <c r="WDC380" s="669"/>
      <c r="WDD380" s="669"/>
      <c r="WDE380" s="669"/>
      <c r="WDF380" s="669"/>
      <c r="WDG380" s="669"/>
      <c r="WDH380" s="669"/>
      <c r="WDI380" s="669"/>
      <c r="WDJ380" s="669"/>
      <c r="WDK380" s="669"/>
      <c r="WDL380" s="669"/>
      <c r="WDM380" s="669"/>
      <c r="WDN380" s="669"/>
      <c r="WDO380" s="669"/>
      <c r="WDP380" s="669"/>
      <c r="WDQ380" s="669"/>
      <c r="WDR380" s="669"/>
      <c r="WDS380" s="669"/>
      <c r="WDT380" s="669"/>
      <c r="WDU380" s="669"/>
      <c r="WDV380" s="669"/>
      <c r="WDW380" s="669"/>
      <c r="WDX380" s="669"/>
      <c r="WDY380" s="669"/>
      <c r="WDZ380" s="669"/>
      <c r="WEA380" s="669"/>
      <c r="WEB380" s="669"/>
      <c r="WEC380" s="669"/>
      <c r="WED380" s="669"/>
      <c r="WEE380" s="669"/>
      <c r="WEF380" s="669"/>
      <c r="WEG380" s="669"/>
      <c r="WEH380" s="669"/>
      <c r="WEI380" s="669"/>
      <c r="WEJ380" s="669"/>
      <c r="WEK380" s="669"/>
      <c r="WEL380" s="669"/>
      <c r="WEM380" s="669"/>
      <c r="WEN380" s="669"/>
      <c r="WEO380" s="669"/>
      <c r="WEP380" s="669"/>
      <c r="WEQ380" s="669"/>
      <c r="WER380" s="669"/>
      <c r="WES380" s="669"/>
      <c r="WET380" s="669"/>
      <c r="WEU380" s="669"/>
      <c r="WEV380" s="669"/>
      <c r="WEW380" s="669"/>
      <c r="WEX380" s="669"/>
      <c r="WEY380" s="669"/>
      <c r="WEZ380" s="669"/>
      <c r="WFA380" s="669"/>
      <c r="WFB380" s="669"/>
      <c r="WFC380" s="669"/>
      <c r="WFD380" s="669"/>
      <c r="WFE380" s="669"/>
      <c r="WFF380" s="669"/>
      <c r="WFG380" s="669"/>
      <c r="WFH380" s="669"/>
      <c r="WFI380" s="669"/>
      <c r="WFJ380" s="669"/>
      <c r="WFK380" s="669"/>
      <c r="WFL380" s="669"/>
      <c r="WFM380" s="669"/>
      <c r="WFN380" s="669"/>
      <c r="WFO380" s="669"/>
      <c r="WFP380" s="669"/>
      <c r="WFQ380" s="669"/>
      <c r="WFR380" s="669"/>
      <c r="WFS380" s="669"/>
      <c r="WFT380" s="669"/>
      <c r="WFU380" s="669"/>
      <c r="WFV380" s="669"/>
      <c r="WFW380" s="669"/>
      <c r="WFX380" s="669"/>
      <c r="WFY380" s="669"/>
      <c r="WFZ380" s="669"/>
      <c r="WGA380" s="669"/>
      <c r="WGB380" s="669"/>
      <c r="WGC380" s="669"/>
      <c r="WGD380" s="669"/>
      <c r="WGE380" s="669"/>
      <c r="WGF380" s="669"/>
      <c r="WGG380" s="669"/>
      <c r="WGH380" s="669"/>
      <c r="WGI380" s="669"/>
      <c r="WGJ380" s="669"/>
      <c r="WGK380" s="669"/>
      <c r="WGL380" s="669"/>
      <c r="WGM380" s="669"/>
      <c r="WGN380" s="669"/>
      <c r="WGO380" s="669"/>
      <c r="WGP380" s="669"/>
      <c r="WGQ380" s="669"/>
      <c r="WGR380" s="669"/>
      <c r="WGS380" s="669"/>
      <c r="WGT380" s="669"/>
      <c r="WGU380" s="669"/>
      <c r="WGV380" s="669"/>
      <c r="WGW380" s="669"/>
      <c r="WGX380" s="669"/>
      <c r="WGY380" s="669"/>
      <c r="WGZ380" s="669"/>
      <c r="WHA380" s="669"/>
      <c r="WHB380" s="669"/>
      <c r="WHC380" s="669"/>
      <c r="WHD380" s="669"/>
      <c r="WHE380" s="669"/>
      <c r="WHF380" s="669"/>
      <c r="WHG380" s="669"/>
      <c r="WHH380" s="669"/>
      <c r="WHI380" s="669"/>
      <c r="WHJ380" s="669"/>
      <c r="WHK380" s="669"/>
      <c r="WHL380" s="669"/>
      <c r="WHM380" s="669"/>
      <c r="WHN380" s="669"/>
      <c r="WHO380" s="669"/>
      <c r="WHP380" s="669"/>
      <c r="WHQ380" s="669"/>
      <c r="WHR380" s="669"/>
      <c r="WHS380" s="669"/>
      <c r="WHT380" s="669"/>
      <c r="WHU380" s="669"/>
      <c r="WHV380" s="669"/>
      <c r="WHW380" s="669"/>
      <c r="WHX380" s="669"/>
      <c r="WHY380" s="669"/>
      <c r="WHZ380" s="669"/>
      <c r="WIA380" s="669"/>
      <c r="WIB380" s="669"/>
      <c r="WIC380" s="669"/>
      <c r="WID380" s="669"/>
      <c r="WIE380" s="669"/>
      <c r="WIF380" s="669"/>
      <c r="WIG380" s="669"/>
      <c r="WIH380" s="669"/>
      <c r="WII380" s="669"/>
      <c r="WIJ380" s="669"/>
      <c r="WIK380" s="669"/>
      <c r="WIL380" s="669"/>
      <c r="WIM380" s="669"/>
      <c r="WIN380" s="669"/>
      <c r="WIO380" s="669"/>
      <c r="WIP380" s="669"/>
      <c r="WIQ380" s="669"/>
      <c r="WIR380" s="669"/>
      <c r="WIS380" s="669"/>
      <c r="WIT380" s="669"/>
      <c r="WIU380" s="669"/>
      <c r="WIV380" s="669"/>
      <c r="WIW380" s="669"/>
      <c r="WIX380" s="669"/>
      <c r="WIY380" s="669"/>
      <c r="WIZ380" s="669"/>
      <c r="WJA380" s="669"/>
      <c r="WJB380" s="669"/>
      <c r="WJC380" s="669"/>
      <c r="WJD380" s="669"/>
      <c r="WJE380" s="669"/>
      <c r="WJF380" s="669"/>
      <c r="WJG380" s="669"/>
      <c r="WJH380" s="669"/>
      <c r="WJI380" s="669"/>
      <c r="WJJ380" s="669"/>
      <c r="WJK380" s="669"/>
      <c r="WJL380" s="669"/>
      <c r="WJM380" s="669"/>
      <c r="WJN380" s="669"/>
      <c r="WJO380" s="669"/>
      <c r="WJP380" s="669"/>
      <c r="WJQ380" s="669"/>
      <c r="WJR380" s="669"/>
      <c r="WJS380" s="669"/>
      <c r="WJT380" s="669"/>
      <c r="WJU380" s="669"/>
      <c r="WJV380" s="669"/>
      <c r="WJW380" s="669"/>
      <c r="WJX380" s="669"/>
      <c r="WJY380" s="669"/>
      <c r="WJZ380" s="669"/>
      <c r="WKA380" s="669"/>
      <c r="WKB380" s="669"/>
      <c r="WKC380" s="669"/>
      <c r="WKD380" s="669"/>
      <c r="WKE380" s="669"/>
      <c r="WKF380" s="669"/>
      <c r="WKG380" s="669"/>
      <c r="WKH380" s="669"/>
      <c r="WKI380" s="669"/>
      <c r="WKJ380" s="669"/>
      <c r="WKK380" s="669"/>
      <c r="WKL380" s="669"/>
      <c r="WKM380" s="669"/>
      <c r="WKN380" s="669"/>
      <c r="WKO380" s="669"/>
      <c r="WKP380" s="669"/>
      <c r="WKQ380" s="669"/>
      <c r="WKR380" s="669"/>
      <c r="WKS380" s="669"/>
      <c r="WKT380" s="669"/>
      <c r="WKU380" s="669"/>
      <c r="WKV380" s="669"/>
      <c r="WKW380" s="669"/>
      <c r="WKX380" s="669"/>
      <c r="WKY380" s="669"/>
      <c r="WKZ380" s="669"/>
      <c r="WLA380" s="669"/>
      <c r="WLB380" s="669"/>
      <c r="WLC380" s="669"/>
      <c r="WLD380" s="669"/>
      <c r="WLE380" s="669"/>
      <c r="WLF380" s="669"/>
      <c r="WLG380" s="669"/>
      <c r="WLH380" s="669"/>
      <c r="WLI380" s="669"/>
      <c r="WLJ380" s="669"/>
      <c r="WLK380" s="669"/>
      <c r="WLL380" s="669"/>
      <c r="WLM380" s="669"/>
      <c r="WLN380" s="669"/>
      <c r="WLO380" s="669"/>
      <c r="WLP380" s="669"/>
      <c r="WLQ380" s="669"/>
      <c r="WLR380" s="669"/>
      <c r="WLS380" s="669"/>
      <c r="WLT380" s="669"/>
      <c r="WLU380" s="669"/>
      <c r="WLV380" s="669"/>
      <c r="WLW380" s="669"/>
      <c r="WLX380" s="669"/>
      <c r="WLY380" s="669"/>
      <c r="WLZ380" s="669"/>
      <c r="WMA380" s="669"/>
      <c r="WMB380" s="669"/>
      <c r="WMC380" s="669"/>
      <c r="WMD380" s="669"/>
      <c r="WME380" s="669"/>
      <c r="WMF380" s="669"/>
      <c r="WMG380" s="669"/>
      <c r="WMH380" s="669"/>
      <c r="WMI380" s="669"/>
      <c r="WMJ380" s="669"/>
      <c r="WMK380" s="669"/>
      <c r="WML380" s="669"/>
      <c r="WMM380" s="669"/>
      <c r="WMN380" s="669"/>
      <c r="WMO380" s="669"/>
      <c r="WMP380" s="669"/>
      <c r="WMQ380" s="669"/>
      <c r="WMR380" s="669"/>
      <c r="WMS380" s="669"/>
      <c r="WMT380" s="669"/>
      <c r="WMU380" s="669"/>
      <c r="WMV380" s="669"/>
      <c r="WMW380" s="669"/>
      <c r="WMX380" s="669"/>
      <c r="WMY380" s="669"/>
      <c r="WMZ380" s="669"/>
      <c r="WNA380" s="669"/>
      <c r="WNB380" s="669"/>
      <c r="WNC380" s="669"/>
      <c r="WND380" s="669"/>
      <c r="WNE380" s="669"/>
      <c r="WNF380" s="669"/>
      <c r="WNG380" s="669"/>
      <c r="WNH380" s="669"/>
      <c r="WNI380" s="669"/>
      <c r="WNJ380" s="669"/>
      <c r="WNK380" s="669"/>
      <c r="WNL380" s="669"/>
      <c r="WNM380" s="669"/>
      <c r="WNN380" s="669"/>
      <c r="WNO380" s="669"/>
      <c r="WNP380" s="669"/>
      <c r="WNQ380" s="669"/>
      <c r="WNR380" s="669"/>
      <c r="WNS380" s="669"/>
      <c r="WNT380" s="669"/>
      <c r="WNU380" s="669"/>
      <c r="WNV380" s="669"/>
      <c r="WNW380" s="669"/>
      <c r="WNX380" s="669"/>
      <c r="WNY380" s="669"/>
      <c r="WNZ380" s="669"/>
      <c r="WOA380" s="669"/>
      <c r="WOB380" s="669"/>
      <c r="WOC380" s="669"/>
      <c r="WOD380" s="669"/>
      <c r="WOE380" s="669"/>
      <c r="WOF380" s="669"/>
      <c r="WOG380" s="669"/>
      <c r="WOH380" s="669"/>
      <c r="WOI380" s="669"/>
      <c r="WOJ380" s="669"/>
      <c r="WOK380" s="669"/>
      <c r="WOL380" s="669"/>
      <c r="WOM380" s="669"/>
      <c r="WON380" s="669"/>
      <c r="WOO380" s="669"/>
      <c r="WOP380" s="669"/>
      <c r="WOQ380" s="669"/>
      <c r="WOR380" s="669"/>
      <c r="WOS380" s="669"/>
      <c r="WOT380" s="669"/>
      <c r="WOU380" s="669"/>
      <c r="WOV380" s="669"/>
      <c r="WOW380" s="669"/>
      <c r="WOX380" s="669"/>
      <c r="WOY380" s="669"/>
      <c r="WOZ380" s="669"/>
      <c r="WPA380" s="669"/>
      <c r="WPB380" s="669"/>
      <c r="WPC380" s="669"/>
      <c r="WPD380" s="669"/>
      <c r="WPE380" s="669"/>
      <c r="WPF380" s="669"/>
      <c r="WPG380" s="669"/>
      <c r="WPH380" s="669"/>
      <c r="WPI380" s="669"/>
      <c r="WPJ380" s="669"/>
      <c r="WPK380" s="669"/>
      <c r="WPL380" s="669"/>
      <c r="WPM380" s="669"/>
      <c r="WPN380" s="669"/>
      <c r="WPO380" s="669"/>
      <c r="WPP380" s="669"/>
      <c r="WPQ380" s="669"/>
      <c r="WPR380" s="669"/>
      <c r="WPS380" s="669"/>
      <c r="WPT380" s="669"/>
      <c r="WPU380" s="669"/>
      <c r="WPV380" s="669"/>
      <c r="WPW380" s="669"/>
      <c r="WPX380" s="669"/>
      <c r="WPY380" s="669"/>
      <c r="WPZ380" s="669"/>
      <c r="WQA380" s="669"/>
      <c r="WQB380" s="669"/>
      <c r="WQC380" s="669"/>
      <c r="WQD380" s="669"/>
      <c r="WQE380" s="669"/>
      <c r="WQF380" s="669"/>
      <c r="WQG380" s="669"/>
      <c r="WQH380" s="669"/>
      <c r="WQI380" s="669"/>
      <c r="WQJ380" s="669"/>
      <c r="WQK380" s="669"/>
      <c r="WQL380" s="669"/>
      <c r="WQM380" s="669"/>
      <c r="WQN380" s="669"/>
      <c r="WQO380" s="669"/>
      <c r="WQP380" s="669"/>
      <c r="WQQ380" s="669"/>
      <c r="WQR380" s="669"/>
      <c r="WQS380" s="669"/>
      <c r="WQT380" s="669"/>
      <c r="WQU380" s="669"/>
      <c r="WQV380" s="669"/>
      <c r="WQW380" s="669"/>
      <c r="WQX380" s="669"/>
      <c r="WQY380" s="669"/>
      <c r="WQZ380" s="669"/>
      <c r="WRA380" s="669"/>
      <c r="WRB380" s="669"/>
      <c r="WRC380" s="669"/>
      <c r="WRD380" s="669"/>
      <c r="WRE380" s="669"/>
      <c r="WRF380" s="669"/>
      <c r="WRG380" s="669"/>
      <c r="WRH380" s="669"/>
      <c r="WRI380" s="669"/>
      <c r="WRJ380" s="669"/>
      <c r="WRK380" s="669"/>
      <c r="WRL380" s="669"/>
      <c r="WRM380" s="669"/>
      <c r="WRN380" s="669"/>
      <c r="WRO380" s="669"/>
      <c r="WRP380" s="669"/>
      <c r="WRQ380" s="669"/>
      <c r="WRR380" s="669"/>
      <c r="WRS380" s="669"/>
      <c r="WRT380" s="669"/>
      <c r="WRU380" s="669"/>
      <c r="WRV380" s="669"/>
      <c r="WRW380" s="669"/>
      <c r="WRX380" s="669"/>
      <c r="WRY380" s="669"/>
      <c r="WRZ380" s="669"/>
      <c r="WSA380" s="669"/>
      <c r="WSB380" s="669"/>
      <c r="WSC380" s="669"/>
      <c r="WSD380" s="669"/>
      <c r="WSE380" s="669"/>
      <c r="WSF380" s="669"/>
      <c r="WSG380" s="669"/>
      <c r="WSH380" s="669"/>
      <c r="WSI380" s="669"/>
      <c r="WSJ380" s="669"/>
      <c r="WSK380" s="669"/>
      <c r="WSL380" s="669"/>
      <c r="WSM380" s="669"/>
      <c r="WSN380" s="669"/>
      <c r="WSO380" s="669"/>
      <c r="WSP380" s="669"/>
      <c r="WSQ380" s="669"/>
      <c r="WSR380" s="669"/>
      <c r="WSS380" s="669"/>
      <c r="WST380" s="669"/>
      <c r="WSU380" s="669"/>
      <c r="WSV380" s="669"/>
      <c r="WSW380" s="669"/>
      <c r="WSX380" s="669"/>
      <c r="WSY380" s="669"/>
      <c r="WSZ380" s="669"/>
      <c r="WTA380" s="669"/>
      <c r="WTB380" s="669"/>
      <c r="WTC380" s="669"/>
      <c r="WTD380" s="669"/>
      <c r="WTE380" s="669"/>
      <c r="WTF380" s="669"/>
      <c r="WTG380" s="669"/>
      <c r="WTH380" s="669"/>
      <c r="WTI380" s="669"/>
      <c r="WTJ380" s="669"/>
      <c r="WTK380" s="669"/>
      <c r="WTL380" s="669"/>
      <c r="WTM380" s="669"/>
      <c r="WTN380" s="669"/>
      <c r="WTO380" s="669"/>
      <c r="WTP380" s="669"/>
      <c r="WTQ380" s="669"/>
      <c r="WTR380" s="669"/>
      <c r="WTS380" s="669"/>
      <c r="WTT380" s="669"/>
      <c r="WTU380" s="669"/>
      <c r="WTV380" s="669"/>
      <c r="WTW380" s="669"/>
      <c r="WTX380" s="669"/>
      <c r="WTY380" s="669"/>
      <c r="WTZ380" s="669"/>
      <c r="WUA380" s="669"/>
      <c r="WUB380" s="669"/>
      <c r="WUC380" s="669"/>
      <c r="WUD380" s="669"/>
      <c r="WUE380" s="669"/>
      <c r="WUF380" s="669"/>
      <c r="WUG380" s="669"/>
      <c r="WUH380" s="669"/>
      <c r="WUI380" s="669"/>
      <c r="WUJ380" s="669"/>
      <c r="WUK380" s="669"/>
      <c r="WUL380" s="669"/>
      <c r="WUM380" s="669"/>
      <c r="WUN380" s="669"/>
      <c r="WUO380" s="669"/>
      <c r="WUP380" s="669"/>
      <c r="WUQ380" s="669"/>
      <c r="WUR380" s="669"/>
      <c r="WUS380" s="669"/>
      <c r="WUT380" s="669"/>
      <c r="WUU380" s="669"/>
      <c r="WUV380" s="669"/>
      <c r="WUW380" s="669"/>
      <c r="WUX380" s="669"/>
      <c r="WUY380" s="669"/>
      <c r="WUZ380" s="669"/>
      <c r="WVA380" s="669"/>
      <c r="WVB380" s="669"/>
      <c r="WVC380" s="669"/>
      <c r="WVD380" s="669"/>
      <c r="WVE380" s="669"/>
      <c r="WVF380" s="669"/>
      <c r="WVG380" s="669"/>
      <c r="WVH380" s="669"/>
      <c r="WVI380" s="669"/>
      <c r="WVJ380" s="669"/>
      <c r="WVK380" s="669"/>
      <c r="WVL380" s="669"/>
      <c r="WVM380" s="669"/>
      <c r="WVN380" s="669"/>
      <c r="WVO380" s="669"/>
      <c r="WVP380" s="669"/>
      <c r="WVQ380" s="669"/>
      <c r="WVR380" s="669"/>
      <c r="WVS380" s="669"/>
      <c r="WVT380" s="669"/>
      <c r="WVU380" s="669"/>
      <c r="WVV380" s="669"/>
      <c r="WVW380" s="669"/>
      <c r="WVX380" s="669"/>
      <c r="WVY380" s="669"/>
      <c r="WVZ380" s="669"/>
      <c r="WWA380" s="669"/>
      <c r="WWB380" s="669"/>
      <c r="WWC380" s="669"/>
      <c r="WWD380" s="669"/>
      <c r="WWE380" s="669"/>
      <c r="WWF380" s="669"/>
      <c r="WWG380" s="669"/>
      <c r="WWH380" s="669"/>
      <c r="WWI380" s="669"/>
      <c r="WWJ380" s="669"/>
      <c r="WWK380" s="669"/>
      <c r="WWL380" s="669"/>
      <c r="WWM380" s="669"/>
      <c r="WWN380" s="669"/>
      <c r="WWO380" s="669"/>
      <c r="WWP380" s="669"/>
      <c r="WWQ380" s="669"/>
      <c r="WWR380" s="669"/>
      <c r="WWS380" s="669"/>
      <c r="WWT380" s="669"/>
      <c r="WWU380" s="669"/>
      <c r="WWV380" s="669"/>
      <c r="WWW380" s="669"/>
      <c r="WWX380" s="669"/>
      <c r="WWY380" s="669"/>
      <c r="WWZ380" s="669"/>
      <c r="WXA380" s="669"/>
      <c r="WXB380" s="669"/>
      <c r="WXC380" s="669"/>
      <c r="WXD380" s="669"/>
      <c r="WXE380" s="669"/>
      <c r="WXF380" s="669"/>
      <c r="WXG380" s="669"/>
      <c r="WXH380" s="669"/>
      <c r="WXI380" s="669"/>
      <c r="WXJ380" s="669"/>
      <c r="WXK380" s="669"/>
      <c r="WXL380" s="669"/>
      <c r="WXM380" s="669"/>
      <c r="WXN380" s="669"/>
      <c r="WXO380" s="669"/>
      <c r="WXP380" s="669"/>
      <c r="WXQ380" s="669"/>
      <c r="WXR380" s="669"/>
      <c r="WXS380" s="669"/>
      <c r="WXT380" s="669"/>
      <c r="WXU380" s="669"/>
      <c r="WXV380" s="669"/>
      <c r="WXW380" s="669"/>
      <c r="WXX380" s="669"/>
      <c r="WXY380" s="669"/>
      <c r="WXZ380" s="669"/>
      <c r="WYA380" s="669"/>
      <c r="WYB380" s="669"/>
      <c r="WYC380" s="669"/>
      <c r="WYD380" s="669"/>
      <c r="WYE380" s="669"/>
      <c r="WYF380" s="669"/>
      <c r="WYG380" s="669"/>
      <c r="WYH380" s="669"/>
      <c r="WYI380" s="669"/>
      <c r="WYJ380" s="669"/>
      <c r="WYK380" s="669"/>
      <c r="WYL380" s="669"/>
      <c r="WYM380" s="669"/>
      <c r="WYN380" s="669"/>
      <c r="WYO380" s="669"/>
      <c r="WYP380" s="669"/>
      <c r="WYQ380" s="669"/>
      <c r="WYR380" s="669"/>
      <c r="WYS380" s="669"/>
      <c r="WYT380" s="669"/>
      <c r="WYU380" s="669"/>
      <c r="WYV380" s="669"/>
      <c r="WYW380" s="669"/>
      <c r="WYX380" s="669"/>
      <c r="WYY380" s="669"/>
      <c r="WYZ380" s="669"/>
      <c r="WZA380" s="669"/>
      <c r="WZB380" s="669"/>
      <c r="WZC380" s="669"/>
      <c r="WZD380" s="669"/>
      <c r="WZE380" s="669"/>
      <c r="WZF380" s="669"/>
      <c r="WZG380" s="669"/>
      <c r="WZH380" s="669"/>
      <c r="WZI380" s="669"/>
      <c r="WZJ380" s="669"/>
      <c r="WZK380" s="669"/>
      <c r="WZL380" s="669"/>
      <c r="WZM380" s="669"/>
      <c r="WZN380" s="669"/>
      <c r="WZO380" s="669"/>
      <c r="WZP380" s="669"/>
      <c r="WZQ380" s="669"/>
      <c r="WZR380" s="669"/>
      <c r="WZS380" s="669"/>
      <c r="WZT380" s="669"/>
      <c r="WZU380" s="669"/>
      <c r="WZV380" s="669"/>
      <c r="WZW380" s="669"/>
      <c r="WZX380" s="669"/>
      <c r="WZY380" s="669"/>
      <c r="WZZ380" s="669"/>
      <c r="XAA380" s="669"/>
      <c r="XAB380" s="669"/>
      <c r="XAC380" s="669"/>
      <c r="XAD380" s="669"/>
      <c r="XAE380" s="669"/>
      <c r="XAF380" s="669"/>
      <c r="XAG380" s="669"/>
      <c r="XAH380" s="669"/>
      <c r="XAI380" s="669"/>
      <c r="XAJ380" s="669"/>
      <c r="XAK380" s="669"/>
      <c r="XAL380" s="669"/>
      <c r="XAM380" s="669"/>
      <c r="XAN380" s="669"/>
      <c r="XAO380" s="669"/>
      <c r="XAP380" s="669"/>
      <c r="XAQ380" s="669"/>
      <c r="XAR380" s="669"/>
      <c r="XAS380" s="669"/>
      <c r="XAT380" s="669"/>
      <c r="XAU380" s="669"/>
      <c r="XAV380" s="669"/>
      <c r="XAW380" s="669"/>
      <c r="XAX380" s="669"/>
      <c r="XAY380" s="669"/>
      <c r="XAZ380" s="669"/>
      <c r="XBA380" s="669"/>
      <c r="XBB380" s="669"/>
      <c r="XBC380" s="669"/>
      <c r="XBD380" s="669"/>
      <c r="XBE380" s="669"/>
      <c r="XBF380" s="669"/>
      <c r="XBG380" s="669"/>
      <c r="XBH380" s="669"/>
      <c r="XBI380" s="669"/>
      <c r="XBJ380" s="669"/>
      <c r="XBK380" s="669"/>
      <c r="XBL380" s="669"/>
      <c r="XBM380" s="669"/>
      <c r="XBN380" s="669"/>
      <c r="XBO380" s="669"/>
      <c r="XBP380" s="669"/>
      <c r="XBQ380" s="669"/>
      <c r="XBR380" s="669"/>
      <c r="XBS380" s="669"/>
      <c r="XBT380" s="669"/>
      <c r="XBU380" s="669"/>
      <c r="XBV380" s="669"/>
      <c r="XBW380" s="669"/>
      <c r="XBX380" s="669"/>
      <c r="XBY380" s="669"/>
      <c r="XBZ380" s="669"/>
      <c r="XCA380" s="669"/>
      <c r="XCB380" s="669"/>
      <c r="XCC380" s="669"/>
      <c r="XCD380" s="669"/>
      <c r="XCE380" s="669"/>
      <c r="XCF380" s="669"/>
      <c r="XCG380" s="669"/>
      <c r="XCH380" s="669"/>
      <c r="XCI380" s="669"/>
      <c r="XCJ380" s="669"/>
      <c r="XCK380" s="669"/>
      <c r="XCL380" s="669"/>
      <c r="XCM380" s="669"/>
      <c r="XCN380" s="669"/>
      <c r="XCO380" s="669"/>
      <c r="XCP380" s="669"/>
      <c r="XCQ380" s="669"/>
      <c r="XCR380" s="669"/>
      <c r="XCS380" s="669"/>
      <c r="XCT380" s="669"/>
      <c r="XCU380" s="669"/>
      <c r="XCV380" s="669"/>
      <c r="XCW380" s="669"/>
      <c r="XCX380" s="669"/>
      <c r="XCY380" s="669"/>
      <c r="XCZ380" s="669"/>
      <c r="XDA380" s="669"/>
      <c r="XDB380" s="669"/>
      <c r="XDC380" s="669"/>
      <c r="XDD380" s="669"/>
      <c r="XDE380" s="669"/>
      <c r="XDF380" s="669"/>
      <c r="XDG380" s="669"/>
      <c r="XDH380" s="669"/>
      <c r="XDI380" s="669"/>
      <c r="XDJ380" s="669"/>
      <c r="XDK380" s="669"/>
      <c r="XDL380" s="669"/>
      <c r="XDM380" s="669"/>
      <c r="XDN380" s="669"/>
      <c r="XDO380" s="669"/>
      <c r="XDP380" s="669"/>
      <c r="XDQ380" s="669"/>
      <c r="XDR380" s="669"/>
      <c r="XDS380" s="669"/>
      <c r="XDT380" s="669"/>
      <c r="XDU380" s="669"/>
      <c r="XDV380" s="669"/>
      <c r="XDW380" s="669"/>
      <c r="XDX380" s="669"/>
      <c r="XDY380" s="669"/>
      <c r="XDZ380" s="669"/>
      <c r="XEA380" s="669"/>
      <c r="XEB380" s="669"/>
      <c r="XEC380" s="669"/>
      <c r="XED380" s="669"/>
      <c r="XEE380" s="669"/>
      <c r="XEF380" s="669"/>
      <c r="XEG380" s="669"/>
      <c r="XEH380" s="669"/>
      <c r="XEI380" s="669"/>
      <c r="XEJ380" s="669"/>
      <c r="XEK380" s="669"/>
      <c r="XEL380" s="669"/>
      <c r="XEM380" s="669"/>
      <c r="XEN380" s="669"/>
      <c r="XEO380" s="669"/>
      <c r="XEP380" s="669"/>
      <c r="XEQ380" s="669"/>
      <c r="XER380" s="669"/>
      <c r="XES380" s="669"/>
      <c r="XET380" s="669"/>
      <c r="XEU380" s="669"/>
      <c r="XEV380" s="669"/>
      <c r="XEW380" s="669"/>
      <c r="XEX380" s="669"/>
      <c r="XEY380" s="669"/>
      <c r="XEZ380" s="669"/>
      <c r="XFA380" s="669"/>
      <c r="XFB380" s="669"/>
      <c r="XFC380" s="669"/>
      <c r="XFD380" s="669"/>
    </row>
    <row r="381" spans="1:16384" customFormat="1" ht="14.45" customHeight="1" x14ac:dyDescent="0.25">
      <c r="A381" s="601"/>
      <c r="B381" s="668" t="s">
        <v>1821</v>
      </c>
      <c r="C381" s="668"/>
      <c r="D381" s="668"/>
      <c r="E381" s="668"/>
      <c r="F381" s="669"/>
      <c r="G381" s="669"/>
      <c r="H381" s="669"/>
      <c r="I381" s="669"/>
      <c r="J381" s="669"/>
      <c r="K381" s="601"/>
      <c r="L381" s="601"/>
      <c r="M381" s="601"/>
      <c r="N381" s="601"/>
      <c r="O381" s="601"/>
      <c r="P381" s="669"/>
      <c r="Q381" s="669"/>
      <c r="R381" s="669"/>
      <c r="S381" s="669"/>
      <c r="T381" s="670"/>
      <c r="U381" s="669"/>
      <c r="V381" s="669"/>
      <c r="W381" s="669"/>
      <c r="X381" s="669"/>
      <c r="Y381" s="669"/>
      <c r="Z381" s="669"/>
      <c r="AA381" s="669"/>
      <c r="AB381" s="669"/>
      <c r="AC381" s="669"/>
      <c r="AD381" s="669"/>
      <c r="AE381" s="669"/>
      <c r="AF381" s="669"/>
      <c r="AG381" s="669"/>
      <c r="AH381" s="669"/>
      <c r="AI381" s="669"/>
      <c r="AJ381" s="669"/>
      <c r="AK381" s="669"/>
      <c r="AL381" s="669"/>
      <c r="AM381" s="669"/>
      <c r="AN381" s="669"/>
      <c r="AO381" s="669"/>
      <c r="AP381" s="669"/>
      <c r="AQ381" s="669"/>
      <c r="AR381" s="669"/>
      <c r="AS381" s="669"/>
      <c r="AT381" s="669"/>
      <c r="AU381" s="669"/>
      <c r="AV381" s="669"/>
      <c r="AW381" s="669"/>
      <c r="AX381" s="669"/>
      <c r="AY381" s="669"/>
      <c r="AZ381" s="669"/>
      <c r="BA381" s="669"/>
      <c r="BB381" s="669"/>
      <c r="BC381" s="669"/>
      <c r="BD381" s="669"/>
      <c r="BE381" s="669"/>
      <c r="BF381" s="669"/>
      <c r="BG381" s="669"/>
      <c r="BH381" s="669"/>
      <c r="BI381" s="669"/>
      <c r="BJ381" s="669"/>
      <c r="BK381" s="669"/>
      <c r="BL381" s="669"/>
      <c r="BM381" s="669"/>
      <c r="BN381" s="669"/>
      <c r="BO381" s="669"/>
      <c r="BP381" s="669"/>
      <c r="BQ381" s="669"/>
      <c r="BR381" s="669"/>
      <c r="BS381" s="669"/>
      <c r="BT381" s="669"/>
      <c r="BU381" s="669"/>
      <c r="BV381" s="669"/>
      <c r="BW381" s="669"/>
      <c r="BX381" s="669"/>
      <c r="BY381" s="669"/>
      <c r="BZ381" s="669"/>
      <c r="CA381" s="669"/>
      <c r="CB381" s="669"/>
      <c r="CC381" s="669"/>
      <c r="CD381" s="669"/>
      <c r="CE381" s="669"/>
      <c r="CF381" s="669"/>
      <c r="CG381" s="669"/>
      <c r="CH381" s="669"/>
      <c r="CI381" s="669"/>
      <c r="CJ381" s="669"/>
      <c r="CK381" s="669"/>
      <c r="CL381" s="669"/>
      <c r="CM381" s="669"/>
      <c r="CN381" s="669"/>
      <c r="CO381" s="669"/>
      <c r="CP381" s="669"/>
      <c r="CQ381" s="669"/>
      <c r="CR381" s="669"/>
      <c r="CS381" s="669"/>
      <c r="CT381" s="669"/>
      <c r="CU381" s="669"/>
      <c r="CV381" s="669"/>
      <c r="CW381" s="669"/>
      <c r="CX381" s="669"/>
      <c r="CY381" s="669"/>
      <c r="CZ381" s="669"/>
      <c r="DA381" s="669"/>
      <c r="DB381" s="669"/>
      <c r="DC381" s="669"/>
      <c r="DD381" s="669"/>
      <c r="DE381" s="669"/>
      <c r="DF381" s="669"/>
      <c r="DG381" s="669"/>
      <c r="DH381" s="669"/>
      <c r="DI381" s="669"/>
      <c r="DJ381" s="669"/>
      <c r="DK381" s="669"/>
      <c r="DL381" s="669"/>
      <c r="DM381" s="669"/>
      <c r="DN381" s="669"/>
      <c r="DO381" s="669"/>
      <c r="DP381" s="669"/>
      <c r="DQ381" s="669"/>
      <c r="DR381" s="669"/>
      <c r="DS381" s="669"/>
      <c r="DT381" s="669"/>
      <c r="DU381" s="669"/>
      <c r="DV381" s="669"/>
      <c r="DW381" s="669"/>
      <c r="DX381" s="669"/>
      <c r="DY381" s="669"/>
      <c r="DZ381" s="669"/>
      <c r="EA381" s="669"/>
      <c r="EB381" s="669"/>
      <c r="EC381" s="669"/>
      <c r="ED381" s="669"/>
      <c r="EE381" s="669"/>
      <c r="EF381" s="669"/>
      <c r="EG381" s="669"/>
      <c r="EH381" s="669"/>
      <c r="EI381" s="669"/>
      <c r="EJ381" s="669"/>
      <c r="EK381" s="669"/>
      <c r="EL381" s="669"/>
      <c r="EM381" s="669"/>
      <c r="EN381" s="669"/>
      <c r="EO381" s="669"/>
      <c r="EP381" s="669"/>
      <c r="EQ381" s="669"/>
      <c r="ER381" s="669"/>
      <c r="ES381" s="669"/>
      <c r="ET381" s="669"/>
      <c r="EU381" s="669"/>
      <c r="EV381" s="669"/>
      <c r="EW381" s="669"/>
      <c r="EX381" s="669"/>
      <c r="EY381" s="669"/>
      <c r="EZ381" s="669"/>
      <c r="FA381" s="669"/>
      <c r="FB381" s="669"/>
      <c r="FC381" s="669"/>
      <c r="FD381" s="669"/>
      <c r="FE381" s="669"/>
      <c r="FF381" s="669"/>
      <c r="FG381" s="669"/>
      <c r="FH381" s="669"/>
      <c r="FI381" s="669"/>
      <c r="FJ381" s="669"/>
      <c r="FK381" s="669"/>
      <c r="FL381" s="669"/>
      <c r="FM381" s="669"/>
      <c r="FN381" s="669"/>
      <c r="FO381" s="669"/>
      <c r="FP381" s="669"/>
      <c r="FQ381" s="669"/>
      <c r="FR381" s="669"/>
      <c r="FS381" s="669"/>
      <c r="FT381" s="669"/>
      <c r="FU381" s="669"/>
      <c r="FV381" s="669"/>
      <c r="FW381" s="669"/>
      <c r="FX381" s="669"/>
      <c r="FY381" s="669"/>
      <c r="FZ381" s="669"/>
      <c r="GA381" s="669"/>
      <c r="GB381" s="669"/>
      <c r="GC381" s="669"/>
      <c r="GD381" s="669"/>
      <c r="GE381" s="669"/>
      <c r="GF381" s="669"/>
      <c r="GG381" s="669"/>
      <c r="GH381" s="669"/>
      <c r="GI381" s="669"/>
      <c r="GJ381" s="669"/>
      <c r="GK381" s="669"/>
      <c r="GL381" s="669"/>
      <c r="GM381" s="669"/>
      <c r="GN381" s="669"/>
      <c r="GO381" s="669"/>
      <c r="GP381" s="669"/>
      <c r="GQ381" s="669"/>
      <c r="GR381" s="669"/>
      <c r="GS381" s="669"/>
      <c r="GT381" s="669"/>
      <c r="GU381" s="669"/>
      <c r="GV381" s="669"/>
      <c r="GW381" s="669"/>
      <c r="GX381" s="669"/>
      <c r="GY381" s="669"/>
      <c r="GZ381" s="669"/>
      <c r="HA381" s="669"/>
      <c r="HB381" s="669"/>
      <c r="HC381" s="669"/>
      <c r="HD381" s="669"/>
      <c r="HE381" s="669"/>
      <c r="HF381" s="669"/>
      <c r="HG381" s="669"/>
      <c r="HH381" s="669"/>
      <c r="HI381" s="669"/>
      <c r="HJ381" s="669"/>
      <c r="HK381" s="669"/>
      <c r="HL381" s="669"/>
      <c r="HM381" s="669"/>
      <c r="HN381" s="669"/>
      <c r="HO381" s="669"/>
      <c r="HP381" s="669"/>
      <c r="HQ381" s="669"/>
      <c r="HR381" s="669"/>
      <c r="HS381" s="669"/>
      <c r="HT381" s="669"/>
      <c r="HU381" s="669"/>
      <c r="HV381" s="669"/>
      <c r="HW381" s="669"/>
      <c r="HX381" s="669"/>
      <c r="HY381" s="669"/>
      <c r="HZ381" s="669"/>
      <c r="IA381" s="669"/>
      <c r="IB381" s="669"/>
      <c r="IC381" s="669"/>
      <c r="ID381" s="669"/>
      <c r="IE381" s="669"/>
      <c r="IF381" s="669"/>
      <c r="IG381" s="669"/>
      <c r="IH381" s="669"/>
      <c r="II381" s="669"/>
      <c r="IJ381" s="669"/>
      <c r="IK381" s="669"/>
      <c r="IL381" s="669"/>
      <c r="IM381" s="669"/>
      <c r="IN381" s="669"/>
      <c r="IO381" s="669"/>
      <c r="IP381" s="669"/>
      <c r="IQ381" s="669"/>
      <c r="IR381" s="669"/>
      <c r="IS381" s="669"/>
      <c r="IT381" s="669"/>
      <c r="IU381" s="669"/>
      <c r="IV381" s="669"/>
      <c r="IW381" s="669"/>
      <c r="IX381" s="669"/>
      <c r="IY381" s="669"/>
      <c r="IZ381" s="669"/>
      <c r="JA381" s="669"/>
      <c r="JB381" s="669"/>
      <c r="JC381" s="669"/>
      <c r="JD381" s="669"/>
      <c r="JE381" s="669"/>
      <c r="JF381" s="669"/>
      <c r="JG381" s="669"/>
      <c r="JH381" s="669"/>
      <c r="JI381" s="669"/>
      <c r="JJ381" s="669"/>
      <c r="JK381" s="669"/>
      <c r="JL381" s="669"/>
      <c r="JM381" s="669"/>
      <c r="JN381" s="669"/>
      <c r="JO381" s="669"/>
      <c r="JP381" s="669"/>
      <c r="JQ381" s="669"/>
      <c r="JR381" s="669"/>
      <c r="JS381" s="669"/>
      <c r="JT381" s="669"/>
      <c r="JU381" s="669"/>
      <c r="JV381" s="669"/>
      <c r="JW381" s="669"/>
      <c r="JX381" s="669"/>
      <c r="JY381" s="669"/>
      <c r="JZ381" s="669"/>
      <c r="KA381" s="669"/>
      <c r="KB381" s="669"/>
      <c r="KC381" s="669"/>
      <c r="KD381" s="669"/>
      <c r="KE381" s="669"/>
      <c r="KF381" s="669"/>
      <c r="KG381" s="669"/>
      <c r="KH381" s="669"/>
      <c r="KI381" s="669"/>
      <c r="KJ381" s="669"/>
      <c r="KK381" s="669"/>
      <c r="KL381" s="669"/>
      <c r="KM381" s="669"/>
      <c r="KN381" s="669"/>
      <c r="KO381" s="669"/>
      <c r="KP381" s="669"/>
      <c r="KQ381" s="669"/>
      <c r="KR381" s="669"/>
      <c r="KS381" s="669"/>
      <c r="KT381" s="669"/>
      <c r="KU381" s="669"/>
      <c r="KV381" s="669"/>
      <c r="KW381" s="669"/>
      <c r="KX381" s="669"/>
      <c r="KY381" s="669"/>
      <c r="KZ381" s="669"/>
      <c r="LA381" s="669"/>
      <c r="LB381" s="669"/>
      <c r="LC381" s="669"/>
      <c r="LD381" s="669"/>
      <c r="LE381" s="669"/>
      <c r="LF381" s="669"/>
      <c r="LG381" s="669"/>
      <c r="LH381" s="669"/>
      <c r="LI381" s="669"/>
      <c r="LJ381" s="669"/>
      <c r="LK381" s="669"/>
      <c r="LL381" s="669"/>
      <c r="LM381" s="669"/>
      <c r="LN381" s="669"/>
      <c r="LO381" s="669"/>
      <c r="LP381" s="669"/>
      <c r="LQ381" s="669"/>
      <c r="LR381" s="669"/>
      <c r="LS381" s="669"/>
      <c r="LT381" s="669"/>
      <c r="LU381" s="669"/>
      <c r="LV381" s="669"/>
      <c r="LW381" s="669"/>
      <c r="LX381" s="669"/>
      <c r="LY381" s="669"/>
      <c r="LZ381" s="669"/>
      <c r="MA381" s="669"/>
      <c r="MB381" s="669"/>
      <c r="MC381" s="669"/>
      <c r="MD381" s="669"/>
      <c r="ME381" s="669"/>
      <c r="MF381" s="669"/>
      <c r="MG381" s="669"/>
      <c r="MH381" s="669"/>
      <c r="MI381" s="669"/>
      <c r="MJ381" s="669"/>
      <c r="MK381" s="669"/>
      <c r="ML381" s="669"/>
      <c r="MM381" s="669"/>
      <c r="MN381" s="669"/>
      <c r="MO381" s="669"/>
      <c r="MP381" s="669"/>
      <c r="MQ381" s="669"/>
      <c r="MR381" s="669"/>
      <c r="MS381" s="669"/>
      <c r="MT381" s="669"/>
      <c r="MU381" s="669"/>
      <c r="MV381" s="669"/>
      <c r="MW381" s="669"/>
      <c r="MX381" s="669"/>
      <c r="MY381" s="669"/>
      <c r="MZ381" s="669"/>
      <c r="NA381" s="669"/>
      <c r="NB381" s="669"/>
      <c r="NC381" s="669"/>
      <c r="ND381" s="669"/>
      <c r="NE381" s="669"/>
      <c r="NF381" s="669"/>
      <c r="NG381" s="669"/>
      <c r="NH381" s="669"/>
      <c r="NI381" s="669"/>
      <c r="NJ381" s="669"/>
      <c r="NK381" s="669"/>
      <c r="NL381" s="669"/>
      <c r="NM381" s="669"/>
      <c r="NN381" s="669"/>
      <c r="NO381" s="669"/>
      <c r="NP381" s="669"/>
      <c r="NQ381" s="669"/>
      <c r="NR381" s="669"/>
      <c r="NS381" s="669"/>
      <c r="NT381" s="669"/>
      <c r="NU381" s="669"/>
      <c r="NV381" s="669"/>
      <c r="NW381" s="669"/>
      <c r="NX381" s="669"/>
      <c r="NY381" s="669"/>
      <c r="NZ381" s="669"/>
      <c r="OA381" s="669"/>
      <c r="OB381" s="669"/>
      <c r="OC381" s="669"/>
      <c r="OD381" s="669"/>
      <c r="OE381" s="669"/>
      <c r="OF381" s="669"/>
      <c r="OG381" s="669"/>
      <c r="OH381" s="669"/>
      <c r="OI381" s="669"/>
      <c r="OJ381" s="669"/>
      <c r="OK381" s="669"/>
      <c r="OL381" s="669"/>
      <c r="OM381" s="669"/>
      <c r="ON381" s="669"/>
      <c r="OO381" s="669"/>
      <c r="OP381" s="669"/>
      <c r="OQ381" s="669"/>
      <c r="OR381" s="669"/>
      <c r="OS381" s="669"/>
      <c r="OT381" s="669"/>
      <c r="OU381" s="669"/>
      <c r="OV381" s="669"/>
      <c r="OW381" s="669"/>
      <c r="OX381" s="669"/>
      <c r="OY381" s="669"/>
      <c r="OZ381" s="669"/>
      <c r="PA381" s="669"/>
      <c r="PB381" s="669"/>
      <c r="PC381" s="669"/>
      <c r="PD381" s="669"/>
      <c r="PE381" s="669"/>
      <c r="PF381" s="669"/>
      <c r="PG381" s="669"/>
      <c r="PH381" s="669"/>
      <c r="PI381" s="669"/>
      <c r="PJ381" s="669"/>
      <c r="PK381" s="669"/>
      <c r="PL381" s="669"/>
      <c r="PM381" s="669"/>
      <c r="PN381" s="669"/>
      <c r="PO381" s="669"/>
      <c r="PP381" s="669"/>
      <c r="PQ381" s="669"/>
      <c r="PR381" s="669"/>
      <c r="PS381" s="669"/>
      <c r="PT381" s="669"/>
      <c r="PU381" s="669"/>
      <c r="PV381" s="669"/>
      <c r="PW381" s="669"/>
      <c r="PX381" s="669"/>
      <c r="PY381" s="669"/>
      <c r="PZ381" s="669"/>
      <c r="QA381" s="669"/>
      <c r="QB381" s="669"/>
      <c r="QC381" s="669"/>
      <c r="QD381" s="669"/>
      <c r="QE381" s="669"/>
      <c r="QF381" s="669"/>
      <c r="QG381" s="669"/>
      <c r="QH381" s="669"/>
      <c r="QI381" s="669"/>
      <c r="QJ381" s="669"/>
      <c r="QK381" s="669"/>
      <c r="QL381" s="669"/>
      <c r="QM381" s="669"/>
      <c r="QN381" s="669"/>
      <c r="QO381" s="669"/>
      <c r="QP381" s="669"/>
      <c r="QQ381" s="669"/>
      <c r="QR381" s="669"/>
      <c r="QS381" s="669"/>
      <c r="QT381" s="669"/>
      <c r="QU381" s="669"/>
      <c r="QV381" s="669"/>
      <c r="QW381" s="669"/>
      <c r="QX381" s="669"/>
      <c r="QY381" s="669"/>
      <c r="QZ381" s="669"/>
      <c r="RA381" s="669"/>
      <c r="RB381" s="669"/>
      <c r="RC381" s="669"/>
      <c r="RD381" s="669"/>
      <c r="RE381" s="669"/>
      <c r="RF381" s="669"/>
      <c r="RG381" s="669"/>
      <c r="RH381" s="669"/>
      <c r="RI381" s="669"/>
      <c r="RJ381" s="669"/>
      <c r="RK381" s="669"/>
      <c r="RL381" s="669"/>
      <c r="RM381" s="669"/>
      <c r="RN381" s="669"/>
      <c r="RO381" s="669"/>
      <c r="RP381" s="669"/>
      <c r="RQ381" s="669"/>
      <c r="RR381" s="669"/>
      <c r="RS381" s="669"/>
      <c r="RT381" s="669"/>
      <c r="RU381" s="669"/>
      <c r="RV381" s="669"/>
      <c r="RW381" s="669"/>
      <c r="RX381" s="669"/>
      <c r="RY381" s="669"/>
      <c r="RZ381" s="669"/>
      <c r="SA381" s="669"/>
      <c r="SB381" s="669"/>
      <c r="SC381" s="669"/>
      <c r="SD381" s="669"/>
      <c r="SE381" s="669"/>
      <c r="SF381" s="669"/>
      <c r="SG381" s="669"/>
      <c r="SH381" s="669"/>
      <c r="SI381" s="669"/>
      <c r="SJ381" s="669"/>
      <c r="SK381" s="669"/>
      <c r="SL381" s="669"/>
      <c r="SM381" s="669"/>
      <c r="SN381" s="669"/>
      <c r="SO381" s="669"/>
      <c r="SP381" s="669"/>
      <c r="SQ381" s="669"/>
      <c r="SR381" s="669"/>
      <c r="SS381" s="669"/>
      <c r="ST381" s="669"/>
      <c r="SU381" s="669"/>
      <c r="SV381" s="669"/>
      <c r="SW381" s="669"/>
      <c r="SX381" s="669"/>
      <c r="SY381" s="669"/>
      <c r="SZ381" s="669"/>
      <c r="TA381" s="669"/>
      <c r="TB381" s="669"/>
      <c r="TC381" s="669"/>
      <c r="TD381" s="669"/>
      <c r="TE381" s="669"/>
      <c r="TF381" s="669"/>
      <c r="TG381" s="669"/>
      <c r="TH381" s="669"/>
      <c r="TI381" s="669"/>
      <c r="TJ381" s="669"/>
      <c r="TK381" s="669"/>
      <c r="TL381" s="669"/>
      <c r="TM381" s="669"/>
      <c r="TN381" s="669"/>
      <c r="TO381" s="669"/>
      <c r="TP381" s="669"/>
      <c r="TQ381" s="669"/>
      <c r="TR381" s="669"/>
      <c r="TS381" s="669"/>
      <c r="TT381" s="669"/>
      <c r="TU381" s="669"/>
      <c r="TV381" s="669"/>
      <c r="TW381" s="669"/>
      <c r="TX381" s="669"/>
      <c r="TY381" s="669"/>
      <c r="TZ381" s="669"/>
      <c r="UA381" s="669"/>
      <c r="UB381" s="669"/>
      <c r="UC381" s="669"/>
      <c r="UD381" s="669"/>
      <c r="UE381" s="669"/>
      <c r="UF381" s="669"/>
      <c r="UG381" s="669"/>
      <c r="UH381" s="669"/>
      <c r="UI381" s="669"/>
      <c r="UJ381" s="669"/>
      <c r="UK381" s="669"/>
      <c r="UL381" s="669"/>
      <c r="UM381" s="669"/>
      <c r="UN381" s="669"/>
      <c r="UO381" s="669"/>
      <c r="UP381" s="669"/>
      <c r="UQ381" s="669"/>
      <c r="UR381" s="669"/>
      <c r="US381" s="669"/>
      <c r="UT381" s="669"/>
      <c r="UU381" s="669"/>
      <c r="UV381" s="669"/>
      <c r="UW381" s="669"/>
      <c r="UX381" s="669"/>
      <c r="UY381" s="669"/>
      <c r="UZ381" s="669"/>
      <c r="VA381" s="669"/>
      <c r="VB381" s="669"/>
      <c r="VC381" s="669"/>
      <c r="VD381" s="669"/>
      <c r="VE381" s="669"/>
      <c r="VF381" s="669"/>
      <c r="VG381" s="669"/>
      <c r="VH381" s="669"/>
      <c r="VI381" s="669"/>
      <c r="VJ381" s="669"/>
      <c r="VK381" s="669"/>
      <c r="VL381" s="669"/>
      <c r="VM381" s="669"/>
      <c r="VN381" s="669"/>
      <c r="VO381" s="669"/>
      <c r="VP381" s="669"/>
      <c r="VQ381" s="669"/>
      <c r="VR381" s="669"/>
      <c r="VS381" s="669"/>
      <c r="VT381" s="669"/>
      <c r="VU381" s="669"/>
      <c r="VV381" s="669"/>
      <c r="VW381" s="669"/>
      <c r="VX381" s="669"/>
      <c r="VY381" s="669"/>
      <c r="VZ381" s="669"/>
      <c r="WA381" s="669"/>
      <c r="WB381" s="669"/>
      <c r="WC381" s="669"/>
      <c r="WD381" s="669"/>
      <c r="WE381" s="669"/>
      <c r="WF381" s="669"/>
      <c r="WG381" s="669"/>
      <c r="WH381" s="669"/>
      <c r="WI381" s="669"/>
      <c r="WJ381" s="669"/>
      <c r="WK381" s="669"/>
      <c r="WL381" s="669"/>
      <c r="WM381" s="669"/>
      <c r="WN381" s="669"/>
      <c r="WO381" s="669"/>
      <c r="WP381" s="669"/>
      <c r="WQ381" s="669"/>
      <c r="WR381" s="669"/>
      <c r="WS381" s="669"/>
      <c r="WT381" s="669"/>
      <c r="WU381" s="669"/>
      <c r="WV381" s="669"/>
      <c r="WW381" s="669"/>
      <c r="WX381" s="669"/>
      <c r="WY381" s="669"/>
      <c r="WZ381" s="669"/>
      <c r="XA381" s="669"/>
      <c r="XB381" s="669"/>
      <c r="XC381" s="669"/>
      <c r="XD381" s="669"/>
      <c r="XE381" s="669"/>
      <c r="XF381" s="669"/>
      <c r="XG381" s="669"/>
      <c r="XH381" s="669"/>
      <c r="XI381" s="669"/>
      <c r="XJ381" s="669"/>
      <c r="XK381" s="669"/>
      <c r="XL381" s="669"/>
      <c r="XM381" s="669"/>
      <c r="XN381" s="669"/>
      <c r="XO381" s="669"/>
      <c r="XP381" s="669"/>
      <c r="XQ381" s="669"/>
      <c r="XR381" s="669"/>
      <c r="XS381" s="669"/>
      <c r="XT381" s="669"/>
      <c r="XU381" s="669"/>
      <c r="XV381" s="669"/>
      <c r="XW381" s="669"/>
      <c r="XX381" s="669"/>
      <c r="XY381" s="669"/>
      <c r="XZ381" s="669"/>
      <c r="YA381" s="669"/>
      <c r="YB381" s="669"/>
      <c r="YC381" s="669"/>
      <c r="YD381" s="669"/>
      <c r="YE381" s="669"/>
      <c r="YF381" s="669"/>
      <c r="YG381" s="669"/>
      <c r="YH381" s="669"/>
      <c r="YI381" s="669"/>
      <c r="YJ381" s="669"/>
      <c r="YK381" s="669"/>
      <c r="YL381" s="669"/>
      <c r="YM381" s="669"/>
      <c r="YN381" s="669"/>
      <c r="YO381" s="669"/>
      <c r="YP381" s="669"/>
      <c r="YQ381" s="669"/>
      <c r="YR381" s="669"/>
      <c r="YS381" s="669"/>
      <c r="YT381" s="669"/>
      <c r="YU381" s="669"/>
      <c r="YV381" s="669"/>
      <c r="YW381" s="669"/>
      <c r="YX381" s="669"/>
      <c r="YY381" s="669"/>
      <c r="YZ381" s="669"/>
      <c r="ZA381" s="669"/>
      <c r="ZB381" s="669"/>
      <c r="ZC381" s="669"/>
      <c r="ZD381" s="669"/>
      <c r="ZE381" s="669"/>
      <c r="ZF381" s="669"/>
      <c r="ZG381" s="669"/>
      <c r="ZH381" s="669"/>
      <c r="ZI381" s="669"/>
      <c r="ZJ381" s="669"/>
      <c r="ZK381" s="669"/>
      <c r="ZL381" s="669"/>
      <c r="ZM381" s="669"/>
      <c r="ZN381" s="669"/>
      <c r="ZO381" s="669"/>
      <c r="ZP381" s="669"/>
      <c r="ZQ381" s="669"/>
      <c r="ZR381" s="669"/>
      <c r="ZS381" s="669"/>
      <c r="ZT381" s="669"/>
      <c r="ZU381" s="669"/>
      <c r="ZV381" s="669"/>
      <c r="ZW381" s="669"/>
      <c r="ZX381" s="669"/>
      <c r="ZY381" s="669"/>
      <c r="ZZ381" s="669"/>
      <c r="AAA381" s="669"/>
      <c r="AAB381" s="669"/>
      <c r="AAC381" s="669"/>
      <c r="AAD381" s="669"/>
      <c r="AAE381" s="669"/>
      <c r="AAF381" s="669"/>
      <c r="AAG381" s="669"/>
      <c r="AAH381" s="669"/>
      <c r="AAI381" s="669"/>
      <c r="AAJ381" s="669"/>
      <c r="AAK381" s="669"/>
      <c r="AAL381" s="669"/>
      <c r="AAM381" s="669"/>
      <c r="AAN381" s="669"/>
      <c r="AAO381" s="669"/>
      <c r="AAP381" s="669"/>
      <c r="AAQ381" s="669"/>
      <c r="AAR381" s="669"/>
      <c r="AAS381" s="669"/>
      <c r="AAT381" s="669"/>
      <c r="AAU381" s="669"/>
      <c r="AAV381" s="669"/>
      <c r="AAW381" s="669"/>
      <c r="AAX381" s="669"/>
      <c r="AAY381" s="669"/>
      <c r="AAZ381" s="669"/>
      <c r="ABA381" s="669"/>
      <c r="ABB381" s="669"/>
      <c r="ABC381" s="669"/>
      <c r="ABD381" s="669"/>
      <c r="ABE381" s="669"/>
      <c r="ABF381" s="669"/>
      <c r="ABG381" s="669"/>
      <c r="ABH381" s="669"/>
      <c r="ABI381" s="669"/>
      <c r="ABJ381" s="669"/>
      <c r="ABK381" s="669"/>
      <c r="ABL381" s="669"/>
      <c r="ABM381" s="669"/>
      <c r="ABN381" s="669"/>
      <c r="ABO381" s="669"/>
      <c r="ABP381" s="669"/>
      <c r="ABQ381" s="669"/>
      <c r="ABR381" s="669"/>
      <c r="ABS381" s="669"/>
      <c r="ABT381" s="669"/>
      <c r="ABU381" s="669"/>
      <c r="ABV381" s="669"/>
      <c r="ABW381" s="669"/>
      <c r="ABX381" s="669"/>
      <c r="ABY381" s="669"/>
      <c r="ABZ381" s="669"/>
      <c r="ACA381" s="669"/>
      <c r="ACB381" s="669"/>
      <c r="ACC381" s="669"/>
      <c r="ACD381" s="669"/>
      <c r="ACE381" s="669"/>
      <c r="ACF381" s="669"/>
      <c r="ACG381" s="669"/>
      <c r="ACH381" s="669"/>
      <c r="ACI381" s="669"/>
      <c r="ACJ381" s="669"/>
      <c r="ACK381" s="669"/>
      <c r="ACL381" s="669"/>
      <c r="ACM381" s="669"/>
      <c r="ACN381" s="669"/>
      <c r="ACO381" s="669"/>
      <c r="ACP381" s="669"/>
      <c r="ACQ381" s="669"/>
      <c r="ACR381" s="669"/>
      <c r="ACS381" s="669"/>
      <c r="ACT381" s="669"/>
      <c r="ACU381" s="669"/>
      <c r="ACV381" s="669"/>
      <c r="ACW381" s="669"/>
      <c r="ACX381" s="669"/>
      <c r="ACY381" s="669"/>
      <c r="ACZ381" s="669"/>
      <c r="ADA381" s="669"/>
      <c r="ADB381" s="669"/>
      <c r="ADC381" s="669"/>
      <c r="ADD381" s="669"/>
      <c r="ADE381" s="669"/>
      <c r="ADF381" s="669"/>
      <c r="ADG381" s="669"/>
      <c r="ADH381" s="669"/>
      <c r="ADI381" s="669"/>
      <c r="ADJ381" s="669"/>
      <c r="ADK381" s="669"/>
      <c r="ADL381" s="669"/>
      <c r="ADM381" s="669"/>
      <c r="ADN381" s="669"/>
      <c r="ADO381" s="669"/>
      <c r="ADP381" s="669"/>
      <c r="ADQ381" s="669"/>
      <c r="ADR381" s="669"/>
      <c r="ADS381" s="669"/>
      <c r="ADT381" s="669"/>
      <c r="ADU381" s="669"/>
      <c r="ADV381" s="669"/>
      <c r="ADW381" s="669"/>
      <c r="ADX381" s="669"/>
      <c r="ADY381" s="669"/>
      <c r="ADZ381" s="669"/>
      <c r="AEA381" s="669"/>
      <c r="AEB381" s="669"/>
      <c r="AEC381" s="669"/>
      <c r="AED381" s="669"/>
      <c r="AEE381" s="669"/>
      <c r="AEF381" s="669"/>
      <c r="AEG381" s="669"/>
      <c r="AEH381" s="669"/>
      <c r="AEI381" s="669"/>
      <c r="AEJ381" s="669"/>
      <c r="AEK381" s="669"/>
      <c r="AEL381" s="669"/>
      <c r="AEM381" s="669"/>
      <c r="AEN381" s="669"/>
      <c r="AEO381" s="669"/>
      <c r="AEP381" s="669"/>
      <c r="AEQ381" s="669"/>
      <c r="AER381" s="669"/>
      <c r="AES381" s="669"/>
      <c r="AET381" s="669"/>
      <c r="AEU381" s="669"/>
      <c r="AEV381" s="669"/>
      <c r="AEW381" s="669"/>
      <c r="AEX381" s="669"/>
      <c r="AEY381" s="669"/>
      <c r="AEZ381" s="669"/>
      <c r="AFA381" s="669"/>
      <c r="AFB381" s="669"/>
      <c r="AFC381" s="669"/>
      <c r="AFD381" s="669"/>
      <c r="AFE381" s="669"/>
      <c r="AFF381" s="669"/>
      <c r="AFG381" s="669"/>
      <c r="AFH381" s="669"/>
      <c r="AFI381" s="669"/>
      <c r="AFJ381" s="669"/>
      <c r="AFK381" s="669"/>
      <c r="AFL381" s="669"/>
      <c r="AFM381" s="669"/>
      <c r="AFN381" s="669"/>
      <c r="AFO381" s="669"/>
      <c r="AFP381" s="669"/>
      <c r="AFQ381" s="669"/>
      <c r="AFR381" s="669"/>
      <c r="AFS381" s="669"/>
      <c r="AFT381" s="669"/>
      <c r="AFU381" s="669"/>
      <c r="AFV381" s="669"/>
      <c r="AFW381" s="669"/>
      <c r="AFX381" s="669"/>
      <c r="AFY381" s="669"/>
      <c r="AFZ381" s="669"/>
      <c r="AGA381" s="669"/>
      <c r="AGB381" s="669"/>
      <c r="AGC381" s="669"/>
      <c r="AGD381" s="669"/>
      <c r="AGE381" s="669"/>
      <c r="AGF381" s="669"/>
      <c r="AGG381" s="669"/>
      <c r="AGH381" s="669"/>
      <c r="AGI381" s="669"/>
      <c r="AGJ381" s="669"/>
      <c r="AGK381" s="669"/>
      <c r="AGL381" s="669"/>
      <c r="AGM381" s="669"/>
      <c r="AGN381" s="669"/>
      <c r="AGO381" s="669"/>
      <c r="AGP381" s="669"/>
      <c r="AGQ381" s="669"/>
      <c r="AGR381" s="669"/>
      <c r="AGS381" s="669"/>
      <c r="AGT381" s="669"/>
      <c r="AGU381" s="669"/>
      <c r="AGV381" s="669"/>
      <c r="AGW381" s="669"/>
      <c r="AGX381" s="669"/>
      <c r="AGY381" s="669"/>
      <c r="AGZ381" s="669"/>
      <c r="AHA381" s="669"/>
      <c r="AHB381" s="669"/>
      <c r="AHC381" s="669"/>
      <c r="AHD381" s="669"/>
      <c r="AHE381" s="669"/>
      <c r="AHF381" s="669"/>
      <c r="AHG381" s="669"/>
      <c r="AHH381" s="669"/>
      <c r="AHI381" s="669"/>
      <c r="AHJ381" s="669"/>
      <c r="AHK381" s="669"/>
      <c r="AHL381" s="669"/>
      <c r="AHM381" s="669"/>
      <c r="AHN381" s="669"/>
      <c r="AHO381" s="669"/>
      <c r="AHP381" s="669"/>
      <c r="AHQ381" s="669"/>
      <c r="AHR381" s="669"/>
      <c r="AHS381" s="669"/>
      <c r="AHT381" s="669"/>
      <c r="AHU381" s="669"/>
      <c r="AHV381" s="669"/>
      <c r="AHW381" s="669"/>
      <c r="AHX381" s="669"/>
      <c r="AHY381" s="669"/>
      <c r="AHZ381" s="669"/>
      <c r="AIA381" s="669"/>
      <c r="AIB381" s="669"/>
      <c r="AIC381" s="669"/>
      <c r="AID381" s="669"/>
      <c r="AIE381" s="669"/>
      <c r="AIF381" s="669"/>
      <c r="AIG381" s="669"/>
      <c r="AIH381" s="669"/>
      <c r="AII381" s="669"/>
      <c r="AIJ381" s="669"/>
      <c r="AIK381" s="669"/>
      <c r="AIL381" s="669"/>
      <c r="AIM381" s="669"/>
      <c r="AIN381" s="669"/>
      <c r="AIO381" s="669"/>
      <c r="AIP381" s="669"/>
      <c r="AIQ381" s="669"/>
      <c r="AIR381" s="669"/>
      <c r="AIS381" s="669"/>
      <c r="AIT381" s="669"/>
      <c r="AIU381" s="669"/>
      <c r="AIV381" s="669"/>
      <c r="AIW381" s="669"/>
      <c r="AIX381" s="669"/>
      <c r="AIY381" s="669"/>
      <c r="AIZ381" s="669"/>
      <c r="AJA381" s="669"/>
      <c r="AJB381" s="669"/>
      <c r="AJC381" s="669"/>
      <c r="AJD381" s="669"/>
      <c r="AJE381" s="669"/>
      <c r="AJF381" s="669"/>
      <c r="AJG381" s="669"/>
      <c r="AJH381" s="669"/>
      <c r="AJI381" s="669"/>
      <c r="AJJ381" s="669"/>
      <c r="AJK381" s="669"/>
      <c r="AJL381" s="669"/>
      <c r="AJM381" s="669"/>
      <c r="AJN381" s="669"/>
      <c r="AJO381" s="669"/>
      <c r="AJP381" s="669"/>
      <c r="AJQ381" s="669"/>
      <c r="AJR381" s="669"/>
      <c r="AJS381" s="669"/>
      <c r="AJT381" s="669"/>
      <c r="AJU381" s="669"/>
      <c r="AJV381" s="669"/>
      <c r="AJW381" s="669"/>
      <c r="AJX381" s="669"/>
      <c r="AJY381" s="669"/>
      <c r="AJZ381" s="669"/>
      <c r="AKA381" s="669"/>
      <c r="AKB381" s="669"/>
      <c r="AKC381" s="669"/>
      <c r="AKD381" s="669"/>
      <c r="AKE381" s="669"/>
      <c r="AKF381" s="669"/>
      <c r="AKG381" s="669"/>
      <c r="AKH381" s="669"/>
      <c r="AKI381" s="669"/>
      <c r="AKJ381" s="669"/>
      <c r="AKK381" s="669"/>
      <c r="AKL381" s="669"/>
      <c r="AKM381" s="669"/>
      <c r="AKN381" s="669"/>
      <c r="AKO381" s="669"/>
      <c r="AKP381" s="669"/>
      <c r="AKQ381" s="669"/>
      <c r="AKR381" s="669"/>
      <c r="AKS381" s="669"/>
      <c r="AKT381" s="669"/>
      <c r="AKU381" s="669"/>
      <c r="AKV381" s="669"/>
      <c r="AKW381" s="669"/>
      <c r="AKX381" s="669"/>
      <c r="AKY381" s="669"/>
      <c r="AKZ381" s="669"/>
      <c r="ALA381" s="669"/>
      <c r="ALB381" s="669"/>
      <c r="ALC381" s="669"/>
      <c r="ALD381" s="669"/>
      <c r="ALE381" s="669"/>
      <c r="ALF381" s="669"/>
      <c r="ALG381" s="669"/>
      <c r="ALH381" s="669"/>
      <c r="ALI381" s="669"/>
      <c r="ALJ381" s="669"/>
      <c r="ALK381" s="669"/>
      <c r="ALL381" s="669"/>
      <c r="ALM381" s="669"/>
      <c r="ALN381" s="669"/>
      <c r="ALO381" s="669"/>
      <c r="ALP381" s="669"/>
      <c r="ALQ381" s="669"/>
      <c r="ALR381" s="669"/>
      <c r="ALS381" s="669"/>
      <c r="ALT381" s="669"/>
      <c r="ALU381" s="669"/>
      <c r="ALV381" s="669"/>
      <c r="ALW381" s="669"/>
      <c r="ALX381" s="669"/>
      <c r="ALY381" s="669"/>
      <c r="ALZ381" s="669"/>
      <c r="AMA381" s="669"/>
      <c r="AMB381" s="669"/>
      <c r="AMC381" s="669"/>
      <c r="AMD381" s="669"/>
      <c r="AME381" s="669"/>
      <c r="AMF381" s="669"/>
      <c r="AMG381" s="669"/>
      <c r="AMH381" s="669"/>
      <c r="AMI381" s="669"/>
      <c r="AMJ381" s="669"/>
      <c r="AMK381" s="669"/>
      <c r="AML381" s="669"/>
      <c r="AMM381" s="669"/>
      <c r="AMN381" s="669"/>
      <c r="AMO381" s="669"/>
      <c r="AMP381" s="669"/>
      <c r="AMQ381" s="669"/>
      <c r="AMR381" s="669"/>
      <c r="AMS381" s="669"/>
      <c r="AMT381" s="669"/>
      <c r="AMU381" s="669"/>
      <c r="AMV381" s="669"/>
      <c r="AMW381" s="669"/>
      <c r="AMX381" s="669"/>
      <c r="AMY381" s="669"/>
      <c r="AMZ381" s="669"/>
      <c r="ANA381" s="669"/>
      <c r="ANB381" s="669"/>
      <c r="ANC381" s="669"/>
      <c r="AND381" s="669"/>
      <c r="ANE381" s="669"/>
      <c r="ANF381" s="669"/>
      <c r="ANG381" s="669"/>
      <c r="ANH381" s="669"/>
      <c r="ANI381" s="669"/>
      <c r="ANJ381" s="669"/>
      <c r="ANK381" s="669"/>
      <c r="ANL381" s="669"/>
      <c r="ANM381" s="669"/>
      <c r="ANN381" s="669"/>
      <c r="ANO381" s="669"/>
      <c r="ANP381" s="669"/>
      <c r="ANQ381" s="669"/>
      <c r="ANR381" s="669"/>
      <c r="ANS381" s="669"/>
      <c r="ANT381" s="669"/>
      <c r="ANU381" s="669"/>
      <c r="ANV381" s="669"/>
      <c r="ANW381" s="669"/>
      <c r="ANX381" s="669"/>
      <c r="ANY381" s="669"/>
      <c r="ANZ381" s="669"/>
      <c r="AOA381" s="669"/>
      <c r="AOB381" s="669"/>
      <c r="AOC381" s="669"/>
      <c r="AOD381" s="669"/>
      <c r="AOE381" s="669"/>
      <c r="AOF381" s="669"/>
      <c r="AOG381" s="669"/>
      <c r="AOH381" s="669"/>
      <c r="AOI381" s="669"/>
      <c r="AOJ381" s="669"/>
      <c r="AOK381" s="669"/>
      <c r="AOL381" s="669"/>
      <c r="AOM381" s="669"/>
      <c r="AON381" s="669"/>
      <c r="AOO381" s="669"/>
      <c r="AOP381" s="669"/>
      <c r="AOQ381" s="669"/>
      <c r="AOR381" s="669"/>
      <c r="AOS381" s="669"/>
      <c r="AOT381" s="669"/>
      <c r="AOU381" s="669"/>
      <c r="AOV381" s="669"/>
      <c r="AOW381" s="669"/>
      <c r="AOX381" s="669"/>
      <c r="AOY381" s="669"/>
      <c r="AOZ381" s="669"/>
      <c r="APA381" s="669"/>
      <c r="APB381" s="669"/>
      <c r="APC381" s="669"/>
      <c r="APD381" s="669"/>
      <c r="APE381" s="669"/>
      <c r="APF381" s="669"/>
      <c r="APG381" s="669"/>
      <c r="APH381" s="669"/>
      <c r="API381" s="669"/>
      <c r="APJ381" s="669"/>
      <c r="APK381" s="669"/>
      <c r="APL381" s="669"/>
      <c r="APM381" s="669"/>
      <c r="APN381" s="669"/>
      <c r="APO381" s="669"/>
      <c r="APP381" s="669"/>
      <c r="APQ381" s="669"/>
      <c r="APR381" s="669"/>
      <c r="APS381" s="669"/>
      <c r="APT381" s="669"/>
      <c r="APU381" s="669"/>
      <c r="APV381" s="669"/>
      <c r="APW381" s="669"/>
      <c r="APX381" s="669"/>
      <c r="APY381" s="669"/>
      <c r="APZ381" s="669"/>
      <c r="AQA381" s="669"/>
      <c r="AQB381" s="669"/>
      <c r="AQC381" s="669"/>
      <c r="AQD381" s="669"/>
      <c r="AQE381" s="669"/>
      <c r="AQF381" s="669"/>
      <c r="AQG381" s="669"/>
      <c r="AQH381" s="669"/>
      <c r="AQI381" s="669"/>
      <c r="AQJ381" s="669"/>
      <c r="AQK381" s="669"/>
      <c r="AQL381" s="669"/>
      <c r="AQM381" s="669"/>
      <c r="AQN381" s="669"/>
      <c r="AQO381" s="669"/>
      <c r="AQP381" s="669"/>
      <c r="AQQ381" s="669"/>
      <c r="AQR381" s="669"/>
      <c r="AQS381" s="669"/>
      <c r="AQT381" s="669"/>
      <c r="AQU381" s="669"/>
      <c r="AQV381" s="669"/>
      <c r="AQW381" s="669"/>
      <c r="AQX381" s="669"/>
      <c r="AQY381" s="669"/>
      <c r="AQZ381" s="669"/>
      <c r="ARA381" s="669"/>
      <c r="ARB381" s="669"/>
      <c r="ARC381" s="669"/>
      <c r="ARD381" s="669"/>
      <c r="ARE381" s="669"/>
      <c r="ARF381" s="669"/>
      <c r="ARG381" s="669"/>
      <c r="ARH381" s="669"/>
      <c r="ARI381" s="669"/>
      <c r="ARJ381" s="669"/>
      <c r="ARK381" s="669"/>
      <c r="ARL381" s="669"/>
      <c r="ARM381" s="669"/>
      <c r="ARN381" s="669"/>
      <c r="ARO381" s="669"/>
      <c r="ARP381" s="669"/>
      <c r="ARQ381" s="669"/>
      <c r="ARR381" s="669"/>
      <c r="ARS381" s="669"/>
      <c r="ART381" s="669"/>
      <c r="ARU381" s="669"/>
      <c r="ARV381" s="669"/>
      <c r="ARW381" s="669"/>
      <c r="ARX381" s="669"/>
      <c r="ARY381" s="669"/>
      <c r="ARZ381" s="669"/>
      <c r="ASA381" s="669"/>
      <c r="ASB381" s="669"/>
      <c r="ASC381" s="669"/>
      <c r="ASD381" s="669"/>
      <c r="ASE381" s="669"/>
      <c r="ASF381" s="669"/>
      <c r="ASG381" s="669"/>
      <c r="ASH381" s="669"/>
      <c r="ASI381" s="669"/>
      <c r="ASJ381" s="669"/>
      <c r="ASK381" s="669"/>
      <c r="ASL381" s="669"/>
      <c r="ASM381" s="669"/>
      <c r="ASN381" s="669"/>
      <c r="ASO381" s="669"/>
      <c r="ASP381" s="669"/>
      <c r="ASQ381" s="669"/>
      <c r="ASR381" s="669"/>
      <c r="ASS381" s="669"/>
      <c r="AST381" s="669"/>
      <c r="ASU381" s="669"/>
      <c r="ASV381" s="669"/>
      <c r="ASW381" s="669"/>
      <c r="ASX381" s="669"/>
      <c r="ASY381" s="669"/>
      <c r="ASZ381" s="669"/>
      <c r="ATA381" s="669"/>
      <c r="ATB381" s="669"/>
      <c r="ATC381" s="669"/>
      <c r="ATD381" s="669"/>
      <c r="ATE381" s="669"/>
      <c r="ATF381" s="669"/>
      <c r="ATG381" s="669"/>
      <c r="ATH381" s="669"/>
      <c r="ATI381" s="669"/>
      <c r="ATJ381" s="669"/>
      <c r="ATK381" s="669"/>
      <c r="ATL381" s="669"/>
      <c r="ATM381" s="669"/>
      <c r="ATN381" s="669"/>
      <c r="ATO381" s="669"/>
      <c r="ATP381" s="669"/>
      <c r="ATQ381" s="669"/>
      <c r="ATR381" s="669"/>
      <c r="ATS381" s="669"/>
      <c r="ATT381" s="669"/>
      <c r="ATU381" s="669"/>
      <c r="ATV381" s="669"/>
      <c r="ATW381" s="669"/>
      <c r="ATX381" s="669"/>
      <c r="ATY381" s="669"/>
      <c r="ATZ381" s="669"/>
      <c r="AUA381" s="669"/>
      <c r="AUB381" s="669"/>
      <c r="AUC381" s="669"/>
      <c r="AUD381" s="669"/>
      <c r="AUE381" s="669"/>
      <c r="AUF381" s="669"/>
      <c r="AUG381" s="669"/>
      <c r="AUH381" s="669"/>
      <c r="AUI381" s="669"/>
      <c r="AUJ381" s="669"/>
      <c r="AUK381" s="669"/>
      <c r="AUL381" s="669"/>
      <c r="AUM381" s="669"/>
      <c r="AUN381" s="669"/>
      <c r="AUO381" s="669"/>
      <c r="AUP381" s="669"/>
      <c r="AUQ381" s="669"/>
      <c r="AUR381" s="669"/>
      <c r="AUS381" s="669"/>
      <c r="AUT381" s="669"/>
      <c r="AUU381" s="669"/>
      <c r="AUV381" s="669"/>
      <c r="AUW381" s="669"/>
      <c r="AUX381" s="669"/>
      <c r="AUY381" s="669"/>
      <c r="AUZ381" s="669"/>
      <c r="AVA381" s="669"/>
      <c r="AVB381" s="669"/>
      <c r="AVC381" s="669"/>
      <c r="AVD381" s="669"/>
      <c r="AVE381" s="669"/>
      <c r="AVF381" s="669"/>
      <c r="AVG381" s="669"/>
      <c r="AVH381" s="669"/>
      <c r="AVI381" s="669"/>
      <c r="AVJ381" s="669"/>
      <c r="AVK381" s="669"/>
      <c r="AVL381" s="669"/>
      <c r="AVM381" s="669"/>
      <c r="AVN381" s="669"/>
      <c r="AVO381" s="669"/>
      <c r="AVP381" s="669"/>
      <c r="AVQ381" s="669"/>
      <c r="AVR381" s="669"/>
      <c r="AVS381" s="669"/>
      <c r="AVT381" s="669"/>
      <c r="AVU381" s="669"/>
      <c r="AVV381" s="669"/>
      <c r="AVW381" s="669"/>
      <c r="AVX381" s="669"/>
      <c r="AVY381" s="669"/>
      <c r="AVZ381" s="669"/>
      <c r="AWA381" s="669"/>
      <c r="AWB381" s="669"/>
      <c r="AWC381" s="669"/>
      <c r="AWD381" s="669"/>
      <c r="AWE381" s="669"/>
      <c r="AWF381" s="669"/>
      <c r="AWG381" s="669"/>
      <c r="AWH381" s="669"/>
      <c r="AWI381" s="669"/>
      <c r="AWJ381" s="669"/>
      <c r="AWK381" s="669"/>
      <c r="AWL381" s="669"/>
      <c r="AWM381" s="669"/>
      <c r="AWN381" s="669"/>
      <c r="AWO381" s="669"/>
      <c r="AWP381" s="669"/>
      <c r="AWQ381" s="669"/>
      <c r="AWR381" s="669"/>
      <c r="AWS381" s="669"/>
      <c r="AWT381" s="669"/>
      <c r="AWU381" s="669"/>
      <c r="AWV381" s="669"/>
      <c r="AWW381" s="669"/>
      <c r="AWX381" s="669"/>
      <c r="AWY381" s="669"/>
      <c r="AWZ381" s="669"/>
      <c r="AXA381" s="669"/>
      <c r="AXB381" s="669"/>
      <c r="AXC381" s="669"/>
      <c r="AXD381" s="669"/>
      <c r="AXE381" s="669"/>
      <c r="AXF381" s="669"/>
      <c r="AXG381" s="669"/>
      <c r="AXH381" s="669"/>
      <c r="AXI381" s="669"/>
      <c r="AXJ381" s="669"/>
      <c r="AXK381" s="669"/>
      <c r="AXL381" s="669"/>
      <c r="AXM381" s="669"/>
      <c r="AXN381" s="669"/>
      <c r="AXO381" s="669"/>
      <c r="AXP381" s="669"/>
      <c r="AXQ381" s="669"/>
      <c r="AXR381" s="669"/>
      <c r="AXS381" s="669"/>
      <c r="AXT381" s="669"/>
      <c r="AXU381" s="669"/>
      <c r="AXV381" s="669"/>
      <c r="AXW381" s="669"/>
      <c r="AXX381" s="669"/>
      <c r="AXY381" s="669"/>
      <c r="AXZ381" s="669"/>
      <c r="AYA381" s="669"/>
      <c r="AYB381" s="669"/>
      <c r="AYC381" s="669"/>
      <c r="AYD381" s="669"/>
      <c r="AYE381" s="669"/>
      <c r="AYF381" s="669"/>
      <c r="AYG381" s="669"/>
      <c r="AYH381" s="669"/>
      <c r="AYI381" s="669"/>
      <c r="AYJ381" s="669"/>
      <c r="AYK381" s="669"/>
      <c r="AYL381" s="669"/>
      <c r="AYM381" s="669"/>
      <c r="AYN381" s="669"/>
      <c r="AYO381" s="669"/>
      <c r="AYP381" s="669"/>
      <c r="AYQ381" s="669"/>
      <c r="AYR381" s="669"/>
      <c r="AYS381" s="669"/>
      <c r="AYT381" s="669"/>
      <c r="AYU381" s="669"/>
      <c r="AYV381" s="669"/>
      <c r="AYW381" s="669"/>
      <c r="AYX381" s="669"/>
      <c r="AYY381" s="669"/>
      <c r="AYZ381" s="669"/>
      <c r="AZA381" s="669"/>
      <c r="AZB381" s="669"/>
      <c r="AZC381" s="669"/>
      <c r="AZD381" s="669"/>
      <c r="AZE381" s="669"/>
      <c r="AZF381" s="669"/>
      <c r="AZG381" s="669"/>
      <c r="AZH381" s="669"/>
      <c r="AZI381" s="669"/>
      <c r="AZJ381" s="669"/>
      <c r="AZK381" s="669"/>
      <c r="AZL381" s="669"/>
      <c r="AZM381" s="669"/>
      <c r="AZN381" s="669"/>
      <c r="AZO381" s="669"/>
      <c r="AZP381" s="669"/>
      <c r="AZQ381" s="669"/>
      <c r="AZR381" s="669"/>
      <c r="AZS381" s="669"/>
      <c r="AZT381" s="669"/>
      <c r="AZU381" s="669"/>
      <c r="AZV381" s="669"/>
      <c r="AZW381" s="669"/>
      <c r="AZX381" s="669"/>
      <c r="AZY381" s="669"/>
      <c r="AZZ381" s="669"/>
      <c r="BAA381" s="669"/>
      <c r="BAB381" s="669"/>
      <c r="BAC381" s="669"/>
      <c r="BAD381" s="669"/>
      <c r="BAE381" s="669"/>
      <c r="BAF381" s="669"/>
      <c r="BAG381" s="669"/>
      <c r="BAH381" s="669"/>
      <c r="BAI381" s="669"/>
      <c r="BAJ381" s="669"/>
      <c r="BAK381" s="669"/>
      <c r="BAL381" s="669"/>
      <c r="BAM381" s="669"/>
      <c r="BAN381" s="669"/>
      <c r="BAO381" s="669"/>
      <c r="BAP381" s="669"/>
      <c r="BAQ381" s="669"/>
      <c r="BAR381" s="669"/>
      <c r="BAS381" s="669"/>
      <c r="BAT381" s="669"/>
      <c r="BAU381" s="669"/>
      <c r="BAV381" s="669"/>
      <c r="BAW381" s="669"/>
      <c r="BAX381" s="669"/>
      <c r="BAY381" s="669"/>
      <c r="BAZ381" s="669"/>
      <c r="BBA381" s="669"/>
      <c r="BBB381" s="669"/>
      <c r="BBC381" s="669"/>
      <c r="BBD381" s="669"/>
      <c r="BBE381" s="669"/>
      <c r="BBF381" s="669"/>
      <c r="BBG381" s="669"/>
      <c r="BBH381" s="669"/>
      <c r="BBI381" s="669"/>
      <c r="BBJ381" s="669"/>
      <c r="BBK381" s="669"/>
      <c r="BBL381" s="669"/>
      <c r="BBM381" s="669"/>
      <c r="BBN381" s="669"/>
      <c r="BBO381" s="669"/>
      <c r="BBP381" s="669"/>
      <c r="BBQ381" s="669"/>
      <c r="BBR381" s="669"/>
      <c r="BBS381" s="669"/>
      <c r="BBT381" s="669"/>
      <c r="BBU381" s="669"/>
      <c r="BBV381" s="669"/>
      <c r="BBW381" s="669"/>
      <c r="BBX381" s="669"/>
      <c r="BBY381" s="669"/>
      <c r="BBZ381" s="669"/>
      <c r="BCA381" s="669"/>
      <c r="BCB381" s="669"/>
      <c r="BCC381" s="669"/>
      <c r="BCD381" s="669"/>
      <c r="BCE381" s="669"/>
      <c r="BCF381" s="669"/>
      <c r="BCG381" s="669"/>
      <c r="BCH381" s="669"/>
      <c r="BCI381" s="669"/>
      <c r="BCJ381" s="669"/>
      <c r="BCK381" s="669"/>
      <c r="BCL381" s="669"/>
      <c r="BCM381" s="669"/>
      <c r="BCN381" s="669"/>
      <c r="BCO381" s="669"/>
      <c r="BCP381" s="669"/>
      <c r="BCQ381" s="669"/>
      <c r="BCR381" s="669"/>
      <c r="BCS381" s="669"/>
      <c r="BCT381" s="669"/>
      <c r="BCU381" s="669"/>
      <c r="BCV381" s="669"/>
      <c r="BCW381" s="669"/>
      <c r="BCX381" s="669"/>
      <c r="BCY381" s="669"/>
      <c r="BCZ381" s="669"/>
      <c r="BDA381" s="669"/>
      <c r="BDB381" s="669"/>
      <c r="BDC381" s="669"/>
      <c r="BDD381" s="669"/>
      <c r="BDE381" s="669"/>
      <c r="BDF381" s="669"/>
      <c r="BDG381" s="669"/>
      <c r="BDH381" s="669"/>
      <c r="BDI381" s="669"/>
      <c r="BDJ381" s="669"/>
      <c r="BDK381" s="669"/>
      <c r="BDL381" s="669"/>
      <c r="BDM381" s="669"/>
      <c r="BDN381" s="669"/>
      <c r="BDO381" s="669"/>
      <c r="BDP381" s="669"/>
      <c r="BDQ381" s="669"/>
      <c r="BDR381" s="669"/>
      <c r="BDS381" s="669"/>
      <c r="BDT381" s="669"/>
      <c r="BDU381" s="669"/>
      <c r="BDV381" s="669"/>
      <c r="BDW381" s="669"/>
      <c r="BDX381" s="669"/>
      <c r="BDY381" s="669"/>
      <c r="BDZ381" s="669"/>
      <c r="BEA381" s="669"/>
      <c r="BEB381" s="669"/>
      <c r="BEC381" s="669"/>
      <c r="BED381" s="669"/>
      <c r="BEE381" s="669"/>
      <c r="BEF381" s="669"/>
      <c r="BEG381" s="669"/>
      <c r="BEH381" s="669"/>
      <c r="BEI381" s="669"/>
      <c r="BEJ381" s="669"/>
      <c r="BEK381" s="669"/>
      <c r="BEL381" s="669"/>
      <c r="BEM381" s="669"/>
      <c r="BEN381" s="669"/>
      <c r="BEO381" s="669"/>
      <c r="BEP381" s="669"/>
      <c r="BEQ381" s="669"/>
      <c r="BER381" s="669"/>
      <c r="BES381" s="669"/>
      <c r="BET381" s="669"/>
      <c r="BEU381" s="669"/>
      <c r="BEV381" s="669"/>
      <c r="BEW381" s="669"/>
      <c r="BEX381" s="669"/>
      <c r="BEY381" s="669"/>
      <c r="BEZ381" s="669"/>
      <c r="BFA381" s="669"/>
      <c r="BFB381" s="669"/>
      <c r="BFC381" s="669"/>
      <c r="BFD381" s="669"/>
      <c r="BFE381" s="669"/>
      <c r="BFF381" s="669"/>
      <c r="BFG381" s="669"/>
      <c r="BFH381" s="669"/>
      <c r="BFI381" s="669"/>
      <c r="BFJ381" s="669"/>
      <c r="BFK381" s="669"/>
      <c r="BFL381" s="669"/>
      <c r="BFM381" s="669"/>
      <c r="BFN381" s="669"/>
      <c r="BFO381" s="669"/>
      <c r="BFP381" s="669"/>
      <c r="BFQ381" s="669"/>
      <c r="BFR381" s="669"/>
      <c r="BFS381" s="669"/>
      <c r="BFT381" s="669"/>
      <c r="BFU381" s="669"/>
      <c r="BFV381" s="669"/>
      <c r="BFW381" s="669"/>
      <c r="BFX381" s="669"/>
      <c r="BFY381" s="669"/>
      <c r="BFZ381" s="669"/>
      <c r="BGA381" s="669"/>
      <c r="BGB381" s="669"/>
      <c r="BGC381" s="669"/>
      <c r="BGD381" s="669"/>
      <c r="BGE381" s="669"/>
      <c r="BGF381" s="669"/>
      <c r="BGG381" s="669"/>
      <c r="BGH381" s="669"/>
      <c r="BGI381" s="669"/>
      <c r="BGJ381" s="669"/>
      <c r="BGK381" s="669"/>
      <c r="BGL381" s="669"/>
      <c r="BGM381" s="669"/>
      <c r="BGN381" s="669"/>
      <c r="BGO381" s="669"/>
      <c r="BGP381" s="669"/>
      <c r="BGQ381" s="669"/>
      <c r="BGR381" s="669"/>
      <c r="BGS381" s="669"/>
      <c r="BGT381" s="669"/>
      <c r="BGU381" s="669"/>
      <c r="BGV381" s="669"/>
      <c r="BGW381" s="669"/>
      <c r="BGX381" s="669"/>
      <c r="BGY381" s="669"/>
      <c r="BGZ381" s="669"/>
      <c r="BHA381" s="669"/>
      <c r="BHB381" s="669"/>
      <c r="BHC381" s="669"/>
      <c r="BHD381" s="669"/>
      <c r="BHE381" s="669"/>
      <c r="BHF381" s="669"/>
      <c r="BHG381" s="669"/>
      <c r="BHH381" s="669"/>
      <c r="BHI381" s="669"/>
      <c r="BHJ381" s="669"/>
      <c r="BHK381" s="669"/>
      <c r="BHL381" s="669"/>
      <c r="BHM381" s="669"/>
      <c r="BHN381" s="669"/>
      <c r="BHO381" s="669"/>
      <c r="BHP381" s="669"/>
      <c r="BHQ381" s="669"/>
      <c r="BHR381" s="669"/>
      <c r="BHS381" s="669"/>
      <c r="BHT381" s="669"/>
      <c r="BHU381" s="669"/>
      <c r="BHV381" s="669"/>
      <c r="BHW381" s="669"/>
      <c r="BHX381" s="669"/>
      <c r="BHY381" s="669"/>
      <c r="BHZ381" s="669"/>
      <c r="BIA381" s="669"/>
      <c r="BIB381" s="669"/>
      <c r="BIC381" s="669"/>
      <c r="BID381" s="669"/>
      <c r="BIE381" s="669"/>
      <c r="BIF381" s="669"/>
      <c r="BIG381" s="669"/>
      <c r="BIH381" s="669"/>
      <c r="BII381" s="669"/>
      <c r="BIJ381" s="669"/>
      <c r="BIK381" s="669"/>
      <c r="BIL381" s="669"/>
      <c r="BIM381" s="669"/>
      <c r="BIN381" s="669"/>
      <c r="BIO381" s="669"/>
      <c r="BIP381" s="669"/>
      <c r="BIQ381" s="669"/>
      <c r="BIR381" s="669"/>
      <c r="BIS381" s="669"/>
      <c r="BIT381" s="669"/>
      <c r="BIU381" s="669"/>
      <c r="BIV381" s="669"/>
      <c r="BIW381" s="669"/>
      <c r="BIX381" s="669"/>
      <c r="BIY381" s="669"/>
      <c r="BIZ381" s="669"/>
      <c r="BJA381" s="669"/>
      <c r="BJB381" s="669"/>
      <c r="BJC381" s="669"/>
      <c r="BJD381" s="669"/>
      <c r="BJE381" s="669"/>
      <c r="BJF381" s="669"/>
      <c r="BJG381" s="669"/>
      <c r="BJH381" s="669"/>
      <c r="BJI381" s="669"/>
      <c r="BJJ381" s="669"/>
      <c r="BJK381" s="669"/>
      <c r="BJL381" s="669"/>
      <c r="BJM381" s="669"/>
      <c r="BJN381" s="669"/>
      <c r="BJO381" s="669"/>
      <c r="BJP381" s="669"/>
      <c r="BJQ381" s="669"/>
      <c r="BJR381" s="669"/>
      <c r="BJS381" s="669"/>
      <c r="BJT381" s="669"/>
      <c r="BJU381" s="669"/>
      <c r="BJV381" s="669"/>
      <c r="BJW381" s="669"/>
      <c r="BJX381" s="669"/>
      <c r="BJY381" s="669"/>
      <c r="BJZ381" s="669"/>
      <c r="BKA381" s="669"/>
      <c r="BKB381" s="669"/>
      <c r="BKC381" s="669"/>
      <c r="BKD381" s="669"/>
      <c r="BKE381" s="669"/>
      <c r="BKF381" s="669"/>
      <c r="BKG381" s="669"/>
      <c r="BKH381" s="669"/>
      <c r="BKI381" s="669"/>
      <c r="BKJ381" s="669"/>
      <c r="BKK381" s="669"/>
      <c r="BKL381" s="669"/>
      <c r="BKM381" s="669"/>
      <c r="BKN381" s="669"/>
      <c r="BKO381" s="669"/>
      <c r="BKP381" s="669"/>
      <c r="BKQ381" s="669"/>
      <c r="BKR381" s="669"/>
      <c r="BKS381" s="669"/>
      <c r="BKT381" s="669"/>
      <c r="BKU381" s="669"/>
      <c r="BKV381" s="669"/>
      <c r="BKW381" s="669"/>
      <c r="BKX381" s="669"/>
      <c r="BKY381" s="669"/>
      <c r="BKZ381" s="669"/>
      <c r="BLA381" s="669"/>
      <c r="BLB381" s="669"/>
      <c r="BLC381" s="669"/>
      <c r="BLD381" s="669"/>
      <c r="BLE381" s="669"/>
      <c r="BLF381" s="669"/>
      <c r="BLG381" s="669"/>
      <c r="BLH381" s="669"/>
      <c r="BLI381" s="669"/>
      <c r="BLJ381" s="669"/>
      <c r="BLK381" s="669"/>
      <c r="BLL381" s="669"/>
      <c r="BLM381" s="669"/>
      <c r="BLN381" s="669"/>
      <c r="BLO381" s="669"/>
      <c r="BLP381" s="669"/>
      <c r="BLQ381" s="669"/>
      <c r="BLR381" s="669"/>
      <c r="BLS381" s="669"/>
      <c r="BLT381" s="669"/>
      <c r="BLU381" s="669"/>
      <c r="BLV381" s="669"/>
      <c r="BLW381" s="669"/>
      <c r="BLX381" s="669"/>
      <c r="BLY381" s="669"/>
      <c r="BLZ381" s="669"/>
      <c r="BMA381" s="669"/>
      <c r="BMB381" s="669"/>
      <c r="BMC381" s="669"/>
      <c r="BMD381" s="669"/>
      <c r="BME381" s="669"/>
      <c r="BMF381" s="669"/>
      <c r="BMG381" s="669"/>
      <c r="BMH381" s="669"/>
      <c r="BMI381" s="669"/>
      <c r="BMJ381" s="669"/>
      <c r="BMK381" s="669"/>
      <c r="BML381" s="669"/>
      <c r="BMM381" s="669"/>
      <c r="BMN381" s="669"/>
      <c r="BMO381" s="669"/>
      <c r="BMP381" s="669"/>
      <c r="BMQ381" s="669"/>
      <c r="BMR381" s="669"/>
      <c r="BMS381" s="669"/>
      <c r="BMT381" s="669"/>
      <c r="BMU381" s="669"/>
      <c r="BMV381" s="669"/>
      <c r="BMW381" s="669"/>
      <c r="BMX381" s="669"/>
      <c r="BMY381" s="669"/>
      <c r="BMZ381" s="669"/>
      <c r="BNA381" s="669"/>
      <c r="BNB381" s="669"/>
      <c r="BNC381" s="669"/>
      <c r="BND381" s="669"/>
      <c r="BNE381" s="669"/>
      <c r="BNF381" s="669"/>
      <c r="BNG381" s="669"/>
      <c r="BNH381" s="669"/>
      <c r="BNI381" s="669"/>
      <c r="BNJ381" s="669"/>
      <c r="BNK381" s="669"/>
      <c r="BNL381" s="669"/>
      <c r="BNM381" s="669"/>
      <c r="BNN381" s="669"/>
      <c r="BNO381" s="669"/>
      <c r="BNP381" s="669"/>
      <c r="BNQ381" s="669"/>
      <c r="BNR381" s="669"/>
      <c r="BNS381" s="669"/>
      <c r="BNT381" s="669"/>
      <c r="BNU381" s="669"/>
      <c r="BNV381" s="669"/>
      <c r="BNW381" s="669"/>
      <c r="BNX381" s="669"/>
      <c r="BNY381" s="669"/>
      <c r="BNZ381" s="669"/>
      <c r="BOA381" s="669"/>
      <c r="BOB381" s="669"/>
      <c r="BOC381" s="669"/>
      <c r="BOD381" s="669"/>
      <c r="BOE381" s="669"/>
      <c r="BOF381" s="669"/>
      <c r="BOG381" s="669"/>
      <c r="BOH381" s="669"/>
      <c r="BOI381" s="669"/>
      <c r="BOJ381" s="669"/>
      <c r="BOK381" s="669"/>
      <c r="BOL381" s="669"/>
      <c r="BOM381" s="669"/>
      <c r="BON381" s="669"/>
      <c r="BOO381" s="669"/>
      <c r="BOP381" s="669"/>
      <c r="BOQ381" s="669"/>
      <c r="BOR381" s="669"/>
      <c r="BOS381" s="669"/>
      <c r="BOT381" s="669"/>
      <c r="BOU381" s="669"/>
      <c r="BOV381" s="669"/>
      <c r="BOW381" s="669"/>
      <c r="BOX381" s="669"/>
      <c r="BOY381" s="669"/>
      <c r="BOZ381" s="669"/>
      <c r="BPA381" s="669"/>
      <c r="BPB381" s="669"/>
      <c r="BPC381" s="669"/>
      <c r="BPD381" s="669"/>
      <c r="BPE381" s="669"/>
      <c r="BPF381" s="669"/>
      <c r="BPG381" s="669"/>
      <c r="BPH381" s="669"/>
      <c r="BPI381" s="669"/>
      <c r="BPJ381" s="669"/>
      <c r="BPK381" s="669"/>
      <c r="BPL381" s="669"/>
      <c r="BPM381" s="669"/>
      <c r="BPN381" s="669"/>
      <c r="BPO381" s="669"/>
      <c r="BPP381" s="669"/>
      <c r="BPQ381" s="669"/>
      <c r="BPR381" s="669"/>
      <c r="BPS381" s="669"/>
      <c r="BPT381" s="669"/>
      <c r="BPU381" s="669"/>
      <c r="BPV381" s="669"/>
      <c r="BPW381" s="669"/>
      <c r="BPX381" s="669"/>
      <c r="BPY381" s="669"/>
      <c r="BPZ381" s="669"/>
      <c r="BQA381" s="669"/>
      <c r="BQB381" s="669"/>
      <c r="BQC381" s="669"/>
      <c r="BQD381" s="669"/>
      <c r="BQE381" s="669"/>
      <c r="BQF381" s="669"/>
      <c r="BQG381" s="669"/>
      <c r="BQH381" s="669"/>
      <c r="BQI381" s="669"/>
      <c r="BQJ381" s="669"/>
      <c r="BQK381" s="669"/>
      <c r="BQL381" s="669"/>
      <c r="BQM381" s="669"/>
      <c r="BQN381" s="669"/>
      <c r="BQO381" s="669"/>
      <c r="BQP381" s="669"/>
      <c r="BQQ381" s="669"/>
      <c r="BQR381" s="669"/>
      <c r="BQS381" s="669"/>
      <c r="BQT381" s="669"/>
      <c r="BQU381" s="669"/>
      <c r="BQV381" s="669"/>
      <c r="BQW381" s="669"/>
      <c r="BQX381" s="669"/>
      <c r="BQY381" s="669"/>
      <c r="BQZ381" s="669"/>
      <c r="BRA381" s="669"/>
      <c r="BRB381" s="669"/>
      <c r="BRC381" s="669"/>
      <c r="BRD381" s="669"/>
      <c r="BRE381" s="669"/>
      <c r="BRF381" s="669"/>
      <c r="BRG381" s="669"/>
      <c r="BRH381" s="669"/>
      <c r="BRI381" s="669"/>
      <c r="BRJ381" s="669"/>
      <c r="BRK381" s="669"/>
      <c r="BRL381" s="669"/>
      <c r="BRM381" s="669"/>
      <c r="BRN381" s="669"/>
      <c r="BRO381" s="669"/>
      <c r="BRP381" s="669"/>
      <c r="BRQ381" s="669"/>
      <c r="BRR381" s="669"/>
      <c r="BRS381" s="669"/>
      <c r="BRT381" s="669"/>
      <c r="BRU381" s="669"/>
      <c r="BRV381" s="669"/>
      <c r="BRW381" s="669"/>
      <c r="BRX381" s="669"/>
      <c r="BRY381" s="669"/>
      <c r="BRZ381" s="669"/>
      <c r="BSA381" s="669"/>
      <c r="BSB381" s="669"/>
      <c r="BSC381" s="669"/>
      <c r="BSD381" s="669"/>
      <c r="BSE381" s="669"/>
      <c r="BSF381" s="669"/>
      <c r="BSG381" s="669"/>
      <c r="BSH381" s="669"/>
      <c r="BSI381" s="669"/>
      <c r="BSJ381" s="669"/>
      <c r="BSK381" s="669"/>
      <c r="BSL381" s="669"/>
      <c r="BSM381" s="669"/>
      <c r="BSN381" s="669"/>
      <c r="BSO381" s="669"/>
      <c r="BSP381" s="669"/>
      <c r="BSQ381" s="669"/>
      <c r="BSR381" s="669"/>
      <c r="BSS381" s="669"/>
      <c r="BST381" s="669"/>
      <c r="BSU381" s="669"/>
      <c r="BSV381" s="669"/>
      <c r="BSW381" s="669"/>
      <c r="BSX381" s="669"/>
      <c r="BSY381" s="669"/>
      <c r="BSZ381" s="669"/>
      <c r="BTA381" s="669"/>
      <c r="BTB381" s="669"/>
      <c r="BTC381" s="669"/>
      <c r="BTD381" s="669"/>
      <c r="BTE381" s="669"/>
      <c r="BTF381" s="669"/>
      <c r="BTG381" s="669"/>
      <c r="BTH381" s="669"/>
      <c r="BTI381" s="669"/>
      <c r="BTJ381" s="669"/>
      <c r="BTK381" s="669"/>
      <c r="BTL381" s="669"/>
      <c r="BTM381" s="669"/>
      <c r="BTN381" s="669"/>
      <c r="BTO381" s="669"/>
      <c r="BTP381" s="669"/>
      <c r="BTQ381" s="669"/>
      <c r="BTR381" s="669"/>
      <c r="BTS381" s="669"/>
      <c r="BTT381" s="669"/>
      <c r="BTU381" s="669"/>
      <c r="BTV381" s="669"/>
      <c r="BTW381" s="669"/>
      <c r="BTX381" s="669"/>
      <c r="BTY381" s="669"/>
      <c r="BTZ381" s="669"/>
      <c r="BUA381" s="669"/>
      <c r="BUB381" s="669"/>
      <c r="BUC381" s="669"/>
      <c r="BUD381" s="669"/>
      <c r="BUE381" s="669"/>
      <c r="BUF381" s="669"/>
      <c r="BUG381" s="669"/>
      <c r="BUH381" s="669"/>
      <c r="BUI381" s="669"/>
      <c r="BUJ381" s="669"/>
      <c r="BUK381" s="669"/>
      <c r="BUL381" s="669"/>
      <c r="BUM381" s="669"/>
      <c r="BUN381" s="669"/>
      <c r="BUO381" s="669"/>
      <c r="BUP381" s="669"/>
      <c r="BUQ381" s="669"/>
      <c r="BUR381" s="669"/>
      <c r="BUS381" s="669"/>
      <c r="BUT381" s="669"/>
      <c r="BUU381" s="669"/>
      <c r="BUV381" s="669"/>
      <c r="BUW381" s="669"/>
      <c r="BUX381" s="669"/>
      <c r="BUY381" s="669"/>
      <c r="BUZ381" s="669"/>
      <c r="BVA381" s="669"/>
      <c r="BVB381" s="669"/>
      <c r="BVC381" s="669"/>
      <c r="BVD381" s="669"/>
      <c r="BVE381" s="669"/>
      <c r="BVF381" s="669"/>
      <c r="BVG381" s="669"/>
      <c r="BVH381" s="669"/>
      <c r="BVI381" s="669"/>
      <c r="BVJ381" s="669"/>
      <c r="BVK381" s="669"/>
      <c r="BVL381" s="669"/>
      <c r="BVM381" s="669"/>
      <c r="BVN381" s="669"/>
      <c r="BVO381" s="669"/>
      <c r="BVP381" s="669"/>
      <c r="BVQ381" s="669"/>
      <c r="BVR381" s="669"/>
      <c r="BVS381" s="669"/>
      <c r="BVT381" s="669"/>
      <c r="BVU381" s="669"/>
      <c r="BVV381" s="669"/>
      <c r="BVW381" s="669"/>
      <c r="BVX381" s="669"/>
      <c r="BVY381" s="669"/>
      <c r="BVZ381" s="669"/>
      <c r="BWA381" s="669"/>
      <c r="BWB381" s="669"/>
      <c r="BWC381" s="669"/>
      <c r="BWD381" s="669"/>
      <c r="BWE381" s="669"/>
      <c r="BWF381" s="669"/>
      <c r="BWG381" s="669"/>
      <c r="BWH381" s="669"/>
      <c r="BWI381" s="669"/>
      <c r="BWJ381" s="669"/>
      <c r="BWK381" s="669"/>
      <c r="BWL381" s="669"/>
      <c r="BWM381" s="669"/>
      <c r="BWN381" s="669"/>
      <c r="BWO381" s="669"/>
      <c r="BWP381" s="669"/>
      <c r="BWQ381" s="669"/>
      <c r="BWR381" s="669"/>
      <c r="BWS381" s="669"/>
      <c r="BWT381" s="669"/>
      <c r="BWU381" s="669"/>
      <c r="BWV381" s="669"/>
      <c r="BWW381" s="669"/>
      <c r="BWX381" s="669"/>
      <c r="BWY381" s="669"/>
      <c r="BWZ381" s="669"/>
      <c r="BXA381" s="669"/>
      <c r="BXB381" s="669"/>
      <c r="BXC381" s="669"/>
      <c r="BXD381" s="669"/>
      <c r="BXE381" s="669"/>
      <c r="BXF381" s="669"/>
      <c r="BXG381" s="669"/>
      <c r="BXH381" s="669"/>
      <c r="BXI381" s="669"/>
      <c r="BXJ381" s="669"/>
      <c r="BXK381" s="669"/>
      <c r="BXL381" s="669"/>
      <c r="BXM381" s="669"/>
      <c r="BXN381" s="669"/>
      <c r="BXO381" s="669"/>
      <c r="BXP381" s="669"/>
      <c r="BXQ381" s="669"/>
      <c r="BXR381" s="669"/>
      <c r="BXS381" s="669"/>
      <c r="BXT381" s="669"/>
      <c r="BXU381" s="669"/>
      <c r="BXV381" s="669"/>
      <c r="BXW381" s="669"/>
      <c r="BXX381" s="669"/>
      <c r="BXY381" s="669"/>
      <c r="BXZ381" s="669"/>
      <c r="BYA381" s="669"/>
      <c r="BYB381" s="669"/>
      <c r="BYC381" s="669"/>
      <c r="BYD381" s="669"/>
      <c r="BYE381" s="669"/>
      <c r="BYF381" s="669"/>
      <c r="BYG381" s="669"/>
      <c r="BYH381" s="669"/>
      <c r="BYI381" s="669"/>
      <c r="BYJ381" s="669"/>
      <c r="BYK381" s="669"/>
      <c r="BYL381" s="669"/>
      <c r="BYM381" s="669"/>
      <c r="BYN381" s="669"/>
      <c r="BYO381" s="669"/>
      <c r="BYP381" s="669"/>
      <c r="BYQ381" s="669"/>
      <c r="BYR381" s="669"/>
      <c r="BYS381" s="669"/>
      <c r="BYT381" s="669"/>
      <c r="BYU381" s="669"/>
      <c r="BYV381" s="669"/>
      <c r="BYW381" s="669"/>
      <c r="BYX381" s="669"/>
      <c r="BYY381" s="669"/>
      <c r="BYZ381" s="669"/>
      <c r="BZA381" s="669"/>
      <c r="BZB381" s="669"/>
      <c r="BZC381" s="669"/>
      <c r="BZD381" s="669"/>
      <c r="BZE381" s="669"/>
      <c r="BZF381" s="669"/>
      <c r="BZG381" s="669"/>
      <c r="BZH381" s="669"/>
      <c r="BZI381" s="669"/>
      <c r="BZJ381" s="669"/>
      <c r="BZK381" s="669"/>
      <c r="BZL381" s="669"/>
      <c r="BZM381" s="669"/>
      <c r="BZN381" s="669"/>
      <c r="BZO381" s="669"/>
      <c r="BZP381" s="669"/>
      <c r="BZQ381" s="669"/>
      <c r="BZR381" s="669"/>
      <c r="BZS381" s="669"/>
      <c r="BZT381" s="669"/>
      <c r="BZU381" s="669"/>
      <c r="BZV381" s="669"/>
      <c r="BZW381" s="669"/>
      <c r="BZX381" s="669"/>
      <c r="BZY381" s="669"/>
      <c r="BZZ381" s="669"/>
      <c r="CAA381" s="669"/>
      <c r="CAB381" s="669"/>
      <c r="CAC381" s="669"/>
      <c r="CAD381" s="669"/>
      <c r="CAE381" s="669"/>
      <c r="CAF381" s="669"/>
      <c r="CAG381" s="669"/>
      <c r="CAH381" s="669"/>
      <c r="CAI381" s="669"/>
      <c r="CAJ381" s="669"/>
      <c r="CAK381" s="669"/>
      <c r="CAL381" s="669"/>
      <c r="CAM381" s="669"/>
      <c r="CAN381" s="669"/>
      <c r="CAO381" s="669"/>
      <c r="CAP381" s="669"/>
      <c r="CAQ381" s="669"/>
      <c r="CAR381" s="669"/>
      <c r="CAS381" s="669"/>
      <c r="CAT381" s="669"/>
      <c r="CAU381" s="669"/>
      <c r="CAV381" s="669"/>
      <c r="CAW381" s="669"/>
      <c r="CAX381" s="669"/>
      <c r="CAY381" s="669"/>
      <c r="CAZ381" s="669"/>
      <c r="CBA381" s="669"/>
      <c r="CBB381" s="669"/>
      <c r="CBC381" s="669"/>
      <c r="CBD381" s="669"/>
      <c r="CBE381" s="669"/>
      <c r="CBF381" s="669"/>
      <c r="CBG381" s="669"/>
      <c r="CBH381" s="669"/>
      <c r="CBI381" s="669"/>
      <c r="CBJ381" s="669"/>
      <c r="CBK381" s="669"/>
      <c r="CBL381" s="669"/>
      <c r="CBM381" s="669"/>
      <c r="CBN381" s="669"/>
      <c r="CBO381" s="669"/>
      <c r="CBP381" s="669"/>
      <c r="CBQ381" s="669"/>
      <c r="CBR381" s="669"/>
      <c r="CBS381" s="669"/>
      <c r="CBT381" s="669"/>
      <c r="CBU381" s="669"/>
      <c r="CBV381" s="669"/>
      <c r="CBW381" s="669"/>
      <c r="CBX381" s="669"/>
      <c r="CBY381" s="669"/>
      <c r="CBZ381" s="669"/>
      <c r="CCA381" s="669"/>
      <c r="CCB381" s="669"/>
      <c r="CCC381" s="669"/>
      <c r="CCD381" s="669"/>
      <c r="CCE381" s="669"/>
      <c r="CCF381" s="669"/>
      <c r="CCG381" s="669"/>
      <c r="CCH381" s="669"/>
      <c r="CCI381" s="669"/>
      <c r="CCJ381" s="669"/>
      <c r="CCK381" s="669"/>
      <c r="CCL381" s="669"/>
      <c r="CCM381" s="669"/>
      <c r="CCN381" s="669"/>
      <c r="CCO381" s="669"/>
      <c r="CCP381" s="669"/>
      <c r="CCQ381" s="669"/>
      <c r="CCR381" s="669"/>
      <c r="CCS381" s="669"/>
      <c r="CCT381" s="669"/>
      <c r="CCU381" s="669"/>
      <c r="CCV381" s="669"/>
      <c r="CCW381" s="669"/>
      <c r="CCX381" s="669"/>
      <c r="CCY381" s="669"/>
      <c r="CCZ381" s="669"/>
      <c r="CDA381" s="669"/>
      <c r="CDB381" s="669"/>
      <c r="CDC381" s="669"/>
      <c r="CDD381" s="669"/>
      <c r="CDE381" s="669"/>
      <c r="CDF381" s="669"/>
      <c r="CDG381" s="669"/>
      <c r="CDH381" s="669"/>
      <c r="CDI381" s="669"/>
      <c r="CDJ381" s="669"/>
      <c r="CDK381" s="669"/>
      <c r="CDL381" s="669"/>
      <c r="CDM381" s="669"/>
      <c r="CDN381" s="669"/>
      <c r="CDO381" s="669"/>
      <c r="CDP381" s="669"/>
      <c r="CDQ381" s="669"/>
      <c r="CDR381" s="669"/>
      <c r="CDS381" s="669"/>
      <c r="CDT381" s="669"/>
      <c r="CDU381" s="669"/>
      <c r="CDV381" s="669"/>
      <c r="CDW381" s="669"/>
      <c r="CDX381" s="669"/>
      <c r="CDY381" s="669"/>
      <c r="CDZ381" s="669"/>
      <c r="CEA381" s="669"/>
      <c r="CEB381" s="669"/>
      <c r="CEC381" s="669"/>
      <c r="CED381" s="669"/>
      <c r="CEE381" s="669"/>
      <c r="CEF381" s="669"/>
      <c r="CEG381" s="669"/>
      <c r="CEH381" s="669"/>
      <c r="CEI381" s="669"/>
      <c r="CEJ381" s="669"/>
      <c r="CEK381" s="669"/>
      <c r="CEL381" s="669"/>
      <c r="CEM381" s="669"/>
      <c r="CEN381" s="669"/>
      <c r="CEO381" s="669"/>
      <c r="CEP381" s="669"/>
      <c r="CEQ381" s="669"/>
      <c r="CER381" s="669"/>
      <c r="CES381" s="669"/>
      <c r="CET381" s="669"/>
      <c r="CEU381" s="669"/>
      <c r="CEV381" s="669"/>
      <c r="CEW381" s="669"/>
      <c r="CEX381" s="669"/>
      <c r="CEY381" s="669"/>
      <c r="CEZ381" s="669"/>
      <c r="CFA381" s="669"/>
      <c r="CFB381" s="669"/>
      <c r="CFC381" s="669"/>
      <c r="CFD381" s="669"/>
      <c r="CFE381" s="669"/>
      <c r="CFF381" s="669"/>
      <c r="CFG381" s="669"/>
      <c r="CFH381" s="669"/>
      <c r="CFI381" s="669"/>
      <c r="CFJ381" s="669"/>
      <c r="CFK381" s="669"/>
      <c r="CFL381" s="669"/>
      <c r="CFM381" s="669"/>
      <c r="CFN381" s="669"/>
      <c r="CFO381" s="669"/>
      <c r="CFP381" s="669"/>
      <c r="CFQ381" s="669"/>
      <c r="CFR381" s="669"/>
      <c r="CFS381" s="669"/>
      <c r="CFT381" s="669"/>
      <c r="CFU381" s="669"/>
      <c r="CFV381" s="669"/>
      <c r="CFW381" s="669"/>
      <c r="CFX381" s="669"/>
      <c r="CFY381" s="669"/>
      <c r="CFZ381" s="669"/>
      <c r="CGA381" s="669"/>
      <c r="CGB381" s="669"/>
      <c r="CGC381" s="669"/>
      <c r="CGD381" s="669"/>
      <c r="CGE381" s="669"/>
      <c r="CGF381" s="669"/>
      <c r="CGG381" s="669"/>
      <c r="CGH381" s="669"/>
      <c r="CGI381" s="669"/>
      <c r="CGJ381" s="669"/>
      <c r="CGK381" s="669"/>
      <c r="CGL381" s="669"/>
      <c r="CGM381" s="669"/>
      <c r="CGN381" s="669"/>
      <c r="CGO381" s="669"/>
      <c r="CGP381" s="669"/>
      <c r="CGQ381" s="669"/>
      <c r="CGR381" s="669"/>
      <c r="CGS381" s="669"/>
      <c r="CGT381" s="669"/>
      <c r="CGU381" s="669"/>
      <c r="CGV381" s="669"/>
      <c r="CGW381" s="669"/>
      <c r="CGX381" s="669"/>
      <c r="CGY381" s="669"/>
      <c r="CGZ381" s="669"/>
      <c r="CHA381" s="669"/>
      <c r="CHB381" s="669"/>
      <c r="CHC381" s="669"/>
      <c r="CHD381" s="669"/>
      <c r="CHE381" s="669"/>
      <c r="CHF381" s="669"/>
      <c r="CHG381" s="669"/>
      <c r="CHH381" s="669"/>
      <c r="CHI381" s="669"/>
      <c r="CHJ381" s="669"/>
      <c r="CHK381" s="669"/>
      <c r="CHL381" s="669"/>
      <c r="CHM381" s="669"/>
      <c r="CHN381" s="669"/>
      <c r="CHO381" s="669"/>
      <c r="CHP381" s="669"/>
      <c r="CHQ381" s="669"/>
      <c r="CHR381" s="669"/>
      <c r="CHS381" s="669"/>
      <c r="CHT381" s="669"/>
      <c r="CHU381" s="669"/>
      <c r="CHV381" s="669"/>
      <c r="CHW381" s="669"/>
      <c r="CHX381" s="669"/>
      <c r="CHY381" s="669"/>
      <c r="CHZ381" s="669"/>
      <c r="CIA381" s="669"/>
      <c r="CIB381" s="669"/>
      <c r="CIC381" s="669"/>
      <c r="CID381" s="669"/>
      <c r="CIE381" s="669"/>
      <c r="CIF381" s="669"/>
      <c r="CIG381" s="669"/>
      <c r="CIH381" s="669"/>
      <c r="CII381" s="669"/>
      <c r="CIJ381" s="669"/>
      <c r="CIK381" s="669"/>
      <c r="CIL381" s="669"/>
      <c r="CIM381" s="669"/>
      <c r="CIN381" s="669"/>
      <c r="CIO381" s="669"/>
      <c r="CIP381" s="669"/>
      <c r="CIQ381" s="669"/>
      <c r="CIR381" s="669"/>
      <c r="CIS381" s="669"/>
      <c r="CIT381" s="669"/>
      <c r="CIU381" s="669"/>
      <c r="CIV381" s="669"/>
      <c r="CIW381" s="669"/>
      <c r="CIX381" s="669"/>
      <c r="CIY381" s="669"/>
      <c r="CIZ381" s="669"/>
      <c r="CJA381" s="669"/>
      <c r="CJB381" s="669"/>
      <c r="CJC381" s="669"/>
      <c r="CJD381" s="669"/>
      <c r="CJE381" s="669"/>
      <c r="CJF381" s="669"/>
      <c r="CJG381" s="669"/>
      <c r="CJH381" s="669"/>
      <c r="CJI381" s="669"/>
      <c r="CJJ381" s="669"/>
      <c r="CJK381" s="669"/>
      <c r="CJL381" s="669"/>
      <c r="CJM381" s="669"/>
      <c r="CJN381" s="669"/>
      <c r="CJO381" s="669"/>
      <c r="CJP381" s="669"/>
      <c r="CJQ381" s="669"/>
      <c r="CJR381" s="669"/>
      <c r="CJS381" s="669"/>
      <c r="CJT381" s="669"/>
      <c r="CJU381" s="669"/>
      <c r="CJV381" s="669"/>
      <c r="CJW381" s="669"/>
      <c r="CJX381" s="669"/>
      <c r="CJY381" s="669"/>
      <c r="CJZ381" s="669"/>
      <c r="CKA381" s="669"/>
      <c r="CKB381" s="669"/>
      <c r="CKC381" s="669"/>
      <c r="CKD381" s="669"/>
      <c r="CKE381" s="669"/>
      <c r="CKF381" s="669"/>
      <c r="CKG381" s="669"/>
      <c r="CKH381" s="669"/>
      <c r="CKI381" s="669"/>
      <c r="CKJ381" s="669"/>
      <c r="CKK381" s="669"/>
      <c r="CKL381" s="669"/>
      <c r="CKM381" s="669"/>
      <c r="CKN381" s="669"/>
      <c r="CKO381" s="669"/>
      <c r="CKP381" s="669"/>
      <c r="CKQ381" s="669"/>
      <c r="CKR381" s="669"/>
      <c r="CKS381" s="669"/>
      <c r="CKT381" s="669"/>
      <c r="CKU381" s="669"/>
      <c r="CKV381" s="669"/>
      <c r="CKW381" s="669"/>
      <c r="CKX381" s="669"/>
      <c r="CKY381" s="669"/>
      <c r="CKZ381" s="669"/>
      <c r="CLA381" s="669"/>
      <c r="CLB381" s="669"/>
      <c r="CLC381" s="669"/>
      <c r="CLD381" s="669"/>
      <c r="CLE381" s="669"/>
      <c r="CLF381" s="669"/>
      <c r="CLG381" s="669"/>
      <c r="CLH381" s="669"/>
      <c r="CLI381" s="669"/>
      <c r="CLJ381" s="669"/>
      <c r="CLK381" s="669"/>
      <c r="CLL381" s="669"/>
      <c r="CLM381" s="669"/>
      <c r="CLN381" s="669"/>
      <c r="CLO381" s="669"/>
      <c r="CLP381" s="669"/>
      <c r="CLQ381" s="669"/>
      <c r="CLR381" s="669"/>
      <c r="CLS381" s="669"/>
      <c r="CLT381" s="669"/>
      <c r="CLU381" s="669"/>
      <c r="CLV381" s="669"/>
      <c r="CLW381" s="669"/>
      <c r="CLX381" s="669"/>
      <c r="CLY381" s="669"/>
      <c r="CLZ381" s="669"/>
      <c r="CMA381" s="669"/>
      <c r="CMB381" s="669"/>
      <c r="CMC381" s="669"/>
      <c r="CMD381" s="669"/>
      <c r="CME381" s="669"/>
      <c r="CMF381" s="669"/>
      <c r="CMG381" s="669"/>
      <c r="CMH381" s="669"/>
      <c r="CMI381" s="669"/>
      <c r="CMJ381" s="669"/>
      <c r="CMK381" s="669"/>
      <c r="CML381" s="669"/>
      <c r="CMM381" s="669"/>
      <c r="CMN381" s="669"/>
      <c r="CMO381" s="669"/>
      <c r="CMP381" s="669"/>
      <c r="CMQ381" s="669"/>
      <c r="CMR381" s="669"/>
      <c r="CMS381" s="669"/>
      <c r="CMT381" s="669"/>
      <c r="CMU381" s="669"/>
      <c r="CMV381" s="669"/>
      <c r="CMW381" s="669"/>
      <c r="CMX381" s="669"/>
      <c r="CMY381" s="669"/>
      <c r="CMZ381" s="669"/>
      <c r="CNA381" s="669"/>
      <c r="CNB381" s="669"/>
      <c r="CNC381" s="669"/>
      <c r="CND381" s="669"/>
      <c r="CNE381" s="669"/>
      <c r="CNF381" s="669"/>
      <c r="CNG381" s="669"/>
      <c r="CNH381" s="669"/>
      <c r="CNI381" s="669"/>
      <c r="CNJ381" s="669"/>
      <c r="CNK381" s="669"/>
      <c r="CNL381" s="669"/>
      <c r="CNM381" s="669"/>
      <c r="CNN381" s="669"/>
      <c r="CNO381" s="669"/>
      <c r="CNP381" s="669"/>
      <c r="CNQ381" s="669"/>
      <c r="CNR381" s="669"/>
      <c r="CNS381" s="669"/>
      <c r="CNT381" s="669"/>
      <c r="CNU381" s="669"/>
      <c r="CNV381" s="669"/>
      <c r="CNW381" s="669"/>
      <c r="CNX381" s="669"/>
      <c r="CNY381" s="669"/>
      <c r="CNZ381" s="669"/>
      <c r="COA381" s="669"/>
      <c r="COB381" s="669"/>
      <c r="COC381" s="669"/>
      <c r="COD381" s="669"/>
      <c r="COE381" s="669"/>
      <c r="COF381" s="669"/>
      <c r="COG381" s="669"/>
      <c r="COH381" s="669"/>
      <c r="COI381" s="669"/>
      <c r="COJ381" s="669"/>
      <c r="COK381" s="669"/>
      <c r="COL381" s="669"/>
      <c r="COM381" s="669"/>
      <c r="CON381" s="669"/>
      <c r="COO381" s="669"/>
      <c r="COP381" s="669"/>
      <c r="COQ381" s="669"/>
      <c r="COR381" s="669"/>
      <c r="COS381" s="669"/>
      <c r="COT381" s="669"/>
      <c r="COU381" s="669"/>
      <c r="COV381" s="669"/>
      <c r="COW381" s="669"/>
      <c r="COX381" s="669"/>
      <c r="COY381" s="669"/>
      <c r="COZ381" s="669"/>
      <c r="CPA381" s="669"/>
      <c r="CPB381" s="669"/>
      <c r="CPC381" s="669"/>
      <c r="CPD381" s="669"/>
      <c r="CPE381" s="669"/>
      <c r="CPF381" s="669"/>
      <c r="CPG381" s="669"/>
      <c r="CPH381" s="669"/>
      <c r="CPI381" s="669"/>
      <c r="CPJ381" s="669"/>
      <c r="CPK381" s="669"/>
      <c r="CPL381" s="669"/>
      <c r="CPM381" s="669"/>
      <c r="CPN381" s="669"/>
      <c r="CPO381" s="669"/>
      <c r="CPP381" s="669"/>
      <c r="CPQ381" s="669"/>
      <c r="CPR381" s="669"/>
      <c r="CPS381" s="669"/>
      <c r="CPT381" s="669"/>
      <c r="CPU381" s="669"/>
      <c r="CPV381" s="669"/>
      <c r="CPW381" s="669"/>
      <c r="CPX381" s="669"/>
      <c r="CPY381" s="669"/>
      <c r="CPZ381" s="669"/>
      <c r="CQA381" s="669"/>
      <c r="CQB381" s="669"/>
      <c r="CQC381" s="669"/>
      <c r="CQD381" s="669"/>
      <c r="CQE381" s="669"/>
      <c r="CQF381" s="669"/>
      <c r="CQG381" s="669"/>
      <c r="CQH381" s="669"/>
      <c r="CQI381" s="669"/>
      <c r="CQJ381" s="669"/>
      <c r="CQK381" s="669"/>
      <c r="CQL381" s="669"/>
      <c r="CQM381" s="669"/>
      <c r="CQN381" s="669"/>
      <c r="CQO381" s="669"/>
      <c r="CQP381" s="669"/>
      <c r="CQQ381" s="669"/>
      <c r="CQR381" s="669"/>
      <c r="CQS381" s="669"/>
      <c r="CQT381" s="669"/>
      <c r="CQU381" s="669"/>
      <c r="CQV381" s="669"/>
      <c r="CQW381" s="669"/>
      <c r="CQX381" s="669"/>
      <c r="CQY381" s="669"/>
      <c r="CQZ381" s="669"/>
      <c r="CRA381" s="669"/>
      <c r="CRB381" s="669"/>
      <c r="CRC381" s="669"/>
      <c r="CRD381" s="669"/>
      <c r="CRE381" s="669"/>
      <c r="CRF381" s="669"/>
      <c r="CRG381" s="669"/>
      <c r="CRH381" s="669"/>
      <c r="CRI381" s="669"/>
      <c r="CRJ381" s="669"/>
      <c r="CRK381" s="669"/>
      <c r="CRL381" s="669"/>
      <c r="CRM381" s="669"/>
      <c r="CRN381" s="669"/>
      <c r="CRO381" s="669"/>
      <c r="CRP381" s="669"/>
      <c r="CRQ381" s="669"/>
      <c r="CRR381" s="669"/>
      <c r="CRS381" s="669"/>
      <c r="CRT381" s="669"/>
      <c r="CRU381" s="669"/>
      <c r="CRV381" s="669"/>
      <c r="CRW381" s="669"/>
      <c r="CRX381" s="669"/>
      <c r="CRY381" s="669"/>
      <c r="CRZ381" s="669"/>
      <c r="CSA381" s="669"/>
      <c r="CSB381" s="669"/>
      <c r="CSC381" s="669"/>
      <c r="CSD381" s="669"/>
      <c r="CSE381" s="669"/>
      <c r="CSF381" s="669"/>
      <c r="CSG381" s="669"/>
      <c r="CSH381" s="669"/>
      <c r="CSI381" s="669"/>
      <c r="CSJ381" s="669"/>
      <c r="CSK381" s="669"/>
      <c r="CSL381" s="669"/>
      <c r="CSM381" s="669"/>
      <c r="CSN381" s="669"/>
      <c r="CSO381" s="669"/>
      <c r="CSP381" s="669"/>
      <c r="CSQ381" s="669"/>
      <c r="CSR381" s="669"/>
      <c r="CSS381" s="669"/>
      <c r="CST381" s="669"/>
      <c r="CSU381" s="669"/>
      <c r="CSV381" s="669"/>
      <c r="CSW381" s="669"/>
      <c r="CSX381" s="669"/>
      <c r="CSY381" s="669"/>
      <c r="CSZ381" s="669"/>
      <c r="CTA381" s="669"/>
      <c r="CTB381" s="669"/>
      <c r="CTC381" s="669"/>
      <c r="CTD381" s="669"/>
      <c r="CTE381" s="669"/>
      <c r="CTF381" s="669"/>
      <c r="CTG381" s="669"/>
      <c r="CTH381" s="669"/>
      <c r="CTI381" s="669"/>
      <c r="CTJ381" s="669"/>
      <c r="CTK381" s="669"/>
      <c r="CTL381" s="669"/>
      <c r="CTM381" s="669"/>
      <c r="CTN381" s="669"/>
      <c r="CTO381" s="669"/>
      <c r="CTP381" s="669"/>
      <c r="CTQ381" s="669"/>
      <c r="CTR381" s="669"/>
      <c r="CTS381" s="669"/>
      <c r="CTT381" s="669"/>
      <c r="CTU381" s="669"/>
      <c r="CTV381" s="669"/>
      <c r="CTW381" s="669"/>
      <c r="CTX381" s="669"/>
      <c r="CTY381" s="669"/>
      <c r="CTZ381" s="669"/>
      <c r="CUA381" s="669"/>
      <c r="CUB381" s="669"/>
      <c r="CUC381" s="669"/>
      <c r="CUD381" s="669"/>
      <c r="CUE381" s="669"/>
      <c r="CUF381" s="669"/>
      <c r="CUG381" s="669"/>
      <c r="CUH381" s="669"/>
      <c r="CUI381" s="669"/>
      <c r="CUJ381" s="669"/>
      <c r="CUK381" s="669"/>
      <c r="CUL381" s="669"/>
      <c r="CUM381" s="669"/>
      <c r="CUN381" s="669"/>
      <c r="CUO381" s="669"/>
      <c r="CUP381" s="669"/>
      <c r="CUQ381" s="669"/>
      <c r="CUR381" s="669"/>
      <c r="CUS381" s="669"/>
      <c r="CUT381" s="669"/>
      <c r="CUU381" s="669"/>
      <c r="CUV381" s="669"/>
      <c r="CUW381" s="669"/>
      <c r="CUX381" s="669"/>
      <c r="CUY381" s="669"/>
      <c r="CUZ381" s="669"/>
      <c r="CVA381" s="669"/>
      <c r="CVB381" s="669"/>
      <c r="CVC381" s="669"/>
      <c r="CVD381" s="669"/>
      <c r="CVE381" s="669"/>
      <c r="CVF381" s="669"/>
      <c r="CVG381" s="669"/>
      <c r="CVH381" s="669"/>
      <c r="CVI381" s="669"/>
      <c r="CVJ381" s="669"/>
      <c r="CVK381" s="669"/>
      <c r="CVL381" s="669"/>
      <c r="CVM381" s="669"/>
      <c r="CVN381" s="669"/>
      <c r="CVO381" s="669"/>
      <c r="CVP381" s="669"/>
      <c r="CVQ381" s="669"/>
      <c r="CVR381" s="669"/>
      <c r="CVS381" s="669"/>
      <c r="CVT381" s="669"/>
      <c r="CVU381" s="669"/>
      <c r="CVV381" s="669"/>
      <c r="CVW381" s="669"/>
      <c r="CVX381" s="669"/>
      <c r="CVY381" s="669"/>
      <c r="CVZ381" s="669"/>
      <c r="CWA381" s="669"/>
      <c r="CWB381" s="669"/>
      <c r="CWC381" s="669"/>
      <c r="CWD381" s="669"/>
      <c r="CWE381" s="669"/>
      <c r="CWF381" s="669"/>
      <c r="CWG381" s="669"/>
      <c r="CWH381" s="669"/>
      <c r="CWI381" s="669"/>
      <c r="CWJ381" s="669"/>
      <c r="CWK381" s="669"/>
      <c r="CWL381" s="669"/>
      <c r="CWM381" s="669"/>
      <c r="CWN381" s="669"/>
      <c r="CWO381" s="669"/>
      <c r="CWP381" s="669"/>
      <c r="CWQ381" s="669"/>
      <c r="CWR381" s="669"/>
      <c r="CWS381" s="669"/>
      <c r="CWT381" s="669"/>
      <c r="CWU381" s="669"/>
      <c r="CWV381" s="669"/>
      <c r="CWW381" s="669"/>
      <c r="CWX381" s="669"/>
      <c r="CWY381" s="669"/>
      <c r="CWZ381" s="669"/>
      <c r="CXA381" s="669"/>
      <c r="CXB381" s="669"/>
      <c r="CXC381" s="669"/>
      <c r="CXD381" s="669"/>
      <c r="CXE381" s="669"/>
      <c r="CXF381" s="669"/>
      <c r="CXG381" s="669"/>
      <c r="CXH381" s="669"/>
      <c r="CXI381" s="669"/>
      <c r="CXJ381" s="669"/>
      <c r="CXK381" s="669"/>
      <c r="CXL381" s="669"/>
      <c r="CXM381" s="669"/>
      <c r="CXN381" s="669"/>
      <c r="CXO381" s="669"/>
      <c r="CXP381" s="669"/>
      <c r="CXQ381" s="669"/>
      <c r="CXR381" s="669"/>
      <c r="CXS381" s="669"/>
      <c r="CXT381" s="669"/>
      <c r="CXU381" s="669"/>
      <c r="CXV381" s="669"/>
      <c r="CXW381" s="669"/>
      <c r="CXX381" s="669"/>
      <c r="CXY381" s="669"/>
      <c r="CXZ381" s="669"/>
      <c r="CYA381" s="669"/>
      <c r="CYB381" s="669"/>
      <c r="CYC381" s="669"/>
      <c r="CYD381" s="669"/>
      <c r="CYE381" s="669"/>
      <c r="CYF381" s="669"/>
      <c r="CYG381" s="669"/>
      <c r="CYH381" s="669"/>
      <c r="CYI381" s="669"/>
      <c r="CYJ381" s="669"/>
      <c r="CYK381" s="669"/>
      <c r="CYL381" s="669"/>
      <c r="CYM381" s="669"/>
      <c r="CYN381" s="669"/>
      <c r="CYO381" s="669"/>
      <c r="CYP381" s="669"/>
      <c r="CYQ381" s="669"/>
      <c r="CYR381" s="669"/>
      <c r="CYS381" s="669"/>
      <c r="CYT381" s="669"/>
      <c r="CYU381" s="669"/>
      <c r="CYV381" s="669"/>
      <c r="CYW381" s="669"/>
      <c r="CYX381" s="669"/>
      <c r="CYY381" s="669"/>
      <c r="CYZ381" s="669"/>
      <c r="CZA381" s="669"/>
      <c r="CZB381" s="669"/>
      <c r="CZC381" s="669"/>
      <c r="CZD381" s="669"/>
      <c r="CZE381" s="669"/>
      <c r="CZF381" s="669"/>
      <c r="CZG381" s="669"/>
      <c r="CZH381" s="669"/>
      <c r="CZI381" s="669"/>
      <c r="CZJ381" s="669"/>
      <c r="CZK381" s="669"/>
      <c r="CZL381" s="669"/>
      <c r="CZM381" s="669"/>
      <c r="CZN381" s="669"/>
      <c r="CZO381" s="669"/>
      <c r="CZP381" s="669"/>
      <c r="CZQ381" s="669"/>
      <c r="CZR381" s="669"/>
      <c r="CZS381" s="669"/>
      <c r="CZT381" s="669"/>
      <c r="CZU381" s="669"/>
      <c r="CZV381" s="669"/>
      <c r="CZW381" s="669"/>
      <c r="CZX381" s="669"/>
      <c r="CZY381" s="669"/>
      <c r="CZZ381" s="669"/>
      <c r="DAA381" s="669"/>
      <c r="DAB381" s="669"/>
      <c r="DAC381" s="669"/>
      <c r="DAD381" s="669"/>
      <c r="DAE381" s="669"/>
      <c r="DAF381" s="669"/>
      <c r="DAG381" s="669"/>
      <c r="DAH381" s="669"/>
      <c r="DAI381" s="669"/>
      <c r="DAJ381" s="669"/>
      <c r="DAK381" s="669"/>
      <c r="DAL381" s="669"/>
      <c r="DAM381" s="669"/>
      <c r="DAN381" s="669"/>
      <c r="DAO381" s="669"/>
      <c r="DAP381" s="669"/>
      <c r="DAQ381" s="669"/>
      <c r="DAR381" s="669"/>
      <c r="DAS381" s="669"/>
      <c r="DAT381" s="669"/>
      <c r="DAU381" s="669"/>
      <c r="DAV381" s="669"/>
      <c r="DAW381" s="669"/>
      <c r="DAX381" s="669"/>
      <c r="DAY381" s="669"/>
      <c r="DAZ381" s="669"/>
      <c r="DBA381" s="669"/>
      <c r="DBB381" s="669"/>
      <c r="DBC381" s="669"/>
      <c r="DBD381" s="669"/>
      <c r="DBE381" s="669"/>
      <c r="DBF381" s="669"/>
      <c r="DBG381" s="669"/>
      <c r="DBH381" s="669"/>
      <c r="DBI381" s="669"/>
      <c r="DBJ381" s="669"/>
      <c r="DBK381" s="669"/>
      <c r="DBL381" s="669"/>
      <c r="DBM381" s="669"/>
      <c r="DBN381" s="669"/>
      <c r="DBO381" s="669"/>
      <c r="DBP381" s="669"/>
      <c r="DBQ381" s="669"/>
      <c r="DBR381" s="669"/>
      <c r="DBS381" s="669"/>
      <c r="DBT381" s="669"/>
      <c r="DBU381" s="669"/>
      <c r="DBV381" s="669"/>
      <c r="DBW381" s="669"/>
      <c r="DBX381" s="669"/>
      <c r="DBY381" s="669"/>
      <c r="DBZ381" s="669"/>
      <c r="DCA381" s="669"/>
      <c r="DCB381" s="669"/>
      <c r="DCC381" s="669"/>
      <c r="DCD381" s="669"/>
      <c r="DCE381" s="669"/>
      <c r="DCF381" s="669"/>
      <c r="DCG381" s="669"/>
      <c r="DCH381" s="669"/>
      <c r="DCI381" s="669"/>
      <c r="DCJ381" s="669"/>
      <c r="DCK381" s="669"/>
      <c r="DCL381" s="669"/>
      <c r="DCM381" s="669"/>
      <c r="DCN381" s="669"/>
      <c r="DCO381" s="669"/>
      <c r="DCP381" s="669"/>
      <c r="DCQ381" s="669"/>
      <c r="DCR381" s="669"/>
      <c r="DCS381" s="669"/>
      <c r="DCT381" s="669"/>
      <c r="DCU381" s="669"/>
      <c r="DCV381" s="669"/>
      <c r="DCW381" s="669"/>
      <c r="DCX381" s="669"/>
      <c r="DCY381" s="669"/>
      <c r="DCZ381" s="669"/>
      <c r="DDA381" s="669"/>
      <c r="DDB381" s="669"/>
      <c r="DDC381" s="669"/>
      <c r="DDD381" s="669"/>
      <c r="DDE381" s="669"/>
      <c r="DDF381" s="669"/>
      <c r="DDG381" s="669"/>
      <c r="DDH381" s="669"/>
      <c r="DDI381" s="669"/>
      <c r="DDJ381" s="669"/>
      <c r="DDK381" s="669"/>
      <c r="DDL381" s="669"/>
      <c r="DDM381" s="669"/>
      <c r="DDN381" s="669"/>
      <c r="DDO381" s="669"/>
      <c r="DDP381" s="669"/>
      <c r="DDQ381" s="669"/>
      <c r="DDR381" s="669"/>
      <c r="DDS381" s="669"/>
      <c r="DDT381" s="669"/>
      <c r="DDU381" s="669"/>
      <c r="DDV381" s="669"/>
      <c r="DDW381" s="669"/>
      <c r="DDX381" s="669"/>
      <c r="DDY381" s="669"/>
      <c r="DDZ381" s="669"/>
      <c r="DEA381" s="669"/>
      <c r="DEB381" s="669"/>
      <c r="DEC381" s="669"/>
      <c r="DED381" s="669"/>
      <c r="DEE381" s="669"/>
      <c r="DEF381" s="669"/>
      <c r="DEG381" s="669"/>
      <c r="DEH381" s="669"/>
      <c r="DEI381" s="669"/>
      <c r="DEJ381" s="669"/>
      <c r="DEK381" s="669"/>
      <c r="DEL381" s="669"/>
      <c r="DEM381" s="669"/>
      <c r="DEN381" s="669"/>
      <c r="DEO381" s="669"/>
      <c r="DEP381" s="669"/>
      <c r="DEQ381" s="669"/>
      <c r="DER381" s="669"/>
      <c r="DES381" s="669"/>
      <c r="DET381" s="669"/>
      <c r="DEU381" s="669"/>
      <c r="DEV381" s="669"/>
      <c r="DEW381" s="669"/>
      <c r="DEX381" s="669"/>
      <c r="DEY381" s="669"/>
      <c r="DEZ381" s="669"/>
      <c r="DFA381" s="669"/>
      <c r="DFB381" s="669"/>
      <c r="DFC381" s="669"/>
      <c r="DFD381" s="669"/>
      <c r="DFE381" s="669"/>
      <c r="DFF381" s="669"/>
      <c r="DFG381" s="669"/>
      <c r="DFH381" s="669"/>
      <c r="DFI381" s="669"/>
      <c r="DFJ381" s="669"/>
      <c r="DFK381" s="669"/>
      <c r="DFL381" s="669"/>
      <c r="DFM381" s="669"/>
      <c r="DFN381" s="669"/>
      <c r="DFO381" s="669"/>
      <c r="DFP381" s="669"/>
      <c r="DFQ381" s="669"/>
      <c r="DFR381" s="669"/>
      <c r="DFS381" s="669"/>
      <c r="DFT381" s="669"/>
      <c r="DFU381" s="669"/>
      <c r="DFV381" s="669"/>
      <c r="DFW381" s="669"/>
      <c r="DFX381" s="669"/>
      <c r="DFY381" s="669"/>
      <c r="DFZ381" s="669"/>
      <c r="DGA381" s="669"/>
      <c r="DGB381" s="669"/>
      <c r="DGC381" s="669"/>
      <c r="DGD381" s="669"/>
      <c r="DGE381" s="669"/>
      <c r="DGF381" s="669"/>
      <c r="DGG381" s="669"/>
      <c r="DGH381" s="669"/>
      <c r="DGI381" s="669"/>
      <c r="DGJ381" s="669"/>
      <c r="DGK381" s="669"/>
      <c r="DGL381" s="669"/>
      <c r="DGM381" s="669"/>
      <c r="DGN381" s="669"/>
      <c r="DGO381" s="669"/>
      <c r="DGP381" s="669"/>
      <c r="DGQ381" s="669"/>
      <c r="DGR381" s="669"/>
      <c r="DGS381" s="669"/>
      <c r="DGT381" s="669"/>
      <c r="DGU381" s="669"/>
      <c r="DGV381" s="669"/>
      <c r="DGW381" s="669"/>
      <c r="DGX381" s="669"/>
      <c r="DGY381" s="669"/>
      <c r="DGZ381" s="669"/>
      <c r="DHA381" s="669"/>
      <c r="DHB381" s="669"/>
      <c r="DHC381" s="669"/>
      <c r="DHD381" s="669"/>
      <c r="DHE381" s="669"/>
      <c r="DHF381" s="669"/>
      <c r="DHG381" s="669"/>
      <c r="DHH381" s="669"/>
      <c r="DHI381" s="669"/>
      <c r="DHJ381" s="669"/>
      <c r="DHK381" s="669"/>
      <c r="DHL381" s="669"/>
      <c r="DHM381" s="669"/>
      <c r="DHN381" s="669"/>
      <c r="DHO381" s="669"/>
      <c r="DHP381" s="669"/>
      <c r="DHQ381" s="669"/>
      <c r="DHR381" s="669"/>
      <c r="DHS381" s="669"/>
      <c r="DHT381" s="669"/>
      <c r="DHU381" s="669"/>
      <c r="DHV381" s="669"/>
      <c r="DHW381" s="669"/>
      <c r="DHX381" s="669"/>
      <c r="DHY381" s="669"/>
      <c r="DHZ381" s="669"/>
      <c r="DIA381" s="669"/>
      <c r="DIB381" s="669"/>
      <c r="DIC381" s="669"/>
      <c r="DID381" s="669"/>
      <c r="DIE381" s="669"/>
      <c r="DIF381" s="669"/>
      <c r="DIG381" s="669"/>
      <c r="DIH381" s="669"/>
      <c r="DII381" s="669"/>
      <c r="DIJ381" s="669"/>
      <c r="DIK381" s="669"/>
      <c r="DIL381" s="669"/>
      <c r="DIM381" s="669"/>
      <c r="DIN381" s="669"/>
      <c r="DIO381" s="669"/>
      <c r="DIP381" s="669"/>
      <c r="DIQ381" s="669"/>
      <c r="DIR381" s="669"/>
      <c r="DIS381" s="669"/>
      <c r="DIT381" s="669"/>
      <c r="DIU381" s="669"/>
      <c r="DIV381" s="669"/>
      <c r="DIW381" s="669"/>
      <c r="DIX381" s="669"/>
      <c r="DIY381" s="669"/>
      <c r="DIZ381" s="669"/>
      <c r="DJA381" s="669"/>
      <c r="DJB381" s="669"/>
      <c r="DJC381" s="669"/>
      <c r="DJD381" s="669"/>
      <c r="DJE381" s="669"/>
      <c r="DJF381" s="669"/>
      <c r="DJG381" s="669"/>
      <c r="DJH381" s="669"/>
      <c r="DJI381" s="669"/>
      <c r="DJJ381" s="669"/>
      <c r="DJK381" s="669"/>
      <c r="DJL381" s="669"/>
      <c r="DJM381" s="669"/>
      <c r="DJN381" s="669"/>
      <c r="DJO381" s="669"/>
      <c r="DJP381" s="669"/>
      <c r="DJQ381" s="669"/>
      <c r="DJR381" s="669"/>
      <c r="DJS381" s="669"/>
      <c r="DJT381" s="669"/>
      <c r="DJU381" s="669"/>
      <c r="DJV381" s="669"/>
      <c r="DJW381" s="669"/>
      <c r="DJX381" s="669"/>
      <c r="DJY381" s="669"/>
      <c r="DJZ381" s="669"/>
      <c r="DKA381" s="669"/>
      <c r="DKB381" s="669"/>
      <c r="DKC381" s="669"/>
      <c r="DKD381" s="669"/>
      <c r="DKE381" s="669"/>
      <c r="DKF381" s="669"/>
      <c r="DKG381" s="669"/>
      <c r="DKH381" s="669"/>
      <c r="DKI381" s="669"/>
      <c r="DKJ381" s="669"/>
      <c r="DKK381" s="669"/>
      <c r="DKL381" s="669"/>
      <c r="DKM381" s="669"/>
      <c r="DKN381" s="669"/>
      <c r="DKO381" s="669"/>
      <c r="DKP381" s="669"/>
      <c r="DKQ381" s="669"/>
      <c r="DKR381" s="669"/>
      <c r="DKS381" s="669"/>
      <c r="DKT381" s="669"/>
      <c r="DKU381" s="669"/>
      <c r="DKV381" s="669"/>
      <c r="DKW381" s="669"/>
      <c r="DKX381" s="669"/>
      <c r="DKY381" s="669"/>
      <c r="DKZ381" s="669"/>
      <c r="DLA381" s="669"/>
      <c r="DLB381" s="669"/>
      <c r="DLC381" s="669"/>
      <c r="DLD381" s="669"/>
      <c r="DLE381" s="669"/>
      <c r="DLF381" s="669"/>
      <c r="DLG381" s="669"/>
      <c r="DLH381" s="669"/>
      <c r="DLI381" s="669"/>
      <c r="DLJ381" s="669"/>
      <c r="DLK381" s="669"/>
      <c r="DLL381" s="669"/>
      <c r="DLM381" s="669"/>
      <c r="DLN381" s="669"/>
      <c r="DLO381" s="669"/>
      <c r="DLP381" s="669"/>
      <c r="DLQ381" s="669"/>
      <c r="DLR381" s="669"/>
      <c r="DLS381" s="669"/>
      <c r="DLT381" s="669"/>
      <c r="DLU381" s="669"/>
      <c r="DLV381" s="669"/>
      <c r="DLW381" s="669"/>
      <c r="DLX381" s="669"/>
      <c r="DLY381" s="669"/>
      <c r="DLZ381" s="669"/>
      <c r="DMA381" s="669"/>
      <c r="DMB381" s="669"/>
      <c r="DMC381" s="669"/>
      <c r="DMD381" s="669"/>
      <c r="DME381" s="669"/>
      <c r="DMF381" s="669"/>
      <c r="DMG381" s="669"/>
      <c r="DMH381" s="669"/>
      <c r="DMI381" s="669"/>
      <c r="DMJ381" s="669"/>
      <c r="DMK381" s="669"/>
      <c r="DML381" s="669"/>
      <c r="DMM381" s="669"/>
      <c r="DMN381" s="669"/>
      <c r="DMO381" s="669"/>
      <c r="DMP381" s="669"/>
      <c r="DMQ381" s="669"/>
      <c r="DMR381" s="669"/>
      <c r="DMS381" s="669"/>
      <c r="DMT381" s="669"/>
      <c r="DMU381" s="669"/>
      <c r="DMV381" s="669"/>
      <c r="DMW381" s="669"/>
      <c r="DMX381" s="669"/>
      <c r="DMY381" s="669"/>
      <c r="DMZ381" s="669"/>
      <c r="DNA381" s="669"/>
      <c r="DNB381" s="669"/>
      <c r="DNC381" s="669"/>
      <c r="DND381" s="669"/>
      <c r="DNE381" s="669"/>
      <c r="DNF381" s="669"/>
      <c r="DNG381" s="669"/>
      <c r="DNH381" s="669"/>
      <c r="DNI381" s="669"/>
      <c r="DNJ381" s="669"/>
      <c r="DNK381" s="669"/>
      <c r="DNL381" s="669"/>
      <c r="DNM381" s="669"/>
      <c r="DNN381" s="669"/>
      <c r="DNO381" s="669"/>
      <c r="DNP381" s="669"/>
      <c r="DNQ381" s="669"/>
      <c r="DNR381" s="669"/>
      <c r="DNS381" s="669"/>
      <c r="DNT381" s="669"/>
      <c r="DNU381" s="669"/>
      <c r="DNV381" s="669"/>
      <c r="DNW381" s="669"/>
      <c r="DNX381" s="669"/>
      <c r="DNY381" s="669"/>
      <c r="DNZ381" s="669"/>
      <c r="DOA381" s="669"/>
      <c r="DOB381" s="669"/>
      <c r="DOC381" s="669"/>
      <c r="DOD381" s="669"/>
      <c r="DOE381" s="669"/>
      <c r="DOF381" s="669"/>
      <c r="DOG381" s="669"/>
      <c r="DOH381" s="669"/>
      <c r="DOI381" s="669"/>
      <c r="DOJ381" s="669"/>
      <c r="DOK381" s="669"/>
      <c r="DOL381" s="669"/>
      <c r="DOM381" s="669"/>
      <c r="DON381" s="669"/>
      <c r="DOO381" s="669"/>
      <c r="DOP381" s="669"/>
      <c r="DOQ381" s="669"/>
      <c r="DOR381" s="669"/>
      <c r="DOS381" s="669"/>
      <c r="DOT381" s="669"/>
      <c r="DOU381" s="669"/>
      <c r="DOV381" s="669"/>
      <c r="DOW381" s="669"/>
      <c r="DOX381" s="669"/>
      <c r="DOY381" s="669"/>
      <c r="DOZ381" s="669"/>
      <c r="DPA381" s="669"/>
      <c r="DPB381" s="669"/>
      <c r="DPC381" s="669"/>
      <c r="DPD381" s="669"/>
      <c r="DPE381" s="669"/>
      <c r="DPF381" s="669"/>
      <c r="DPG381" s="669"/>
      <c r="DPH381" s="669"/>
      <c r="DPI381" s="669"/>
      <c r="DPJ381" s="669"/>
      <c r="DPK381" s="669"/>
      <c r="DPL381" s="669"/>
      <c r="DPM381" s="669"/>
      <c r="DPN381" s="669"/>
      <c r="DPO381" s="669"/>
      <c r="DPP381" s="669"/>
      <c r="DPQ381" s="669"/>
      <c r="DPR381" s="669"/>
      <c r="DPS381" s="669"/>
      <c r="DPT381" s="669"/>
      <c r="DPU381" s="669"/>
      <c r="DPV381" s="669"/>
      <c r="DPW381" s="669"/>
      <c r="DPX381" s="669"/>
      <c r="DPY381" s="669"/>
      <c r="DPZ381" s="669"/>
      <c r="DQA381" s="669"/>
      <c r="DQB381" s="669"/>
      <c r="DQC381" s="669"/>
      <c r="DQD381" s="669"/>
      <c r="DQE381" s="669"/>
      <c r="DQF381" s="669"/>
      <c r="DQG381" s="669"/>
      <c r="DQH381" s="669"/>
      <c r="DQI381" s="669"/>
      <c r="DQJ381" s="669"/>
      <c r="DQK381" s="669"/>
      <c r="DQL381" s="669"/>
      <c r="DQM381" s="669"/>
      <c r="DQN381" s="669"/>
      <c r="DQO381" s="669"/>
      <c r="DQP381" s="669"/>
      <c r="DQQ381" s="669"/>
      <c r="DQR381" s="669"/>
      <c r="DQS381" s="669"/>
      <c r="DQT381" s="669"/>
      <c r="DQU381" s="669"/>
      <c r="DQV381" s="669"/>
      <c r="DQW381" s="669"/>
      <c r="DQX381" s="669"/>
      <c r="DQY381" s="669"/>
      <c r="DQZ381" s="669"/>
      <c r="DRA381" s="669"/>
      <c r="DRB381" s="669"/>
      <c r="DRC381" s="669"/>
      <c r="DRD381" s="669"/>
      <c r="DRE381" s="669"/>
      <c r="DRF381" s="669"/>
      <c r="DRG381" s="669"/>
      <c r="DRH381" s="669"/>
      <c r="DRI381" s="669"/>
      <c r="DRJ381" s="669"/>
      <c r="DRK381" s="669"/>
      <c r="DRL381" s="669"/>
      <c r="DRM381" s="669"/>
      <c r="DRN381" s="669"/>
      <c r="DRO381" s="669"/>
      <c r="DRP381" s="669"/>
      <c r="DRQ381" s="669"/>
      <c r="DRR381" s="669"/>
      <c r="DRS381" s="669"/>
      <c r="DRT381" s="669"/>
      <c r="DRU381" s="669"/>
      <c r="DRV381" s="669"/>
      <c r="DRW381" s="669"/>
      <c r="DRX381" s="669"/>
      <c r="DRY381" s="669"/>
      <c r="DRZ381" s="669"/>
      <c r="DSA381" s="669"/>
      <c r="DSB381" s="669"/>
      <c r="DSC381" s="669"/>
      <c r="DSD381" s="669"/>
      <c r="DSE381" s="669"/>
      <c r="DSF381" s="669"/>
      <c r="DSG381" s="669"/>
      <c r="DSH381" s="669"/>
      <c r="DSI381" s="669"/>
      <c r="DSJ381" s="669"/>
      <c r="DSK381" s="669"/>
      <c r="DSL381" s="669"/>
      <c r="DSM381" s="669"/>
      <c r="DSN381" s="669"/>
      <c r="DSO381" s="669"/>
      <c r="DSP381" s="669"/>
      <c r="DSQ381" s="669"/>
      <c r="DSR381" s="669"/>
      <c r="DSS381" s="669"/>
      <c r="DST381" s="669"/>
      <c r="DSU381" s="669"/>
      <c r="DSV381" s="669"/>
      <c r="DSW381" s="669"/>
      <c r="DSX381" s="669"/>
      <c r="DSY381" s="669"/>
      <c r="DSZ381" s="669"/>
      <c r="DTA381" s="669"/>
      <c r="DTB381" s="669"/>
      <c r="DTC381" s="669"/>
      <c r="DTD381" s="669"/>
      <c r="DTE381" s="669"/>
      <c r="DTF381" s="669"/>
      <c r="DTG381" s="669"/>
      <c r="DTH381" s="669"/>
      <c r="DTI381" s="669"/>
      <c r="DTJ381" s="669"/>
      <c r="DTK381" s="669"/>
      <c r="DTL381" s="669"/>
      <c r="DTM381" s="669"/>
      <c r="DTN381" s="669"/>
      <c r="DTO381" s="669"/>
      <c r="DTP381" s="669"/>
      <c r="DTQ381" s="669"/>
      <c r="DTR381" s="669"/>
      <c r="DTS381" s="669"/>
      <c r="DTT381" s="669"/>
      <c r="DTU381" s="669"/>
      <c r="DTV381" s="669"/>
      <c r="DTW381" s="669"/>
      <c r="DTX381" s="669"/>
      <c r="DTY381" s="669"/>
      <c r="DTZ381" s="669"/>
      <c r="DUA381" s="669"/>
      <c r="DUB381" s="669"/>
      <c r="DUC381" s="669"/>
      <c r="DUD381" s="669"/>
      <c r="DUE381" s="669"/>
      <c r="DUF381" s="669"/>
      <c r="DUG381" s="669"/>
      <c r="DUH381" s="669"/>
      <c r="DUI381" s="669"/>
      <c r="DUJ381" s="669"/>
      <c r="DUK381" s="669"/>
      <c r="DUL381" s="669"/>
      <c r="DUM381" s="669"/>
      <c r="DUN381" s="669"/>
      <c r="DUO381" s="669"/>
      <c r="DUP381" s="669"/>
      <c r="DUQ381" s="669"/>
      <c r="DUR381" s="669"/>
      <c r="DUS381" s="669"/>
      <c r="DUT381" s="669"/>
      <c r="DUU381" s="669"/>
      <c r="DUV381" s="669"/>
      <c r="DUW381" s="669"/>
      <c r="DUX381" s="669"/>
      <c r="DUY381" s="669"/>
      <c r="DUZ381" s="669"/>
      <c r="DVA381" s="669"/>
      <c r="DVB381" s="669"/>
      <c r="DVC381" s="669"/>
      <c r="DVD381" s="669"/>
      <c r="DVE381" s="669"/>
      <c r="DVF381" s="669"/>
      <c r="DVG381" s="669"/>
      <c r="DVH381" s="669"/>
      <c r="DVI381" s="669"/>
      <c r="DVJ381" s="669"/>
      <c r="DVK381" s="669"/>
      <c r="DVL381" s="669"/>
      <c r="DVM381" s="669"/>
      <c r="DVN381" s="669"/>
      <c r="DVO381" s="669"/>
      <c r="DVP381" s="669"/>
      <c r="DVQ381" s="669"/>
      <c r="DVR381" s="669"/>
      <c r="DVS381" s="669"/>
      <c r="DVT381" s="669"/>
      <c r="DVU381" s="669"/>
      <c r="DVV381" s="669"/>
      <c r="DVW381" s="669"/>
      <c r="DVX381" s="669"/>
      <c r="DVY381" s="669"/>
      <c r="DVZ381" s="669"/>
      <c r="DWA381" s="669"/>
      <c r="DWB381" s="669"/>
      <c r="DWC381" s="669"/>
      <c r="DWD381" s="669"/>
      <c r="DWE381" s="669"/>
      <c r="DWF381" s="669"/>
      <c r="DWG381" s="669"/>
      <c r="DWH381" s="669"/>
      <c r="DWI381" s="669"/>
      <c r="DWJ381" s="669"/>
      <c r="DWK381" s="669"/>
      <c r="DWL381" s="669"/>
      <c r="DWM381" s="669"/>
      <c r="DWN381" s="669"/>
      <c r="DWO381" s="669"/>
      <c r="DWP381" s="669"/>
      <c r="DWQ381" s="669"/>
      <c r="DWR381" s="669"/>
      <c r="DWS381" s="669"/>
      <c r="DWT381" s="669"/>
      <c r="DWU381" s="669"/>
      <c r="DWV381" s="669"/>
      <c r="DWW381" s="669"/>
      <c r="DWX381" s="669"/>
      <c r="DWY381" s="669"/>
      <c r="DWZ381" s="669"/>
      <c r="DXA381" s="669"/>
      <c r="DXB381" s="669"/>
      <c r="DXC381" s="669"/>
      <c r="DXD381" s="669"/>
      <c r="DXE381" s="669"/>
      <c r="DXF381" s="669"/>
      <c r="DXG381" s="669"/>
      <c r="DXH381" s="669"/>
      <c r="DXI381" s="669"/>
      <c r="DXJ381" s="669"/>
      <c r="DXK381" s="669"/>
      <c r="DXL381" s="669"/>
      <c r="DXM381" s="669"/>
      <c r="DXN381" s="669"/>
      <c r="DXO381" s="669"/>
      <c r="DXP381" s="669"/>
      <c r="DXQ381" s="669"/>
      <c r="DXR381" s="669"/>
      <c r="DXS381" s="669"/>
      <c r="DXT381" s="669"/>
      <c r="DXU381" s="669"/>
      <c r="DXV381" s="669"/>
      <c r="DXW381" s="669"/>
      <c r="DXX381" s="669"/>
      <c r="DXY381" s="669"/>
      <c r="DXZ381" s="669"/>
      <c r="DYA381" s="669"/>
      <c r="DYB381" s="669"/>
      <c r="DYC381" s="669"/>
      <c r="DYD381" s="669"/>
      <c r="DYE381" s="669"/>
      <c r="DYF381" s="669"/>
      <c r="DYG381" s="669"/>
      <c r="DYH381" s="669"/>
      <c r="DYI381" s="669"/>
      <c r="DYJ381" s="669"/>
      <c r="DYK381" s="669"/>
      <c r="DYL381" s="669"/>
      <c r="DYM381" s="669"/>
      <c r="DYN381" s="669"/>
      <c r="DYO381" s="669"/>
      <c r="DYP381" s="669"/>
      <c r="DYQ381" s="669"/>
      <c r="DYR381" s="669"/>
      <c r="DYS381" s="669"/>
      <c r="DYT381" s="669"/>
      <c r="DYU381" s="669"/>
      <c r="DYV381" s="669"/>
      <c r="DYW381" s="669"/>
      <c r="DYX381" s="669"/>
      <c r="DYY381" s="669"/>
      <c r="DYZ381" s="669"/>
      <c r="DZA381" s="669"/>
      <c r="DZB381" s="669"/>
      <c r="DZC381" s="669"/>
      <c r="DZD381" s="669"/>
      <c r="DZE381" s="669"/>
      <c r="DZF381" s="669"/>
      <c r="DZG381" s="669"/>
      <c r="DZH381" s="669"/>
      <c r="DZI381" s="669"/>
      <c r="DZJ381" s="669"/>
      <c r="DZK381" s="669"/>
      <c r="DZL381" s="669"/>
      <c r="DZM381" s="669"/>
      <c r="DZN381" s="669"/>
      <c r="DZO381" s="669"/>
      <c r="DZP381" s="669"/>
      <c r="DZQ381" s="669"/>
      <c r="DZR381" s="669"/>
      <c r="DZS381" s="669"/>
      <c r="DZT381" s="669"/>
      <c r="DZU381" s="669"/>
      <c r="DZV381" s="669"/>
      <c r="DZW381" s="669"/>
      <c r="DZX381" s="669"/>
      <c r="DZY381" s="669"/>
      <c r="DZZ381" s="669"/>
      <c r="EAA381" s="669"/>
      <c r="EAB381" s="669"/>
      <c r="EAC381" s="669"/>
      <c r="EAD381" s="669"/>
      <c r="EAE381" s="669"/>
      <c r="EAF381" s="669"/>
      <c r="EAG381" s="669"/>
      <c r="EAH381" s="669"/>
      <c r="EAI381" s="669"/>
      <c r="EAJ381" s="669"/>
      <c r="EAK381" s="669"/>
      <c r="EAL381" s="669"/>
      <c r="EAM381" s="669"/>
      <c r="EAN381" s="669"/>
      <c r="EAO381" s="669"/>
      <c r="EAP381" s="669"/>
      <c r="EAQ381" s="669"/>
      <c r="EAR381" s="669"/>
      <c r="EAS381" s="669"/>
      <c r="EAT381" s="669"/>
      <c r="EAU381" s="669"/>
      <c r="EAV381" s="669"/>
      <c r="EAW381" s="669"/>
      <c r="EAX381" s="669"/>
      <c r="EAY381" s="669"/>
      <c r="EAZ381" s="669"/>
      <c r="EBA381" s="669"/>
      <c r="EBB381" s="669"/>
      <c r="EBC381" s="669"/>
      <c r="EBD381" s="669"/>
      <c r="EBE381" s="669"/>
      <c r="EBF381" s="669"/>
      <c r="EBG381" s="669"/>
      <c r="EBH381" s="669"/>
      <c r="EBI381" s="669"/>
      <c r="EBJ381" s="669"/>
      <c r="EBK381" s="669"/>
      <c r="EBL381" s="669"/>
      <c r="EBM381" s="669"/>
      <c r="EBN381" s="669"/>
      <c r="EBO381" s="669"/>
      <c r="EBP381" s="669"/>
      <c r="EBQ381" s="669"/>
      <c r="EBR381" s="669"/>
      <c r="EBS381" s="669"/>
      <c r="EBT381" s="669"/>
      <c r="EBU381" s="669"/>
      <c r="EBV381" s="669"/>
      <c r="EBW381" s="669"/>
      <c r="EBX381" s="669"/>
      <c r="EBY381" s="669"/>
      <c r="EBZ381" s="669"/>
      <c r="ECA381" s="669"/>
      <c r="ECB381" s="669"/>
      <c r="ECC381" s="669"/>
      <c r="ECD381" s="669"/>
      <c r="ECE381" s="669"/>
      <c r="ECF381" s="669"/>
      <c r="ECG381" s="669"/>
      <c r="ECH381" s="669"/>
      <c r="ECI381" s="669"/>
      <c r="ECJ381" s="669"/>
      <c r="ECK381" s="669"/>
      <c r="ECL381" s="669"/>
      <c r="ECM381" s="669"/>
      <c r="ECN381" s="669"/>
      <c r="ECO381" s="669"/>
      <c r="ECP381" s="669"/>
      <c r="ECQ381" s="669"/>
      <c r="ECR381" s="669"/>
      <c r="ECS381" s="669"/>
      <c r="ECT381" s="669"/>
      <c r="ECU381" s="669"/>
      <c r="ECV381" s="669"/>
      <c r="ECW381" s="669"/>
      <c r="ECX381" s="669"/>
      <c r="ECY381" s="669"/>
      <c r="ECZ381" s="669"/>
      <c r="EDA381" s="669"/>
      <c r="EDB381" s="669"/>
      <c r="EDC381" s="669"/>
      <c r="EDD381" s="669"/>
      <c r="EDE381" s="669"/>
      <c r="EDF381" s="669"/>
      <c r="EDG381" s="669"/>
      <c r="EDH381" s="669"/>
      <c r="EDI381" s="669"/>
      <c r="EDJ381" s="669"/>
      <c r="EDK381" s="669"/>
      <c r="EDL381" s="669"/>
      <c r="EDM381" s="669"/>
      <c r="EDN381" s="669"/>
      <c r="EDO381" s="669"/>
      <c r="EDP381" s="669"/>
      <c r="EDQ381" s="669"/>
      <c r="EDR381" s="669"/>
      <c r="EDS381" s="669"/>
      <c r="EDT381" s="669"/>
      <c r="EDU381" s="669"/>
      <c r="EDV381" s="669"/>
      <c r="EDW381" s="669"/>
      <c r="EDX381" s="669"/>
      <c r="EDY381" s="669"/>
      <c r="EDZ381" s="669"/>
      <c r="EEA381" s="669"/>
      <c r="EEB381" s="669"/>
      <c r="EEC381" s="669"/>
      <c r="EED381" s="669"/>
      <c r="EEE381" s="669"/>
      <c r="EEF381" s="669"/>
      <c r="EEG381" s="669"/>
      <c r="EEH381" s="669"/>
      <c r="EEI381" s="669"/>
      <c r="EEJ381" s="669"/>
      <c r="EEK381" s="669"/>
      <c r="EEL381" s="669"/>
      <c r="EEM381" s="669"/>
      <c r="EEN381" s="669"/>
      <c r="EEO381" s="669"/>
      <c r="EEP381" s="669"/>
      <c r="EEQ381" s="669"/>
      <c r="EER381" s="669"/>
      <c r="EES381" s="669"/>
      <c r="EET381" s="669"/>
      <c r="EEU381" s="669"/>
      <c r="EEV381" s="669"/>
      <c r="EEW381" s="669"/>
      <c r="EEX381" s="669"/>
      <c r="EEY381" s="669"/>
      <c r="EEZ381" s="669"/>
      <c r="EFA381" s="669"/>
      <c r="EFB381" s="669"/>
      <c r="EFC381" s="669"/>
      <c r="EFD381" s="669"/>
      <c r="EFE381" s="669"/>
      <c r="EFF381" s="669"/>
      <c r="EFG381" s="669"/>
      <c r="EFH381" s="669"/>
      <c r="EFI381" s="669"/>
      <c r="EFJ381" s="669"/>
      <c r="EFK381" s="669"/>
      <c r="EFL381" s="669"/>
      <c r="EFM381" s="669"/>
      <c r="EFN381" s="669"/>
      <c r="EFO381" s="669"/>
      <c r="EFP381" s="669"/>
      <c r="EFQ381" s="669"/>
      <c r="EFR381" s="669"/>
      <c r="EFS381" s="669"/>
      <c r="EFT381" s="669"/>
      <c r="EFU381" s="669"/>
      <c r="EFV381" s="669"/>
      <c r="EFW381" s="669"/>
      <c r="EFX381" s="669"/>
      <c r="EFY381" s="669"/>
      <c r="EFZ381" s="669"/>
      <c r="EGA381" s="669"/>
      <c r="EGB381" s="669"/>
      <c r="EGC381" s="669"/>
      <c r="EGD381" s="669"/>
      <c r="EGE381" s="669"/>
      <c r="EGF381" s="669"/>
      <c r="EGG381" s="669"/>
      <c r="EGH381" s="669"/>
      <c r="EGI381" s="669"/>
      <c r="EGJ381" s="669"/>
      <c r="EGK381" s="669"/>
      <c r="EGL381" s="669"/>
      <c r="EGM381" s="669"/>
      <c r="EGN381" s="669"/>
      <c r="EGO381" s="669"/>
      <c r="EGP381" s="669"/>
      <c r="EGQ381" s="669"/>
      <c r="EGR381" s="669"/>
      <c r="EGS381" s="669"/>
      <c r="EGT381" s="669"/>
      <c r="EGU381" s="669"/>
      <c r="EGV381" s="669"/>
      <c r="EGW381" s="669"/>
      <c r="EGX381" s="669"/>
      <c r="EGY381" s="669"/>
      <c r="EGZ381" s="669"/>
      <c r="EHA381" s="669"/>
      <c r="EHB381" s="669"/>
      <c r="EHC381" s="669"/>
      <c r="EHD381" s="669"/>
      <c r="EHE381" s="669"/>
      <c r="EHF381" s="669"/>
      <c r="EHG381" s="669"/>
      <c r="EHH381" s="669"/>
      <c r="EHI381" s="669"/>
      <c r="EHJ381" s="669"/>
      <c r="EHK381" s="669"/>
      <c r="EHL381" s="669"/>
      <c r="EHM381" s="669"/>
      <c r="EHN381" s="669"/>
      <c r="EHO381" s="669"/>
      <c r="EHP381" s="669"/>
      <c r="EHQ381" s="669"/>
      <c r="EHR381" s="669"/>
      <c r="EHS381" s="669"/>
      <c r="EHT381" s="669"/>
      <c r="EHU381" s="669"/>
      <c r="EHV381" s="669"/>
      <c r="EHW381" s="669"/>
      <c r="EHX381" s="669"/>
      <c r="EHY381" s="669"/>
      <c r="EHZ381" s="669"/>
      <c r="EIA381" s="669"/>
      <c r="EIB381" s="669"/>
      <c r="EIC381" s="669"/>
      <c r="EID381" s="669"/>
      <c r="EIE381" s="669"/>
      <c r="EIF381" s="669"/>
      <c r="EIG381" s="669"/>
      <c r="EIH381" s="669"/>
      <c r="EII381" s="669"/>
      <c r="EIJ381" s="669"/>
      <c r="EIK381" s="669"/>
      <c r="EIL381" s="669"/>
      <c r="EIM381" s="669"/>
      <c r="EIN381" s="669"/>
      <c r="EIO381" s="669"/>
      <c r="EIP381" s="669"/>
      <c r="EIQ381" s="669"/>
      <c r="EIR381" s="669"/>
      <c r="EIS381" s="669"/>
      <c r="EIT381" s="669"/>
      <c r="EIU381" s="669"/>
      <c r="EIV381" s="669"/>
      <c r="EIW381" s="669"/>
      <c r="EIX381" s="669"/>
      <c r="EIY381" s="669"/>
      <c r="EIZ381" s="669"/>
      <c r="EJA381" s="669"/>
      <c r="EJB381" s="669"/>
      <c r="EJC381" s="669"/>
      <c r="EJD381" s="669"/>
      <c r="EJE381" s="669"/>
      <c r="EJF381" s="669"/>
      <c r="EJG381" s="669"/>
      <c r="EJH381" s="669"/>
      <c r="EJI381" s="669"/>
      <c r="EJJ381" s="669"/>
      <c r="EJK381" s="669"/>
      <c r="EJL381" s="669"/>
      <c r="EJM381" s="669"/>
      <c r="EJN381" s="669"/>
      <c r="EJO381" s="669"/>
      <c r="EJP381" s="669"/>
      <c r="EJQ381" s="669"/>
      <c r="EJR381" s="669"/>
      <c r="EJS381" s="669"/>
      <c r="EJT381" s="669"/>
      <c r="EJU381" s="669"/>
      <c r="EJV381" s="669"/>
      <c r="EJW381" s="669"/>
      <c r="EJX381" s="669"/>
      <c r="EJY381" s="669"/>
      <c r="EJZ381" s="669"/>
      <c r="EKA381" s="669"/>
      <c r="EKB381" s="669"/>
      <c r="EKC381" s="669"/>
      <c r="EKD381" s="669"/>
      <c r="EKE381" s="669"/>
      <c r="EKF381" s="669"/>
      <c r="EKG381" s="669"/>
      <c r="EKH381" s="669"/>
      <c r="EKI381" s="669"/>
      <c r="EKJ381" s="669"/>
      <c r="EKK381" s="669"/>
      <c r="EKL381" s="669"/>
      <c r="EKM381" s="669"/>
      <c r="EKN381" s="669"/>
      <c r="EKO381" s="669"/>
      <c r="EKP381" s="669"/>
      <c r="EKQ381" s="669"/>
      <c r="EKR381" s="669"/>
      <c r="EKS381" s="669"/>
      <c r="EKT381" s="669"/>
      <c r="EKU381" s="669"/>
      <c r="EKV381" s="669"/>
      <c r="EKW381" s="669"/>
      <c r="EKX381" s="669"/>
      <c r="EKY381" s="669"/>
      <c r="EKZ381" s="669"/>
      <c r="ELA381" s="669"/>
      <c r="ELB381" s="669"/>
      <c r="ELC381" s="669"/>
      <c r="ELD381" s="669"/>
      <c r="ELE381" s="669"/>
      <c r="ELF381" s="669"/>
      <c r="ELG381" s="669"/>
      <c r="ELH381" s="669"/>
      <c r="ELI381" s="669"/>
      <c r="ELJ381" s="669"/>
      <c r="ELK381" s="669"/>
      <c r="ELL381" s="669"/>
      <c r="ELM381" s="669"/>
      <c r="ELN381" s="669"/>
      <c r="ELO381" s="669"/>
      <c r="ELP381" s="669"/>
      <c r="ELQ381" s="669"/>
      <c r="ELR381" s="669"/>
      <c r="ELS381" s="669"/>
      <c r="ELT381" s="669"/>
      <c r="ELU381" s="669"/>
      <c r="ELV381" s="669"/>
      <c r="ELW381" s="669"/>
      <c r="ELX381" s="669"/>
      <c r="ELY381" s="669"/>
      <c r="ELZ381" s="669"/>
      <c r="EMA381" s="669"/>
      <c r="EMB381" s="669"/>
      <c r="EMC381" s="669"/>
      <c r="EMD381" s="669"/>
      <c r="EME381" s="669"/>
      <c r="EMF381" s="669"/>
      <c r="EMG381" s="669"/>
      <c r="EMH381" s="669"/>
      <c r="EMI381" s="669"/>
      <c r="EMJ381" s="669"/>
      <c r="EMK381" s="669"/>
      <c r="EML381" s="669"/>
      <c r="EMM381" s="669"/>
      <c r="EMN381" s="669"/>
      <c r="EMO381" s="669"/>
      <c r="EMP381" s="669"/>
      <c r="EMQ381" s="669"/>
      <c r="EMR381" s="669"/>
      <c r="EMS381" s="669"/>
      <c r="EMT381" s="669"/>
      <c r="EMU381" s="669"/>
      <c r="EMV381" s="669"/>
      <c r="EMW381" s="669"/>
      <c r="EMX381" s="669"/>
      <c r="EMY381" s="669"/>
      <c r="EMZ381" s="669"/>
      <c r="ENA381" s="669"/>
      <c r="ENB381" s="669"/>
      <c r="ENC381" s="669"/>
      <c r="END381" s="669"/>
      <c r="ENE381" s="669"/>
      <c r="ENF381" s="669"/>
      <c r="ENG381" s="669"/>
      <c r="ENH381" s="669"/>
      <c r="ENI381" s="669"/>
      <c r="ENJ381" s="669"/>
      <c r="ENK381" s="669"/>
      <c r="ENL381" s="669"/>
      <c r="ENM381" s="669"/>
      <c r="ENN381" s="669"/>
      <c r="ENO381" s="669"/>
      <c r="ENP381" s="669"/>
      <c r="ENQ381" s="669"/>
      <c r="ENR381" s="669"/>
      <c r="ENS381" s="669"/>
      <c r="ENT381" s="669"/>
      <c r="ENU381" s="669"/>
      <c r="ENV381" s="669"/>
      <c r="ENW381" s="669"/>
      <c r="ENX381" s="669"/>
      <c r="ENY381" s="669"/>
      <c r="ENZ381" s="669"/>
      <c r="EOA381" s="669"/>
      <c r="EOB381" s="669"/>
      <c r="EOC381" s="669"/>
      <c r="EOD381" s="669"/>
      <c r="EOE381" s="669"/>
      <c r="EOF381" s="669"/>
      <c r="EOG381" s="669"/>
      <c r="EOH381" s="669"/>
      <c r="EOI381" s="669"/>
      <c r="EOJ381" s="669"/>
      <c r="EOK381" s="669"/>
      <c r="EOL381" s="669"/>
      <c r="EOM381" s="669"/>
      <c r="EON381" s="669"/>
      <c r="EOO381" s="669"/>
      <c r="EOP381" s="669"/>
      <c r="EOQ381" s="669"/>
      <c r="EOR381" s="669"/>
      <c r="EOS381" s="669"/>
      <c r="EOT381" s="669"/>
      <c r="EOU381" s="669"/>
      <c r="EOV381" s="669"/>
      <c r="EOW381" s="669"/>
      <c r="EOX381" s="669"/>
      <c r="EOY381" s="669"/>
      <c r="EOZ381" s="669"/>
      <c r="EPA381" s="669"/>
      <c r="EPB381" s="669"/>
      <c r="EPC381" s="669"/>
      <c r="EPD381" s="669"/>
      <c r="EPE381" s="669"/>
      <c r="EPF381" s="669"/>
      <c r="EPG381" s="669"/>
      <c r="EPH381" s="669"/>
      <c r="EPI381" s="669"/>
      <c r="EPJ381" s="669"/>
      <c r="EPK381" s="669"/>
      <c r="EPL381" s="669"/>
      <c r="EPM381" s="669"/>
      <c r="EPN381" s="669"/>
      <c r="EPO381" s="669"/>
      <c r="EPP381" s="669"/>
      <c r="EPQ381" s="669"/>
      <c r="EPR381" s="669"/>
      <c r="EPS381" s="669"/>
      <c r="EPT381" s="669"/>
      <c r="EPU381" s="669"/>
      <c r="EPV381" s="669"/>
      <c r="EPW381" s="669"/>
      <c r="EPX381" s="669"/>
      <c r="EPY381" s="669"/>
      <c r="EPZ381" s="669"/>
      <c r="EQA381" s="669"/>
      <c r="EQB381" s="669"/>
      <c r="EQC381" s="669"/>
      <c r="EQD381" s="669"/>
      <c r="EQE381" s="669"/>
      <c r="EQF381" s="669"/>
      <c r="EQG381" s="669"/>
      <c r="EQH381" s="669"/>
      <c r="EQI381" s="669"/>
      <c r="EQJ381" s="669"/>
      <c r="EQK381" s="669"/>
      <c r="EQL381" s="669"/>
      <c r="EQM381" s="669"/>
      <c r="EQN381" s="669"/>
      <c r="EQO381" s="669"/>
      <c r="EQP381" s="669"/>
      <c r="EQQ381" s="669"/>
      <c r="EQR381" s="669"/>
      <c r="EQS381" s="669"/>
      <c r="EQT381" s="669"/>
      <c r="EQU381" s="669"/>
      <c r="EQV381" s="669"/>
      <c r="EQW381" s="669"/>
      <c r="EQX381" s="669"/>
      <c r="EQY381" s="669"/>
      <c r="EQZ381" s="669"/>
      <c r="ERA381" s="669"/>
      <c r="ERB381" s="669"/>
      <c r="ERC381" s="669"/>
      <c r="ERD381" s="669"/>
      <c r="ERE381" s="669"/>
      <c r="ERF381" s="669"/>
      <c r="ERG381" s="669"/>
      <c r="ERH381" s="669"/>
      <c r="ERI381" s="669"/>
      <c r="ERJ381" s="669"/>
      <c r="ERK381" s="669"/>
      <c r="ERL381" s="669"/>
      <c r="ERM381" s="669"/>
      <c r="ERN381" s="669"/>
      <c r="ERO381" s="669"/>
      <c r="ERP381" s="669"/>
      <c r="ERQ381" s="669"/>
      <c r="ERR381" s="669"/>
      <c r="ERS381" s="669"/>
      <c r="ERT381" s="669"/>
      <c r="ERU381" s="669"/>
      <c r="ERV381" s="669"/>
      <c r="ERW381" s="669"/>
      <c r="ERX381" s="669"/>
      <c r="ERY381" s="669"/>
      <c r="ERZ381" s="669"/>
      <c r="ESA381" s="669"/>
      <c r="ESB381" s="669"/>
      <c r="ESC381" s="669"/>
      <c r="ESD381" s="669"/>
      <c r="ESE381" s="669"/>
      <c r="ESF381" s="669"/>
      <c r="ESG381" s="669"/>
      <c r="ESH381" s="669"/>
      <c r="ESI381" s="669"/>
      <c r="ESJ381" s="669"/>
      <c r="ESK381" s="669"/>
      <c r="ESL381" s="669"/>
      <c r="ESM381" s="669"/>
      <c r="ESN381" s="669"/>
      <c r="ESO381" s="669"/>
      <c r="ESP381" s="669"/>
      <c r="ESQ381" s="669"/>
      <c r="ESR381" s="669"/>
      <c r="ESS381" s="669"/>
      <c r="EST381" s="669"/>
      <c r="ESU381" s="669"/>
      <c r="ESV381" s="669"/>
      <c r="ESW381" s="669"/>
      <c r="ESX381" s="669"/>
      <c r="ESY381" s="669"/>
      <c r="ESZ381" s="669"/>
      <c r="ETA381" s="669"/>
      <c r="ETB381" s="669"/>
      <c r="ETC381" s="669"/>
      <c r="ETD381" s="669"/>
      <c r="ETE381" s="669"/>
      <c r="ETF381" s="669"/>
      <c r="ETG381" s="669"/>
      <c r="ETH381" s="669"/>
      <c r="ETI381" s="669"/>
      <c r="ETJ381" s="669"/>
      <c r="ETK381" s="669"/>
      <c r="ETL381" s="669"/>
      <c r="ETM381" s="669"/>
      <c r="ETN381" s="669"/>
      <c r="ETO381" s="669"/>
      <c r="ETP381" s="669"/>
      <c r="ETQ381" s="669"/>
      <c r="ETR381" s="669"/>
      <c r="ETS381" s="669"/>
      <c r="ETT381" s="669"/>
      <c r="ETU381" s="669"/>
      <c r="ETV381" s="669"/>
      <c r="ETW381" s="669"/>
      <c r="ETX381" s="669"/>
      <c r="ETY381" s="669"/>
      <c r="ETZ381" s="669"/>
      <c r="EUA381" s="669"/>
      <c r="EUB381" s="669"/>
      <c r="EUC381" s="669"/>
      <c r="EUD381" s="669"/>
      <c r="EUE381" s="669"/>
      <c r="EUF381" s="669"/>
      <c r="EUG381" s="669"/>
      <c r="EUH381" s="669"/>
      <c r="EUI381" s="669"/>
      <c r="EUJ381" s="669"/>
      <c r="EUK381" s="669"/>
      <c r="EUL381" s="669"/>
      <c r="EUM381" s="669"/>
      <c r="EUN381" s="669"/>
      <c r="EUO381" s="669"/>
      <c r="EUP381" s="669"/>
      <c r="EUQ381" s="669"/>
      <c r="EUR381" s="669"/>
      <c r="EUS381" s="669"/>
      <c r="EUT381" s="669"/>
      <c r="EUU381" s="669"/>
      <c r="EUV381" s="669"/>
      <c r="EUW381" s="669"/>
      <c r="EUX381" s="669"/>
      <c r="EUY381" s="669"/>
      <c r="EUZ381" s="669"/>
      <c r="EVA381" s="669"/>
      <c r="EVB381" s="669"/>
      <c r="EVC381" s="669"/>
      <c r="EVD381" s="669"/>
      <c r="EVE381" s="669"/>
      <c r="EVF381" s="669"/>
      <c r="EVG381" s="669"/>
      <c r="EVH381" s="669"/>
      <c r="EVI381" s="669"/>
      <c r="EVJ381" s="669"/>
      <c r="EVK381" s="669"/>
      <c r="EVL381" s="669"/>
      <c r="EVM381" s="669"/>
      <c r="EVN381" s="669"/>
      <c r="EVO381" s="669"/>
      <c r="EVP381" s="669"/>
      <c r="EVQ381" s="669"/>
      <c r="EVR381" s="669"/>
      <c r="EVS381" s="669"/>
      <c r="EVT381" s="669"/>
      <c r="EVU381" s="669"/>
      <c r="EVV381" s="669"/>
      <c r="EVW381" s="669"/>
      <c r="EVX381" s="669"/>
      <c r="EVY381" s="669"/>
      <c r="EVZ381" s="669"/>
      <c r="EWA381" s="669"/>
      <c r="EWB381" s="669"/>
      <c r="EWC381" s="669"/>
      <c r="EWD381" s="669"/>
      <c r="EWE381" s="669"/>
      <c r="EWF381" s="669"/>
      <c r="EWG381" s="669"/>
      <c r="EWH381" s="669"/>
      <c r="EWI381" s="669"/>
      <c r="EWJ381" s="669"/>
      <c r="EWK381" s="669"/>
      <c r="EWL381" s="669"/>
      <c r="EWM381" s="669"/>
      <c r="EWN381" s="669"/>
      <c r="EWO381" s="669"/>
      <c r="EWP381" s="669"/>
      <c r="EWQ381" s="669"/>
      <c r="EWR381" s="669"/>
      <c r="EWS381" s="669"/>
      <c r="EWT381" s="669"/>
      <c r="EWU381" s="669"/>
      <c r="EWV381" s="669"/>
      <c r="EWW381" s="669"/>
      <c r="EWX381" s="669"/>
      <c r="EWY381" s="669"/>
      <c r="EWZ381" s="669"/>
      <c r="EXA381" s="669"/>
      <c r="EXB381" s="669"/>
      <c r="EXC381" s="669"/>
      <c r="EXD381" s="669"/>
      <c r="EXE381" s="669"/>
      <c r="EXF381" s="669"/>
      <c r="EXG381" s="669"/>
      <c r="EXH381" s="669"/>
      <c r="EXI381" s="669"/>
      <c r="EXJ381" s="669"/>
      <c r="EXK381" s="669"/>
      <c r="EXL381" s="669"/>
      <c r="EXM381" s="669"/>
      <c r="EXN381" s="669"/>
      <c r="EXO381" s="669"/>
      <c r="EXP381" s="669"/>
      <c r="EXQ381" s="669"/>
      <c r="EXR381" s="669"/>
      <c r="EXS381" s="669"/>
      <c r="EXT381" s="669"/>
      <c r="EXU381" s="669"/>
      <c r="EXV381" s="669"/>
      <c r="EXW381" s="669"/>
      <c r="EXX381" s="669"/>
      <c r="EXY381" s="669"/>
      <c r="EXZ381" s="669"/>
      <c r="EYA381" s="669"/>
      <c r="EYB381" s="669"/>
      <c r="EYC381" s="669"/>
      <c r="EYD381" s="669"/>
      <c r="EYE381" s="669"/>
      <c r="EYF381" s="669"/>
      <c r="EYG381" s="669"/>
      <c r="EYH381" s="669"/>
      <c r="EYI381" s="669"/>
      <c r="EYJ381" s="669"/>
      <c r="EYK381" s="669"/>
      <c r="EYL381" s="669"/>
      <c r="EYM381" s="669"/>
      <c r="EYN381" s="669"/>
      <c r="EYO381" s="669"/>
      <c r="EYP381" s="669"/>
      <c r="EYQ381" s="669"/>
      <c r="EYR381" s="669"/>
      <c r="EYS381" s="669"/>
      <c r="EYT381" s="669"/>
      <c r="EYU381" s="669"/>
      <c r="EYV381" s="669"/>
      <c r="EYW381" s="669"/>
      <c r="EYX381" s="669"/>
      <c r="EYY381" s="669"/>
      <c r="EYZ381" s="669"/>
      <c r="EZA381" s="669"/>
      <c r="EZB381" s="669"/>
      <c r="EZC381" s="669"/>
      <c r="EZD381" s="669"/>
      <c r="EZE381" s="669"/>
      <c r="EZF381" s="669"/>
      <c r="EZG381" s="669"/>
      <c r="EZH381" s="669"/>
      <c r="EZI381" s="669"/>
      <c r="EZJ381" s="669"/>
      <c r="EZK381" s="669"/>
      <c r="EZL381" s="669"/>
      <c r="EZM381" s="669"/>
      <c r="EZN381" s="669"/>
      <c r="EZO381" s="669"/>
      <c r="EZP381" s="669"/>
      <c r="EZQ381" s="669"/>
      <c r="EZR381" s="669"/>
      <c r="EZS381" s="669"/>
      <c r="EZT381" s="669"/>
      <c r="EZU381" s="669"/>
      <c r="EZV381" s="669"/>
      <c r="EZW381" s="669"/>
      <c r="EZX381" s="669"/>
      <c r="EZY381" s="669"/>
      <c r="EZZ381" s="669"/>
      <c r="FAA381" s="669"/>
      <c r="FAB381" s="669"/>
      <c r="FAC381" s="669"/>
      <c r="FAD381" s="669"/>
      <c r="FAE381" s="669"/>
      <c r="FAF381" s="669"/>
      <c r="FAG381" s="669"/>
      <c r="FAH381" s="669"/>
      <c r="FAI381" s="669"/>
      <c r="FAJ381" s="669"/>
      <c r="FAK381" s="669"/>
      <c r="FAL381" s="669"/>
      <c r="FAM381" s="669"/>
      <c r="FAN381" s="669"/>
      <c r="FAO381" s="669"/>
      <c r="FAP381" s="669"/>
      <c r="FAQ381" s="669"/>
      <c r="FAR381" s="669"/>
      <c r="FAS381" s="669"/>
      <c r="FAT381" s="669"/>
      <c r="FAU381" s="669"/>
      <c r="FAV381" s="669"/>
      <c r="FAW381" s="669"/>
      <c r="FAX381" s="669"/>
      <c r="FAY381" s="669"/>
      <c r="FAZ381" s="669"/>
      <c r="FBA381" s="669"/>
      <c r="FBB381" s="669"/>
      <c r="FBC381" s="669"/>
      <c r="FBD381" s="669"/>
      <c r="FBE381" s="669"/>
      <c r="FBF381" s="669"/>
      <c r="FBG381" s="669"/>
      <c r="FBH381" s="669"/>
      <c r="FBI381" s="669"/>
      <c r="FBJ381" s="669"/>
      <c r="FBK381" s="669"/>
      <c r="FBL381" s="669"/>
      <c r="FBM381" s="669"/>
      <c r="FBN381" s="669"/>
      <c r="FBO381" s="669"/>
      <c r="FBP381" s="669"/>
      <c r="FBQ381" s="669"/>
      <c r="FBR381" s="669"/>
      <c r="FBS381" s="669"/>
      <c r="FBT381" s="669"/>
      <c r="FBU381" s="669"/>
      <c r="FBV381" s="669"/>
      <c r="FBW381" s="669"/>
      <c r="FBX381" s="669"/>
      <c r="FBY381" s="669"/>
      <c r="FBZ381" s="669"/>
      <c r="FCA381" s="669"/>
      <c r="FCB381" s="669"/>
      <c r="FCC381" s="669"/>
      <c r="FCD381" s="669"/>
      <c r="FCE381" s="669"/>
      <c r="FCF381" s="669"/>
      <c r="FCG381" s="669"/>
      <c r="FCH381" s="669"/>
      <c r="FCI381" s="669"/>
      <c r="FCJ381" s="669"/>
      <c r="FCK381" s="669"/>
      <c r="FCL381" s="669"/>
      <c r="FCM381" s="669"/>
      <c r="FCN381" s="669"/>
      <c r="FCO381" s="669"/>
      <c r="FCP381" s="669"/>
      <c r="FCQ381" s="669"/>
      <c r="FCR381" s="669"/>
      <c r="FCS381" s="669"/>
      <c r="FCT381" s="669"/>
      <c r="FCU381" s="669"/>
      <c r="FCV381" s="669"/>
      <c r="FCW381" s="669"/>
      <c r="FCX381" s="669"/>
      <c r="FCY381" s="669"/>
      <c r="FCZ381" s="669"/>
      <c r="FDA381" s="669"/>
      <c r="FDB381" s="669"/>
      <c r="FDC381" s="669"/>
      <c r="FDD381" s="669"/>
      <c r="FDE381" s="669"/>
      <c r="FDF381" s="669"/>
      <c r="FDG381" s="669"/>
      <c r="FDH381" s="669"/>
      <c r="FDI381" s="669"/>
      <c r="FDJ381" s="669"/>
      <c r="FDK381" s="669"/>
      <c r="FDL381" s="669"/>
      <c r="FDM381" s="669"/>
      <c r="FDN381" s="669"/>
      <c r="FDO381" s="669"/>
      <c r="FDP381" s="669"/>
      <c r="FDQ381" s="669"/>
      <c r="FDR381" s="669"/>
      <c r="FDS381" s="669"/>
      <c r="FDT381" s="669"/>
      <c r="FDU381" s="669"/>
      <c r="FDV381" s="669"/>
      <c r="FDW381" s="669"/>
      <c r="FDX381" s="669"/>
      <c r="FDY381" s="669"/>
      <c r="FDZ381" s="669"/>
      <c r="FEA381" s="669"/>
      <c r="FEB381" s="669"/>
      <c r="FEC381" s="669"/>
      <c r="FED381" s="669"/>
      <c r="FEE381" s="669"/>
      <c r="FEF381" s="669"/>
      <c r="FEG381" s="669"/>
      <c r="FEH381" s="669"/>
      <c r="FEI381" s="669"/>
      <c r="FEJ381" s="669"/>
      <c r="FEK381" s="669"/>
      <c r="FEL381" s="669"/>
      <c r="FEM381" s="669"/>
      <c r="FEN381" s="669"/>
      <c r="FEO381" s="669"/>
      <c r="FEP381" s="669"/>
      <c r="FEQ381" s="669"/>
      <c r="FER381" s="669"/>
      <c r="FES381" s="669"/>
      <c r="FET381" s="669"/>
      <c r="FEU381" s="669"/>
      <c r="FEV381" s="669"/>
      <c r="FEW381" s="669"/>
      <c r="FEX381" s="669"/>
      <c r="FEY381" s="669"/>
      <c r="FEZ381" s="669"/>
      <c r="FFA381" s="669"/>
      <c r="FFB381" s="669"/>
      <c r="FFC381" s="669"/>
      <c r="FFD381" s="669"/>
      <c r="FFE381" s="669"/>
      <c r="FFF381" s="669"/>
      <c r="FFG381" s="669"/>
      <c r="FFH381" s="669"/>
      <c r="FFI381" s="669"/>
      <c r="FFJ381" s="669"/>
      <c r="FFK381" s="669"/>
      <c r="FFL381" s="669"/>
      <c r="FFM381" s="669"/>
      <c r="FFN381" s="669"/>
      <c r="FFO381" s="669"/>
      <c r="FFP381" s="669"/>
      <c r="FFQ381" s="669"/>
      <c r="FFR381" s="669"/>
      <c r="FFS381" s="669"/>
      <c r="FFT381" s="669"/>
      <c r="FFU381" s="669"/>
      <c r="FFV381" s="669"/>
      <c r="FFW381" s="669"/>
      <c r="FFX381" s="669"/>
      <c r="FFY381" s="669"/>
      <c r="FFZ381" s="669"/>
      <c r="FGA381" s="669"/>
      <c r="FGB381" s="669"/>
      <c r="FGC381" s="669"/>
      <c r="FGD381" s="669"/>
      <c r="FGE381" s="669"/>
      <c r="FGF381" s="669"/>
      <c r="FGG381" s="669"/>
      <c r="FGH381" s="669"/>
      <c r="FGI381" s="669"/>
      <c r="FGJ381" s="669"/>
      <c r="FGK381" s="669"/>
      <c r="FGL381" s="669"/>
      <c r="FGM381" s="669"/>
      <c r="FGN381" s="669"/>
      <c r="FGO381" s="669"/>
      <c r="FGP381" s="669"/>
      <c r="FGQ381" s="669"/>
      <c r="FGR381" s="669"/>
      <c r="FGS381" s="669"/>
      <c r="FGT381" s="669"/>
      <c r="FGU381" s="669"/>
      <c r="FGV381" s="669"/>
      <c r="FGW381" s="669"/>
      <c r="FGX381" s="669"/>
      <c r="FGY381" s="669"/>
      <c r="FGZ381" s="669"/>
      <c r="FHA381" s="669"/>
      <c r="FHB381" s="669"/>
      <c r="FHC381" s="669"/>
      <c r="FHD381" s="669"/>
      <c r="FHE381" s="669"/>
      <c r="FHF381" s="669"/>
      <c r="FHG381" s="669"/>
      <c r="FHH381" s="669"/>
      <c r="FHI381" s="669"/>
      <c r="FHJ381" s="669"/>
      <c r="FHK381" s="669"/>
      <c r="FHL381" s="669"/>
      <c r="FHM381" s="669"/>
      <c r="FHN381" s="669"/>
      <c r="FHO381" s="669"/>
      <c r="FHP381" s="669"/>
      <c r="FHQ381" s="669"/>
      <c r="FHR381" s="669"/>
      <c r="FHS381" s="669"/>
      <c r="FHT381" s="669"/>
      <c r="FHU381" s="669"/>
      <c r="FHV381" s="669"/>
      <c r="FHW381" s="669"/>
      <c r="FHX381" s="669"/>
      <c r="FHY381" s="669"/>
      <c r="FHZ381" s="669"/>
      <c r="FIA381" s="669"/>
      <c r="FIB381" s="669"/>
      <c r="FIC381" s="669"/>
      <c r="FID381" s="669"/>
      <c r="FIE381" s="669"/>
      <c r="FIF381" s="669"/>
      <c r="FIG381" s="669"/>
      <c r="FIH381" s="669"/>
      <c r="FII381" s="669"/>
      <c r="FIJ381" s="669"/>
      <c r="FIK381" s="669"/>
      <c r="FIL381" s="669"/>
      <c r="FIM381" s="669"/>
      <c r="FIN381" s="669"/>
      <c r="FIO381" s="669"/>
      <c r="FIP381" s="669"/>
      <c r="FIQ381" s="669"/>
      <c r="FIR381" s="669"/>
      <c r="FIS381" s="669"/>
      <c r="FIT381" s="669"/>
      <c r="FIU381" s="669"/>
      <c r="FIV381" s="669"/>
      <c r="FIW381" s="669"/>
      <c r="FIX381" s="669"/>
      <c r="FIY381" s="669"/>
      <c r="FIZ381" s="669"/>
      <c r="FJA381" s="669"/>
      <c r="FJB381" s="669"/>
      <c r="FJC381" s="669"/>
      <c r="FJD381" s="669"/>
      <c r="FJE381" s="669"/>
      <c r="FJF381" s="669"/>
      <c r="FJG381" s="669"/>
      <c r="FJH381" s="669"/>
      <c r="FJI381" s="669"/>
      <c r="FJJ381" s="669"/>
      <c r="FJK381" s="669"/>
      <c r="FJL381" s="669"/>
      <c r="FJM381" s="669"/>
      <c r="FJN381" s="669"/>
      <c r="FJO381" s="669"/>
      <c r="FJP381" s="669"/>
      <c r="FJQ381" s="669"/>
      <c r="FJR381" s="669"/>
      <c r="FJS381" s="669"/>
      <c r="FJT381" s="669"/>
      <c r="FJU381" s="669"/>
      <c r="FJV381" s="669"/>
      <c r="FJW381" s="669"/>
      <c r="FJX381" s="669"/>
      <c r="FJY381" s="669"/>
      <c r="FJZ381" s="669"/>
      <c r="FKA381" s="669"/>
      <c r="FKB381" s="669"/>
      <c r="FKC381" s="669"/>
      <c r="FKD381" s="669"/>
      <c r="FKE381" s="669"/>
      <c r="FKF381" s="669"/>
      <c r="FKG381" s="669"/>
      <c r="FKH381" s="669"/>
      <c r="FKI381" s="669"/>
      <c r="FKJ381" s="669"/>
      <c r="FKK381" s="669"/>
      <c r="FKL381" s="669"/>
      <c r="FKM381" s="669"/>
      <c r="FKN381" s="669"/>
      <c r="FKO381" s="669"/>
      <c r="FKP381" s="669"/>
      <c r="FKQ381" s="669"/>
      <c r="FKR381" s="669"/>
      <c r="FKS381" s="669"/>
      <c r="FKT381" s="669"/>
      <c r="FKU381" s="669"/>
      <c r="FKV381" s="669"/>
      <c r="FKW381" s="669"/>
      <c r="FKX381" s="669"/>
      <c r="FKY381" s="669"/>
      <c r="FKZ381" s="669"/>
      <c r="FLA381" s="669"/>
      <c r="FLB381" s="669"/>
      <c r="FLC381" s="669"/>
      <c r="FLD381" s="669"/>
      <c r="FLE381" s="669"/>
      <c r="FLF381" s="669"/>
      <c r="FLG381" s="669"/>
      <c r="FLH381" s="669"/>
      <c r="FLI381" s="669"/>
      <c r="FLJ381" s="669"/>
      <c r="FLK381" s="669"/>
      <c r="FLL381" s="669"/>
      <c r="FLM381" s="669"/>
      <c r="FLN381" s="669"/>
      <c r="FLO381" s="669"/>
      <c r="FLP381" s="669"/>
      <c r="FLQ381" s="669"/>
      <c r="FLR381" s="669"/>
      <c r="FLS381" s="669"/>
      <c r="FLT381" s="669"/>
      <c r="FLU381" s="669"/>
      <c r="FLV381" s="669"/>
      <c r="FLW381" s="669"/>
      <c r="FLX381" s="669"/>
      <c r="FLY381" s="669"/>
      <c r="FLZ381" s="669"/>
      <c r="FMA381" s="669"/>
      <c r="FMB381" s="669"/>
      <c r="FMC381" s="669"/>
      <c r="FMD381" s="669"/>
      <c r="FME381" s="669"/>
      <c r="FMF381" s="669"/>
      <c r="FMG381" s="669"/>
      <c r="FMH381" s="669"/>
      <c r="FMI381" s="669"/>
      <c r="FMJ381" s="669"/>
      <c r="FMK381" s="669"/>
      <c r="FML381" s="669"/>
      <c r="FMM381" s="669"/>
      <c r="FMN381" s="669"/>
      <c r="FMO381" s="669"/>
      <c r="FMP381" s="669"/>
      <c r="FMQ381" s="669"/>
      <c r="FMR381" s="669"/>
      <c r="FMS381" s="669"/>
      <c r="FMT381" s="669"/>
      <c r="FMU381" s="669"/>
      <c r="FMV381" s="669"/>
      <c r="FMW381" s="669"/>
      <c r="FMX381" s="669"/>
      <c r="FMY381" s="669"/>
      <c r="FMZ381" s="669"/>
      <c r="FNA381" s="669"/>
      <c r="FNB381" s="669"/>
      <c r="FNC381" s="669"/>
      <c r="FND381" s="669"/>
      <c r="FNE381" s="669"/>
      <c r="FNF381" s="669"/>
      <c r="FNG381" s="669"/>
      <c r="FNH381" s="669"/>
      <c r="FNI381" s="669"/>
      <c r="FNJ381" s="669"/>
      <c r="FNK381" s="669"/>
      <c r="FNL381" s="669"/>
      <c r="FNM381" s="669"/>
      <c r="FNN381" s="669"/>
      <c r="FNO381" s="669"/>
      <c r="FNP381" s="669"/>
      <c r="FNQ381" s="669"/>
      <c r="FNR381" s="669"/>
      <c r="FNS381" s="669"/>
      <c r="FNT381" s="669"/>
      <c r="FNU381" s="669"/>
      <c r="FNV381" s="669"/>
      <c r="FNW381" s="669"/>
      <c r="FNX381" s="669"/>
      <c r="FNY381" s="669"/>
      <c r="FNZ381" s="669"/>
      <c r="FOA381" s="669"/>
      <c r="FOB381" s="669"/>
      <c r="FOC381" s="669"/>
      <c r="FOD381" s="669"/>
      <c r="FOE381" s="669"/>
      <c r="FOF381" s="669"/>
      <c r="FOG381" s="669"/>
      <c r="FOH381" s="669"/>
      <c r="FOI381" s="669"/>
      <c r="FOJ381" s="669"/>
      <c r="FOK381" s="669"/>
      <c r="FOL381" s="669"/>
      <c r="FOM381" s="669"/>
      <c r="FON381" s="669"/>
      <c r="FOO381" s="669"/>
      <c r="FOP381" s="669"/>
      <c r="FOQ381" s="669"/>
      <c r="FOR381" s="669"/>
      <c r="FOS381" s="669"/>
      <c r="FOT381" s="669"/>
      <c r="FOU381" s="669"/>
      <c r="FOV381" s="669"/>
      <c r="FOW381" s="669"/>
      <c r="FOX381" s="669"/>
      <c r="FOY381" s="669"/>
      <c r="FOZ381" s="669"/>
      <c r="FPA381" s="669"/>
      <c r="FPB381" s="669"/>
      <c r="FPC381" s="669"/>
      <c r="FPD381" s="669"/>
      <c r="FPE381" s="669"/>
      <c r="FPF381" s="669"/>
      <c r="FPG381" s="669"/>
      <c r="FPH381" s="669"/>
      <c r="FPI381" s="669"/>
      <c r="FPJ381" s="669"/>
      <c r="FPK381" s="669"/>
      <c r="FPL381" s="669"/>
      <c r="FPM381" s="669"/>
      <c r="FPN381" s="669"/>
      <c r="FPO381" s="669"/>
      <c r="FPP381" s="669"/>
      <c r="FPQ381" s="669"/>
      <c r="FPR381" s="669"/>
      <c r="FPS381" s="669"/>
      <c r="FPT381" s="669"/>
      <c r="FPU381" s="669"/>
      <c r="FPV381" s="669"/>
      <c r="FPW381" s="669"/>
      <c r="FPX381" s="669"/>
      <c r="FPY381" s="669"/>
      <c r="FPZ381" s="669"/>
      <c r="FQA381" s="669"/>
      <c r="FQB381" s="669"/>
      <c r="FQC381" s="669"/>
      <c r="FQD381" s="669"/>
      <c r="FQE381" s="669"/>
      <c r="FQF381" s="669"/>
      <c r="FQG381" s="669"/>
      <c r="FQH381" s="669"/>
      <c r="FQI381" s="669"/>
      <c r="FQJ381" s="669"/>
      <c r="FQK381" s="669"/>
      <c r="FQL381" s="669"/>
      <c r="FQM381" s="669"/>
      <c r="FQN381" s="669"/>
      <c r="FQO381" s="669"/>
      <c r="FQP381" s="669"/>
      <c r="FQQ381" s="669"/>
      <c r="FQR381" s="669"/>
      <c r="FQS381" s="669"/>
      <c r="FQT381" s="669"/>
      <c r="FQU381" s="669"/>
      <c r="FQV381" s="669"/>
      <c r="FQW381" s="669"/>
      <c r="FQX381" s="669"/>
      <c r="FQY381" s="669"/>
      <c r="FQZ381" s="669"/>
      <c r="FRA381" s="669"/>
      <c r="FRB381" s="669"/>
      <c r="FRC381" s="669"/>
      <c r="FRD381" s="669"/>
      <c r="FRE381" s="669"/>
      <c r="FRF381" s="669"/>
      <c r="FRG381" s="669"/>
      <c r="FRH381" s="669"/>
      <c r="FRI381" s="669"/>
      <c r="FRJ381" s="669"/>
      <c r="FRK381" s="669"/>
      <c r="FRL381" s="669"/>
      <c r="FRM381" s="669"/>
      <c r="FRN381" s="669"/>
      <c r="FRO381" s="669"/>
      <c r="FRP381" s="669"/>
      <c r="FRQ381" s="669"/>
      <c r="FRR381" s="669"/>
      <c r="FRS381" s="669"/>
      <c r="FRT381" s="669"/>
      <c r="FRU381" s="669"/>
      <c r="FRV381" s="669"/>
      <c r="FRW381" s="669"/>
      <c r="FRX381" s="669"/>
      <c r="FRY381" s="669"/>
      <c r="FRZ381" s="669"/>
      <c r="FSA381" s="669"/>
      <c r="FSB381" s="669"/>
      <c r="FSC381" s="669"/>
      <c r="FSD381" s="669"/>
      <c r="FSE381" s="669"/>
      <c r="FSF381" s="669"/>
      <c r="FSG381" s="669"/>
      <c r="FSH381" s="669"/>
      <c r="FSI381" s="669"/>
      <c r="FSJ381" s="669"/>
      <c r="FSK381" s="669"/>
      <c r="FSL381" s="669"/>
      <c r="FSM381" s="669"/>
      <c r="FSN381" s="669"/>
      <c r="FSO381" s="669"/>
      <c r="FSP381" s="669"/>
      <c r="FSQ381" s="669"/>
      <c r="FSR381" s="669"/>
      <c r="FSS381" s="669"/>
      <c r="FST381" s="669"/>
      <c r="FSU381" s="669"/>
      <c r="FSV381" s="669"/>
      <c r="FSW381" s="669"/>
      <c r="FSX381" s="669"/>
      <c r="FSY381" s="669"/>
      <c r="FSZ381" s="669"/>
      <c r="FTA381" s="669"/>
      <c r="FTB381" s="669"/>
      <c r="FTC381" s="669"/>
      <c r="FTD381" s="669"/>
      <c r="FTE381" s="669"/>
      <c r="FTF381" s="669"/>
      <c r="FTG381" s="669"/>
      <c r="FTH381" s="669"/>
      <c r="FTI381" s="669"/>
      <c r="FTJ381" s="669"/>
      <c r="FTK381" s="669"/>
      <c r="FTL381" s="669"/>
      <c r="FTM381" s="669"/>
      <c r="FTN381" s="669"/>
      <c r="FTO381" s="669"/>
      <c r="FTP381" s="669"/>
      <c r="FTQ381" s="669"/>
      <c r="FTR381" s="669"/>
      <c r="FTS381" s="669"/>
      <c r="FTT381" s="669"/>
      <c r="FTU381" s="669"/>
      <c r="FTV381" s="669"/>
      <c r="FTW381" s="669"/>
      <c r="FTX381" s="669"/>
      <c r="FTY381" s="669"/>
      <c r="FTZ381" s="669"/>
      <c r="FUA381" s="669"/>
      <c r="FUB381" s="669"/>
      <c r="FUC381" s="669"/>
      <c r="FUD381" s="669"/>
      <c r="FUE381" s="669"/>
      <c r="FUF381" s="669"/>
      <c r="FUG381" s="669"/>
      <c r="FUH381" s="669"/>
      <c r="FUI381" s="669"/>
      <c r="FUJ381" s="669"/>
      <c r="FUK381" s="669"/>
      <c r="FUL381" s="669"/>
      <c r="FUM381" s="669"/>
      <c r="FUN381" s="669"/>
      <c r="FUO381" s="669"/>
      <c r="FUP381" s="669"/>
      <c r="FUQ381" s="669"/>
      <c r="FUR381" s="669"/>
      <c r="FUS381" s="669"/>
      <c r="FUT381" s="669"/>
      <c r="FUU381" s="669"/>
      <c r="FUV381" s="669"/>
      <c r="FUW381" s="669"/>
      <c r="FUX381" s="669"/>
      <c r="FUY381" s="669"/>
      <c r="FUZ381" s="669"/>
      <c r="FVA381" s="669"/>
      <c r="FVB381" s="669"/>
      <c r="FVC381" s="669"/>
      <c r="FVD381" s="669"/>
      <c r="FVE381" s="669"/>
      <c r="FVF381" s="669"/>
      <c r="FVG381" s="669"/>
      <c r="FVH381" s="669"/>
      <c r="FVI381" s="669"/>
      <c r="FVJ381" s="669"/>
      <c r="FVK381" s="669"/>
      <c r="FVL381" s="669"/>
      <c r="FVM381" s="669"/>
      <c r="FVN381" s="669"/>
      <c r="FVO381" s="669"/>
      <c r="FVP381" s="669"/>
      <c r="FVQ381" s="669"/>
      <c r="FVR381" s="669"/>
      <c r="FVS381" s="669"/>
      <c r="FVT381" s="669"/>
      <c r="FVU381" s="669"/>
      <c r="FVV381" s="669"/>
      <c r="FVW381" s="669"/>
      <c r="FVX381" s="669"/>
      <c r="FVY381" s="669"/>
      <c r="FVZ381" s="669"/>
      <c r="FWA381" s="669"/>
      <c r="FWB381" s="669"/>
      <c r="FWC381" s="669"/>
      <c r="FWD381" s="669"/>
      <c r="FWE381" s="669"/>
      <c r="FWF381" s="669"/>
      <c r="FWG381" s="669"/>
      <c r="FWH381" s="669"/>
      <c r="FWI381" s="669"/>
      <c r="FWJ381" s="669"/>
      <c r="FWK381" s="669"/>
      <c r="FWL381" s="669"/>
      <c r="FWM381" s="669"/>
      <c r="FWN381" s="669"/>
      <c r="FWO381" s="669"/>
      <c r="FWP381" s="669"/>
      <c r="FWQ381" s="669"/>
      <c r="FWR381" s="669"/>
      <c r="FWS381" s="669"/>
      <c r="FWT381" s="669"/>
      <c r="FWU381" s="669"/>
      <c r="FWV381" s="669"/>
      <c r="FWW381" s="669"/>
      <c r="FWX381" s="669"/>
      <c r="FWY381" s="669"/>
      <c r="FWZ381" s="669"/>
      <c r="FXA381" s="669"/>
      <c r="FXB381" s="669"/>
      <c r="FXC381" s="669"/>
      <c r="FXD381" s="669"/>
      <c r="FXE381" s="669"/>
      <c r="FXF381" s="669"/>
      <c r="FXG381" s="669"/>
      <c r="FXH381" s="669"/>
      <c r="FXI381" s="669"/>
      <c r="FXJ381" s="669"/>
      <c r="FXK381" s="669"/>
      <c r="FXL381" s="669"/>
      <c r="FXM381" s="669"/>
      <c r="FXN381" s="669"/>
      <c r="FXO381" s="669"/>
      <c r="FXP381" s="669"/>
      <c r="FXQ381" s="669"/>
      <c r="FXR381" s="669"/>
      <c r="FXS381" s="669"/>
      <c r="FXT381" s="669"/>
      <c r="FXU381" s="669"/>
      <c r="FXV381" s="669"/>
      <c r="FXW381" s="669"/>
      <c r="FXX381" s="669"/>
      <c r="FXY381" s="669"/>
      <c r="FXZ381" s="669"/>
      <c r="FYA381" s="669"/>
      <c r="FYB381" s="669"/>
      <c r="FYC381" s="669"/>
      <c r="FYD381" s="669"/>
      <c r="FYE381" s="669"/>
      <c r="FYF381" s="669"/>
      <c r="FYG381" s="669"/>
      <c r="FYH381" s="669"/>
      <c r="FYI381" s="669"/>
      <c r="FYJ381" s="669"/>
      <c r="FYK381" s="669"/>
      <c r="FYL381" s="669"/>
      <c r="FYM381" s="669"/>
      <c r="FYN381" s="669"/>
      <c r="FYO381" s="669"/>
      <c r="FYP381" s="669"/>
      <c r="FYQ381" s="669"/>
      <c r="FYR381" s="669"/>
      <c r="FYS381" s="669"/>
      <c r="FYT381" s="669"/>
      <c r="FYU381" s="669"/>
      <c r="FYV381" s="669"/>
      <c r="FYW381" s="669"/>
      <c r="FYX381" s="669"/>
      <c r="FYY381" s="669"/>
      <c r="FYZ381" s="669"/>
      <c r="FZA381" s="669"/>
      <c r="FZB381" s="669"/>
      <c r="FZC381" s="669"/>
      <c r="FZD381" s="669"/>
      <c r="FZE381" s="669"/>
      <c r="FZF381" s="669"/>
      <c r="FZG381" s="669"/>
      <c r="FZH381" s="669"/>
      <c r="FZI381" s="669"/>
      <c r="FZJ381" s="669"/>
      <c r="FZK381" s="669"/>
      <c r="FZL381" s="669"/>
      <c r="FZM381" s="669"/>
      <c r="FZN381" s="669"/>
      <c r="FZO381" s="669"/>
      <c r="FZP381" s="669"/>
      <c r="FZQ381" s="669"/>
      <c r="FZR381" s="669"/>
      <c r="FZS381" s="669"/>
      <c r="FZT381" s="669"/>
      <c r="FZU381" s="669"/>
      <c r="FZV381" s="669"/>
      <c r="FZW381" s="669"/>
      <c r="FZX381" s="669"/>
      <c r="FZY381" s="669"/>
      <c r="FZZ381" s="669"/>
      <c r="GAA381" s="669"/>
      <c r="GAB381" s="669"/>
      <c r="GAC381" s="669"/>
      <c r="GAD381" s="669"/>
      <c r="GAE381" s="669"/>
      <c r="GAF381" s="669"/>
      <c r="GAG381" s="669"/>
      <c r="GAH381" s="669"/>
      <c r="GAI381" s="669"/>
      <c r="GAJ381" s="669"/>
      <c r="GAK381" s="669"/>
      <c r="GAL381" s="669"/>
      <c r="GAM381" s="669"/>
      <c r="GAN381" s="669"/>
      <c r="GAO381" s="669"/>
      <c r="GAP381" s="669"/>
      <c r="GAQ381" s="669"/>
      <c r="GAR381" s="669"/>
      <c r="GAS381" s="669"/>
      <c r="GAT381" s="669"/>
      <c r="GAU381" s="669"/>
      <c r="GAV381" s="669"/>
      <c r="GAW381" s="669"/>
      <c r="GAX381" s="669"/>
      <c r="GAY381" s="669"/>
      <c r="GAZ381" s="669"/>
      <c r="GBA381" s="669"/>
      <c r="GBB381" s="669"/>
      <c r="GBC381" s="669"/>
      <c r="GBD381" s="669"/>
      <c r="GBE381" s="669"/>
      <c r="GBF381" s="669"/>
      <c r="GBG381" s="669"/>
      <c r="GBH381" s="669"/>
      <c r="GBI381" s="669"/>
      <c r="GBJ381" s="669"/>
      <c r="GBK381" s="669"/>
      <c r="GBL381" s="669"/>
      <c r="GBM381" s="669"/>
      <c r="GBN381" s="669"/>
      <c r="GBO381" s="669"/>
      <c r="GBP381" s="669"/>
      <c r="GBQ381" s="669"/>
      <c r="GBR381" s="669"/>
      <c r="GBS381" s="669"/>
      <c r="GBT381" s="669"/>
      <c r="GBU381" s="669"/>
      <c r="GBV381" s="669"/>
      <c r="GBW381" s="669"/>
      <c r="GBX381" s="669"/>
      <c r="GBY381" s="669"/>
      <c r="GBZ381" s="669"/>
      <c r="GCA381" s="669"/>
      <c r="GCB381" s="669"/>
      <c r="GCC381" s="669"/>
      <c r="GCD381" s="669"/>
      <c r="GCE381" s="669"/>
      <c r="GCF381" s="669"/>
      <c r="GCG381" s="669"/>
      <c r="GCH381" s="669"/>
      <c r="GCI381" s="669"/>
      <c r="GCJ381" s="669"/>
      <c r="GCK381" s="669"/>
      <c r="GCL381" s="669"/>
      <c r="GCM381" s="669"/>
      <c r="GCN381" s="669"/>
      <c r="GCO381" s="669"/>
      <c r="GCP381" s="669"/>
      <c r="GCQ381" s="669"/>
      <c r="GCR381" s="669"/>
      <c r="GCS381" s="669"/>
      <c r="GCT381" s="669"/>
      <c r="GCU381" s="669"/>
      <c r="GCV381" s="669"/>
      <c r="GCW381" s="669"/>
      <c r="GCX381" s="669"/>
      <c r="GCY381" s="669"/>
      <c r="GCZ381" s="669"/>
      <c r="GDA381" s="669"/>
      <c r="GDB381" s="669"/>
      <c r="GDC381" s="669"/>
      <c r="GDD381" s="669"/>
      <c r="GDE381" s="669"/>
      <c r="GDF381" s="669"/>
      <c r="GDG381" s="669"/>
      <c r="GDH381" s="669"/>
      <c r="GDI381" s="669"/>
      <c r="GDJ381" s="669"/>
      <c r="GDK381" s="669"/>
      <c r="GDL381" s="669"/>
      <c r="GDM381" s="669"/>
      <c r="GDN381" s="669"/>
      <c r="GDO381" s="669"/>
      <c r="GDP381" s="669"/>
      <c r="GDQ381" s="669"/>
      <c r="GDR381" s="669"/>
      <c r="GDS381" s="669"/>
      <c r="GDT381" s="669"/>
      <c r="GDU381" s="669"/>
      <c r="GDV381" s="669"/>
      <c r="GDW381" s="669"/>
      <c r="GDX381" s="669"/>
      <c r="GDY381" s="669"/>
      <c r="GDZ381" s="669"/>
      <c r="GEA381" s="669"/>
      <c r="GEB381" s="669"/>
      <c r="GEC381" s="669"/>
      <c r="GED381" s="669"/>
      <c r="GEE381" s="669"/>
      <c r="GEF381" s="669"/>
      <c r="GEG381" s="669"/>
      <c r="GEH381" s="669"/>
      <c r="GEI381" s="669"/>
      <c r="GEJ381" s="669"/>
      <c r="GEK381" s="669"/>
      <c r="GEL381" s="669"/>
      <c r="GEM381" s="669"/>
      <c r="GEN381" s="669"/>
      <c r="GEO381" s="669"/>
      <c r="GEP381" s="669"/>
      <c r="GEQ381" s="669"/>
      <c r="GER381" s="669"/>
      <c r="GES381" s="669"/>
      <c r="GET381" s="669"/>
      <c r="GEU381" s="669"/>
      <c r="GEV381" s="669"/>
      <c r="GEW381" s="669"/>
      <c r="GEX381" s="669"/>
      <c r="GEY381" s="669"/>
      <c r="GEZ381" s="669"/>
      <c r="GFA381" s="669"/>
      <c r="GFB381" s="669"/>
      <c r="GFC381" s="669"/>
      <c r="GFD381" s="669"/>
      <c r="GFE381" s="669"/>
      <c r="GFF381" s="669"/>
      <c r="GFG381" s="669"/>
      <c r="GFH381" s="669"/>
      <c r="GFI381" s="669"/>
      <c r="GFJ381" s="669"/>
      <c r="GFK381" s="669"/>
      <c r="GFL381" s="669"/>
      <c r="GFM381" s="669"/>
      <c r="GFN381" s="669"/>
      <c r="GFO381" s="669"/>
      <c r="GFP381" s="669"/>
      <c r="GFQ381" s="669"/>
      <c r="GFR381" s="669"/>
      <c r="GFS381" s="669"/>
      <c r="GFT381" s="669"/>
      <c r="GFU381" s="669"/>
      <c r="GFV381" s="669"/>
      <c r="GFW381" s="669"/>
      <c r="GFX381" s="669"/>
      <c r="GFY381" s="669"/>
      <c r="GFZ381" s="669"/>
      <c r="GGA381" s="669"/>
      <c r="GGB381" s="669"/>
      <c r="GGC381" s="669"/>
      <c r="GGD381" s="669"/>
      <c r="GGE381" s="669"/>
      <c r="GGF381" s="669"/>
      <c r="GGG381" s="669"/>
      <c r="GGH381" s="669"/>
      <c r="GGI381" s="669"/>
      <c r="GGJ381" s="669"/>
      <c r="GGK381" s="669"/>
      <c r="GGL381" s="669"/>
      <c r="GGM381" s="669"/>
      <c r="GGN381" s="669"/>
      <c r="GGO381" s="669"/>
      <c r="GGP381" s="669"/>
      <c r="GGQ381" s="669"/>
      <c r="GGR381" s="669"/>
      <c r="GGS381" s="669"/>
      <c r="GGT381" s="669"/>
      <c r="GGU381" s="669"/>
      <c r="GGV381" s="669"/>
      <c r="GGW381" s="669"/>
      <c r="GGX381" s="669"/>
      <c r="GGY381" s="669"/>
      <c r="GGZ381" s="669"/>
      <c r="GHA381" s="669"/>
      <c r="GHB381" s="669"/>
      <c r="GHC381" s="669"/>
      <c r="GHD381" s="669"/>
      <c r="GHE381" s="669"/>
      <c r="GHF381" s="669"/>
      <c r="GHG381" s="669"/>
      <c r="GHH381" s="669"/>
      <c r="GHI381" s="669"/>
      <c r="GHJ381" s="669"/>
      <c r="GHK381" s="669"/>
      <c r="GHL381" s="669"/>
      <c r="GHM381" s="669"/>
      <c r="GHN381" s="669"/>
      <c r="GHO381" s="669"/>
      <c r="GHP381" s="669"/>
      <c r="GHQ381" s="669"/>
      <c r="GHR381" s="669"/>
      <c r="GHS381" s="669"/>
      <c r="GHT381" s="669"/>
      <c r="GHU381" s="669"/>
      <c r="GHV381" s="669"/>
      <c r="GHW381" s="669"/>
      <c r="GHX381" s="669"/>
      <c r="GHY381" s="669"/>
      <c r="GHZ381" s="669"/>
      <c r="GIA381" s="669"/>
      <c r="GIB381" s="669"/>
      <c r="GIC381" s="669"/>
      <c r="GID381" s="669"/>
      <c r="GIE381" s="669"/>
      <c r="GIF381" s="669"/>
      <c r="GIG381" s="669"/>
      <c r="GIH381" s="669"/>
      <c r="GII381" s="669"/>
      <c r="GIJ381" s="669"/>
      <c r="GIK381" s="669"/>
      <c r="GIL381" s="669"/>
      <c r="GIM381" s="669"/>
      <c r="GIN381" s="669"/>
      <c r="GIO381" s="669"/>
      <c r="GIP381" s="669"/>
      <c r="GIQ381" s="669"/>
      <c r="GIR381" s="669"/>
      <c r="GIS381" s="669"/>
      <c r="GIT381" s="669"/>
      <c r="GIU381" s="669"/>
      <c r="GIV381" s="669"/>
      <c r="GIW381" s="669"/>
      <c r="GIX381" s="669"/>
      <c r="GIY381" s="669"/>
      <c r="GIZ381" s="669"/>
      <c r="GJA381" s="669"/>
      <c r="GJB381" s="669"/>
      <c r="GJC381" s="669"/>
      <c r="GJD381" s="669"/>
      <c r="GJE381" s="669"/>
      <c r="GJF381" s="669"/>
      <c r="GJG381" s="669"/>
      <c r="GJH381" s="669"/>
      <c r="GJI381" s="669"/>
      <c r="GJJ381" s="669"/>
      <c r="GJK381" s="669"/>
      <c r="GJL381" s="669"/>
      <c r="GJM381" s="669"/>
      <c r="GJN381" s="669"/>
      <c r="GJO381" s="669"/>
      <c r="GJP381" s="669"/>
      <c r="GJQ381" s="669"/>
      <c r="GJR381" s="669"/>
      <c r="GJS381" s="669"/>
      <c r="GJT381" s="669"/>
      <c r="GJU381" s="669"/>
      <c r="GJV381" s="669"/>
      <c r="GJW381" s="669"/>
      <c r="GJX381" s="669"/>
      <c r="GJY381" s="669"/>
      <c r="GJZ381" s="669"/>
      <c r="GKA381" s="669"/>
      <c r="GKB381" s="669"/>
      <c r="GKC381" s="669"/>
      <c r="GKD381" s="669"/>
      <c r="GKE381" s="669"/>
      <c r="GKF381" s="669"/>
      <c r="GKG381" s="669"/>
      <c r="GKH381" s="669"/>
      <c r="GKI381" s="669"/>
      <c r="GKJ381" s="669"/>
      <c r="GKK381" s="669"/>
      <c r="GKL381" s="669"/>
      <c r="GKM381" s="669"/>
      <c r="GKN381" s="669"/>
      <c r="GKO381" s="669"/>
      <c r="GKP381" s="669"/>
      <c r="GKQ381" s="669"/>
      <c r="GKR381" s="669"/>
      <c r="GKS381" s="669"/>
      <c r="GKT381" s="669"/>
      <c r="GKU381" s="669"/>
      <c r="GKV381" s="669"/>
      <c r="GKW381" s="669"/>
      <c r="GKX381" s="669"/>
      <c r="GKY381" s="669"/>
      <c r="GKZ381" s="669"/>
      <c r="GLA381" s="669"/>
      <c r="GLB381" s="669"/>
      <c r="GLC381" s="669"/>
      <c r="GLD381" s="669"/>
      <c r="GLE381" s="669"/>
      <c r="GLF381" s="669"/>
      <c r="GLG381" s="669"/>
      <c r="GLH381" s="669"/>
      <c r="GLI381" s="669"/>
      <c r="GLJ381" s="669"/>
      <c r="GLK381" s="669"/>
      <c r="GLL381" s="669"/>
      <c r="GLM381" s="669"/>
      <c r="GLN381" s="669"/>
      <c r="GLO381" s="669"/>
      <c r="GLP381" s="669"/>
      <c r="GLQ381" s="669"/>
      <c r="GLR381" s="669"/>
      <c r="GLS381" s="669"/>
      <c r="GLT381" s="669"/>
      <c r="GLU381" s="669"/>
      <c r="GLV381" s="669"/>
      <c r="GLW381" s="669"/>
      <c r="GLX381" s="669"/>
      <c r="GLY381" s="669"/>
      <c r="GLZ381" s="669"/>
      <c r="GMA381" s="669"/>
      <c r="GMB381" s="669"/>
      <c r="GMC381" s="669"/>
      <c r="GMD381" s="669"/>
      <c r="GME381" s="669"/>
      <c r="GMF381" s="669"/>
      <c r="GMG381" s="669"/>
      <c r="GMH381" s="669"/>
      <c r="GMI381" s="669"/>
      <c r="GMJ381" s="669"/>
      <c r="GMK381" s="669"/>
      <c r="GML381" s="669"/>
      <c r="GMM381" s="669"/>
      <c r="GMN381" s="669"/>
      <c r="GMO381" s="669"/>
      <c r="GMP381" s="669"/>
      <c r="GMQ381" s="669"/>
      <c r="GMR381" s="669"/>
      <c r="GMS381" s="669"/>
      <c r="GMT381" s="669"/>
      <c r="GMU381" s="669"/>
      <c r="GMV381" s="669"/>
      <c r="GMW381" s="669"/>
      <c r="GMX381" s="669"/>
      <c r="GMY381" s="669"/>
      <c r="GMZ381" s="669"/>
      <c r="GNA381" s="669"/>
      <c r="GNB381" s="669"/>
      <c r="GNC381" s="669"/>
      <c r="GND381" s="669"/>
      <c r="GNE381" s="669"/>
      <c r="GNF381" s="669"/>
      <c r="GNG381" s="669"/>
      <c r="GNH381" s="669"/>
      <c r="GNI381" s="669"/>
      <c r="GNJ381" s="669"/>
      <c r="GNK381" s="669"/>
      <c r="GNL381" s="669"/>
      <c r="GNM381" s="669"/>
      <c r="GNN381" s="669"/>
      <c r="GNO381" s="669"/>
      <c r="GNP381" s="669"/>
      <c r="GNQ381" s="669"/>
      <c r="GNR381" s="669"/>
      <c r="GNS381" s="669"/>
      <c r="GNT381" s="669"/>
      <c r="GNU381" s="669"/>
      <c r="GNV381" s="669"/>
      <c r="GNW381" s="669"/>
      <c r="GNX381" s="669"/>
      <c r="GNY381" s="669"/>
      <c r="GNZ381" s="669"/>
      <c r="GOA381" s="669"/>
      <c r="GOB381" s="669"/>
      <c r="GOC381" s="669"/>
      <c r="GOD381" s="669"/>
      <c r="GOE381" s="669"/>
      <c r="GOF381" s="669"/>
      <c r="GOG381" s="669"/>
      <c r="GOH381" s="669"/>
      <c r="GOI381" s="669"/>
      <c r="GOJ381" s="669"/>
      <c r="GOK381" s="669"/>
      <c r="GOL381" s="669"/>
      <c r="GOM381" s="669"/>
      <c r="GON381" s="669"/>
      <c r="GOO381" s="669"/>
      <c r="GOP381" s="669"/>
      <c r="GOQ381" s="669"/>
      <c r="GOR381" s="669"/>
      <c r="GOS381" s="669"/>
      <c r="GOT381" s="669"/>
      <c r="GOU381" s="669"/>
      <c r="GOV381" s="669"/>
      <c r="GOW381" s="669"/>
      <c r="GOX381" s="669"/>
      <c r="GOY381" s="669"/>
      <c r="GOZ381" s="669"/>
      <c r="GPA381" s="669"/>
      <c r="GPB381" s="669"/>
      <c r="GPC381" s="669"/>
      <c r="GPD381" s="669"/>
      <c r="GPE381" s="669"/>
      <c r="GPF381" s="669"/>
      <c r="GPG381" s="669"/>
      <c r="GPH381" s="669"/>
      <c r="GPI381" s="669"/>
      <c r="GPJ381" s="669"/>
      <c r="GPK381" s="669"/>
      <c r="GPL381" s="669"/>
      <c r="GPM381" s="669"/>
      <c r="GPN381" s="669"/>
      <c r="GPO381" s="669"/>
      <c r="GPP381" s="669"/>
      <c r="GPQ381" s="669"/>
      <c r="GPR381" s="669"/>
      <c r="GPS381" s="669"/>
      <c r="GPT381" s="669"/>
      <c r="GPU381" s="669"/>
      <c r="GPV381" s="669"/>
      <c r="GPW381" s="669"/>
      <c r="GPX381" s="669"/>
      <c r="GPY381" s="669"/>
      <c r="GPZ381" s="669"/>
      <c r="GQA381" s="669"/>
      <c r="GQB381" s="669"/>
      <c r="GQC381" s="669"/>
      <c r="GQD381" s="669"/>
      <c r="GQE381" s="669"/>
      <c r="GQF381" s="669"/>
      <c r="GQG381" s="669"/>
      <c r="GQH381" s="669"/>
      <c r="GQI381" s="669"/>
      <c r="GQJ381" s="669"/>
      <c r="GQK381" s="669"/>
      <c r="GQL381" s="669"/>
      <c r="GQM381" s="669"/>
      <c r="GQN381" s="669"/>
      <c r="GQO381" s="669"/>
      <c r="GQP381" s="669"/>
      <c r="GQQ381" s="669"/>
      <c r="GQR381" s="669"/>
      <c r="GQS381" s="669"/>
      <c r="GQT381" s="669"/>
      <c r="GQU381" s="669"/>
      <c r="GQV381" s="669"/>
      <c r="GQW381" s="669"/>
      <c r="GQX381" s="669"/>
      <c r="GQY381" s="669"/>
      <c r="GQZ381" s="669"/>
      <c r="GRA381" s="669"/>
      <c r="GRB381" s="669"/>
      <c r="GRC381" s="669"/>
      <c r="GRD381" s="669"/>
      <c r="GRE381" s="669"/>
      <c r="GRF381" s="669"/>
      <c r="GRG381" s="669"/>
      <c r="GRH381" s="669"/>
      <c r="GRI381" s="669"/>
      <c r="GRJ381" s="669"/>
      <c r="GRK381" s="669"/>
      <c r="GRL381" s="669"/>
      <c r="GRM381" s="669"/>
      <c r="GRN381" s="669"/>
      <c r="GRO381" s="669"/>
      <c r="GRP381" s="669"/>
      <c r="GRQ381" s="669"/>
      <c r="GRR381" s="669"/>
      <c r="GRS381" s="669"/>
      <c r="GRT381" s="669"/>
      <c r="GRU381" s="669"/>
      <c r="GRV381" s="669"/>
      <c r="GRW381" s="669"/>
      <c r="GRX381" s="669"/>
      <c r="GRY381" s="669"/>
      <c r="GRZ381" s="669"/>
      <c r="GSA381" s="669"/>
      <c r="GSB381" s="669"/>
      <c r="GSC381" s="669"/>
      <c r="GSD381" s="669"/>
      <c r="GSE381" s="669"/>
      <c r="GSF381" s="669"/>
      <c r="GSG381" s="669"/>
      <c r="GSH381" s="669"/>
      <c r="GSI381" s="669"/>
      <c r="GSJ381" s="669"/>
      <c r="GSK381" s="669"/>
      <c r="GSL381" s="669"/>
      <c r="GSM381" s="669"/>
      <c r="GSN381" s="669"/>
      <c r="GSO381" s="669"/>
      <c r="GSP381" s="669"/>
      <c r="GSQ381" s="669"/>
      <c r="GSR381" s="669"/>
      <c r="GSS381" s="669"/>
      <c r="GST381" s="669"/>
      <c r="GSU381" s="669"/>
      <c r="GSV381" s="669"/>
      <c r="GSW381" s="669"/>
      <c r="GSX381" s="669"/>
      <c r="GSY381" s="669"/>
      <c r="GSZ381" s="669"/>
      <c r="GTA381" s="669"/>
      <c r="GTB381" s="669"/>
      <c r="GTC381" s="669"/>
      <c r="GTD381" s="669"/>
      <c r="GTE381" s="669"/>
      <c r="GTF381" s="669"/>
      <c r="GTG381" s="669"/>
      <c r="GTH381" s="669"/>
      <c r="GTI381" s="669"/>
      <c r="GTJ381" s="669"/>
      <c r="GTK381" s="669"/>
      <c r="GTL381" s="669"/>
      <c r="GTM381" s="669"/>
      <c r="GTN381" s="669"/>
      <c r="GTO381" s="669"/>
      <c r="GTP381" s="669"/>
      <c r="GTQ381" s="669"/>
      <c r="GTR381" s="669"/>
      <c r="GTS381" s="669"/>
      <c r="GTT381" s="669"/>
      <c r="GTU381" s="669"/>
      <c r="GTV381" s="669"/>
      <c r="GTW381" s="669"/>
      <c r="GTX381" s="669"/>
      <c r="GTY381" s="669"/>
      <c r="GTZ381" s="669"/>
      <c r="GUA381" s="669"/>
      <c r="GUB381" s="669"/>
      <c r="GUC381" s="669"/>
      <c r="GUD381" s="669"/>
      <c r="GUE381" s="669"/>
      <c r="GUF381" s="669"/>
      <c r="GUG381" s="669"/>
      <c r="GUH381" s="669"/>
      <c r="GUI381" s="669"/>
      <c r="GUJ381" s="669"/>
      <c r="GUK381" s="669"/>
      <c r="GUL381" s="669"/>
      <c r="GUM381" s="669"/>
      <c r="GUN381" s="669"/>
      <c r="GUO381" s="669"/>
      <c r="GUP381" s="669"/>
      <c r="GUQ381" s="669"/>
      <c r="GUR381" s="669"/>
      <c r="GUS381" s="669"/>
      <c r="GUT381" s="669"/>
      <c r="GUU381" s="669"/>
      <c r="GUV381" s="669"/>
      <c r="GUW381" s="669"/>
      <c r="GUX381" s="669"/>
      <c r="GUY381" s="669"/>
      <c r="GUZ381" s="669"/>
      <c r="GVA381" s="669"/>
      <c r="GVB381" s="669"/>
      <c r="GVC381" s="669"/>
      <c r="GVD381" s="669"/>
      <c r="GVE381" s="669"/>
      <c r="GVF381" s="669"/>
      <c r="GVG381" s="669"/>
      <c r="GVH381" s="669"/>
      <c r="GVI381" s="669"/>
      <c r="GVJ381" s="669"/>
      <c r="GVK381" s="669"/>
      <c r="GVL381" s="669"/>
      <c r="GVM381" s="669"/>
      <c r="GVN381" s="669"/>
      <c r="GVO381" s="669"/>
      <c r="GVP381" s="669"/>
      <c r="GVQ381" s="669"/>
      <c r="GVR381" s="669"/>
      <c r="GVS381" s="669"/>
      <c r="GVT381" s="669"/>
      <c r="GVU381" s="669"/>
      <c r="GVV381" s="669"/>
      <c r="GVW381" s="669"/>
      <c r="GVX381" s="669"/>
      <c r="GVY381" s="669"/>
      <c r="GVZ381" s="669"/>
      <c r="GWA381" s="669"/>
      <c r="GWB381" s="669"/>
      <c r="GWC381" s="669"/>
      <c r="GWD381" s="669"/>
      <c r="GWE381" s="669"/>
      <c r="GWF381" s="669"/>
      <c r="GWG381" s="669"/>
      <c r="GWH381" s="669"/>
      <c r="GWI381" s="669"/>
      <c r="GWJ381" s="669"/>
      <c r="GWK381" s="669"/>
      <c r="GWL381" s="669"/>
      <c r="GWM381" s="669"/>
      <c r="GWN381" s="669"/>
      <c r="GWO381" s="669"/>
      <c r="GWP381" s="669"/>
      <c r="GWQ381" s="669"/>
      <c r="GWR381" s="669"/>
      <c r="GWS381" s="669"/>
      <c r="GWT381" s="669"/>
      <c r="GWU381" s="669"/>
      <c r="GWV381" s="669"/>
      <c r="GWW381" s="669"/>
      <c r="GWX381" s="669"/>
      <c r="GWY381" s="669"/>
      <c r="GWZ381" s="669"/>
      <c r="GXA381" s="669"/>
      <c r="GXB381" s="669"/>
      <c r="GXC381" s="669"/>
      <c r="GXD381" s="669"/>
      <c r="GXE381" s="669"/>
      <c r="GXF381" s="669"/>
      <c r="GXG381" s="669"/>
      <c r="GXH381" s="669"/>
      <c r="GXI381" s="669"/>
      <c r="GXJ381" s="669"/>
      <c r="GXK381" s="669"/>
      <c r="GXL381" s="669"/>
      <c r="GXM381" s="669"/>
      <c r="GXN381" s="669"/>
      <c r="GXO381" s="669"/>
      <c r="GXP381" s="669"/>
      <c r="GXQ381" s="669"/>
      <c r="GXR381" s="669"/>
      <c r="GXS381" s="669"/>
      <c r="GXT381" s="669"/>
      <c r="GXU381" s="669"/>
      <c r="GXV381" s="669"/>
      <c r="GXW381" s="669"/>
      <c r="GXX381" s="669"/>
      <c r="GXY381" s="669"/>
      <c r="GXZ381" s="669"/>
      <c r="GYA381" s="669"/>
      <c r="GYB381" s="669"/>
      <c r="GYC381" s="669"/>
      <c r="GYD381" s="669"/>
      <c r="GYE381" s="669"/>
      <c r="GYF381" s="669"/>
      <c r="GYG381" s="669"/>
      <c r="GYH381" s="669"/>
      <c r="GYI381" s="669"/>
      <c r="GYJ381" s="669"/>
      <c r="GYK381" s="669"/>
      <c r="GYL381" s="669"/>
      <c r="GYM381" s="669"/>
      <c r="GYN381" s="669"/>
      <c r="GYO381" s="669"/>
      <c r="GYP381" s="669"/>
      <c r="GYQ381" s="669"/>
      <c r="GYR381" s="669"/>
      <c r="GYS381" s="669"/>
      <c r="GYT381" s="669"/>
      <c r="GYU381" s="669"/>
      <c r="GYV381" s="669"/>
      <c r="GYW381" s="669"/>
      <c r="GYX381" s="669"/>
      <c r="GYY381" s="669"/>
      <c r="GYZ381" s="669"/>
      <c r="GZA381" s="669"/>
      <c r="GZB381" s="669"/>
      <c r="GZC381" s="669"/>
      <c r="GZD381" s="669"/>
      <c r="GZE381" s="669"/>
      <c r="GZF381" s="669"/>
      <c r="GZG381" s="669"/>
      <c r="GZH381" s="669"/>
      <c r="GZI381" s="669"/>
      <c r="GZJ381" s="669"/>
      <c r="GZK381" s="669"/>
      <c r="GZL381" s="669"/>
      <c r="GZM381" s="669"/>
      <c r="GZN381" s="669"/>
      <c r="GZO381" s="669"/>
      <c r="GZP381" s="669"/>
      <c r="GZQ381" s="669"/>
      <c r="GZR381" s="669"/>
      <c r="GZS381" s="669"/>
      <c r="GZT381" s="669"/>
      <c r="GZU381" s="669"/>
      <c r="GZV381" s="669"/>
      <c r="GZW381" s="669"/>
      <c r="GZX381" s="669"/>
      <c r="GZY381" s="669"/>
      <c r="GZZ381" s="669"/>
      <c r="HAA381" s="669"/>
      <c r="HAB381" s="669"/>
      <c r="HAC381" s="669"/>
      <c r="HAD381" s="669"/>
      <c r="HAE381" s="669"/>
      <c r="HAF381" s="669"/>
      <c r="HAG381" s="669"/>
      <c r="HAH381" s="669"/>
      <c r="HAI381" s="669"/>
      <c r="HAJ381" s="669"/>
      <c r="HAK381" s="669"/>
      <c r="HAL381" s="669"/>
      <c r="HAM381" s="669"/>
      <c r="HAN381" s="669"/>
      <c r="HAO381" s="669"/>
      <c r="HAP381" s="669"/>
      <c r="HAQ381" s="669"/>
      <c r="HAR381" s="669"/>
      <c r="HAS381" s="669"/>
      <c r="HAT381" s="669"/>
      <c r="HAU381" s="669"/>
      <c r="HAV381" s="669"/>
      <c r="HAW381" s="669"/>
      <c r="HAX381" s="669"/>
      <c r="HAY381" s="669"/>
      <c r="HAZ381" s="669"/>
      <c r="HBA381" s="669"/>
      <c r="HBB381" s="669"/>
      <c r="HBC381" s="669"/>
      <c r="HBD381" s="669"/>
      <c r="HBE381" s="669"/>
      <c r="HBF381" s="669"/>
      <c r="HBG381" s="669"/>
      <c r="HBH381" s="669"/>
      <c r="HBI381" s="669"/>
      <c r="HBJ381" s="669"/>
      <c r="HBK381" s="669"/>
      <c r="HBL381" s="669"/>
      <c r="HBM381" s="669"/>
      <c r="HBN381" s="669"/>
      <c r="HBO381" s="669"/>
      <c r="HBP381" s="669"/>
      <c r="HBQ381" s="669"/>
      <c r="HBR381" s="669"/>
      <c r="HBS381" s="669"/>
      <c r="HBT381" s="669"/>
      <c r="HBU381" s="669"/>
      <c r="HBV381" s="669"/>
      <c r="HBW381" s="669"/>
      <c r="HBX381" s="669"/>
      <c r="HBY381" s="669"/>
      <c r="HBZ381" s="669"/>
      <c r="HCA381" s="669"/>
      <c r="HCB381" s="669"/>
      <c r="HCC381" s="669"/>
      <c r="HCD381" s="669"/>
      <c r="HCE381" s="669"/>
      <c r="HCF381" s="669"/>
      <c r="HCG381" s="669"/>
      <c r="HCH381" s="669"/>
      <c r="HCI381" s="669"/>
      <c r="HCJ381" s="669"/>
      <c r="HCK381" s="669"/>
      <c r="HCL381" s="669"/>
      <c r="HCM381" s="669"/>
      <c r="HCN381" s="669"/>
      <c r="HCO381" s="669"/>
      <c r="HCP381" s="669"/>
      <c r="HCQ381" s="669"/>
      <c r="HCR381" s="669"/>
      <c r="HCS381" s="669"/>
      <c r="HCT381" s="669"/>
      <c r="HCU381" s="669"/>
      <c r="HCV381" s="669"/>
      <c r="HCW381" s="669"/>
      <c r="HCX381" s="669"/>
      <c r="HCY381" s="669"/>
      <c r="HCZ381" s="669"/>
      <c r="HDA381" s="669"/>
      <c r="HDB381" s="669"/>
      <c r="HDC381" s="669"/>
      <c r="HDD381" s="669"/>
      <c r="HDE381" s="669"/>
      <c r="HDF381" s="669"/>
      <c r="HDG381" s="669"/>
      <c r="HDH381" s="669"/>
      <c r="HDI381" s="669"/>
      <c r="HDJ381" s="669"/>
      <c r="HDK381" s="669"/>
      <c r="HDL381" s="669"/>
      <c r="HDM381" s="669"/>
      <c r="HDN381" s="669"/>
      <c r="HDO381" s="669"/>
      <c r="HDP381" s="669"/>
      <c r="HDQ381" s="669"/>
      <c r="HDR381" s="669"/>
      <c r="HDS381" s="669"/>
      <c r="HDT381" s="669"/>
      <c r="HDU381" s="669"/>
      <c r="HDV381" s="669"/>
      <c r="HDW381" s="669"/>
      <c r="HDX381" s="669"/>
      <c r="HDY381" s="669"/>
      <c r="HDZ381" s="669"/>
      <c r="HEA381" s="669"/>
      <c r="HEB381" s="669"/>
      <c r="HEC381" s="669"/>
      <c r="HED381" s="669"/>
      <c r="HEE381" s="669"/>
      <c r="HEF381" s="669"/>
      <c r="HEG381" s="669"/>
      <c r="HEH381" s="669"/>
      <c r="HEI381" s="669"/>
      <c r="HEJ381" s="669"/>
      <c r="HEK381" s="669"/>
      <c r="HEL381" s="669"/>
      <c r="HEM381" s="669"/>
      <c r="HEN381" s="669"/>
      <c r="HEO381" s="669"/>
      <c r="HEP381" s="669"/>
      <c r="HEQ381" s="669"/>
      <c r="HER381" s="669"/>
      <c r="HES381" s="669"/>
      <c r="HET381" s="669"/>
      <c r="HEU381" s="669"/>
      <c r="HEV381" s="669"/>
      <c r="HEW381" s="669"/>
      <c r="HEX381" s="669"/>
      <c r="HEY381" s="669"/>
      <c r="HEZ381" s="669"/>
      <c r="HFA381" s="669"/>
      <c r="HFB381" s="669"/>
      <c r="HFC381" s="669"/>
      <c r="HFD381" s="669"/>
      <c r="HFE381" s="669"/>
      <c r="HFF381" s="669"/>
      <c r="HFG381" s="669"/>
      <c r="HFH381" s="669"/>
      <c r="HFI381" s="669"/>
      <c r="HFJ381" s="669"/>
      <c r="HFK381" s="669"/>
      <c r="HFL381" s="669"/>
      <c r="HFM381" s="669"/>
      <c r="HFN381" s="669"/>
      <c r="HFO381" s="669"/>
      <c r="HFP381" s="669"/>
      <c r="HFQ381" s="669"/>
      <c r="HFR381" s="669"/>
      <c r="HFS381" s="669"/>
      <c r="HFT381" s="669"/>
      <c r="HFU381" s="669"/>
      <c r="HFV381" s="669"/>
      <c r="HFW381" s="669"/>
      <c r="HFX381" s="669"/>
      <c r="HFY381" s="669"/>
      <c r="HFZ381" s="669"/>
      <c r="HGA381" s="669"/>
      <c r="HGB381" s="669"/>
      <c r="HGC381" s="669"/>
      <c r="HGD381" s="669"/>
      <c r="HGE381" s="669"/>
      <c r="HGF381" s="669"/>
      <c r="HGG381" s="669"/>
      <c r="HGH381" s="669"/>
      <c r="HGI381" s="669"/>
      <c r="HGJ381" s="669"/>
      <c r="HGK381" s="669"/>
      <c r="HGL381" s="669"/>
      <c r="HGM381" s="669"/>
      <c r="HGN381" s="669"/>
      <c r="HGO381" s="669"/>
      <c r="HGP381" s="669"/>
      <c r="HGQ381" s="669"/>
      <c r="HGR381" s="669"/>
      <c r="HGS381" s="669"/>
      <c r="HGT381" s="669"/>
      <c r="HGU381" s="669"/>
      <c r="HGV381" s="669"/>
      <c r="HGW381" s="669"/>
      <c r="HGX381" s="669"/>
      <c r="HGY381" s="669"/>
      <c r="HGZ381" s="669"/>
      <c r="HHA381" s="669"/>
      <c r="HHB381" s="669"/>
      <c r="HHC381" s="669"/>
      <c r="HHD381" s="669"/>
      <c r="HHE381" s="669"/>
      <c r="HHF381" s="669"/>
      <c r="HHG381" s="669"/>
      <c r="HHH381" s="669"/>
      <c r="HHI381" s="669"/>
      <c r="HHJ381" s="669"/>
      <c r="HHK381" s="669"/>
      <c r="HHL381" s="669"/>
      <c r="HHM381" s="669"/>
      <c r="HHN381" s="669"/>
      <c r="HHO381" s="669"/>
      <c r="HHP381" s="669"/>
      <c r="HHQ381" s="669"/>
      <c r="HHR381" s="669"/>
      <c r="HHS381" s="669"/>
      <c r="HHT381" s="669"/>
      <c r="HHU381" s="669"/>
      <c r="HHV381" s="669"/>
      <c r="HHW381" s="669"/>
      <c r="HHX381" s="669"/>
      <c r="HHY381" s="669"/>
      <c r="HHZ381" s="669"/>
      <c r="HIA381" s="669"/>
      <c r="HIB381" s="669"/>
      <c r="HIC381" s="669"/>
      <c r="HID381" s="669"/>
      <c r="HIE381" s="669"/>
      <c r="HIF381" s="669"/>
      <c r="HIG381" s="669"/>
      <c r="HIH381" s="669"/>
      <c r="HII381" s="669"/>
      <c r="HIJ381" s="669"/>
      <c r="HIK381" s="669"/>
      <c r="HIL381" s="669"/>
      <c r="HIM381" s="669"/>
      <c r="HIN381" s="669"/>
      <c r="HIO381" s="669"/>
      <c r="HIP381" s="669"/>
      <c r="HIQ381" s="669"/>
      <c r="HIR381" s="669"/>
      <c r="HIS381" s="669"/>
      <c r="HIT381" s="669"/>
      <c r="HIU381" s="669"/>
      <c r="HIV381" s="669"/>
      <c r="HIW381" s="669"/>
      <c r="HIX381" s="669"/>
      <c r="HIY381" s="669"/>
      <c r="HIZ381" s="669"/>
      <c r="HJA381" s="669"/>
      <c r="HJB381" s="669"/>
      <c r="HJC381" s="669"/>
      <c r="HJD381" s="669"/>
      <c r="HJE381" s="669"/>
      <c r="HJF381" s="669"/>
      <c r="HJG381" s="669"/>
      <c r="HJH381" s="669"/>
      <c r="HJI381" s="669"/>
      <c r="HJJ381" s="669"/>
      <c r="HJK381" s="669"/>
      <c r="HJL381" s="669"/>
      <c r="HJM381" s="669"/>
      <c r="HJN381" s="669"/>
      <c r="HJO381" s="669"/>
      <c r="HJP381" s="669"/>
      <c r="HJQ381" s="669"/>
      <c r="HJR381" s="669"/>
      <c r="HJS381" s="669"/>
      <c r="HJT381" s="669"/>
      <c r="HJU381" s="669"/>
      <c r="HJV381" s="669"/>
      <c r="HJW381" s="669"/>
      <c r="HJX381" s="669"/>
      <c r="HJY381" s="669"/>
      <c r="HJZ381" s="669"/>
      <c r="HKA381" s="669"/>
      <c r="HKB381" s="669"/>
      <c r="HKC381" s="669"/>
      <c r="HKD381" s="669"/>
      <c r="HKE381" s="669"/>
      <c r="HKF381" s="669"/>
      <c r="HKG381" s="669"/>
      <c r="HKH381" s="669"/>
      <c r="HKI381" s="669"/>
      <c r="HKJ381" s="669"/>
      <c r="HKK381" s="669"/>
      <c r="HKL381" s="669"/>
      <c r="HKM381" s="669"/>
      <c r="HKN381" s="669"/>
      <c r="HKO381" s="669"/>
      <c r="HKP381" s="669"/>
      <c r="HKQ381" s="669"/>
      <c r="HKR381" s="669"/>
      <c r="HKS381" s="669"/>
      <c r="HKT381" s="669"/>
      <c r="HKU381" s="669"/>
      <c r="HKV381" s="669"/>
      <c r="HKW381" s="669"/>
      <c r="HKX381" s="669"/>
      <c r="HKY381" s="669"/>
      <c r="HKZ381" s="669"/>
      <c r="HLA381" s="669"/>
      <c r="HLB381" s="669"/>
      <c r="HLC381" s="669"/>
      <c r="HLD381" s="669"/>
      <c r="HLE381" s="669"/>
      <c r="HLF381" s="669"/>
      <c r="HLG381" s="669"/>
      <c r="HLH381" s="669"/>
      <c r="HLI381" s="669"/>
      <c r="HLJ381" s="669"/>
      <c r="HLK381" s="669"/>
      <c r="HLL381" s="669"/>
      <c r="HLM381" s="669"/>
      <c r="HLN381" s="669"/>
      <c r="HLO381" s="669"/>
      <c r="HLP381" s="669"/>
      <c r="HLQ381" s="669"/>
      <c r="HLR381" s="669"/>
      <c r="HLS381" s="669"/>
      <c r="HLT381" s="669"/>
      <c r="HLU381" s="669"/>
      <c r="HLV381" s="669"/>
      <c r="HLW381" s="669"/>
      <c r="HLX381" s="669"/>
      <c r="HLY381" s="669"/>
      <c r="HLZ381" s="669"/>
      <c r="HMA381" s="669"/>
      <c r="HMB381" s="669"/>
      <c r="HMC381" s="669"/>
      <c r="HMD381" s="669"/>
      <c r="HME381" s="669"/>
      <c r="HMF381" s="669"/>
      <c r="HMG381" s="669"/>
      <c r="HMH381" s="669"/>
      <c r="HMI381" s="669"/>
      <c r="HMJ381" s="669"/>
      <c r="HMK381" s="669"/>
      <c r="HML381" s="669"/>
      <c r="HMM381" s="669"/>
      <c r="HMN381" s="669"/>
      <c r="HMO381" s="669"/>
      <c r="HMP381" s="669"/>
      <c r="HMQ381" s="669"/>
      <c r="HMR381" s="669"/>
      <c r="HMS381" s="669"/>
      <c r="HMT381" s="669"/>
      <c r="HMU381" s="669"/>
      <c r="HMV381" s="669"/>
      <c r="HMW381" s="669"/>
      <c r="HMX381" s="669"/>
      <c r="HMY381" s="669"/>
      <c r="HMZ381" s="669"/>
      <c r="HNA381" s="669"/>
      <c r="HNB381" s="669"/>
      <c r="HNC381" s="669"/>
      <c r="HND381" s="669"/>
      <c r="HNE381" s="669"/>
      <c r="HNF381" s="669"/>
      <c r="HNG381" s="669"/>
      <c r="HNH381" s="669"/>
      <c r="HNI381" s="669"/>
      <c r="HNJ381" s="669"/>
      <c r="HNK381" s="669"/>
      <c r="HNL381" s="669"/>
      <c r="HNM381" s="669"/>
      <c r="HNN381" s="669"/>
      <c r="HNO381" s="669"/>
      <c r="HNP381" s="669"/>
      <c r="HNQ381" s="669"/>
      <c r="HNR381" s="669"/>
      <c r="HNS381" s="669"/>
      <c r="HNT381" s="669"/>
      <c r="HNU381" s="669"/>
      <c r="HNV381" s="669"/>
      <c r="HNW381" s="669"/>
      <c r="HNX381" s="669"/>
      <c r="HNY381" s="669"/>
      <c r="HNZ381" s="669"/>
      <c r="HOA381" s="669"/>
      <c r="HOB381" s="669"/>
      <c r="HOC381" s="669"/>
      <c r="HOD381" s="669"/>
      <c r="HOE381" s="669"/>
      <c r="HOF381" s="669"/>
      <c r="HOG381" s="669"/>
      <c r="HOH381" s="669"/>
      <c r="HOI381" s="669"/>
      <c r="HOJ381" s="669"/>
      <c r="HOK381" s="669"/>
      <c r="HOL381" s="669"/>
      <c r="HOM381" s="669"/>
      <c r="HON381" s="669"/>
      <c r="HOO381" s="669"/>
      <c r="HOP381" s="669"/>
      <c r="HOQ381" s="669"/>
      <c r="HOR381" s="669"/>
      <c r="HOS381" s="669"/>
      <c r="HOT381" s="669"/>
      <c r="HOU381" s="669"/>
      <c r="HOV381" s="669"/>
      <c r="HOW381" s="669"/>
      <c r="HOX381" s="669"/>
      <c r="HOY381" s="669"/>
      <c r="HOZ381" s="669"/>
      <c r="HPA381" s="669"/>
      <c r="HPB381" s="669"/>
      <c r="HPC381" s="669"/>
      <c r="HPD381" s="669"/>
      <c r="HPE381" s="669"/>
      <c r="HPF381" s="669"/>
      <c r="HPG381" s="669"/>
      <c r="HPH381" s="669"/>
      <c r="HPI381" s="669"/>
      <c r="HPJ381" s="669"/>
      <c r="HPK381" s="669"/>
      <c r="HPL381" s="669"/>
      <c r="HPM381" s="669"/>
      <c r="HPN381" s="669"/>
      <c r="HPO381" s="669"/>
      <c r="HPP381" s="669"/>
      <c r="HPQ381" s="669"/>
      <c r="HPR381" s="669"/>
      <c r="HPS381" s="669"/>
      <c r="HPT381" s="669"/>
      <c r="HPU381" s="669"/>
      <c r="HPV381" s="669"/>
      <c r="HPW381" s="669"/>
      <c r="HPX381" s="669"/>
      <c r="HPY381" s="669"/>
      <c r="HPZ381" s="669"/>
      <c r="HQA381" s="669"/>
      <c r="HQB381" s="669"/>
      <c r="HQC381" s="669"/>
      <c r="HQD381" s="669"/>
      <c r="HQE381" s="669"/>
      <c r="HQF381" s="669"/>
      <c r="HQG381" s="669"/>
      <c r="HQH381" s="669"/>
      <c r="HQI381" s="669"/>
      <c r="HQJ381" s="669"/>
      <c r="HQK381" s="669"/>
      <c r="HQL381" s="669"/>
      <c r="HQM381" s="669"/>
      <c r="HQN381" s="669"/>
      <c r="HQO381" s="669"/>
      <c r="HQP381" s="669"/>
      <c r="HQQ381" s="669"/>
      <c r="HQR381" s="669"/>
      <c r="HQS381" s="669"/>
      <c r="HQT381" s="669"/>
      <c r="HQU381" s="669"/>
      <c r="HQV381" s="669"/>
      <c r="HQW381" s="669"/>
      <c r="HQX381" s="669"/>
      <c r="HQY381" s="669"/>
      <c r="HQZ381" s="669"/>
      <c r="HRA381" s="669"/>
      <c r="HRB381" s="669"/>
      <c r="HRC381" s="669"/>
      <c r="HRD381" s="669"/>
      <c r="HRE381" s="669"/>
      <c r="HRF381" s="669"/>
      <c r="HRG381" s="669"/>
      <c r="HRH381" s="669"/>
      <c r="HRI381" s="669"/>
      <c r="HRJ381" s="669"/>
      <c r="HRK381" s="669"/>
      <c r="HRL381" s="669"/>
      <c r="HRM381" s="669"/>
      <c r="HRN381" s="669"/>
      <c r="HRO381" s="669"/>
      <c r="HRP381" s="669"/>
      <c r="HRQ381" s="669"/>
      <c r="HRR381" s="669"/>
      <c r="HRS381" s="669"/>
      <c r="HRT381" s="669"/>
      <c r="HRU381" s="669"/>
      <c r="HRV381" s="669"/>
      <c r="HRW381" s="669"/>
      <c r="HRX381" s="669"/>
      <c r="HRY381" s="669"/>
      <c r="HRZ381" s="669"/>
      <c r="HSA381" s="669"/>
      <c r="HSB381" s="669"/>
      <c r="HSC381" s="669"/>
      <c r="HSD381" s="669"/>
      <c r="HSE381" s="669"/>
      <c r="HSF381" s="669"/>
      <c r="HSG381" s="669"/>
      <c r="HSH381" s="669"/>
      <c r="HSI381" s="669"/>
      <c r="HSJ381" s="669"/>
      <c r="HSK381" s="669"/>
      <c r="HSL381" s="669"/>
      <c r="HSM381" s="669"/>
      <c r="HSN381" s="669"/>
      <c r="HSO381" s="669"/>
      <c r="HSP381" s="669"/>
      <c r="HSQ381" s="669"/>
      <c r="HSR381" s="669"/>
      <c r="HSS381" s="669"/>
      <c r="HST381" s="669"/>
      <c r="HSU381" s="669"/>
      <c r="HSV381" s="669"/>
      <c r="HSW381" s="669"/>
      <c r="HSX381" s="669"/>
      <c r="HSY381" s="669"/>
      <c r="HSZ381" s="669"/>
      <c r="HTA381" s="669"/>
      <c r="HTB381" s="669"/>
      <c r="HTC381" s="669"/>
      <c r="HTD381" s="669"/>
      <c r="HTE381" s="669"/>
      <c r="HTF381" s="669"/>
      <c r="HTG381" s="669"/>
      <c r="HTH381" s="669"/>
      <c r="HTI381" s="669"/>
      <c r="HTJ381" s="669"/>
      <c r="HTK381" s="669"/>
      <c r="HTL381" s="669"/>
      <c r="HTM381" s="669"/>
      <c r="HTN381" s="669"/>
      <c r="HTO381" s="669"/>
      <c r="HTP381" s="669"/>
      <c r="HTQ381" s="669"/>
      <c r="HTR381" s="669"/>
      <c r="HTS381" s="669"/>
      <c r="HTT381" s="669"/>
      <c r="HTU381" s="669"/>
      <c r="HTV381" s="669"/>
      <c r="HTW381" s="669"/>
      <c r="HTX381" s="669"/>
      <c r="HTY381" s="669"/>
      <c r="HTZ381" s="669"/>
      <c r="HUA381" s="669"/>
      <c r="HUB381" s="669"/>
      <c r="HUC381" s="669"/>
      <c r="HUD381" s="669"/>
      <c r="HUE381" s="669"/>
      <c r="HUF381" s="669"/>
      <c r="HUG381" s="669"/>
      <c r="HUH381" s="669"/>
      <c r="HUI381" s="669"/>
      <c r="HUJ381" s="669"/>
      <c r="HUK381" s="669"/>
      <c r="HUL381" s="669"/>
      <c r="HUM381" s="669"/>
      <c r="HUN381" s="669"/>
      <c r="HUO381" s="669"/>
      <c r="HUP381" s="669"/>
      <c r="HUQ381" s="669"/>
      <c r="HUR381" s="669"/>
      <c r="HUS381" s="669"/>
      <c r="HUT381" s="669"/>
      <c r="HUU381" s="669"/>
      <c r="HUV381" s="669"/>
      <c r="HUW381" s="669"/>
      <c r="HUX381" s="669"/>
      <c r="HUY381" s="669"/>
      <c r="HUZ381" s="669"/>
      <c r="HVA381" s="669"/>
      <c r="HVB381" s="669"/>
      <c r="HVC381" s="669"/>
      <c r="HVD381" s="669"/>
      <c r="HVE381" s="669"/>
      <c r="HVF381" s="669"/>
      <c r="HVG381" s="669"/>
      <c r="HVH381" s="669"/>
      <c r="HVI381" s="669"/>
      <c r="HVJ381" s="669"/>
      <c r="HVK381" s="669"/>
      <c r="HVL381" s="669"/>
      <c r="HVM381" s="669"/>
      <c r="HVN381" s="669"/>
      <c r="HVO381" s="669"/>
      <c r="HVP381" s="669"/>
      <c r="HVQ381" s="669"/>
      <c r="HVR381" s="669"/>
      <c r="HVS381" s="669"/>
      <c r="HVT381" s="669"/>
      <c r="HVU381" s="669"/>
      <c r="HVV381" s="669"/>
      <c r="HVW381" s="669"/>
      <c r="HVX381" s="669"/>
      <c r="HVY381" s="669"/>
      <c r="HVZ381" s="669"/>
      <c r="HWA381" s="669"/>
      <c r="HWB381" s="669"/>
      <c r="HWC381" s="669"/>
      <c r="HWD381" s="669"/>
      <c r="HWE381" s="669"/>
      <c r="HWF381" s="669"/>
      <c r="HWG381" s="669"/>
      <c r="HWH381" s="669"/>
      <c r="HWI381" s="669"/>
      <c r="HWJ381" s="669"/>
      <c r="HWK381" s="669"/>
      <c r="HWL381" s="669"/>
      <c r="HWM381" s="669"/>
      <c r="HWN381" s="669"/>
      <c r="HWO381" s="669"/>
      <c r="HWP381" s="669"/>
      <c r="HWQ381" s="669"/>
      <c r="HWR381" s="669"/>
      <c r="HWS381" s="669"/>
      <c r="HWT381" s="669"/>
      <c r="HWU381" s="669"/>
      <c r="HWV381" s="669"/>
      <c r="HWW381" s="669"/>
      <c r="HWX381" s="669"/>
      <c r="HWY381" s="669"/>
      <c r="HWZ381" s="669"/>
      <c r="HXA381" s="669"/>
      <c r="HXB381" s="669"/>
      <c r="HXC381" s="669"/>
      <c r="HXD381" s="669"/>
      <c r="HXE381" s="669"/>
      <c r="HXF381" s="669"/>
      <c r="HXG381" s="669"/>
      <c r="HXH381" s="669"/>
      <c r="HXI381" s="669"/>
      <c r="HXJ381" s="669"/>
      <c r="HXK381" s="669"/>
      <c r="HXL381" s="669"/>
      <c r="HXM381" s="669"/>
      <c r="HXN381" s="669"/>
      <c r="HXO381" s="669"/>
      <c r="HXP381" s="669"/>
      <c r="HXQ381" s="669"/>
      <c r="HXR381" s="669"/>
      <c r="HXS381" s="669"/>
      <c r="HXT381" s="669"/>
      <c r="HXU381" s="669"/>
      <c r="HXV381" s="669"/>
      <c r="HXW381" s="669"/>
      <c r="HXX381" s="669"/>
      <c r="HXY381" s="669"/>
      <c r="HXZ381" s="669"/>
      <c r="HYA381" s="669"/>
      <c r="HYB381" s="669"/>
      <c r="HYC381" s="669"/>
      <c r="HYD381" s="669"/>
      <c r="HYE381" s="669"/>
      <c r="HYF381" s="669"/>
      <c r="HYG381" s="669"/>
      <c r="HYH381" s="669"/>
      <c r="HYI381" s="669"/>
      <c r="HYJ381" s="669"/>
      <c r="HYK381" s="669"/>
      <c r="HYL381" s="669"/>
      <c r="HYM381" s="669"/>
      <c r="HYN381" s="669"/>
      <c r="HYO381" s="669"/>
      <c r="HYP381" s="669"/>
      <c r="HYQ381" s="669"/>
      <c r="HYR381" s="669"/>
      <c r="HYS381" s="669"/>
      <c r="HYT381" s="669"/>
      <c r="HYU381" s="669"/>
      <c r="HYV381" s="669"/>
      <c r="HYW381" s="669"/>
      <c r="HYX381" s="669"/>
      <c r="HYY381" s="669"/>
      <c r="HYZ381" s="669"/>
      <c r="HZA381" s="669"/>
      <c r="HZB381" s="669"/>
      <c r="HZC381" s="669"/>
      <c r="HZD381" s="669"/>
      <c r="HZE381" s="669"/>
      <c r="HZF381" s="669"/>
      <c r="HZG381" s="669"/>
      <c r="HZH381" s="669"/>
      <c r="HZI381" s="669"/>
      <c r="HZJ381" s="669"/>
      <c r="HZK381" s="669"/>
      <c r="HZL381" s="669"/>
      <c r="HZM381" s="669"/>
      <c r="HZN381" s="669"/>
      <c r="HZO381" s="669"/>
      <c r="HZP381" s="669"/>
      <c r="HZQ381" s="669"/>
      <c r="HZR381" s="669"/>
      <c r="HZS381" s="669"/>
      <c r="HZT381" s="669"/>
      <c r="HZU381" s="669"/>
      <c r="HZV381" s="669"/>
      <c r="HZW381" s="669"/>
      <c r="HZX381" s="669"/>
      <c r="HZY381" s="669"/>
      <c r="HZZ381" s="669"/>
      <c r="IAA381" s="669"/>
      <c r="IAB381" s="669"/>
      <c r="IAC381" s="669"/>
      <c r="IAD381" s="669"/>
      <c r="IAE381" s="669"/>
      <c r="IAF381" s="669"/>
      <c r="IAG381" s="669"/>
      <c r="IAH381" s="669"/>
      <c r="IAI381" s="669"/>
      <c r="IAJ381" s="669"/>
      <c r="IAK381" s="669"/>
      <c r="IAL381" s="669"/>
      <c r="IAM381" s="669"/>
      <c r="IAN381" s="669"/>
      <c r="IAO381" s="669"/>
      <c r="IAP381" s="669"/>
      <c r="IAQ381" s="669"/>
      <c r="IAR381" s="669"/>
      <c r="IAS381" s="669"/>
      <c r="IAT381" s="669"/>
      <c r="IAU381" s="669"/>
      <c r="IAV381" s="669"/>
      <c r="IAW381" s="669"/>
      <c r="IAX381" s="669"/>
      <c r="IAY381" s="669"/>
      <c r="IAZ381" s="669"/>
      <c r="IBA381" s="669"/>
      <c r="IBB381" s="669"/>
      <c r="IBC381" s="669"/>
      <c r="IBD381" s="669"/>
      <c r="IBE381" s="669"/>
      <c r="IBF381" s="669"/>
      <c r="IBG381" s="669"/>
      <c r="IBH381" s="669"/>
      <c r="IBI381" s="669"/>
      <c r="IBJ381" s="669"/>
      <c r="IBK381" s="669"/>
      <c r="IBL381" s="669"/>
      <c r="IBM381" s="669"/>
      <c r="IBN381" s="669"/>
      <c r="IBO381" s="669"/>
      <c r="IBP381" s="669"/>
      <c r="IBQ381" s="669"/>
      <c r="IBR381" s="669"/>
      <c r="IBS381" s="669"/>
      <c r="IBT381" s="669"/>
      <c r="IBU381" s="669"/>
      <c r="IBV381" s="669"/>
      <c r="IBW381" s="669"/>
      <c r="IBX381" s="669"/>
      <c r="IBY381" s="669"/>
      <c r="IBZ381" s="669"/>
      <c r="ICA381" s="669"/>
      <c r="ICB381" s="669"/>
      <c r="ICC381" s="669"/>
      <c r="ICD381" s="669"/>
      <c r="ICE381" s="669"/>
      <c r="ICF381" s="669"/>
      <c r="ICG381" s="669"/>
      <c r="ICH381" s="669"/>
      <c r="ICI381" s="669"/>
      <c r="ICJ381" s="669"/>
      <c r="ICK381" s="669"/>
      <c r="ICL381" s="669"/>
      <c r="ICM381" s="669"/>
      <c r="ICN381" s="669"/>
      <c r="ICO381" s="669"/>
      <c r="ICP381" s="669"/>
      <c r="ICQ381" s="669"/>
      <c r="ICR381" s="669"/>
      <c r="ICS381" s="669"/>
      <c r="ICT381" s="669"/>
      <c r="ICU381" s="669"/>
      <c r="ICV381" s="669"/>
      <c r="ICW381" s="669"/>
      <c r="ICX381" s="669"/>
      <c r="ICY381" s="669"/>
      <c r="ICZ381" s="669"/>
      <c r="IDA381" s="669"/>
      <c r="IDB381" s="669"/>
      <c r="IDC381" s="669"/>
      <c r="IDD381" s="669"/>
      <c r="IDE381" s="669"/>
      <c r="IDF381" s="669"/>
      <c r="IDG381" s="669"/>
      <c r="IDH381" s="669"/>
      <c r="IDI381" s="669"/>
      <c r="IDJ381" s="669"/>
      <c r="IDK381" s="669"/>
      <c r="IDL381" s="669"/>
      <c r="IDM381" s="669"/>
      <c r="IDN381" s="669"/>
      <c r="IDO381" s="669"/>
      <c r="IDP381" s="669"/>
      <c r="IDQ381" s="669"/>
      <c r="IDR381" s="669"/>
      <c r="IDS381" s="669"/>
      <c r="IDT381" s="669"/>
      <c r="IDU381" s="669"/>
      <c r="IDV381" s="669"/>
      <c r="IDW381" s="669"/>
      <c r="IDX381" s="669"/>
      <c r="IDY381" s="669"/>
      <c r="IDZ381" s="669"/>
      <c r="IEA381" s="669"/>
      <c r="IEB381" s="669"/>
      <c r="IEC381" s="669"/>
      <c r="IED381" s="669"/>
      <c r="IEE381" s="669"/>
      <c r="IEF381" s="669"/>
      <c r="IEG381" s="669"/>
      <c r="IEH381" s="669"/>
      <c r="IEI381" s="669"/>
      <c r="IEJ381" s="669"/>
      <c r="IEK381" s="669"/>
      <c r="IEL381" s="669"/>
      <c r="IEM381" s="669"/>
      <c r="IEN381" s="669"/>
      <c r="IEO381" s="669"/>
      <c r="IEP381" s="669"/>
      <c r="IEQ381" s="669"/>
      <c r="IER381" s="669"/>
      <c r="IES381" s="669"/>
      <c r="IET381" s="669"/>
      <c r="IEU381" s="669"/>
      <c r="IEV381" s="669"/>
      <c r="IEW381" s="669"/>
      <c r="IEX381" s="669"/>
      <c r="IEY381" s="669"/>
      <c r="IEZ381" s="669"/>
      <c r="IFA381" s="669"/>
      <c r="IFB381" s="669"/>
      <c r="IFC381" s="669"/>
      <c r="IFD381" s="669"/>
      <c r="IFE381" s="669"/>
      <c r="IFF381" s="669"/>
      <c r="IFG381" s="669"/>
      <c r="IFH381" s="669"/>
      <c r="IFI381" s="669"/>
      <c r="IFJ381" s="669"/>
      <c r="IFK381" s="669"/>
      <c r="IFL381" s="669"/>
      <c r="IFM381" s="669"/>
      <c r="IFN381" s="669"/>
      <c r="IFO381" s="669"/>
      <c r="IFP381" s="669"/>
      <c r="IFQ381" s="669"/>
      <c r="IFR381" s="669"/>
      <c r="IFS381" s="669"/>
      <c r="IFT381" s="669"/>
      <c r="IFU381" s="669"/>
      <c r="IFV381" s="669"/>
      <c r="IFW381" s="669"/>
      <c r="IFX381" s="669"/>
      <c r="IFY381" s="669"/>
      <c r="IFZ381" s="669"/>
      <c r="IGA381" s="669"/>
      <c r="IGB381" s="669"/>
      <c r="IGC381" s="669"/>
      <c r="IGD381" s="669"/>
      <c r="IGE381" s="669"/>
      <c r="IGF381" s="669"/>
      <c r="IGG381" s="669"/>
      <c r="IGH381" s="669"/>
      <c r="IGI381" s="669"/>
      <c r="IGJ381" s="669"/>
      <c r="IGK381" s="669"/>
      <c r="IGL381" s="669"/>
      <c r="IGM381" s="669"/>
      <c r="IGN381" s="669"/>
      <c r="IGO381" s="669"/>
      <c r="IGP381" s="669"/>
      <c r="IGQ381" s="669"/>
      <c r="IGR381" s="669"/>
      <c r="IGS381" s="669"/>
      <c r="IGT381" s="669"/>
      <c r="IGU381" s="669"/>
      <c r="IGV381" s="669"/>
      <c r="IGW381" s="669"/>
      <c r="IGX381" s="669"/>
      <c r="IGY381" s="669"/>
      <c r="IGZ381" s="669"/>
      <c r="IHA381" s="669"/>
      <c r="IHB381" s="669"/>
      <c r="IHC381" s="669"/>
      <c r="IHD381" s="669"/>
      <c r="IHE381" s="669"/>
      <c r="IHF381" s="669"/>
      <c r="IHG381" s="669"/>
      <c r="IHH381" s="669"/>
      <c r="IHI381" s="669"/>
      <c r="IHJ381" s="669"/>
      <c r="IHK381" s="669"/>
      <c r="IHL381" s="669"/>
      <c r="IHM381" s="669"/>
      <c r="IHN381" s="669"/>
      <c r="IHO381" s="669"/>
      <c r="IHP381" s="669"/>
      <c r="IHQ381" s="669"/>
      <c r="IHR381" s="669"/>
      <c r="IHS381" s="669"/>
      <c r="IHT381" s="669"/>
      <c r="IHU381" s="669"/>
      <c r="IHV381" s="669"/>
      <c r="IHW381" s="669"/>
      <c r="IHX381" s="669"/>
      <c r="IHY381" s="669"/>
      <c r="IHZ381" s="669"/>
      <c r="IIA381" s="669"/>
      <c r="IIB381" s="669"/>
      <c r="IIC381" s="669"/>
      <c r="IID381" s="669"/>
      <c r="IIE381" s="669"/>
      <c r="IIF381" s="669"/>
      <c r="IIG381" s="669"/>
      <c r="IIH381" s="669"/>
      <c r="III381" s="669"/>
      <c r="IIJ381" s="669"/>
      <c r="IIK381" s="669"/>
      <c r="IIL381" s="669"/>
      <c r="IIM381" s="669"/>
      <c r="IIN381" s="669"/>
      <c r="IIO381" s="669"/>
      <c r="IIP381" s="669"/>
      <c r="IIQ381" s="669"/>
      <c r="IIR381" s="669"/>
      <c r="IIS381" s="669"/>
      <c r="IIT381" s="669"/>
      <c r="IIU381" s="669"/>
      <c r="IIV381" s="669"/>
      <c r="IIW381" s="669"/>
      <c r="IIX381" s="669"/>
      <c r="IIY381" s="669"/>
      <c r="IIZ381" s="669"/>
      <c r="IJA381" s="669"/>
      <c r="IJB381" s="669"/>
      <c r="IJC381" s="669"/>
      <c r="IJD381" s="669"/>
      <c r="IJE381" s="669"/>
      <c r="IJF381" s="669"/>
      <c r="IJG381" s="669"/>
      <c r="IJH381" s="669"/>
      <c r="IJI381" s="669"/>
      <c r="IJJ381" s="669"/>
      <c r="IJK381" s="669"/>
      <c r="IJL381" s="669"/>
      <c r="IJM381" s="669"/>
      <c r="IJN381" s="669"/>
      <c r="IJO381" s="669"/>
      <c r="IJP381" s="669"/>
      <c r="IJQ381" s="669"/>
      <c r="IJR381" s="669"/>
      <c r="IJS381" s="669"/>
      <c r="IJT381" s="669"/>
      <c r="IJU381" s="669"/>
      <c r="IJV381" s="669"/>
      <c r="IJW381" s="669"/>
      <c r="IJX381" s="669"/>
      <c r="IJY381" s="669"/>
      <c r="IJZ381" s="669"/>
      <c r="IKA381" s="669"/>
      <c r="IKB381" s="669"/>
      <c r="IKC381" s="669"/>
      <c r="IKD381" s="669"/>
      <c r="IKE381" s="669"/>
      <c r="IKF381" s="669"/>
      <c r="IKG381" s="669"/>
      <c r="IKH381" s="669"/>
      <c r="IKI381" s="669"/>
      <c r="IKJ381" s="669"/>
      <c r="IKK381" s="669"/>
      <c r="IKL381" s="669"/>
      <c r="IKM381" s="669"/>
      <c r="IKN381" s="669"/>
      <c r="IKO381" s="669"/>
      <c r="IKP381" s="669"/>
      <c r="IKQ381" s="669"/>
      <c r="IKR381" s="669"/>
      <c r="IKS381" s="669"/>
      <c r="IKT381" s="669"/>
      <c r="IKU381" s="669"/>
      <c r="IKV381" s="669"/>
      <c r="IKW381" s="669"/>
      <c r="IKX381" s="669"/>
      <c r="IKY381" s="669"/>
      <c r="IKZ381" s="669"/>
      <c r="ILA381" s="669"/>
      <c r="ILB381" s="669"/>
      <c r="ILC381" s="669"/>
      <c r="ILD381" s="669"/>
      <c r="ILE381" s="669"/>
      <c r="ILF381" s="669"/>
      <c r="ILG381" s="669"/>
      <c r="ILH381" s="669"/>
      <c r="ILI381" s="669"/>
      <c r="ILJ381" s="669"/>
      <c r="ILK381" s="669"/>
      <c r="ILL381" s="669"/>
      <c r="ILM381" s="669"/>
      <c r="ILN381" s="669"/>
      <c r="ILO381" s="669"/>
      <c r="ILP381" s="669"/>
      <c r="ILQ381" s="669"/>
      <c r="ILR381" s="669"/>
      <c r="ILS381" s="669"/>
      <c r="ILT381" s="669"/>
      <c r="ILU381" s="669"/>
      <c r="ILV381" s="669"/>
      <c r="ILW381" s="669"/>
      <c r="ILX381" s="669"/>
      <c r="ILY381" s="669"/>
      <c r="ILZ381" s="669"/>
      <c r="IMA381" s="669"/>
      <c r="IMB381" s="669"/>
      <c r="IMC381" s="669"/>
      <c r="IMD381" s="669"/>
      <c r="IME381" s="669"/>
      <c r="IMF381" s="669"/>
      <c r="IMG381" s="669"/>
      <c r="IMH381" s="669"/>
      <c r="IMI381" s="669"/>
      <c r="IMJ381" s="669"/>
      <c r="IMK381" s="669"/>
      <c r="IML381" s="669"/>
      <c r="IMM381" s="669"/>
      <c r="IMN381" s="669"/>
      <c r="IMO381" s="669"/>
      <c r="IMP381" s="669"/>
      <c r="IMQ381" s="669"/>
      <c r="IMR381" s="669"/>
      <c r="IMS381" s="669"/>
      <c r="IMT381" s="669"/>
      <c r="IMU381" s="669"/>
      <c r="IMV381" s="669"/>
      <c r="IMW381" s="669"/>
      <c r="IMX381" s="669"/>
      <c r="IMY381" s="669"/>
      <c r="IMZ381" s="669"/>
      <c r="INA381" s="669"/>
      <c r="INB381" s="669"/>
      <c r="INC381" s="669"/>
      <c r="IND381" s="669"/>
      <c r="INE381" s="669"/>
      <c r="INF381" s="669"/>
      <c r="ING381" s="669"/>
      <c r="INH381" s="669"/>
      <c r="INI381" s="669"/>
      <c r="INJ381" s="669"/>
      <c r="INK381" s="669"/>
      <c r="INL381" s="669"/>
      <c r="INM381" s="669"/>
      <c r="INN381" s="669"/>
      <c r="INO381" s="669"/>
      <c r="INP381" s="669"/>
      <c r="INQ381" s="669"/>
      <c r="INR381" s="669"/>
      <c r="INS381" s="669"/>
      <c r="INT381" s="669"/>
      <c r="INU381" s="669"/>
      <c r="INV381" s="669"/>
      <c r="INW381" s="669"/>
      <c r="INX381" s="669"/>
      <c r="INY381" s="669"/>
      <c r="INZ381" s="669"/>
      <c r="IOA381" s="669"/>
      <c r="IOB381" s="669"/>
      <c r="IOC381" s="669"/>
      <c r="IOD381" s="669"/>
      <c r="IOE381" s="669"/>
      <c r="IOF381" s="669"/>
      <c r="IOG381" s="669"/>
      <c r="IOH381" s="669"/>
      <c r="IOI381" s="669"/>
      <c r="IOJ381" s="669"/>
      <c r="IOK381" s="669"/>
      <c r="IOL381" s="669"/>
      <c r="IOM381" s="669"/>
      <c r="ION381" s="669"/>
      <c r="IOO381" s="669"/>
      <c r="IOP381" s="669"/>
      <c r="IOQ381" s="669"/>
      <c r="IOR381" s="669"/>
      <c r="IOS381" s="669"/>
      <c r="IOT381" s="669"/>
      <c r="IOU381" s="669"/>
      <c r="IOV381" s="669"/>
      <c r="IOW381" s="669"/>
      <c r="IOX381" s="669"/>
      <c r="IOY381" s="669"/>
      <c r="IOZ381" s="669"/>
      <c r="IPA381" s="669"/>
      <c r="IPB381" s="669"/>
      <c r="IPC381" s="669"/>
      <c r="IPD381" s="669"/>
      <c r="IPE381" s="669"/>
      <c r="IPF381" s="669"/>
      <c r="IPG381" s="669"/>
      <c r="IPH381" s="669"/>
      <c r="IPI381" s="669"/>
      <c r="IPJ381" s="669"/>
      <c r="IPK381" s="669"/>
      <c r="IPL381" s="669"/>
      <c r="IPM381" s="669"/>
      <c r="IPN381" s="669"/>
      <c r="IPO381" s="669"/>
      <c r="IPP381" s="669"/>
      <c r="IPQ381" s="669"/>
      <c r="IPR381" s="669"/>
      <c r="IPS381" s="669"/>
      <c r="IPT381" s="669"/>
      <c r="IPU381" s="669"/>
      <c r="IPV381" s="669"/>
      <c r="IPW381" s="669"/>
      <c r="IPX381" s="669"/>
      <c r="IPY381" s="669"/>
      <c r="IPZ381" s="669"/>
      <c r="IQA381" s="669"/>
      <c r="IQB381" s="669"/>
      <c r="IQC381" s="669"/>
      <c r="IQD381" s="669"/>
      <c r="IQE381" s="669"/>
      <c r="IQF381" s="669"/>
      <c r="IQG381" s="669"/>
      <c r="IQH381" s="669"/>
      <c r="IQI381" s="669"/>
      <c r="IQJ381" s="669"/>
      <c r="IQK381" s="669"/>
      <c r="IQL381" s="669"/>
      <c r="IQM381" s="669"/>
      <c r="IQN381" s="669"/>
      <c r="IQO381" s="669"/>
      <c r="IQP381" s="669"/>
      <c r="IQQ381" s="669"/>
      <c r="IQR381" s="669"/>
      <c r="IQS381" s="669"/>
      <c r="IQT381" s="669"/>
      <c r="IQU381" s="669"/>
      <c r="IQV381" s="669"/>
      <c r="IQW381" s="669"/>
      <c r="IQX381" s="669"/>
      <c r="IQY381" s="669"/>
      <c r="IQZ381" s="669"/>
      <c r="IRA381" s="669"/>
      <c r="IRB381" s="669"/>
      <c r="IRC381" s="669"/>
      <c r="IRD381" s="669"/>
      <c r="IRE381" s="669"/>
      <c r="IRF381" s="669"/>
      <c r="IRG381" s="669"/>
      <c r="IRH381" s="669"/>
      <c r="IRI381" s="669"/>
      <c r="IRJ381" s="669"/>
      <c r="IRK381" s="669"/>
      <c r="IRL381" s="669"/>
      <c r="IRM381" s="669"/>
      <c r="IRN381" s="669"/>
      <c r="IRO381" s="669"/>
      <c r="IRP381" s="669"/>
      <c r="IRQ381" s="669"/>
      <c r="IRR381" s="669"/>
      <c r="IRS381" s="669"/>
      <c r="IRT381" s="669"/>
      <c r="IRU381" s="669"/>
      <c r="IRV381" s="669"/>
      <c r="IRW381" s="669"/>
      <c r="IRX381" s="669"/>
      <c r="IRY381" s="669"/>
      <c r="IRZ381" s="669"/>
      <c r="ISA381" s="669"/>
      <c r="ISB381" s="669"/>
      <c r="ISC381" s="669"/>
      <c r="ISD381" s="669"/>
      <c r="ISE381" s="669"/>
      <c r="ISF381" s="669"/>
      <c r="ISG381" s="669"/>
      <c r="ISH381" s="669"/>
      <c r="ISI381" s="669"/>
      <c r="ISJ381" s="669"/>
      <c r="ISK381" s="669"/>
      <c r="ISL381" s="669"/>
      <c r="ISM381" s="669"/>
      <c r="ISN381" s="669"/>
      <c r="ISO381" s="669"/>
      <c r="ISP381" s="669"/>
      <c r="ISQ381" s="669"/>
      <c r="ISR381" s="669"/>
      <c r="ISS381" s="669"/>
      <c r="IST381" s="669"/>
      <c r="ISU381" s="669"/>
      <c r="ISV381" s="669"/>
      <c r="ISW381" s="669"/>
      <c r="ISX381" s="669"/>
      <c r="ISY381" s="669"/>
      <c r="ISZ381" s="669"/>
      <c r="ITA381" s="669"/>
      <c r="ITB381" s="669"/>
      <c r="ITC381" s="669"/>
      <c r="ITD381" s="669"/>
      <c r="ITE381" s="669"/>
      <c r="ITF381" s="669"/>
      <c r="ITG381" s="669"/>
      <c r="ITH381" s="669"/>
      <c r="ITI381" s="669"/>
      <c r="ITJ381" s="669"/>
      <c r="ITK381" s="669"/>
      <c r="ITL381" s="669"/>
      <c r="ITM381" s="669"/>
      <c r="ITN381" s="669"/>
      <c r="ITO381" s="669"/>
      <c r="ITP381" s="669"/>
      <c r="ITQ381" s="669"/>
      <c r="ITR381" s="669"/>
      <c r="ITS381" s="669"/>
      <c r="ITT381" s="669"/>
      <c r="ITU381" s="669"/>
      <c r="ITV381" s="669"/>
      <c r="ITW381" s="669"/>
      <c r="ITX381" s="669"/>
      <c r="ITY381" s="669"/>
      <c r="ITZ381" s="669"/>
      <c r="IUA381" s="669"/>
      <c r="IUB381" s="669"/>
      <c r="IUC381" s="669"/>
      <c r="IUD381" s="669"/>
      <c r="IUE381" s="669"/>
      <c r="IUF381" s="669"/>
      <c r="IUG381" s="669"/>
      <c r="IUH381" s="669"/>
      <c r="IUI381" s="669"/>
      <c r="IUJ381" s="669"/>
      <c r="IUK381" s="669"/>
      <c r="IUL381" s="669"/>
      <c r="IUM381" s="669"/>
      <c r="IUN381" s="669"/>
      <c r="IUO381" s="669"/>
      <c r="IUP381" s="669"/>
      <c r="IUQ381" s="669"/>
      <c r="IUR381" s="669"/>
      <c r="IUS381" s="669"/>
      <c r="IUT381" s="669"/>
      <c r="IUU381" s="669"/>
      <c r="IUV381" s="669"/>
      <c r="IUW381" s="669"/>
      <c r="IUX381" s="669"/>
      <c r="IUY381" s="669"/>
      <c r="IUZ381" s="669"/>
      <c r="IVA381" s="669"/>
      <c r="IVB381" s="669"/>
      <c r="IVC381" s="669"/>
      <c r="IVD381" s="669"/>
      <c r="IVE381" s="669"/>
      <c r="IVF381" s="669"/>
      <c r="IVG381" s="669"/>
      <c r="IVH381" s="669"/>
      <c r="IVI381" s="669"/>
      <c r="IVJ381" s="669"/>
      <c r="IVK381" s="669"/>
      <c r="IVL381" s="669"/>
      <c r="IVM381" s="669"/>
      <c r="IVN381" s="669"/>
      <c r="IVO381" s="669"/>
      <c r="IVP381" s="669"/>
      <c r="IVQ381" s="669"/>
      <c r="IVR381" s="669"/>
      <c r="IVS381" s="669"/>
      <c r="IVT381" s="669"/>
      <c r="IVU381" s="669"/>
      <c r="IVV381" s="669"/>
      <c r="IVW381" s="669"/>
      <c r="IVX381" s="669"/>
      <c r="IVY381" s="669"/>
      <c r="IVZ381" s="669"/>
      <c r="IWA381" s="669"/>
      <c r="IWB381" s="669"/>
      <c r="IWC381" s="669"/>
      <c r="IWD381" s="669"/>
      <c r="IWE381" s="669"/>
      <c r="IWF381" s="669"/>
      <c r="IWG381" s="669"/>
      <c r="IWH381" s="669"/>
      <c r="IWI381" s="669"/>
      <c r="IWJ381" s="669"/>
      <c r="IWK381" s="669"/>
      <c r="IWL381" s="669"/>
      <c r="IWM381" s="669"/>
      <c r="IWN381" s="669"/>
      <c r="IWO381" s="669"/>
      <c r="IWP381" s="669"/>
      <c r="IWQ381" s="669"/>
      <c r="IWR381" s="669"/>
      <c r="IWS381" s="669"/>
      <c r="IWT381" s="669"/>
      <c r="IWU381" s="669"/>
      <c r="IWV381" s="669"/>
      <c r="IWW381" s="669"/>
      <c r="IWX381" s="669"/>
      <c r="IWY381" s="669"/>
      <c r="IWZ381" s="669"/>
      <c r="IXA381" s="669"/>
      <c r="IXB381" s="669"/>
      <c r="IXC381" s="669"/>
      <c r="IXD381" s="669"/>
      <c r="IXE381" s="669"/>
      <c r="IXF381" s="669"/>
      <c r="IXG381" s="669"/>
      <c r="IXH381" s="669"/>
      <c r="IXI381" s="669"/>
      <c r="IXJ381" s="669"/>
      <c r="IXK381" s="669"/>
      <c r="IXL381" s="669"/>
      <c r="IXM381" s="669"/>
      <c r="IXN381" s="669"/>
      <c r="IXO381" s="669"/>
      <c r="IXP381" s="669"/>
      <c r="IXQ381" s="669"/>
      <c r="IXR381" s="669"/>
      <c r="IXS381" s="669"/>
      <c r="IXT381" s="669"/>
      <c r="IXU381" s="669"/>
      <c r="IXV381" s="669"/>
      <c r="IXW381" s="669"/>
      <c r="IXX381" s="669"/>
      <c r="IXY381" s="669"/>
      <c r="IXZ381" s="669"/>
      <c r="IYA381" s="669"/>
      <c r="IYB381" s="669"/>
      <c r="IYC381" s="669"/>
      <c r="IYD381" s="669"/>
      <c r="IYE381" s="669"/>
      <c r="IYF381" s="669"/>
      <c r="IYG381" s="669"/>
      <c r="IYH381" s="669"/>
      <c r="IYI381" s="669"/>
      <c r="IYJ381" s="669"/>
      <c r="IYK381" s="669"/>
      <c r="IYL381" s="669"/>
      <c r="IYM381" s="669"/>
      <c r="IYN381" s="669"/>
      <c r="IYO381" s="669"/>
      <c r="IYP381" s="669"/>
      <c r="IYQ381" s="669"/>
      <c r="IYR381" s="669"/>
      <c r="IYS381" s="669"/>
      <c r="IYT381" s="669"/>
      <c r="IYU381" s="669"/>
      <c r="IYV381" s="669"/>
      <c r="IYW381" s="669"/>
      <c r="IYX381" s="669"/>
      <c r="IYY381" s="669"/>
      <c r="IYZ381" s="669"/>
      <c r="IZA381" s="669"/>
      <c r="IZB381" s="669"/>
      <c r="IZC381" s="669"/>
      <c r="IZD381" s="669"/>
      <c r="IZE381" s="669"/>
      <c r="IZF381" s="669"/>
      <c r="IZG381" s="669"/>
      <c r="IZH381" s="669"/>
      <c r="IZI381" s="669"/>
      <c r="IZJ381" s="669"/>
      <c r="IZK381" s="669"/>
      <c r="IZL381" s="669"/>
      <c r="IZM381" s="669"/>
      <c r="IZN381" s="669"/>
      <c r="IZO381" s="669"/>
      <c r="IZP381" s="669"/>
      <c r="IZQ381" s="669"/>
      <c r="IZR381" s="669"/>
      <c r="IZS381" s="669"/>
      <c r="IZT381" s="669"/>
      <c r="IZU381" s="669"/>
      <c r="IZV381" s="669"/>
      <c r="IZW381" s="669"/>
      <c r="IZX381" s="669"/>
      <c r="IZY381" s="669"/>
      <c r="IZZ381" s="669"/>
      <c r="JAA381" s="669"/>
      <c r="JAB381" s="669"/>
      <c r="JAC381" s="669"/>
      <c r="JAD381" s="669"/>
      <c r="JAE381" s="669"/>
      <c r="JAF381" s="669"/>
      <c r="JAG381" s="669"/>
      <c r="JAH381" s="669"/>
      <c r="JAI381" s="669"/>
      <c r="JAJ381" s="669"/>
      <c r="JAK381" s="669"/>
      <c r="JAL381" s="669"/>
      <c r="JAM381" s="669"/>
      <c r="JAN381" s="669"/>
      <c r="JAO381" s="669"/>
      <c r="JAP381" s="669"/>
      <c r="JAQ381" s="669"/>
      <c r="JAR381" s="669"/>
      <c r="JAS381" s="669"/>
      <c r="JAT381" s="669"/>
      <c r="JAU381" s="669"/>
      <c r="JAV381" s="669"/>
      <c r="JAW381" s="669"/>
      <c r="JAX381" s="669"/>
      <c r="JAY381" s="669"/>
      <c r="JAZ381" s="669"/>
      <c r="JBA381" s="669"/>
      <c r="JBB381" s="669"/>
      <c r="JBC381" s="669"/>
      <c r="JBD381" s="669"/>
      <c r="JBE381" s="669"/>
      <c r="JBF381" s="669"/>
      <c r="JBG381" s="669"/>
      <c r="JBH381" s="669"/>
      <c r="JBI381" s="669"/>
      <c r="JBJ381" s="669"/>
      <c r="JBK381" s="669"/>
      <c r="JBL381" s="669"/>
      <c r="JBM381" s="669"/>
      <c r="JBN381" s="669"/>
      <c r="JBO381" s="669"/>
      <c r="JBP381" s="669"/>
      <c r="JBQ381" s="669"/>
      <c r="JBR381" s="669"/>
      <c r="JBS381" s="669"/>
      <c r="JBT381" s="669"/>
      <c r="JBU381" s="669"/>
      <c r="JBV381" s="669"/>
      <c r="JBW381" s="669"/>
      <c r="JBX381" s="669"/>
      <c r="JBY381" s="669"/>
      <c r="JBZ381" s="669"/>
      <c r="JCA381" s="669"/>
      <c r="JCB381" s="669"/>
      <c r="JCC381" s="669"/>
      <c r="JCD381" s="669"/>
      <c r="JCE381" s="669"/>
      <c r="JCF381" s="669"/>
      <c r="JCG381" s="669"/>
      <c r="JCH381" s="669"/>
      <c r="JCI381" s="669"/>
      <c r="JCJ381" s="669"/>
      <c r="JCK381" s="669"/>
      <c r="JCL381" s="669"/>
      <c r="JCM381" s="669"/>
      <c r="JCN381" s="669"/>
      <c r="JCO381" s="669"/>
      <c r="JCP381" s="669"/>
      <c r="JCQ381" s="669"/>
      <c r="JCR381" s="669"/>
      <c r="JCS381" s="669"/>
      <c r="JCT381" s="669"/>
      <c r="JCU381" s="669"/>
      <c r="JCV381" s="669"/>
      <c r="JCW381" s="669"/>
      <c r="JCX381" s="669"/>
      <c r="JCY381" s="669"/>
      <c r="JCZ381" s="669"/>
      <c r="JDA381" s="669"/>
      <c r="JDB381" s="669"/>
      <c r="JDC381" s="669"/>
      <c r="JDD381" s="669"/>
      <c r="JDE381" s="669"/>
      <c r="JDF381" s="669"/>
      <c r="JDG381" s="669"/>
      <c r="JDH381" s="669"/>
      <c r="JDI381" s="669"/>
      <c r="JDJ381" s="669"/>
      <c r="JDK381" s="669"/>
      <c r="JDL381" s="669"/>
      <c r="JDM381" s="669"/>
      <c r="JDN381" s="669"/>
      <c r="JDO381" s="669"/>
      <c r="JDP381" s="669"/>
      <c r="JDQ381" s="669"/>
      <c r="JDR381" s="669"/>
      <c r="JDS381" s="669"/>
      <c r="JDT381" s="669"/>
      <c r="JDU381" s="669"/>
      <c r="JDV381" s="669"/>
      <c r="JDW381" s="669"/>
      <c r="JDX381" s="669"/>
      <c r="JDY381" s="669"/>
      <c r="JDZ381" s="669"/>
      <c r="JEA381" s="669"/>
      <c r="JEB381" s="669"/>
      <c r="JEC381" s="669"/>
      <c r="JED381" s="669"/>
      <c r="JEE381" s="669"/>
      <c r="JEF381" s="669"/>
      <c r="JEG381" s="669"/>
      <c r="JEH381" s="669"/>
      <c r="JEI381" s="669"/>
      <c r="JEJ381" s="669"/>
      <c r="JEK381" s="669"/>
      <c r="JEL381" s="669"/>
      <c r="JEM381" s="669"/>
      <c r="JEN381" s="669"/>
      <c r="JEO381" s="669"/>
      <c r="JEP381" s="669"/>
      <c r="JEQ381" s="669"/>
      <c r="JER381" s="669"/>
      <c r="JES381" s="669"/>
      <c r="JET381" s="669"/>
      <c r="JEU381" s="669"/>
      <c r="JEV381" s="669"/>
      <c r="JEW381" s="669"/>
      <c r="JEX381" s="669"/>
      <c r="JEY381" s="669"/>
      <c r="JEZ381" s="669"/>
      <c r="JFA381" s="669"/>
      <c r="JFB381" s="669"/>
      <c r="JFC381" s="669"/>
      <c r="JFD381" s="669"/>
      <c r="JFE381" s="669"/>
      <c r="JFF381" s="669"/>
      <c r="JFG381" s="669"/>
      <c r="JFH381" s="669"/>
      <c r="JFI381" s="669"/>
      <c r="JFJ381" s="669"/>
      <c r="JFK381" s="669"/>
      <c r="JFL381" s="669"/>
      <c r="JFM381" s="669"/>
      <c r="JFN381" s="669"/>
      <c r="JFO381" s="669"/>
      <c r="JFP381" s="669"/>
      <c r="JFQ381" s="669"/>
      <c r="JFR381" s="669"/>
      <c r="JFS381" s="669"/>
      <c r="JFT381" s="669"/>
      <c r="JFU381" s="669"/>
      <c r="JFV381" s="669"/>
      <c r="JFW381" s="669"/>
      <c r="JFX381" s="669"/>
      <c r="JFY381" s="669"/>
      <c r="JFZ381" s="669"/>
      <c r="JGA381" s="669"/>
      <c r="JGB381" s="669"/>
      <c r="JGC381" s="669"/>
      <c r="JGD381" s="669"/>
      <c r="JGE381" s="669"/>
      <c r="JGF381" s="669"/>
      <c r="JGG381" s="669"/>
      <c r="JGH381" s="669"/>
      <c r="JGI381" s="669"/>
      <c r="JGJ381" s="669"/>
      <c r="JGK381" s="669"/>
      <c r="JGL381" s="669"/>
      <c r="JGM381" s="669"/>
      <c r="JGN381" s="669"/>
      <c r="JGO381" s="669"/>
      <c r="JGP381" s="669"/>
      <c r="JGQ381" s="669"/>
      <c r="JGR381" s="669"/>
      <c r="JGS381" s="669"/>
      <c r="JGT381" s="669"/>
      <c r="JGU381" s="669"/>
      <c r="JGV381" s="669"/>
      <c r="JGW381" s="669"/>
      <c r="JGX381" s="669"/>
      <c r="JGY381" s="669"/>
      <c r="JGZ381" s="669"/>
      <c r="JHA381" s="669"/>
      <c r="JHB381" s="669"/>
      <c r="JHC381" s="669"/>
      <c r="JHD381" s="669"/>
      <c r="JHE381" s="669"/>
      <c r="JHF381" s="669"/>
      <c r="JHG381" s="669"/>
      <c r="JHH381" s="669"/>
      <c r="JHI381" s="669"/>
      <c r="JHJ381" s="669"/>
      <c r="JHK381" s="669"/>
      <c r="JHL381" s="669"/>
      <c r="JHM381" s="669"/>
      <c r="JHN381" s="669"/>
      <c r="JHO381" s="669"/>
      <c r="JHP381" s="669"/>
      <c r="JHQ381" s="669"/>
      <c r="JHR381" s="669"/>
      <c r="JHS381" s="669"/>
      <c r="JHT381" s="669"/>
      <c r="JHU381" s="669"/>
      <c r="JHV381" s="669"/>
      <c r="JHW381" s="669"/>
      <c r="JHX381" s="669"/>
      <c r="JHY381" s="669"/>
      <c r="JHZ381" s="669"/>
      <c r="JIA381" s="669"/>
      <c r="JIB381" s="669"/>
      <c r="JIC381" s="669"/>
      <c r="JID381" s="669"/>
      <c r="JIE381" s="669"/>
      <c r="JIF381" s="669"/>
      <c r="JIG381" s="669"/>
      <c r="JIH381" s="669"/>
      <c r="JII381" s="669"/>
      <c r="JIJ381" s="669"/>
      <c r="JIK381" s="669"/>
      <c r="JIL381" s="669"/>
      <c r="JIM381" s="669"/>
      <c r="JIN381" s="669"/>
      <c r="JIO381" s="669"/>
      <c r="JIP381" s="669"/>
      <c r="JIQ381" s="669"/>
      <c r="JIR381" s="669"/>
      <c r="JIS381" s="669"/>
      <c r="JIT381" s="669"/>
      <c r="JIU381" s="669"/>
      <c r="JIV381" s="669"/>
      <c r="JIW381" s="669"/>
      <c r="JIX381" s="669"/>
      <c r="JIY381" s="669"/>
      <c r="JIZ381" s="669"/>
      <c r="JJA381" s="669"/>
      <c r="JJB381" s="669"/>
      <c r="JJC381" s="669"/>
      <c r="JJD381" s="669"/>
      <c r="JJE381" s="669"/>
      <c r="JJF381" s="669"/>
      <c r="JJG381" s="669"/>
      <c r="JJH381" s="669"/>
      <c r="JJI381" s="669"/>
      <c r="JJJ381" s="669"/>
      <c r="JJK381" s="669"/>
      <c r="JJL381" s="669"/>
      <c r="JJM381" s="669"/>
      <c r="JJN381" s="669"/>
      <c r="JJO381" s="669"/>
      <c r="JJP381" s="669"/>
      <c r="JJQ381" s="669"/>
      <c r="JJR381" s="669"/>
      <c r="JJS381" s="669"/>
      <c r="JJT381" s="669"/>
      <c r="JJU381" s="669"/>
      <c r="JJV381" s="669"/>
      <c r="JJW381" s="669"/>
      <c r="JJX381" s="669"/>
      <c r="JJY381" s="669"/>
      <c r="JJZ381" s="669"/>
      <c r="JKA381" s="669"/>
      <c r="JKB381" s="669"/>
      <c r="JKC381" s="669"/>
      <c r="JKD381" s="669"/>
      <c r="JKE381" s="669"/>
      <c r="JKF381" s="669"/>
      <c r="JKG381" s="669"/>
      <c r="JKH381" s="669"/>
      <c r="JKI381" s="669"/>
      <c r="JKJ381" s="669"/>
      <c r="JKK381" s="669"/>
      <c r="JKL381" s="669"/>
      <c r="JKM381" s="669"/>
      <c r="JKN381" s="669"/>
      <c r="JKO381" s="669"/>
      <c r="JKP381" s="669"/>
      <c r="JKQ381" s="669"/>
      <c r="JKR381" s="669"/>
      <c r="JKS381" s="669"/>
      <c r="JKT381" s="669"/>
      <c r="JKU381" s="669"/>
      <c r="JKV381" s="669"/>
      <c r="JKW381" s="669"/>
      <c r="JKX381" s="669"/>
      <c r="JKY381" s="669"/>
      <c r="JKZ381" s="669"/>
      <c r="JLA381" s="669"/>
      <c r="JLB381" s="669"/>
      <c r="JLC381" s="669"/>
      <c r="JLD381" s="669"/>
      <c r="JLE381" s="669"/>
      <c r="JLF381" s="669"/>
      <c r="JLG381" s="669"/>
      <c r="JLH381" s="669"/>
      <c r="JLI381" s="669"/>
      <c r="JLJ381" s="669"/>
      <c r="JLK381" s="669"/>
      <c r="JLL381" s="669"/>
      <c r="JLM381" s="669"/>
      <c r="JLN381" s="669"/>
      <c r="JLO381" s="669"/>
      <c r="JLP381" s="669"/>
      <c r="JLQ381" s="669"/>
      <c r="JLR381" s="669"/>
      <c r="JLS381" s="669"/>
      <c r="JLT381" s="669"/>
      <c r="JLU381" s="669"/>
      <c r="JLV381" s="669"/>
      <c r="JLW381" s="669"/>
      <c r="JLX381" s="669"/>
      <c r="JLY381" s="669"/>
      <c r="JLZ381" s="669"/>
      <c r="JMA381" s="669"/>
      <c r="JMB381" s="669"/>
      <c r="JMC381" s="669"/>
      <c r="JMD381" s="669"/>
      <c r="JME381" s="669"/>
      <c r="JMF381" s="669"/>
      <c r="JMG381" s="669"/>
      <c r="JMH381" s="669"/>
      <c r="JMI381" s="669"/>
      <c r="JMJ381" s="669"/>
      <c r="JMK381" s="669"/>
      <c r="JML381" s="669"/>
      <c r="JMM381" s="669"/>
      <c r="JMN381" s="669"/>
      <c r="JMO381" s="669"/>
      <c r="JMP381" s="669"/>
      <c r="JMQ381" s="669"/>
      <c r="JMR381" s="669"/>
      <c r="JMS381" s="669"/>
      <c r="JMT381" s="669"/>
      <c r="JMU381" s="669"/>
      <c r="JMV381" s="669"/>
      <c r="JMW381" s="669"/>
      <c r="JMX381" s="669"/>
      <c r="JMY381" s="669"/>
      <c r="JMZ381" s="669"/>
      <c r="JNA381" s="669"/>
      <c r="JNB381" s="669"/>
      <c r="JNC381" s="669"/>
      <c r="JND381" s="669"/>
      <c r="JNE381" s="669"/>
      <c r="JNF381" s="669"/>
      <c r="JNG381" s="669"/>
      <c r="JNH381" s="669"/>
      <c r="JNI381" s="669"/>
      <c r="JNJ381" s="669"/>
      <c r="JNK381" s="669"/>
      <c r="JNL381" s="669"/>
      <c r="JNM381" s="669"/>
      <c r="JNN381" s="669"/>
      <c r="JNO381" s="669"/>
      <c r="JNP381" s="669"/>
      <c r="JNQ381" s="669"/>
      <c r="JNR381" s="669"/>
      <c r="JNS381" s="669"/>
      <c r="JNT381" s="669"/>
      <c r="JNU381" s="669"/>
      <c r="JNV381" s="669"/>
      <c r="JNW381" s="669"/>
      <c r="JNX381" s="669"/>
      <c r="JNY381" s="669"/>
      <c r="JNZ381" s="669"/>
      <c r="JOA381" s="669"/>
      <c r="JOB381" s="669"/>
      <c r="JOC381" s="669"/>
      <c r="JOD381" s="669"/>
      <c r="JOE381" s="669"/>
      <c r="JOF381" s="669"/>
      <c r="JOG381" s="669"/>
      <c r="JOH381" s="669"/>
      <c r="JOI381" s="669"/>
      <c r="JOJ381" s="669"/>
      <c r="JOK381" s="669"/>
      <c r="JOL381" s="669"/>
      <c r="JOM381" s="669"/>
      <c r="JON381" s="669"/>
      <c r="JOO381" s="669"/>
      <c r="JOP381" s="669"/>
      <c r="JOQ381" s="669"/>
      <c r="JOR381" s="669"/>
      <c r="JOS381" s="669"/>
      <c r="JOT381" s="669"/>
      <c r="JOU381" s="669"/>
      <c r="JOV381" s="669"/>
      <c r="JOW381" s="669"/>
      <c r="JOX381" s="669"/>
      <c r="JOY381" s="669"/>
      <c r="JOZ381" s="669"/>
      <c r="JPA381" s="669"/>
      <c r="JPB381" s="669"/>
      <c r="JPC381" s="669"/>
      <c r="JPD381" s="669"/>
      <c r="JPE381" s="669"/>
      <c r="JPF381" s="669"/>
      <c r="JPG381" s="669"/>
      <c r="JPH381" s="669"/>
      <c r="JPI381" s="669"/>
      <c r="JPJ381" s="669"/>
      <c r="JPK381" s="669"/>
      <c r="JPL381" s="669"/>
      <c r="JPM381" s="669"/>
      <c r="JPN381" s="669"/>
      <c r="JPO381" s="669"/>
      <c r="JPP381" s="669"/>
      <c r="JPQ381" s="669"/>
      <c r="JPR381" s="669"/>
      <c r="JPS381" s="669"/>
      <c r="JPT381" s="669"/>
      <c r="JPU381" s="669"/>
      <c r="JPV381" s="669"/>
      <c r="JPW381" s="669"/>
      <c r="JPX381" s="669"/>
      <c r="JPY381" s="669"/>
      <c r="JPZ381" s="669"/>
      <c r="JQA381" s="669"/>
      <c r="JQB381" s="669"/>
      <c r="JQC381" s="669"/>
      <c r="JQD381" s="669"/>
      <c r="JQE381" s="669"/>
      <c r="JQF381" s="669"/>
      <c r="JQG381" s="669"/>
      <c r="JQH381" s="669"/>
      <c r="JQI381" s="669"/>
      <c r="JQJ381" s="669"/>
      <c r="JQK381" s="669"/>
      <c r="JQL381" s="669"/>
      <c r="JQM381" s="669"/>
      <c r="JQN381" s="669"/>
      <c r="JQO381" s="669"/>
      <c r="JQP381" s="669"/>
      <c r="JQQ381" s="669"/>
      <c r="JQR381" s="669"/>
      <c r="JQS381" s="669"/>
      <c r="JQT381" s="669"/>
      <c r="JQU381" s="669"/>
      <c r="JQV381" s="669"/>
      <c r="JQW381" s="669"/>
      <c r="JQX381" s="669"/>
      <c r="JQY381" s="669"/>
      <c r="JQZ381" s="669"/>
      <c r="JRA381" s="669"/>
      <c r="JRB381" s="669"/>
      <c r="JRC381" s="669"/>
      <c r="JRD381" s="669"/>
      <c r="JRE381" s="669"/>
      <c r="JRF381" s="669"/>
      <c r="JRG381" s="669"/>
      <c r="JRH381" s="669"/>
      <c r="JRI381" s="669"/>
      <c r="JRJ381" s="669"/>
      <c r="JRK381" s="669"/>
      <c r="JRL381" s="669"/>
      <c r="JRM381" s="669"/>
      <c r="JRN381" s="669"/>
      <c r="JRO381" s="669"/>
      <c r="JRP381" s="669"/>
      <c r="JRQ381" s="669"/>
      <c r="JRR381" s="669"/>
      <c r="JRS381" s="669"/>
      <c r="JRT381" s="669"/>
      <c r="JRU381" s="669"/>
      <c r="JRV381" s="669"/>
      <c r="JRW381" s="669"/>
      <c r="JRX381" s="669"/>
      <c r="JRY381" s="669"/>
      <c r="JRZ381" s="669"/>
      <c r="JSA381" s="669"/>
      <c r="JSB381" s="669"/>
      <c r="JSC381" s="669"/>
      <c r="JSD381" s="669"/>
      <c r="JSE381" s="669"/>
      <c r="JSF381" s="669"/>
      <c r="JSG381" s="669"/>
      <c r="JSH381" s="669"/>
      <c r="JSI381" s="669"/>
      <c r="JSJ381" s="669"/>
      <c r="JSK381" s="669"/>
      <c r="JSL381" s="669"/>
      <c r="JSM381" s="669"/>
      <c r="JSN381" s="669"/>
      <c r="JSO381" s="669"/>
      <c r="JSP381" s="669"/>
      <c r="JSQ381" s="669"/>
      <c r="JSR381" s="669"/>
      <c r="JSS381" s="669"/>
      <c r="JST381" s="669"/>
      <c r="JSU381" s="669"/>
      <c r="JSV381" s="669"/>
      <c r="JSW381" s="669"/>
      <c r="JSX381" s="669"/>
      <c r="JSY381" s="669"/>
      <c r="JSZ381" s="669"/>
      <c r="JTA381" s="669"/>
      <c r="JTB381" s="669"/>
      <c r="JTC381" s="669"/>
      <c r="JTD381" s="669"/>
      <c r="JTE381" s="669"/>
      <c r="JTF381" s="669"/>
      <c r="JTG381" s="669"/>
      <c r="JTH381" s="669"/>
      <c r="JTI381" s="669"/>
      <c r="JTJ381" s="669"/>
      <c r="JTK381" s="669"/>
      <c r="JTL381" s="669"/>
      <c r="JTM381" s="669"/>
      <c r="JTN381" s="669"/>
      <c r="JTO381" s="669"/>
      <c r="JTP381" s="669"/>
      <c r="JTQ381" s="669"/>
      <c r="JTR381" s="669"/>
      <c r="JTS381" s="669"/>
      <c r="JTT381" s="669"/>
      <c r="JTU381" s="669"/>
      <c r="JTV381" s="669"/>
      <c r="JTW381" s="669"/>
      <c r="JTX381" s="669"/>
      <c r="JTY381" s="669"/>
      <c r="JTZ381" s="669"/>
      <c r="JUA381" s="669"/>
      <c r="JUB381" s="669"/>
      <c r="JUC381" s="669"/>
      <c r="JUD381" s="669"/>
      <c r="JUE381" s="669"/>
      <c r="JUF381" s="669"/>
      <c r="JUG381" s="669"/>
      <c r="JUH381" s="669"/>
      <c r="JUI381" s="669"/>
      <c r="JUJ381" s="669"/>
      <c r="JUK381" s="669"/>
      <c r="JUL381" s="669"/>
      <c r="JUM381" s="669"/>
      <c r="JUN381" s="669"/>
      <c r="JUO381" s="669"/>
      <c r="JUP381" s="669"/>
      <c r="JUQ381" s="669"/>
      <c r="JUR381" s="669"/>
      <c r="JUS381" s="669"/>
      <c r="JUT381" s="669"/>
      <c r="JUU381" s="669"/>
      <c r="JUV381" s="669"/>
      <c r="JUW381" s="669"/>
      <c r="JUX381" s="669"/>
      <c r="JUY381" s="669"/>
      <c r="JUZ381" s="669"/>
      <c r="JVA381" s="669"/>
      <c r="JVB381" s="669"/>
      <c r="JVC381" s="669"/>
      <c r="JVD381" s="669"/>
      <c r="JVE381" s="669"/>
      <c r="JVF381" s="669"/>
      <c r="JVG381" s="669"/>
      <c r="JVH381" s="669"/>
      <c r="JVI381" s="669"/>
      <c r="JVJ381" s="669"/>
      <c r="JVK381" s="669"/>
      <c r="JVL381" s="669"/>
      <c r="JVM381" s="669"/>
      <c r="JVN381" s="669"/>
      <c r="JVO381" s="669"/>
      <c r="JVP381" s="669"/>
      <c r="JVQ381" s="669"/>
      <c r="JVR381" s="669"/>
      <c r="JVS381" s="669"/>
      <c r="JVT381" s="669"/>
      <c r="JVU381" s="669"/>
      <c r="JVV381" s="669"/>
      <c r="JVW381" s="669"/>
      <c r="JVX381" s="669"/>
      <c r="JVY381" s="669"/>
      <c r="JVZ381" s="669"/>
      <c r="JWA381" s="669"/>
      <c r="JWB381" s="669"/>
      <c r="JWC381" s="669"/>
      <c r="JWD381" s="669"/>
      <c r="JWE381" s="669"/>
      <c r="JWF381" s="669"/>
      <c r="JWG381" s="669"/>
      <c r="JWH381" s="669"/>
      <c r="JWI381" s="669"/>
      <c r="JWJ381" s="669"/>
      <c r="JWK381" s="669"/>
      <c r="JWL381" s="669"/>
      <c r="JWM381" s="669"/>
      <c r="JWN381" s="669"/>
      <c r="JWO381" s="669"/>
      <c r="JWP381" s="669"/>
      <c r="JWQ381" s="669"/>
      <c r="JWR381" s="669"/>
      <c r="JWS381" s="669"/>
      <c r="JWT381" s="669"/>
      <c r="JWU381" s="669"/>
      <c r="JWV381" s="669"/>
      <c r="JWW381" s="669"/>
      <c r="JWX381" s="669"/>
      <c r="JWY381" s="669"/>
      <c r="JWZ381" s="669"/>
      <c r="JXA381" s="669"/>
      <c r="JXB381" s="669"/>
      <c r="JXC381" s="669"/>
      <c r="JXD381" s="669"/>
      <c r="JXE381" s="669"/>
      <c r="JXF381" s="669"/>
      <c r="JXG381" s="669"/>
      <c r="JXH381" s="669"/>
      <c r="JXI381" s="669"/>
      <c r="JXJ381" s="669"/>
      <c r="JXK381" s="669"/>
      <c r="JXL381" s="669"/>
      <c r="JXM381" s="669"/>
      <c r="JXN381" s="669"/>
      <c r="JXO381" s="669"/>
      <c r="JXP381" s="669"/>
      <c r="JXQ381" s="669"/>
      <c r="JXR381" s="669"/>
      <c r="JXS381" s="669"/>
      <c r="JXT381" s="669"/>
      <c r="JXU381" s="669"/>
      <c r="JXV381" s="669"/>
      <c r="JXW381" s="669"/>
      <c r="JXX381" s="669"/>
      <c r="JXY381" s="669"/>
      <c r="JXZ381" s="669"/>
      <c r="JYA381" s="669"/>
      <c r="JYB381" s="669"/>
      <c r="JYC381" s="669"/>
      <c r="JYD381" s="669"/>
      <c r="JYE381" s="669"/>
      <c r="JYF381" s="669"/>
      <c r="JYG381" s="669"/>
      <c r="JYH381" s="669"/>
      <c r="JYI381" s="669"/>
      <c r="JYJ381" s="669"/>
      <c r="JYK381" s="669"/>
      <c r="JYL381" s="669"/>
      <c r="JYM381" s="669"/>
      <c r="JYN381" s="669"/>
      <c r="JYO381" s="669"/>
      <c r="JYP381" s="669"/>
      <c r="JYQ381" s="669"/>
      <c r="JYR381" s="669"/>
      <c r="JYS381" s="669"/>
      <c r="JYT381" s="669"/>
      <c r="JYU381" s="669"/>
      <c r="JYV381" s="669"/>
      <c r="JYW381" s="669"/>
      <c r="JYX381" s="669"/>
      <c r="JYY381" s="669"/>
      <c r="JYZ381" s="669"/>
      <c r="JZA381" s="669"/>
      <c r="JZB381" s="669"/>
      <c r="JZC381" s="669"/>
      <c r="JZD381" s="669"/>
      <c r="JZE381" s="669"/>
      <c r="JZF381" s="669"/>
      <c r="JZG381" s="669"/>
      <c r="JZH381" s="669"/>
      <c r="JZI381" s="669"/>
      <c r="JZJ381" s="669"/>
      <c r="JZK381" s="669"/>
      <c r="JZL381" s="669"/>
      <c r="JZM381" s="669"/>
      <c r="JZN381" s="669"/>
      <c r="JZO381" s="669"/>
      <c r="JZP381" s="669"/>
      <c r="JZQ381" s="669"/>
      <c r="JZR381" s="669"/>
      <c r="JZS381" s="669"/>
      <c r="JZT381" s="669"/>
      <c r="JZU381" s="669"/>
      <c r="JZV381" s="669"/>
      <c r="JZW381" s="669"/>
      <c r="JZX381" s="669"/>
      <c r="JZY381" s="669"/>
      <c r="JZZ381" s="669"/>
      <c r="KAA381" s="669"/>
      <c r="KAB381" s="669"/>
      <c r="KAC381" s="669"/>
      <c r="KAD381" s="669"/>
      <c r="KAE381" s="669"/>
      <c r="KAF381" s="669"/>
      <c r="KAG381" s="669"/>
      <c r="KAH381" s="669"/>
      <c r="KAI381" s="669"/>
      <c r="KAJ381" s="669"/>
      <c r="KAK381" s="669"/>
      <c r="KAL381" s="669"/>
      <c r="KAM381" s="669"/>
      <c r="KAN381" s="669"/>
      <c r="KAO381" s="669"/>
      <c r="KAP381" s="669"/>
      <c r="KAQ381" s="669"/>
      <c r="KAR381" s="669"/>
      <c r="KAS381" s="669"/>
      <c r="KAT381" s="669"/>
      <c r="KAU381" s="669"/>
      <c r="KAV381" s="669"/>
      <c r="KAW381" s="669"/>
      <c r="KAX381" s="669"/>
      <c r="KAY381" s="669"/>
      <c r="KAZ381" s="669"/>
      <c r="KBA381" s="669"/>
      <c r="KBB381" s="669"/>
      <c r="KBC381" s="669"/>
      <c r="KBD381" s="669"/>
      <c r="KBE381" s="669"/>
      <c r="KBF381" s="669"/>
      <c r="KBG381" s="669"/>
      <c r="KBH381" s="669"/>
      <c r="KBI381" s="669"/>
      <c r="KBJ381" s="669"/>
      <c r="KBK381" s="669"/>
      <c r="KBL381" s="669"/>
      <c r="KBM381" s="669"/>
      <c r="KBN381" s="669"/>
      <c r="KBO381" s="669"/>
      <c r="KBP381" s="669"/>
      <c r="KBQ381" s="669"/>
      <c r="KBR381" s="669"/>
      <c r="KBS381" s="669"/>
      <c r="KBT381" s="669"/>
      <c r="KBU381" s="669"/>
      <c r="KBV381" s="669"/>
      <c r="KBW381" s="669"/>
      <c r="KBX381" s="669"/>
      <c r="KBY381" s="669"/>
      <c r="KBZ381" s="669"/>
      <c r="KCA381" s="669"/>
      <c r="KCB381" s="669"/>
      <c r="KCC381" s="669"/>
      <c r="KCD381" s="669"/>
      <c r="KCE381" s="669"/>
      <c r="KCF381" s="669"/>
      <c r="KCG381" s="669"/>
      <c r="KCH381" s="669"/>
      <c r="KCI381" s="669"/>
      <c r="KCJ381" s="669"/>
      <c r="KCK381" s="669"/>
      <c r="KCL381" s="669"/>
      <c r="KCM381" s="669"/>
      <c r="KCN381" s="669"/>
      <c r="KCO381" s="669"/>
      <c r="KCP381" s="669"/>
      <c r="KCQ381" s="669"/>
      <c r="KCR381" s="669"/>
      <c r="KCS381" s="669"/>
      <c r="KCT381" s="669"/>
      <c r="KCU381" s="669"/>
      <c r="KCV381" s="669"/>
      <c r="KCW381" s="669"/>
      <c r="KCX381" s="669"/>
      <c r="KCY381" s="669"/>
      <c r="KCZ381" s="669"/>
      <c r="KDA381" s="669"/>
      <c r="KDB381" s="669"/>
      <c r="KDC381" s="669"/>
      <c r="KDD381" s="669"/>
      <c r="KDE381" s="669"/>
      <c r="KDF381" s="669"/>
      <c r="KDG381" s="669"/>
      <c r="KDH381" s="669"/>
      <c r="KDI381" s="669"/>
      <c r="KDJ381" s="669"/>
      <c r="KDK381" s="669"/>
      <c r="KDL381" s="669"/>
      <c r="KDM381" s="669"/>
      <c r="KDN381" s="669"/>
      <c r="KDO381" s="669"/>
      <c r="KDP381" s="669"/>
      <c r="KDQ381" s="669"/>
      <c r="KDR381" s="669"/>
      <c r="KDS381" s="669"/>
      <c r="KDT381" s="669"/>
      <c r="KDU381" s="669"/>
      <c r="KDV381" s="669"/>
      <c r="KDW381" s="669"/>
      <c r="KDX381" s="669"/>
      <c r="KDY381" s="669"/>
      <c r="KDZ381" s="669"/>
      <c r="KEA381" s="669"/>
      <c r="KEB381" s="669"/>
      <c r="KEC381" s="669"/>
      <c r="KED381" s="669"/>
      <c r="KEE381" s="669"/>
      <c r="KEF381" s="669"/>
      <c r="KEG381" s="669"/>
      <c r="KEH381" s="669"/>
      <c r="KEI381" s="669"/>
      <c r="KEJ381" s="669"/>
      <c r="KEK381" s="669"/>
      <c r="KEL381" s="669"/>
      <c r="KEM381" s="669"/>
      <c r="KEN381" s="669"/>
      <c r="KEO381" s="669"/>
      <c r="KEP381" s="669"/>
      <c r="KEQ381" s="669"/>
      <c r="KER381" s="669"/>
      <c r="KES381" s="669"/>
      <c r="KET381" s="669"/>
      <c r="KEU381" s="669"/>
      <c r="KEV381" s="669"/>
      <c r="KEW381" s="669"/>
      <c r="KEX381" s="669"/>
      <c r="KEY381" s="669"/>
      <c r="KEZ381" s="669"/>
      <c r="KFA381" s="669"/>
      <c r="KFB381" s="669"/>
      <c r="KFC381" s="669"/>
      <c r="KFD381" s="669"/>
      <c r="KFE381" s="669"/>
      <c r="KFF381" s="669"/>
      <c r="KFG381" s="669"/>
      <c r="KFH381" s="669"/>
      <c r="KFI381" s="669"/>
      <c r="KFJ381" s="669"/>
      <c r="KFK381" s="669"/>
      <c r="KFL381" s="669"/>
      <c r="KFM381" s="669"/>
      <c r="KFN381" s="669"/>
      <c r="KFO381" s="669"/>
      <c r="KFP381" s="669"/>
      <c r="KFQ381" s="669"/>
      <c r="KFR381" s="669"/>
      <c r="KFS381" s="669"/>
      <c r="KFT381" s="669"/>
      <c r="KFU381" s="669"/>
      <c r="KFV381" s="669"/>
      <c r="KFW381" s="669"/>
      <c r="KFX381" s="669"/>
      <c r="KFY381" s="669"/>
      <c r="KFZ381" s="669"/>
      <c r="KGA381" s="669"/>
      <c r="KGB381" s="669"/>
      <c r="KGC381" s="669"/>
      <c r="KGD381" s="669"/>
      <c r="KGE381" s="669"/>
      <c r="KGF381" s="669"/>
      <c r="KGG381" s="669"/>
      <c r="KGH381" s="669"/>
      <c r="KGI381" s="669"/>
      <c r="KGJ381" s="669"/>
      <c r="KGK381" s="669"/>
      <c r="KGL381" s="669"/>
      <c r="KGM381" s="669"/>
      <c r="KGN381" s="669"/>
      <c r="KGO381" s="669"/>
      <c r="KGP381" s="669"/>
      <c r="KGQ381" s="669"/>
      <c r="KGR381" s="669"/>
      <c r="KGS381" s="669"/>
      <c r="KGT381" s="669"/>
      <c r="KGU381" s="669"/>
      <c r="KGV381" s="669"/>
      <c r="KGW381" s="669"/>
      <c r="KGX381" s="669"/>
      <c r="KGY381" s="669"/>
      <c r="KGZ381" s="669"/>
      <c r="KHA381" s="669"/>
      <c r="KHB381" s="669"/>
      <c r="KHC381" s="669"/>
      <c r="KHD381" s="669"/>
      <c r="KHE381" s="669"/>
      <c r="KHF381" s="669"/>
      <c r="KHG381" s="669"/>
      <c r="KHH381" s="669"/>
      <c r="KHI381" s="669"/>
      <c r="KHJ381" s="669"/>
      <c r="KHK381" s="669"/>
      <c r="KHL381" s="669"/>
      <c r="KHM381" s="669"/>
      <c r="KHN381" s="669"/>
      <c r="KHO381" s="669"/>
      <c r="KHP381" s="669"/>
      <c r="KHQ381" s="669"/>
      <c r="KHR381" s="669"/>
      <c r="KHS381" s="669"/>
      <c r="KHT381" s="669"/>
      <c r="KHU381" s="669"/>
      <c r="KHV381" s="669"/>
      <c r="KHW381" s="669"/>
      <c r="KHX381" s="669"/>
      <c r="KHY381" s="669"/>
      <c r="KHZ381" s="669"/>
      <c r="KIA381" s="669"/>
      <c r="KIB381" s="669"/>
      <c r="KIC381" s="669"/>
      <c r="KID381" s="669"/>
      <c r="KIE381" s="669"/>
      <c r="KIF381" s="669"/>
      <c r="KIG381" s="669"/>
      <c r="KIH381" s="669"/>
      <c r="KII381" s="669"/>
      <c r="KIJ381" s="669"/>
      <c r="KIK381" s="669"/>
      <c r="KIL381" s="669"/>
      <c r="KIM381" s="669"/>
      <c r="KIN381" s="669"/>
      <c r="KIO381" s="669"/>
      <c r="KIP381" s="669"/>
      <c r="KIQ381" s="669"/>
      <c r="KIR381" s="669"/>
      <c r="KIS381" s="669"/>
      <c r="KIT381" s="669"/>
      <c r="KIU381" s="669"/>
      <c r="KIV381" s="669"/>
      <c r="KIW381" s="669"/>
      <c r="KIX381" s="669"/>
      <c r="KIY381" s="669"/>
      <c r="KIZ381" s="669"/>
      <c r="KJA381" s="669"/>
      <c r="KJB381" s="669"/>
      <c r="KJC381" s="669"/>
      <c r="KJD381" s="669"/>
      <c r="KJE381" s="669"/>
      <c r="KJF381" s="669"/>
      <c r="KJG381" s="669"/>
      <c r="KJH381" s="669"/>
      <c r="KJI381" s="669"/>
      <c r="KJJ381" s="669"/>
      <c r="KJK381" s="669"/>
      <c r="KJL381" s="669"/>
      <c r="KJM381" s="669"/>
      <c r="KJN381" s="669"/>
      <c r="KJO381" s="669"/>
      <c r="KJP381" s="669"/>
      <c r="KJQ381" s="669"/>
      <c r="KJR381" s="669"/>
      <c r="KJS381" s="669"/>
      <c r="KJT381" s="669"/>
      <c r="KJU381" s="669"/>
      <c r="KJV381" s="669"/>
      <c r="KJW381" s="669"/>
      <c r="KJX381" s="669"/>
      <c r="KJY381" s="669"/>
      <c r="KJZ381" s="669"/>
      <c r="KKA381" s="669"/>
      <c r="KKB381" s="669"/>
      <c r="KKC381" s="669"/>
      <c r="KKD381" s="669"/>
      <c r="KKE381" s="669"/>
      <c r="KKF381" s="669"/>
      <c r="KKG381" s="669"/>
      <c r="KKH381" s="669"/>
      <c r="KKI381" s="669"/>
      <c r="KKJ381" s="669"/>
      <c r="KKK381" s="669"/>
      <c r="KKL381" s="669"/>
      <c r="KKM381" s="669"/>
      <c r="KKN381" s="669"/>
      <c r="KKO381" s="669"/>
      <c r="KKP381" s="669"/>
      <c r="KKQ381" s="669"/>
      <c r="KKR381" s="669"/>
      <c r="KKS381" s="669"/>
      <c r="KKT381" s="669"/>
      <c r="KKU381" s="669"/>
      <c r="KKV381" s="669"/>
      <c r="KKW381" s="669"/>
      <c r="KKX381" s="669"/>
      <c r="KKY381" s="669"/>
      <c r="KKZ381" s="669"/>
      <c r="KLA381" s="669"/>
      <c r="KLB381" s="669"/>
      <c r="KLC381" s="669"/>
      <c r="KLD381" s="669"/>
      <c r="KLE381" s="669"/>
      <c r="KLF381" s="669"/>
      <c r="KLG381" s="669"/>
      <c r="KLH381" s="669"/>
      <c r="KLI381" s="669"/>
      <c r="KLJ381" s="669"/>
      <c r="KLK381" s="669"/>
      <c r="KLL381" s="669"/>
      <c r="KLM381" s="669"/>
      <c r="KLN381" s="669"/>
      <c r="KLO381" s="669"/>
      <c r="KLP381" s="669"/>
      <c r="KLQ381" s="669"/>
      <c r="KLR381" s="669"/>
      <c r="KLS381" s="669"/>
      <c r="KLT381" s="669"/>
      <c r="KLU381" s="669"/>
      <c r="KLV381" s="669"/>
      <c r="KLW381" s="669"/>
      <c r="KLX381" s="669"/>
      <c r="KLY381" s="669"/>
      <c r="KLZ381" s="669"/>
      <c r="KMA381" s="669"/>
      <c r="KMB381" s="669"/>
      <c r="KMC381" s="669"/>
      <c r="KMD381" s="669"/>
      <c r="KME381" s="669"/>
      <c r="KMF381" s="669"/>
      <c r="KMG381" s="669"/>
      <c r="KMH381" s="669"/>
      <c r="KMI381" s="669"/>
      <c r="KMJ381" s="669"/>
      <c r="KMK381" s="669"/>
      <c r="KML381" s="669"/>
      <c r="KMM381" s="669"/>
      <c r="KMN381" s="669"/>
      <c r="KMO381" s="669"/>
      <c r="KMP381" s="669"/>
      <c r="KMQ381" s="669"/>
      <c r="KMR381" s="669"/>
      <c r="KMS381" s="669"/>
      <c r="KMT381" s="669"/>
      <c r="KMU381" s="669"/>
      <c r="KMV381" s="669"/>
      <c r="KMW381" s="669"/>
      <c r="KMX381" s="669"/>
      <c r="KMY381" s="669"/>
      <c r="KMZ381" s="669"/>
      <c r="KNA381" s="669"/>
      <c r="KNB381" s="669"/>
      <c r="KNC381" s="669"/>
      <c r="KND381" s="669"/>
      <c r="KNE381" s="669"/>
      <c r="KNF381" s="669"/>
      <c r="KNG381" s="669"/>
      <c r="KNH381" s="669"/>
      <c r="KNI381" s="669"/>
      <c r="KNJ381" s="669"/>
      <c r="KNK381" s="669"/>
      <c r="KNL381" s="669"/>
      <c r="KNM381" s="669"/>
      <c r="KNN381" s="669"/>
      <c r="KNO381" s="669"/>
      <c r="KNP381" s="669"/>
      <c r="KNQ381" s="669"/>
      <c r="KNR381" s="669"/>
      <c r="KNS381" s="669"/>
      <c r="KNT381" s="669"/>
      <c r="KNU381" s="669"/>
      <c r="KNV381" s="669"/>
      <c r="KNW381" s="669"/>
      <c r="KNX381" s="669"/>
      <c r="KNY381" s="669"/>
      <c r="KNZ381" s="669"/>
      <c r="KOA381" s="669"/>
      <c r="KOB381" s="669"/>
      <c r="KOC381" s="669"/>
      <c r="KOD381" s="669"/>
      <c r="KOE381" s="669"/>
      <c r="KOF381" s="669"/>
      <c r="KOG381" s="669"/>
      <c r="KOH381" s="669"/>
      <c r="KOI381" s="669"/>
      <c r="KOJ381" s="669"/>
      <c r="KOK381" s="669"/>
      <c r="KOL381" s="669"/>
      <c r="KOM381" s="669"/>
      <c r="KON381" s="669"/>
      <c r="KOO381" s="669"/>
      <c r="KOP381" s="669"/>
      <c r="KOQ381" s="669"/>
      <c r="KOR381" s="669"/>
      <c r="KOS381" s="669"/>
      <c r="KOT381" s="669"/>
      <c r="KOU381" s="669"/>
      <c r="KOV381" s="669"/>
      <c r="KOW381" s="669"/>
      <c r="KOX381" s="669"/>
      <c r="KOY381" s="669"/>
      <c r="KOZ381" s="669"/>
      <c r="KPA381" s="669"/>
      <c r="KPB381" s="669"/>
      <c r="KPC381" s="669"/>
      <c r="KPD381" s="669"/>
      <c r="KPE381" s="669"/>
      <c r="KPF381" s="669"/>
      <c r="KPG381" s="669"/>
      <c r="KPH381" s="669"/>
      <c r="KPI381" s="669"/>
      <c r="KPJ381" s="669"/>
      <c r="KPK381" s="669"/>
      <c r="KPL381" s="669"/>
      <c r="KPM381" s="669"/>
      <c r="KPN381" s="669"/>
      <c r="KPO381" s="669"/>
      <c r="KPP381" s="669"/>
      <c r="KPQ381" s="669"/>
      <c r="KPR381" s="669"/>
      <c r="KPS381" s="669"/>
      <c r="KPT381" s="669"/>
      <c r="KPU381" s="669"/>
      <c r="KPV381" s="669"/>
      <c r="KPW381" s="669"/>
      <c r="KPX381" s="669"/>
      <c r="KPY381" s="669"/>
      <c r="KPZ381" s="669"/>
      <c r="KQA381" s="669"/>
      <c r="KQB381" s="669"/>
      <c r="KQC381" s="669"/>
      <c r="KQD381" s="669"/>
      <c r="KQE381" s="669"/>
      <c r="KQF381" s="669"/>
      <c r="KQG381" s="669"/>
      <c r="KQH381" s="669"/>
      <c r="KQI381" s="669"/>
      <c r="KQJ381" s="669"/>
      <c r="KQK381" s="669"/>
      <c r="KQL381" s="669"/>
      <c r="KQM381" s="669"/>
      <c r="KQN381" s="669"/>
      <c r="KQO381" s="669"/>
      <c r="KQP381" s="669"/>
      <c r="KQQ381" s="669"/>
      <c r="KQR381" s="669"/>
      <c r="KQS381" s="669"/>
      <c r="KQT381" s="669"/>
      <c r="KQU381" s="669"/>
      <c r="KQV381" s="669"/>
      <c r="KQW381" s="669"/>
      <c r="KQX381" s="669"/>
      <c r="KQY381" s="669"/>
      <c r="KQZ381" s="669"/>
      <c r="KRA381" s="669"/>
      <c r="KRB381" s="669"/>
      <c r="KRC381" s="669"/>
      <c r="KRD381" s="669"/>
      <c r="KRE381" s="669"/>
      <c r="KRF381" s="669"/>
      <c r="KRG381" s="669"/>
      <c r="KRH381" s="669"/>
      <c r="KRI381" s="669"/>
      <c r="KRJ381" s="669"/>
      <c r="KRK381" s="669"/>
      <c r="KRL381" s="669"/>
      <c r="KRM381" s="669"/>
      <c r="KRN381" s="669"/>
      <c r="KRO381" s="669"/>
      <c r="KRP381" s="669"/>
      <c r="KRQ381" s="669"/>
      <c r="KRR381" s="669"/>
      <c r="KRS381" s="669"/>
      <c r="KRT381" s="669"/>
      <c r="KRU381" s="669"/>
      <c r="KRV381" s="669"/>
      <c r="KRW381" s="669"/>
      <c r="KRX381" s="669"/>
      <c r="KRY381" s="669"/>
      <c r="KRZ381" s="669"/>
      <c r="KSA381" s="669"/>
      <c r="KSB381" s="669"/>
      <c r="KSC381" s="669"/>
      <c r="KSD381" s="669"/>
      <c r="KSE381" s="669"/>
      <c r="KSF381" s="669"/>
      <c r="KSG381" s="669"/>
      <c r="KSH381" s="669"/>
      <c r="KSI381" s="669"/>
      <c r="KSJ381" s="669"/>
      <c r="KSK381" s="669"/>
      <c r="KSL381" s="669"/>
      <c r="KSM381" s="669"/>
      <c r="KSN381" s="669"/>
      <c r="KSO381" s="669"/>
      <c r="KSP381" s="669"/>
      <c r="KSQ381" s="669"/>
      <c r="KSR381" s="669"/>
      <c r="KSS381" s="669"/>
      <c r="KST381" s="669"/>
      <c r="KSU381" s="669"/>
      <c r="KSV381" s="669"/>
      <c r="KSW381" s="669"/>
      <c r="KSX381" s="669"/>
      <c r="KSY381" s="669"/>
      <c r="KSZ381" s="669"/>
      <c r="KTA381" s="669"/>
      <c r="KTB381" s="669"/>
      <c r="KTC381" s="669"/>
      <c r="KTD381" s="669"/>
      <c r="KTE381" s="669"/>
      <c r="KTF381" s="669"/>
      <c r="KTG381" s="669"/>
      <c r="KTH381" s="669"/>
      <c r="KTI381" s="669"/>
      <c r="KTJ381" s="669"/>
      <c r="KTK381" s="669"/>
      <c r="KTL381" s="669"/>
      <c r="KTM381" s="669"/>
      <c r="KTN381" s="669"/>
      <c r="KTO381" s="669"/>
      <c r="KTP381" s="669"/>
      <c r="KTQ381" s="669"/>
      <c r="KTR381" s="669"/>
      <c r="KTS381" s="669"/>
      <c r="KTT381" s="669"/>
      <c r="KTU381" s="669"/>
      <c r="KTV381" s="669"/>
      <c r="KTW381" s="669"/>
      <c r="KTX381" s="669"/>
      <c r="KTY381" s="669"/>
      <c r="KTZ381" s="669"/>
      <c r="KUA381" s="669"/>
      <c r="KUB381" s="669"/>
      <c r="KUC381" s="669"/>
      <c r="KUD381" s="669"/>
      <c r="KUE381" s="669"/>
      <c r="KUF381" s="669"/>
      <c r="KUG381" s="669"/>
      <c r="KUH381" s="669"/>
      <c r="KUI381" s="669"/>
      <c r="KUJ381" s="669"/>
      <c r="KUK381" s="669"/>
      <c r="KUL381" s="669"/>
      <c r="KUM381" s="669"/>
      <c r="KUN381" s="669"/>
      <c r="KUO381" s="669"/>
      <c r="KUP381" s="669"/>
      <c r="KUQ381" s="669"/>
      <c r="KUR381" s="669"/>
      <c r="KUS381" s="669"/>
      <c r="KUT381" s="669"/>
      <c r="KUU381" s="669"/>
      <c r="KUV381" s="669"/>
      <c r="KUW381" s="669"/>
      <c r="KUX381" s="669"/>
      <c r="KUY381" s="669"/>
      <c r="KUZ381" s="669"/>
      <c r="KVA381" s="669"/>
      <c r="KVB381" s="669"/>
      <c r="KVC381" s="669"/>
      <c r="KVD381" s="669"/>
      <c r="KVE381" s="669"/>
      <c r="KVF381" s="669"/>
      <c r="KVG381" s="669"/>
      <c r="KVH381" s="669"/>
      <c r="KVI381" s="669"/>
      <c r="KVJ381" s="669"/>
      <c r="KVK381" s="669"/>
      <c r="KVL381" s="669"/>
      <c r="KVM381" s="669"/>
      <c r="KVN381" s="669"/>
      <c r="KVO381" s="669"/>
      <c r="KVP381" s="669"/>
      <c r="KVQ381" s="669"/>
      <c r="KVR381" s="669"/>
      <c r="KVS381" s="669"/>
      <c r="KVT381" s="669"/>
      <c r="KVU381" s="669"/>
      <c r="KVV381" s="669"/>
      <c r="KVW381" s="669"/>
      <c r="KVX381" s="669"/>
      <c r="KVY381" s="669"/>
      <c r="KVZ381" s="669"/>
      <c r="KWA381" s="669"/>
      <c r="KWB381" s="669"/>
      <c r="KWC381" s="669"/>
      <c r="KWD381" s="669"/>
      <c r="KWE381" s="669"/>
      <c r="KWF381" s="669"/>
      <c r="KWG381" s="669"/>
      <c r="KWH381" s="669"/>
      <c r="KWI381" s="669"/>
      <c r="KWJ381" s="669"/>
      <c r="KWK381" s="669"/>
      <c r="KWL381" s="669"/>
      <c r="KWM381" s="669"/>
      <c r="KWN381" s="669"/>
      <c r="KWO381" s="669"/>
      <c r="KWP381" s="669"/>
      <c r="KWQ381" s="669"/>
      <c r="KWR381" s="669"/>
      <c r="KWS381" s="669"/>
      <c r="KWT381" s="669"/>
      <c r="KWU381" s="669"/>
      <c r="KWV381" s="669"/>
      <c r="KWW381" s="669"/>
      <c r="KWX381" s="669"/>
      <c r="KWY381" s="669"/>
      <c r="KWZ381" s="669"/>
      <c r="KXA381" s="669"/>
      <c r="KXB381" s="669"/>
      <c r="KXC381" s="669"/>
      <c r="KXD381" s="669"/>
      <c r="KXE381" s="669"/>
      <c r="KXF381" s="669"/>
      <c r="KXG381" s="669"/>
      <c r="KXH381" s="669"/>
      <c r="KXI381" s="669"/>
      <c r="KXJ381" s="669"/>
      <c r="KXK381" s="669"/>
      <c r="KXL381" s="669"/>
      <c r="KXM381" s="669"/>
      <c r="KXN381" s="669"/>
      <c r="KXO381" s="669"/>
      <c r="KXP381" s="669"/>
      <c r="KXQ381" s="669"/>
      <c r="KXR381" s="669"/>
      <c r="KXS381" s="669"/>
      <c r="KXT381" s="669"/>
      <c r="KXU381" s="669"/>
      <c r="KXV381" s="669"/>
      <c r="KXW381" s="669"/>
      <c r="KXX381" s="669"/>
      <c r="KXY381" s="669"/>
      <c r="KXZ381" s="669"/>
      <c r="KYA381" s="669"/>
      <c r="KYB381" s="669"/>
      <c r="KYC381" s="669"/>
      <c r="KYD381" s="669"/>
      <c r="KYE381" s="669"/>
      <c r="KYF381" s="669"/>
      <c r="KYG381" s="669"/>
      <c r="KYH381" s="669"/>
      <c r="KYI381" s="669"/>
      <c r="KYJ381" s="669"/>
      <c r="KYK381" s="669"/>
      <c r="KYL381" s="669"/>
      <c r="KYM381" s="669"/>
      <c r="KYN381" s="669"/>
      <c r="KYO381" s="669"/>
      <c r="KYP381" s="669"/>
      <c r="KYQ381" s="669"/>
      <c r="KYR381" s="669"/>
      <c r="KYS381" s="669"/>
      <c r="KYT381" s="669"/>
      <c r="KYU381" s="669"/>
      <c r="KYV381" s="669"/>
      <c r="KYW381" s="669"/>
      <c r="KYX381" s="669"/>
      <c r="KYY381" s="669"/>
      <c r="KYZ381" s="669"/>
      <c r="KZA381" s="669"/>
      <c r="KZB381" s="669"/>
      <c r="KZC381" s="669"/>
      <c r="KZD381" s="669"/>
      <c r="KZE381" s="669"/>
      <c r="KZF381" s="669"/>
      <c r="KZG381" s="669"/>
      <c r="KZH381" s="669"/>
      <c r="KZI381" s="669"/>
      <c r="KZJ381" s="669"/>
      <c r="KZK381" s="669"/>
      <c r="KZL381" s="669"/>
      <c r="KZM381" s="669"/>
      <c r="KZN381" s="669"/>
      <c r="KZO381" s="669"/>
      <c r="KZP381" s="669"/>
      <c r="KZQ381" s="669"/>
      <c r="KZR381" s="669"/>
      <c r="KZS381" s="669"/>
      <c r="KZT381" s="669"/>
      <c r="KZU381" s="669"/>
      <c r="KZV381" s="669"/>
      <c r="KZW381" s="669"/>
      <c r="KZX381" s="669"/>
      <c r="KZY381" s="669"/>
      <c r="KZZ381" s="669"/>
      <c r="LAA381" s="669"/>
      <c r="LAB381" s="669"/>
      <c r="LAC381" s="669"/>
      <c r="LAD381" s="669"/>
      <c r="LAE381" s="669"/>
      <c r="LAF381" s="669"/>
      <c r="LAG381" s="669"/>
      <c r="LAH381" s="669"/>
      <c r="LAI381" s="669"/>
      <c r="LAJ381" s="669"/>
      <c r="LAK381" s="669"/>
      <c r="LAL381" s="669"/>
      <c r="LAM381" s="669"/>
      <c r="LAN381" s="669"/>
      <c r="LAO381" s="669"/>
      <c r="LAP381" s="669"/>
      <c r="LAQ381" s="669"/>
      <c r="LAR381" s="669"/>
      <c r="LAS381" s="669"/>
      <c r="LAT381" s="669"/>
      <c r="LAU381" s="669"/>
      <c r="LAV381" s="669"/>
      <c r="LAW381" s="669"/>
      <c r="LAX381" s="669"/>
      <c r="LAY381" s="669"/>
      <c r="LAZ381" s="669"/>
      <c r="LBA381" s="669"/>
      <c r="LBB381" s="669"/>
      <c r="LBC381" s="669"/>
      <c r="LBD381" s="669"/>
      <c r="LBE381" s="669"/>
      <c r="LBF381" s="669"/>
      <c r="LBG381" s="669"/>
      <c r="LBH381" s="669"/>
      <c r="LBI381" s="669"/>
      <c r="LBJ381" s="669"/>
      <c r="LBK381" s="669"/>
      <c r="LBL381" s="669"/>
      <c r="LBM381" s="669"/>
      <c r="LBN381" s="669"/>
      <c r="LBO381" s="669"/>
      <c r="LBP381" s="669"/>
      <c r="LBQ381" s="669"/>
      <c r="LBR381" s="669"/>
      <c r="LBS381" s="669"/>
      <c r="LBT381" s="669"/>
      <c r="LBU381" s="669"/>
      <c r="LBV381" s="669"/>
      <c r="LBW381" s="669"/>
      <c r="LBX381" s="669"/>
      <c r="LBY381" s="669"/>
      <c r="LBZ381" s="669"/>
      <c r="LCA381" s="669"/>
      <c r="LCB381" s="669"/>
      <c r="LCC381" s="669"/>
      <c r="LCD381" s="669"/>
      <c r="LCE381" s="669"/>
      <c r="LCF381" s="669"/>
      <c r="LCG381" s="669"/>
      <c r="LCH381" s="669"/>
      <c r="LCI381" s="669"/>
      <c r="LCJ381" s="669"/>
      <c r="LCK381" s="669"/>
      <c r="LCL381" s="669"/>
      <c r="LCM381" s="669"/>
      <c r="LCN381" s="669"/>
      <c r="LCO381" s="669"/>
      <c r="LCP381" s="669"/>
      <c r="LCQ381" s="669"/>
      <c r="LCR381" s="669"/>
      <c r="LCS381" s="669"/>
      <c r="LCT381" s="669"/>
      <c r="LCU381" s="669"/>
      <c r="LCV381" s="669"/>
      <c r="LCW381" s="669"/>
      <c r="LCX381" s="669"/>
      <c r="LCY381" s="669"/>
      <c r="LCZ381" s="669"/>
      <c r="LDA381" s="669"/>
      <c r="LDB381" s="669"/>
      <c r="LDC381" s="669"/>
      <c r="LDD381" s="669"/>
      <c r="LDE381" s="669"/>
      <c r="LDF381" s="669"/>
      <c r="LDG381" s="669"/>
      <c r="LDH381" s="669"/>
      <c r="LDI381" s="669"/>
      <c r="LDJ381" s="669"/>
      <c r="LDK381" s="669"/>
      <c r="LDL381" s="669"/>
      <c r="LDM381" s="669"/>
      <c r="LDN381" s="669"/>
      <c r="LDO381" s="669"/>
      <c r="LDP381" s="669"/>
      <c r="LDQ381" s="669"/>
      <c r="LDR381" s="669"/>
      <c r="LDS381" s="669"/>
      <c r="LDT381" s="669"/>
      <c r="LDU381" s="669"/>
      <c r="LDV381" s="669"/>
      <c r="LDW381" s="669"/>
      <c r="LDX381" s="669"/>
      <c r="LDY381" s="669"/>
      <c r="LDZ381" s="669"/>
      <c r="LEA381" s="669"/>
      <c r="LEB381" s="669"/>
      <c r="LEC381" s="669"/>
      <c r="LED381" s="669"/>
      <c r="LEE381" s="669"/>
      <c r="LEF381" s="669"/>
      <c r="LEG381" s="669"/>
      <c r="LEH381" s="669"/>
      <c r="LEI381" s="669"/>
      <c r="LEJ381" s="669"/>
      <c r="LEK381" s="669"/>
      <c r="LEL381" s="669"/>
      <c r="LEM381" s="669"/>
      <c r="LEN381" s="669"/>
      <c r="LEO381" s="669"/>
      <c r="LEP381" s="669"/>
      <c r="LEQ381" s="669"/>
      <c r="LER381" s="669"/>
      <c r="LES381" s="669"/>
      <c r="LET381" s="669"/>
      <c r="LEU381" s="669"/>
      <c r="LEV381" s="669"/>
      <c r="LEW381" s="669"/>
      <c r="LEX381" s="669"/>
      <c r="LEY381" s="669"/>
      <c r="LEZ381" s="669"/>
      <c r="LFA381" s="669"/>
      <c r="LFB381" s="669"/>
      <c r="LFC381" s="669"/>
      <c r="LFD381" s="669"/>
      <c r="LFE381" s="669"/>
      <c r="LFF381" s="669"/>
      <c r="LFG381" s="669"/>
      <c r="LFH381" s="669"/>
      <c r="LFI381" s="669"/>
      <c r="LFJ381" s="669"/>
      <c r="LFK381" s="669"/>
      <c r="LFL381" s="669"/>
      <c r="LFM381" s="669"/>
      <c r="LFN381" s="669"/>
      <c r="LFO381" s="669"/>
      <c r="LFP381" s="669"/>
      <c r="LFQ381" s="669"/>
      <c r="LFR381" s="669"/>
      <c r="LFS381" s="669"/>
      <c r="LFT381" s="669"/>
      <c r="LFU381" s="669"/>
      <c r="LFV381" s="669"/>
      <c r="LFW381" s="669"/>
      <c r="LFX381" s="669"/>
      <c r="LFY381" s="669"/>
      <c r="LFZ381" s="669"/>
      <c r="LGA381" s="669"/>
      <c r="LGB381" s="669"/>
      <c r="LGC381" s="669"/>
      <c r="LGD381" s="669"/>
      <c r="LGE381" s="669"/>
      <c r="LGF381" s="669"/>
      <c r="LGG381" s="669"/>
      <c r="LGH381" s="669"/>
      <c r="LGI381" s="669"/>
      <c r="LGJ381" s="669"/>
      <c r="LGK381" s="669"/>
      <c r="LGL381" s="669"/>
      <c r="LGM381" s="669"/>
      <c r="LGN381" s="669"/>
      <c r="LGO381" s="669"/>
      <c r="LGP381" s="669"/>
      <c r="LGQ381" s="669"/>
      <c r="LGR381" s="669"/>
      <c r="LGS381" s="669"/>
      <c r="LGT381" s="669"/>
      <c r="LGU381" s="669"/>
      <c r="LGV381" s="669"/>
      <c r="LGW381" s="669"/>
      <c r="LGX381" s="669"/>
      <c r="LGY381" s="669"/>
      <c r="LGZ381" s="669"/>
      <c r="LHA381" s="669"/>
      <c r="LHB381" s="669"/>
      <c r="LHC381" s="669"/>
      <c r="LHD381" s="669"/>
      <c r="LHE381" s="669"/>
      <c r="LHF381" s="669"/>
      <c r="LHG381" s="669"/>
      <c r="LHH381" s="669"/>
      <c r="LHI381" s="669"/>
      <c r="LHJ381" s="669"/>
      <c r="LHK381" s="669"/>
      <c r="LHL381" s="669"/>
      <c r="LHM381" s="669"/>
      <c r="LHN381" s="669"/>
      <c r="LHO381" s="669"/>
      <c r="LHP381" s="669"/>
      <c r="LHQ381" s="669"/>
      <c r="LHR381" s="669"/>
      <c r="LHS381" s="669"/>
      <c r="LHT381" s="669"/>
      <c r="LHU381" s="669"/>
      <c r="LHV381" s="669"/>
      <c r="LHW381" s="669"/>
      <c r="LHX381" s="669"/>
      <c r="LHY381" s="669"/>
      <c r="LHZ381" s="669"/>
      <c r="LIA381" s="669"/>
      <c r="LIB381" s="669"/>
      <c r="LIC381" s="669"/>
      <c r="LID381" s="669"/>
      <c r="LIE381" s="669"/>
      <c r="LIF381" s="669"/>
      <c r="LIG381" s="669"/>
      <c r="LIH381" s="669"/>
      <c r="LII381" s="669"/>
      <c r="LIJ381" s="669"/>
      <c r="LIK381" s="669"/>
      <c r="LIL381" s="669"/>
      <c r="LIM381" s="669"/>
      <c r="LIN381" s="669"/>
      <c r="LIO381" s="669"/>
      <c r="LIP381" s="669"/>
      <c r="LIQ381" s="669"/>
      <c r="LIR381" s="669"/>
      <c r="LIS381" s="669"/>
      <c r="LIT381" s="669"/>
      <c r="LIU381" s="669"/>
      <c r="LIV381" s="669"/>
      <c r="LIW381" s="669"/>
      <c r="LIX381" s="669"/>
      <c r="LIY381" s="669"/>
      <c r="LIZ381" s="669"/>
      <c r="LJA381" s="669"/>
      <c r="LJB381" s="669"/>
      <c r="LJC381" s="669"/>
      <c r="LJD381" s="669"/>
      <c r="LJE381" s="669"/>
      <c r="LJF381" s="669"/>
      <c r="LJG381" s="669"/>
      <c r="LJH381" s="669"/>
      <c r="LJI381" s="669"/>
      <c r="LJJ381" s="669"/>
      <c r="LJK381" s="669"/>
      <c r="LJL381" s="669"/>
      <c r="LJM381" s="669"/>
      <c r="LJN381" s="669"/>
      <c r="LJO381" s="669"/>
      <c r="LJP381" s="669"/>
      <c r="LJQ381" s="669"/>
      <c r="LJR381" s="669"/>
      <c r="LJS381" s="669"/>
      <c r="LJT381" s="669"/>
      <c r="LJU381" s="669"/>
      <c r="LJV381" s="669"/>
      <c r="LJW381" s="669"/>
      <c r="LJX381" s="669"/>
      <c r="LJY381" s="669"/>
      <c r="LJZ381" s="669"/>
      <c r="LKA381" s="669"/>
      <c r="LKB381" s="669"/>
      <c r="LKC381" s="669"/>
      <c r="LKD381" s="669"/>
      <c r="LKE381" s="669"/>
      <c r="LKF381" s="669"/>
      <c r="LKG381" s="669"/>
      <c r="LKH381" s="669"/>
      <c r="LKI381" s="669"/>
      <c r="LKJ381" s="669"/>
      <c r="LKK381" s="669"/>
      <c r="LKL381" s="669"/>
      <c r="LKM381" s="669"/>
      <c r="LKN381" s="669"/>
      <c r="LKO381" s="669"/>
      <c r="LKP381" s="669"/>
      <c r="LKQ381" s="669"/>
      <c r="LKR381" s="669"/>
      <c r="LKS381" s="669"/>
      <c r="LKT381" s="669"/>
      <c r="LKU381" s="669"/>
      <c r="LKV381" s="669"/>
      <c r="LKW381" s="669"/>
      <c r="LKX381" s="669"/>
      <c r="LKY381" s="669"/>
      <c r="LKZ381" s="669"/>
      <c r="LLA381" s="669"/>
      <c r="LLB381" s="669"/>
      <c r="LLC381" s="669"/>
      <c r="LLD381" s="669"/>
      <c r="LLE381" s="669"/>
      <c r="LLF381" s="669"/>
      <c r="LLG381" s="669"/>
      <c r="LLH381" s="669"/>
      <c r="LLI381" s="669"/>
      <c r="LLJ381" s="669"/>
      <c r="LLK381" s="669"/>
      <c r="LLL381" s="669"/>
      <c r="LLM381" s="669"/>
      <c r="LLN381" s="669"/>
      <c r="LLO381" s="669"/>
      <c r="LLP381" s="669"/>
      <c r="LLQ381" s="669"/>
      <c r="LLR381" s="669"/>
      <c r="LLS381" s="669"/>
      <c r="LLT381" s="669"/>
      <c r="LLU381" s="669"/>
      <c r="LLV381" s="669"/>
      <c r="LLW381" s="669"/>
      <c r="LLX381" s="669"/>
      <c r="LLY381" s="669"/>
      <c r="LLZ381" s="669"/>
      <c r="LMA381" s="669"/>
      <c r="LMB381" s="669"/>
      <c r="LMC381" s="669"/>
      <c r="LMD381" s="669"/>
      <c r="LME381" s="669"/>
      <c r="LMF381" s="669"/>
      <c r="LMG381" s="669"/>
      <c r="LMH381" s="669"/>
      <c r="LMI381" s="669"/>
      <c r="LMJ381" s="669"/>
      <c r="LMK381" s="669"/>
      <c r="LML381" s="669"/>
      <c r="LMM381" s="669"/>
      <c r="LMN381" s="669"/>
      <c r="LMO381" s="669"/>
      <c r="LMP381" s="669"/>
      <c r="LMQ381" s="669"/>
      <c r="LMR381" s="669"/>
      <c r="LMS381" s="669"/>
      <c r="LMT381" s="669"/>
      <c r="LMU381" s="669"/>
      <c r="LMV381" s="669"/>
      <c r="LMW381" s="669"/>
      <c r="LMX381" s="669"/>
      <c r="LMY381" s="669"/>
      <c r="LMZ381" s="669"/>
      <c r="LNA381" s="669"/>
      <c r="LNB381" s="669"/>
      <c r="LNC381" s="669"/>
      <c r="LND381" s="669"/>
      <c r="LNE381" s="669"/>
      <c r="LNF381" s="669"/>
      <c r="LNG381" s="669"/>
      <c r="LNH381" s="669"/>
      <c r="LNI381" s="669"/>
      <c r="LNJ381" s="669"/>
      <c r="LNK381" s="669"/>
      <c r="LNL381" s="669"/>
      <c r="LNM381" s="669"/>
      <c r="LNN381" s="669"/>
      <c r="LNO381" s="669"/>
      <c r="LNP381" s="669"/>
      <c r="LNQ381" s="669"/>
      <c r="LNR381" s="669"/>
      <c r="LNS381" s="669"/>
      <c r="LNT381" s="669"/>
      <c r="LNU381" s="669"/>
      <c r="LNV381" s="669"/>
      <c r="LNW381" s="669"/>
      <c r="LNX381" s="669"/>
      <c r="LNY381" s="669"/>
      <c r="LNZ381" s="669"/>
      <c r="LOA381" s="669"/>
      <c r="LOB381" s="669"/>
      <c r="LOC381" s="669"/>
      <c r="LOD381" s="669"/>
      <c r="LOE381" s="669"/>
      <c r="LOF381" s="669"/>
      <c r="LOG381" s="669"/>
      <c r="LOH381" s="669"/>
      <c r="LOI381" s="669"/>
      <c r="LOJ381" s="669"/>
      <c r="LOK381" s="669"/>
      <c r="LOL381" s="669"/>
      <c r="LOM381" s="669"/>
      <c r="LON381" s="669"/>
      <c r="LOO381" s="669"/>
      <c r="LOP381" s="669"/>
      <c r="LOQ381" s="669"/>
      <c r="LOR381" s="669"/>
      <c r="LOS381" s="669"/>
      <c r="LOT381" s="669"/>
      <c r="LOU381" s="669"/>
      <c r="LOV381" s="669"/>
      <c r="LOW381" s="669"/>
      <c r="LOX381" s="669"/>
      <c r="LOY381" s="669"/>
      <c r="LOZ381" s="669"/>
      <c r="LPA381" s="669"/>
      <c r="LPB381" s="669"/>
      <c r="LPC381" s="669"/>
      <c r="LPD381" s="669"/>
      <c r="LPE381" s="669"/>
      <c r="LPF381" s="669"/>
      <c r="LPG381" s="669"/>
      <c r="LPH381" s="669"/>
      <c r="LPI381" s="669"/>
      <c r="LPJ381" s="669"/>
      <c r="LPK381" s="669"/>
      <c r="LPL381" s="669"/>
      <c r="LPM381" s="669"/>
      <c r="LPN381" s="669"/>
      <c r="LPO381" s="669"/>
      <c r="LPP381" s="669"/>
      <c r="LPQ381" s="669"/>
      <c r="LPR381" s="669"/>
      <c r="LPS381" s="669"/>
      <c r="LPT381" s="669"/>
      <c r="LPU381" s="669"/>
      <c r="LPV381" s="669"/>
      <c r="LPW381" s="669"/>
      <c r="LPX381" s="669"/>
      <c r="LPY381" s="669"/>
      <c r="LPZ381" s="669"/>
      <c r="LQA381" s="669"/>
      <c r="LQB381" s="669"/>
      <c r="LQC381" s="669"/>
      <c r="LQD381" s="669"/>
      <c r="LQE381" s="669"/>
      <c r="LQF381" s="669"/>
      <c r="LQG381" s="669"/>
      <c r="LQH381" s="669"/>
      <c r="LQI381" s="669"/>
      <c r="LQJ381" s="669"/>
      <c r="LQK381" s="669"/>
      <c r="LQL381" s="669"/>
      <c r="LQM381" s="669"/>
      <c r="LQN381" s="669"/>
      <c r="LQO381" s="669"/>
      <c r="LQP381" s="669"/>
      <c r="LQQ381" s="669"/>
      <c r="LQR381" s="669"/>
      <c r="LQS381" s="669"/>
      <c r="LQT381" s="669"/>
      <c r="LQU381" s="669"/>
      <c r="LQV381" s="669"/>
      <c r="LQW381" s="669"/>
      <c r="LQX381" s="669"/>
      <c r="LQY381" s="669"/>
      <c r="LQZ381" s="669"/>
      <c r="LRA381" s="669"/>
      <c r="LRB381" s="669"/>
      <c r="LRC381" s="669"/>
      <c r="LRD381" s="669"/>
      <c r="LRE381" s="669"/>
      <c r="LRF381" s="669"/>
      <c r="LRG381" s="669"/>
      <c r="LRH381" s="669"/>
      <c r="LRI381" s="669"/>
      <c r="LRJ381" s="669"/>
      <c r="LRK381" s="669"/>
      <c r="LRL381" s="669"/>
      <c r="LRM381" s="669"/>
      <c r="LRN381" s="669"/>
      <c r="LRO381" s="669"/>
      <c r="LRP381" s="669"/>
      <c r="LRQ381" s="669"/>
      <c r="LRR381" s="669"/>
      <c r="LRS381" s="669"/>
      <c r="LRT381" s="669"/>
      <c r="LRU381" s="669"/>
      <c r="LRV381" s="669"/>
      <c r="LRW381" s="669"/>
      <c r="LRX381" s="669"/>
      <c r="LRY381" s="669"/>
      <c r="LRZ381" s="669"/>
      <c r="LSA381" s="669"/>
      <c r="LSB381" s="669"/>
      <c r="LSC381" s="669"/>
      <c r="LSD381" s="669"/>
      <c r="LSE381" s="669"/>
      <c r="LSF381" s="669"/>
      <c r="LSG381" s="669"/>
      <c r="LSH381" s="669"/>
      <c r="LSI381" s="669"/>
      <c r="LSJ381" s="669"/>
      <c r="LSK381" s="669"/>
      <c r="LSL381" s="669"/>
      <c r="LSM381" s="669"/>
      <c r="LSN381" s="669"/>
      <c r="LSO381" s="669"/>
      <c r="LSP381" s="669"/>
      <c r="LSQ381" s="669"/>
      <c r="LSR381" s="669"/>
      <c r="LSS381" s="669"/>
      <c r="LST381" s="669"/>
      <c r="LSU381" s="669"/>
      <c r="LSV381" s="669"/>
      <c r="LSW381" s="669"/>
      <c r="LSX381" s="669"/>
      <c r="LSY381" s="669"/>
      <c r="LSZ381" s="669"/>
      <c r="LTA381" s="669"/>
      <c r="LTB381" s="669"/>
      <c r="LTC381" s="669"/>
      <c r="LTD381" s="669"/>
      <c r="LTE381" s="669"/>
      <c r="LTF381" s="669"/>
      <c r="LTG381" s="669"/>
      <c r="LTH381" s="669"/>
      <c r="LTI381" s="669"/>
      <c r="LTJ381" s="669"/>
      <c r="LTK381" s="669"/>
      <c r="LTL381" s="669"/>
      <c r="LTM381" s="669"/>
      <c r="LTN381" s="669"/>
      <c r="LTO381" s="669"/>
      <c r="LTP381" s="669"/>
      <c r="LTQ381" s="669"/>
      <c r="LTR381" s="669"/>
      <c r="LTS381" s="669"/>
      <c r="LTT381" s="669"/>
      <c r="LTU381" s="669"/>
      <c r="LTV381" s="669"/>
      <c r="LTW381" s="669"/>
      <c r="LTX381" s="669"/>
      <c r="LTY381" s="669"/>
      <c r="LTZ381" s="669"/>
      <c r="LUA381" s="669"/>
      <c r="LUB381" s="669"/>
      <c r="LUC381" s="669"/>
      <c r="LUD381" s="669"/>
      <c r="LUE381" s="669"/>
      <c r="LUF381" s="669"/>
      <c r="LUG381" s="669"/>
      <c r="LUH381" s="669"/>
      <c r="LUI381" s="669"/>
      <c r="LUJ381" s="669"/>
      <c r="LUK381" s="669"/>
      <c r="LUL381" s="669"/>
      <c r="LUM381" s="669"/>
      <c r="LUN381" s="669"/>
      <c r="LUO381" s="669"/>
      <c r="LUP381" s="669"/>
      <c r="LUQ381" s="669"/>
      <c r="LUR381" s="669"/>
      <c r="LUS381" s="669"/>
      <c r="LUT381" s="669"/>
      <c r="LUU381" s="669"/>
      <c r="LUV381" s="669"/>
      <c r="LUW381" s="669"/>
      <c r="LUX381" s="669"/>
      <c r="LUY381" s="669"/>
      <c r="LUZ381" s="669"/>
      <c r="LVA381" s="669"/>
      <c r="LVB381" s="669"/>
      <c r="LVC381" s="669"/>
      <c r="LVD381" s="669"/>
      <c r="LVE381" s="669"/>
      <c r="LVF381" s="669"/>
      <c r="LVG381" s="669"/>
      <c r="LVH381" s="669"/>
      <c r="LVI381" s="669"/>
      <c r="LVJ381" s="669"/>
      <c r="LVK381" s="669"/>
      <c r="LVL381" s="669"/>
      <c r="LVM381" s="669"/>
      <c r="LVN381" s="669"/>
      <c r="LVO381" s="669"/>
      <c r="LVP381" s="669"/>
      <c r="LVQ381" s="669"/>
      <c r="LVR381" s="669"/>
      <c r="LVS381" s="669"/>
      <c r="LVT381" s="669"/>
      <c r="LVU381" s="669"/>
      <c r="LVV381" s="669"/>
      <c r="LVW381" s="669"/>
      <c r="LVX381" s="669"/>
      <c r="LVY381" s="669"/>
      <c r="LVZ381" s="669"/>
      <c r="LWA381" s="669"/>
      <c r="LWB381" s="669"/>
      <c r="LWC381" s="669"/>
      <c r="LWD381" s="669"/>
      <c r="LWE381" s="669"/>
      <c r="LWF381" s="669"/>
      <c r="LWG381" s="669"/>
      <c r="LWH381" s="669"/>
      <c r="LWI381" s="669"/>
      <c r="LWJ381" s="669"/>
      <c r="LWK381" s="669"/>
      <c r="LWL381" s="669"/>
      <c r="LWM381" s="669"/>
      <c r="LWN381" s="669"/>
      <c r="LWO381" s="669"/>
      <c r="LWP381" s="669"/>
      <c r="LWQ381" s="669"/>
      <c r="LWR381" s="669"/>
      <c r="LWS381" s="669"/>
      <c r="LWT381" s="669"/>
      <c r="LWU381" s="669"/>
      <c r="LWV381" s="669"/>
      <c r="LWW381" s="669"/>
      <c r="LWX381" s="669"/>
      <c r="LWY381" s="669"/>
      <c r="LWZ381" s="669"/>
      <c r="LXA381" s="669"/>
      <c r="LXB381" s="669"/>
      <c r="LXC381" s="669"/>
      <c r="LXD381" s="669"/>
      <c r="LXE381" s="669"/>
      <c r="LXF381" s="669"/>
      <c r="LXG381" s="669"/>
      <c r="LXH381" s="669"/>
      <c r="LXI381" s="669"/>
      <c r="LXJ381" s="669"/>
      <c r="LXK381" s="669"/>
      <c r="LXL381" s="669"/>
      <c r="LXM381" s="669"/>
      <c r="LXN381" s="669"/>
      <c r="LXO381" s="669"/>
      <c r="LXP381" s="669"/>
      <c r="LXQ381" s="669"/>
      <c r="LXR381" s="669"/>
      <c r="LXS381" s="669"/>
      <c r="LXT381" s="669"/>
      <c r="LXU381" s="669"/>
      <c r="LXV381" s="669"/>
      <c r="LXW381" s="669"/>
      <c r="LXX381" s="669"/>
      <c r="LXY381" s="669"/>
      <c r="LXZ381" s="669"/>
      <c r="LYA381" s="669"/>
      <c r="LYB381" s="669"/>
      <c r="LYC381" s="669"/>
      <c r="LYD381" s="669"/>
      <c r="LYE381" s="669"/>
      <c r="LYF381" s="669"/>
      <c r="LYG381" s="669"/>
      <c r="LYH381" s="669"/>
      <c r="LYI381" s="669"/>
      <c r="LYJ381" s="669"/>
      <c r="LYK381" s="669"/>
      <c r="LYL381" s="669"/>
      <c r="LYM381" s="669"/>
      <c r="LYN381" s="669"/>
      <c r="LYO381" s="669"/>
      <c r="LYP381" s="669"/>
      <c r="LYQ381" s="669"/>
      <c r="LYR381" s="669"/>
      <c r="LYS381" s="669"/>
      <c r="LYT381" s="669"/>
      <c r="LYU381" s="669"/>
      <c r="LYV381" s="669"/>
      <c r="LYW381" s="669"/>
      <c r="LYX381" s="669"/>
      <c r="LYY381" s="669"/>
      <c r="LYZ381" s="669"/>
      <c r="LZA381" s="669"/>
      <c r="LZB381" s="669"/>
      <c r="LZC381" s="669"/>
      <c r="LZD381" s="669"/>
      <c r="LZE381" s="669"/>
      <c r="LZF381" s="669"/>
      <c r="LZG381" s="669"/>
      <c r="LZH381" s="669"/>
      <c r="LZI381" s="669"/>
      <c r="LZJ381" s="669"/>
      <c r="LZK381" s="669"/>
      <c r="LZL381" s="669"/>
      <c r="LZM381" s="669"/>
      <c r="LZN381" s="669"/>
      <c r="LZO381" s="669"/>
      <c r="LZP381" s="669"/>
      <c r="LZQ381" s="669"/>
      <c r="LZR381" s="669"/>
      <c r="LZS381" s="669"/>
      <c r="LZT381" s="669"/>
      <c r="LZU381" s="669"/>
      <c r="LZV381" s="669"/>
      <c r="LZW381" s="669"/>
      <c r="LZX381" s="669"/>
      <c r="LZY381" s="669"/>
      <c r="LZZ381" s="669"/>
      <c r="MAA381" s="669"/>
      <c r="MAB381" s="669"/>
      <c r="MAC381" s="669"/>
      <c r="MAD381" s="669"/>
      <c r="MAE381" s="669"/>
      <c r="MAF381" s="669"/>
      <c r="MAG381" s="669"/>
      <c r="MAH381" s="669"/>
      <c r="MAI381" s="669"/>
      <c r="MAJ381" s="669"/>
      <c r="MAK381" s="669"/>
      <c r="MAL381" s="669"/>
      <c r="MAM381" s="669"/>
      <c r="MAN381" s="669"/>
      <c r="MAO381" s="669"/>
      <c r="MAP381" s="669"/>
      <c r="MAQ381" s="669"/>
      <c r="MAR381" s="669"/>
      <c r="MAS381" s="669"/>
      <c r="MAT381" s="669"/>
      <c r="MAU381" s="669"/>
      <c r="MAV381" s="669"/>
      <c r="MAW381" s="669"/>
      <c r="MAX381" s="669"/>
      <c r="MAY381" s="669"/>
      <c r="MAZ381" s="669"/>
      <c r="MBA381" s="669"/>
      <c r="MBB381" s="669"/>
      <c r="MBC381" s="669"/>
      <c r="MBD381" s="669"/>
      <c r="MBE381" s="669"/>
      <c r="MBF381" s="669"/>
      <c r="MBG381" s="669"/>
      <c r="MBH381" s="669"/>
      <c r="MBI381" s="669"/>
      <c r="MBJ381" s="669"/>
      <c r="MBK381" s="669"/>
      <c r="MBL381" s="669"/>
      <c r="MBM381" s="669"/>
      <c r="MBN381" s="669"/>
      <c r="MBO381" s="669"/>
      <c r="MBP381" s="669"/>
      <c r="MBQ381" s="669"/>
      <c r="MBR381" s="669"/>
      <c r="MBS381" s="669"/>
      <c r="MBT381" s="669"/>
      <c r="MBU381" s="669"/>
      <c r="MBV381" s="669"/>
      <c r="MBW381" s="669"/>
      <c r="MBX381" s="669"/>
      <c r="MBY381" s="669"/>
      <c r="MBZ381" s="669"/>
      <c r="MCA381" s="669"/>
      <c r="MCB381" s="669"/>
      <c r="MCC381" s="669"/>
      <c r="MCD381" s="669"/>
      <c r="MCE381" s="669"/>
      <c r="MCF381" s="669"/>
      <c r="MCG381" s="669"/>
      <c r="MCH381" s="669"/>
      <c r="MCI381" s="669"/>
      <c r="MCJ381" s="669"/>
      <c r="MCK381" s="669"/>
      <c r="MCL381" s="669"/>
      <c r="MCM381" s="669"/>
      <c r="MCN381" s="669"/>
      <c r="MCO381" s="669"/>
      <c r="MCP381" s="669"/>
      <c r="MCQ381" s="669"/>
      <c r="MCR381" s="669"/>
      <c r="MCS381" s="669"/>
      <c r="MCT381" s="669"/>
      <c r="MCU381" s="669"/>
      <c r="MCV381" s="669"/>
      <c r="MCW381" s="669"/>
      <c r="MCX381" s="669"/>
      <c r="MCY381" s="669"/>
      <c r="MCZ381" s="669"/>
      <c r="MDA381" s="669"/>
      <c r="MDB381" s="669"/>
      <c r="MDC381" s="669"/>
      <c r="MDD381" s="669"/>
      <c r="MDE381" s="669"/>
      <c r="MDF381" s="669"/>
      <c r="MDG381" s="669"/>
      <c r="MDH381" s="669"/>
      <c r="MDI381" s="669"/>
      <c r="MDJ381" s="669"/>
      <c r="MDK381" s="669"/>
      <c r="MDL381" s="669"/>
      <c r="MDM381" s="669"/>
      <c r="MDN381" s="669"/>
      <c r="MDO381" s="669"/>
      <c r="MDP381" s="669"/>
      <c r="MDQ381" s="669"/>
      <c r="MDR381" s="669"/>
      <c r="MDS381" s="669"/>
      <c r="MDT381" s="669"/>
      <c r="MDU381" s="669"/>
      <c r="MDV381" s="669"/>
      <c r="MDW381" s="669"/>
      <c r="MDX381" s="669"/>
      <c r="MDY381" s="669"/>
      <c r="MDZ381" s="669"/>
      <c r="MEA381" s="669"/>
      <c r="MEB381" s="669"/>
      <c r="MEC381" s="669"/>
      <c r="MED381" s="669"/>
      <c r="MEE381" s="669"/>
      <c r="MEF381" s="669"/>
      <c r="MEG381" s="669"/>
      <c r="MEH381" s="669"/>
      <c r="MEI381" s="669"/>
      <c r="MEJ381" s="669"/>
      <c r="MEK381" s="669"/>
      <c r="MEL381" s="669"/>
      <c r="MEM381" s="669"/>
      <c r="MEN381" s="669"/>
      <c r="MEO381" s="669"/>
      <c r="MEP381" s="669"/>
      <c r="MEQ381" s="669"/>
      <c r="MER381" s="669"/>
      <c r="MES381" s="669"/>
      <c r="MET381" s="669"/>
      <c r="MEU381" s="669"/>
      <c r="MEV381" s="669"/>
      <c r="MEW381" s="669"/>
      <c r="MEX381" s="669"/>
      <c r="MEY381" s="669"/>
      <c r="MEZ381" s="669"/>
      <c r="MFA381" s="669"/>
      <c r="MFB381" s="669"/>
      <c r="MFC381" s="669"/>
      <c r="MFD381" s="669"/>
      <c r="MFE381" s="669"/>
      <c r="MFF381" s="669"/>
      <c r="MFG381" s="669"/>
      <c r="MFH381" s="669"/>
      <c r="MFI381" s="669"/>
      <c r="MFJ381" s="669"/>
      <c r="MFK381" s="669"/>
      <c r="MFL381" s="669"/>
      <c r="MFM381" s="669"/>
      <c r="MFN381" s="669"/>
      <c r="MFO381" s="669"/>
      <c r="MFP381" s="669"/>
      <c r="MFQ381" s="669"/>
      <c r="MFR381" s="669"/>
      <c r="MFS381" s="669"/>
      <c r="MFT381" s="669"/>
      <c r="MFU381" s="669"/>
      <c r="MFV381" s="669"/>
      <c r="MFW381" s="669"/>
      <c r="MFX381" s="669"/>
      <c r="MFY381" s="669"/>
      <c r="MFZ381" s="669"/>
      <c r="MGA381" s="669"/>
      <c r="MGB381" s="669"/>
      <c r="MGC381" s="669"/>
      <c r="MGD381" s="669"/>
      <c r="MGE381" s="669"/>
      <c r="MGF381" s="669"/>
      <c r="MGG381" s="669"/>
      <c r="MGH381" s="669"/>
      <c r="MGI381" s="669"/>
      <c r="MGJ381" s="669"/>
      <c r="MGK381" s="669"/>
      <c r="MGL381" s="669"/>
      <c r="MGM381" s="669"/>
      <c r="MGN381" s="669"/>
      <c r="MGO381" s="669"/>
      <c r="MGP381" s="669"/>
      <c r="MGQ381" s="669"/>
      <c r="MGR381" s="669"/>
      <c r="MGS381" s="669"/>
      <c r="MGT381" s="669"/>
      <c r="MGU381" s="669"/>
      <c r="MGV381" s="669"/>
      <c r="MGW381" s="669"/>
      <c r="MGX381" s="669"/>
      <c r="MGY381" s="669"/>
      <c r="MGZ381" s="669"/>
      <c r="MHA381" s="669"/>
      <c r="MHB381" s="669"/>
      <c r="MHC381" s="669"/>
      <c r="MHD381" s="669"/>
      <c r="MHE381" s="669"/>
      <c r="MHF381" s="669"/>
      <c r="MHG381" s="669"/>
      <c r="MHH381" s="669"/>
      <c r="MHI381" s="669"/>
      <c r="MHJ381" s="669"/>
      <c r="MHK381" s="669"/>
      <c r="MHL381" s="669"/>
      <c r="MHM381" s="669"/>
      <c r="MHN381" s="669"/>
      <c r="MHO381" s="669"/>
      <c r="MHP381" s="669"/>
      <c r="MHQ381" s="669"/>
      <c r="MHR381" s="669"/>
      <c r="MHS381" s="669"/>
      <c r="MHT381" s="669"/>
      <c r="MHU381" s="669"/>
      <c r="MHV381" s="669"/>
      <c r="MHW381" s="669"/>
      <c r="MHX381" s="669"/>
      <c r="MHY381" s="669"/>
      <c r="MHZ381" s="669"/>
      <c r="MIA381" s="669"/>
      <c r="MIB381" s="669"/>
      <c r="MIC381" s="669"/>
      <c r="MID381" s="669"/>
      <c r="MIE381" s="669"/>
      <c r="MIF381" s="669"/>
      <c r="MIG381" s="669"/>
      <c r="MIH381" s="669"/>
      <c r="MII381" s="669"/>
      <c r="MIJ381" s="669"/>
      <c r="MIK381" s="669"/>
      <c r="MIL381" s="669"/>
      <c r="MIM381" s="669"/>
      <c r="MIN381" s="669"/>
      <c r="MIO381" s="669"/>
      <c r="MIP381" s="669"/>
      <c r="MIQ381" s="669"/>
      <c r="MIR381" s="669"/>
      <c r="MIS381" s="669"/>
      <c r="MIT381" s="669"/>
      <c r="MIU381" s="669"/>
      <c r="MIV381" s="669"/>
      <c r="MIW381" s="669"/>
      <c r="MIX381" s="669"/>
      <c r="MIY381" s="669"/>
      <c r="MIZ381" s="669"/>
      <c r="MJA381" s="669"/>
      <c r="MJB381" s="669"/>
      <c r="MJC381" s="669"/>
      <c r="MJD381" s="669"/>
      <c r="MJE381" s="669"/>
      <c r="MJF381" s="669"/>
      <c r="MJG381" s="669"/>
      <c r="MJH381" s="669"/>
      <c r="MJI381" s="669"/>
      <c r="MJJ381" s="669"/>
      <c r="MJK381" s="669"/>
      <c r="MJL381" s="669"/>
      <c r="MJM381" s="669"/>
      <c r="MJN381" s="669"/>
      <c r="MJO381" s="669"/>
      <c r="MJP381" s="669"/>
      <c r="MJQ381" s="669"/>
      <c r="MJR381" s="669"/>
      <c r="MJS381" s="669"/>
      <c r="MJT381" s="669"/>
      <c r="MJU381" s="669"/>
      <c r="MJV381" s="669"/>
      <c r="MJW381" s="669"/>
      <c r="MJX381" s="669"/>
      <c r="MJY381" s="669"/>
      <c r="MJZ381" s="669"/>
      <c r="MKA381" s="669"/>
      <c r="MKB381" s="669"/>
      <c r="MKC381" s="669"/>
      <c r="MKD381" s="669"/>
      <c r="MKE381" s="669"/>
      <c r="MKF381" s="669"/>
      <c r="MKG381" s="669"/>
      <c r="MKH381" s="669"/>
      <c r="MKI381" s="669"/>
      <c r="MKJ381" s="669"/>
      <c r="MKK381" s="669"/>
      <c r="MKL381" s="669"/>
      <c r="MKM381" s="669"/>
      <c r="MKN381" s="669"/>
      <c r="MKO381" s="669"/>
      <c r="MKP381" s="669"/>
      <c r="MKQ381" s="669"/>
      <c r="MKR381" s="669"/>
      <c r="MKS381" s="669"/>
      <c r="MKT381" s="669"/>
      <c r="MKU381" s="669"/>
      <c r="MKV381" s="669"/>
      <c r="MKW381" s="669"/>
      <c r="MKX381" s="669"/>
      <c r="MKY381" s="669"/>
      <c r="MKZ381" s="669"/>
      <c r="MLA381" s="669"/>
      <c r="MLB381" s="669"/>
      <c r="MLC381" s="669"/>
      <c r="MLD381" s="669"/>
      <c r="MLE381" s="669"/>
      <c r="MLF381" s="669"/>
      <c r="MLG381" s="669"/>
      <c r="MLH381" s="669"/>
      <c r="MLI381" s="669"/>
      <c r="MLJ381" s="669"/>
      <c r="MLK381" s="669"/>
      <c r="MLL381" s="669"/>
      <c r="MLM381" s="669"/>
      <c r="MLN381" s="669"/>
      <c r="MLO381" s="669"/>
      <c r="MLP381" s="669"/>
      <c r="MLQ381" s="669"/>
      <c r="MLR381" s="669"/>
      <c r="MLS381" s="669"/>
      <c r="MLT381" s="669"/>
      <c r="MLU381" s="669"/>
      <c r="MLV381" s="669"/>
      <c r="MLW381" s="669"/>
      <c r="MLX381" s="669"/>
      <c r="MLY381" s="669"/>
      <c r="MLZ381" s="669"/>
      <c r="MMA381" s="669"/>
      <c r="MMB381" s="669"/>
      <c r="MMC381" s="669"/>
      <c r="MMD381" s="669"/>
      <c r="MME381" s="669"/>
      <c r="MMF381" s="669"/>
      <c r="MMG381" s="669"/>
      <c r="MMH381" s="669"/>
      <c r="MMI381" s="669"/>
      <c r="MMJ381" s="669"/>
      <c r="MMK381" s="669"/>
      <c r="MML381" s="669"/>
      <c r="MMM381" s="669"/>
      <c r="MMN381" s="669"/>
      <c r="MMO381" s="669"/>
      <c r="MMP381" s="669"/>
      <c r="MMQ381" s="669"/>
      <c r="MMR381" s="669"/>
      <c r="MMS381" s="669"/>
      <c r="MMT381" s="669"/>
      <c r="MMU381" s="669"/>
      <c r="MMV381" s="669"/>
      <c r="MMW381" s="669"/>
      <c r="MMX381" s="669"/>
      <c r="MMY381" s="669"/>
      <c r="MMZ381" s="669"/>
      <c r="MNA381" s="669"/>
      <c r="MNB381" s="669"/>
      <c r="MNC381" s="669"/>
      <c r="MND381" s="669"/>
      <c r="MNE381" s="669"/>
      <c r="MNF381" s="669"/>
      <c r="MNG381" s="669"/>
      <c r="MNH381" s="669"/>
      <c r="MNI381" s="669"/>
      <c r="MNJ381" s="669"/>
      <c r="MNK381" s="669"/>
      <c r="MNL381" s="669"/>
      <c r="MNM381" s="669"/>
      <c r="MNN381" s="669"/>
      <c r="MNO381" s="669"/>
      <c r="MNP381" s="669"/>
      <c r="MNQ381" s="669"/>
      <c r="MNR381" s="669"/>
      <c r="MNS381" s="669"/>
      <c r="MNT381" s="669"/>
      <c r="MNU381" s="669"/>
      <c r="MNV381" s="669"/>
      <c r="MNW381" s="669"/>
      <c r="MNX381" s="669"/>
      <c r="MNY381" s="669"/>
      <c r="MNZ381" s="669"/>
      <c r="MOA381" s="669"/>
      <c r="MOB381" s="669"/>
      <c r="MOC381" s="669"/>
      <c r="MOD381" s="669"/>
      <c r="MOE381" s="669"/>
      <c r="MOF381" s="669"/>
      <c r="MOG381" s="669"/>
      <c r="MOH381" s="669"/>
      <c r="MOI381" s="669"/>
      <c r="MOJ381" s="669"/>
      <c r="MOK381" s="669"/>
      <c r="MOL381" s="669"/>
      <c r="MOM381" s="669"/>
      <c r="MON381" s="669"/>
      <c r="MOO381" s="669"/>
      <c r="MOP381" s="669"/>
      <c r="MOQ381" s="669"/>
      <c r="MOR381" s="669"/>
      <c r="MOS381" s="669"/>
      <c r="MOT381" s="669"/>
      <c r="MOU381" s="669"/>
      <c r="MOV381" s="669"/>
      <c r="MOW381" s="669"/>
      <c r="MOX381" s="669"/>
      <c r="MOY381" s="669"/>
      <c r="MOZ381" s="669"/>
      <c r="MPA381" s="669"/>
      <c r="MPB381" s="669"/>
      <c r="MPC381" s="669"/>
      <c r="MPD381" s="669"/>
      <c r="MPE381" s="669"/>
      <c r="MPF381" s="669"/>
      <c r="MPG381" s="669"/>
      <c r="MPH381" s="669"/>
      <c r="MPI381" s="669"/>
      <c r="MPJ381" s="669"/>
      <c r="MPK381" s="669"/>
      <c r="MPL381" s="669"/>
      <c r="MPM381" s="669"/>
      <c r="MPN381" s="669"/>
      <c r="MPO381" s="669"/>
      <c r="MPP381" s="669"/>
      <c r="MPQ381" s="669"/>
      <c r="MPR381" s="669"/>
      <c r="MPS381" s="669"/>
      <c r="MPT381" s="669"/>
      <c r="MPU381" s="669"/>
      <c r="MPV381" s="669"/>
      <c r="MPW381" s="669"/>
      <c r="MPX381" s="669"/>
      <c r="MPY381" s="669"/>
      <c r="MPZ381" s="669"/>
      <c r="MQA381" s="669"/>
      <c r="MQB381" s="669"/>
      <c r="MQC381" s="669"/>
      <c r="MQD381" s="669"/>
      <c r="MQE381" s="669"/>
      <c r="MQF381" s="669"/>
      <c r="MQG381" s="669"/>
      <c r="MQH381" s="669"/>
      <c r="MQI381" s="669"/>
      <c r="MQJ381" s="669"/>
      <c r="MQK381" s="669"/>
      <c r="MQL381" s="669"/>
      <c r="MQM381" s="669"/>
      <c r="MQN381" s="669"/>
      <c r="MQO381" s="669"/>
      <c r="MQP381" s="669"/>
      <c r="MQQ381" s="669"/>
      <c r="MQR381" s="669"/>
      <c r="MQS381" s="669"/>
      <c r="MQT381" s="669"/>
      <c r="MQU381" s="669"/>
      <c r="MQV381" s="669"/>
      <c r="MQW381" s="669"/>
      <c r="MQX381" s="669"/>
      <c r="MQY381" s="669"/>
      <c r="MQZ381" s="669"/>
      <c r="MRA381" s="669"/>
      <c r="MRB381" s="669"/>
      <c r="MRC381" s="669"/>
      <c r="MRD381" s="669"/>
      <c r="MRE381" s="669"/>
      <c r="MRF381" s="669"/>
      <c r="MRG381" s="669"/>
      <c r="MRH381" s="669"/>
      <c r="MRI381" s="669"/>
      <c r="MRJ381" s="669"/>
      <c r="MRK381" s="669"/>
      <c r="MRL381" s="669"/>
      <c r="MRM381" s="669"/>
      <c r="MRN381" s="669"/>
      <c r="MRO381" s="669"/>
      <c r="MRP381" s="669"/>
      <c r="MRQ381" s="669"/>
      <c r="MRR381" s="669"/>
      <c r="MRS381" s="669"/>
      <c r="MRT381" s="669"/>
      <c r="MRU381" s="669"/>
      <c r="MRV381" s="669"/>
      <c r="MRW381" s="669"/>
      <c r="MRX381" s="669"/>
      <c r="MRY381" s="669"/>
      <c r="MRZ381" s="669"/>
      <c r="MSA381" s="669"/>
      <c r="MSB381" s="669"/>
      <c r="MSC381" s="669"/>
      <c r="MSD381" s="669"/>
      <c r="MSE381" s="669"/>
      <c r="MSF381" s="669"/>
      <c r="MSG381" s="669"/>
      <c r="MSH381" s="669"/>
      <c r="MSI381" s="669"/>
      <c r="MSJ381" s="669"/>
      <c r="MSK381" s="669"/>
      <c r="MSL381" s="669"/>
      <c r="MSM381" s="669"/>
      <c r="MSN381" s="669"/>
      <c r="MSO381" s="669"/>
      <c r="MSP381" s="669"/>
      <c r="MSQ381" s="669"/>
      <c r="MSR381" s="669"/>
      <c r="MSS381" s="669"/>
      <c r="MST381" s="669"/>
      <c r="MSU381" s="669"/>
      <c r="MSV381" s="669"/>
      <c r="MSW381" s="669"/>
      <c r="MSX381" s="669"/>
      <c r="MSY381" s="669"/>
      <c r="MSZ381" s="669"/>
      <c r="MTA381" s="669"/>
      <c r="MTB381" s="669"/>
      <c r="MTC381" s="669"/>
      <c r="MTD381" s="669"/>
      <c r="MTE381" s="669"/>
      <c r="MTF381" s="669"/>
      <c r="MTG381" s="669"/>
      <c r="MTH381" s="669"/>
      <c r="MTI381" s="669"/>
      <c r="MTJ381" s="669"/>
      <c r="MTK381" s="669"/>
      <c r="MTL381" s="669"/>
      <c r="MTM381" s="669"/>
      <c r="MTN381" s="669"/>
      <c r="MTO381" s="669"/>
      <c r="MTP381" s="669"/>
      <c r="MTQ381" s="669"/>
      <c r="MTR381" s="669"/>
      <c r="MTS381" s="669"/>
      <c r="MTT381" s="669"/>
      <c r="MTU381" s="669"/>
      <c r="MTV381" s="669"/>
      <c r="MTW381" s="669"/>
      <c r="MTX381" s="669"/>
      <c r="MTY381" s="669"/>
      <c r="MTZ381" s="669"/>
      <c r="MUA381" s="669"/>
      <c r="MUB381" s="669"/>
      <c r="MUC381" s="669"/>
      <c r="MUD381" s="669"/>
      <c r="MUE381" s="669"/>
      <c r="MUF381" s="669"/>
      <c r="MUG381" s="669"/>
      <c r="MUH381" s="669"/>
      <c r="MUI381" s="669"/>
      <c r="MUJ381" s="669"/>
      <c r="MUK381" s="669"/>
      <c r="MUL381" s="669"/>
      <c r="MUM381" s="669"/>
      <c r="MUN381" s="669"/>
      <c r="MUO381" s="669"/>
      <c r="MUP381" s="669"/>
      <c r="MUQ381" s="669"/>
      <c r="MUR381" s="669"/>
      <c r="MUS381" s="669"/>
      <c r="MUT381" s="669"/>
      <c r="MUU381" s="669"/>
      <c r="MUV381" s="669"/>
      <c r="MUW381" s="669"/>
      <c r="MUX381" s="669"/>
      <c r="MUY381" s="669"/>
      <c r="MUZ381" s="669"/>
      <c r="MVA381" s="669"/>
      <c r="MVB381" s="669"/>
      <c r="MVC381" s="669"/>
      <c r="MVD381" s="669"/>
      <c r="MVE381" s="669"/>
      <c r="MVF381" s="669"/>
      <c r="MVG381" s="669"/>
      <c r="MVH381" s="669"/>
      <c r="MVI381" s="669"/>
      <c r="MVJ381" s="669"/>
      <c r="MVK381" s="669"/>
      <c r="MVL381" s="669"/>
      <c r="MVM381" s="669"/>
      <c r="MVN381" s="669"/>
      <c r="MVO381" s="669"/>
      <c r="MVP381" s="669"/>
      <c r="MVQ381" s="669"/>
      <c r="MVR381" s="669"/>
      <c r="MVS381" s="669"/>
      <c r="MVT381" s="669"/>
      <c r="MVU381" s="669"/>
      <c r="MVV381" s="669"/>
      <c r="MVW381" s="669"/>
      <c r="MVX381" s="669"/>
      <c r="MVY381" s="669"/>
      <c r="MVZ381" s="669"/>
      <c r="MWA381" s="669"/>
      <c r="MWB381" s="669"/>
      <c r="MWC381" s="669"/>
      <c r="MWD381" s="669"/>
      <c r="MWE381" s="669"/>
      <c r="MWF381" s="669"/>
      <c r="MWG381" s="669"/>
      <c r="MWH381" s="669"/>
      <c r="MWI381" s="669"/>
      <c r="MWJ381" s="669"/>
      <c r="MWK381" s="669"/>
      <c r="MWL381" s="669"/>
      <c r="MWM381" s="669"/>
      <c r="MWN381" s="669"/>
      <c r="MWO381" s="669"/>
      <c r="MWP381" s="669"/>
      <c r="MWQ381" s="669"/>
      <c r="MWR381" s="669"/>
      <c r="MWS381" s="669"/>
      <c r="MWT381" s="669"/>
      <c r="MWU381" s="669"/>
      <c r="MWV381" s="669"/>
      <c r="MWW381" s="669"/>
      <c r="MWX381" s="669"/>
      <c r="MWY381" s="669"/>
      <c r="MWZ381" s="669"/>
      <c r="MXA381" s="669"/>
      <c r="MXB381" s="669"/>
      <c r="MXC381" s="669"/>
      <c r="MXD381" s="669"/>
      <c r="MXE381" s="669"/>
      <c r="MXF381" s="669"/>
      <c r="MXG381" s="669"/>
      <c r="MXH381" s="669"/>
      <c r="MXI381" s="669"/>
      <c r="MXJ381" s="669"/>
      <c r="MXK381" s="669"/>
      <c r="MXL381" s="669"/>
      <c r="MXM381" s="669"/>
      <c r="MXN381" s="669"/>
      <c r="MXO381" s="669"/>
      <c r="MXP381" s="669"/>
      <c r="MXQ381" s="669"/>
      <c r="MXR381" s="669"/>
      <c r="MXS381" s="669"/>
      <c r="MXT381" s="669"/>
      <c r="MXU381" s="669"/>
      <c r="MXV381" s="669"/>
      <c r="MXW381" s="669"/>
      <c r="MXX381" s="669"/>
      <c r="MXY381" s="669"/>
      <c r="MXZ381" s="669"/>
      <c r="MYA381" s="669"/>
      <c r="MYB381" s="669"/>
      <c r="MYC381" s="669"/>
      <c r="MYD381" s="669"/>
      <c r="MYE381" s="669"/>
      <c r="MYF381" s="669"/>
      <c r="MYG381" s="669"/>
      <c r="MYH381" s="669"/>
      <c r="MYI381" s="669"/>
      <c r="MYJ381" s="669"/>
      <c r="MYK381" s="669"/>
      <c r="MYL381" s="669"/>
      <c r="MYM381" s="669"/>
      <c r="MYN381" s="669"/>
      <c r="MYO381" s="669"/>
      <c r="MYP381" s="669"/>
      <c r="MYQ381" s="669"/>
      <c r="MYR381" s="669"/>
      <c r="MYS381" s="669"/>
      <c r="MYT381" s="669"/>
      <c r="MYU381" s="669"/>
      <c r="MYV381" s="669"/>
      <c r="MYW381" s="669"/>
      <c r="MYX381" s="669"/>
      <c r="MYY381" s="669"/>
      <c r="MYZ381" s="669"/>
      <c r="MZA381" s="669"/>
      <c r="MZB381" s="669"/>
      <c r="MZC381" s="669"/>
      <c r="MZD381" s="669"/>
      <c r="MZE381" s="669"/>
      <c r="MZF381" s="669"/>
      <c r="MZG381" s="669"/>
      <c r="MZH381" s="669"/>
      <c r="MZI381" s="669"/>
      <c r="MZJ381" s="669"/>
      <c r="MZK381" s="669"/>
      <c r="MZL381" s="669"/>
      <c r="MZM381" s="669"/>
      <c r="MZN381" s="669"/>
      <c r="MZO381" s="669"/>
      <c r="MZP381" s="669"/>
      <c r="MZQ381" s="669"/>
      <c r="MZR381" s="669"/>
      <c r="MZS381" s="669"/>
      <c r="MZT381" s="669"/>
      <c r="MZU381" s="669"/>
      <c r="MZV381" s="669"/>
      <c r="MZW381" s="669"/>
      <c r="MZX381" s="669"/>
      <c r="MZY381" s="669"/>
      <c r="MZZ381" s="669"/>
      <c r="NAA381" s="669"/>
      <c r="NAB381" s="669"/>
      <c r="NAC381" s="669"/>
      <c r="NAD381" s="669"/>
      <c r="NAE381" s="669"/>
      <c r="NAF381" s="669"/>
      <c r="NAG381" s="669"/>
      <c r="NAH381" s="669"/>
      <c r="NAI381" s="669"/>
      <c r="NAJ381" s="669"/>
      <c r="NAK381" s="669"/>
      <c r="NAL381" s="669"/>
      <c r="NAM381" s="669"/>
      <c r="NAN381" s="669"/>
      <c r="NAO381" s="669"/>
      <c r="NAP381" s="669"/>
      <c r="NAQ381" s="669"/>
      <c r="NAR381" s="669"/>
      <c r="NAS381" s="669"/>
      <c r="NAT381" s="669"/>
      <c r="NAU381" s="669"/>
      <c r="NAV381" s="669"/>
      <c r="NAW381" s="669"/>
      <c r="NAX381" s="669"/>
      <c r="NAY381" s="669"/>
      <c r="NAZ381" s="669"/>
      <c r="NBA381" s="669"/>
      <c r="NBB381" s="669"/>
      <c r="NBC381" s="669"/>
      <c r="NBD381" s="669"/>
      <c r="NBE381" s="669"/>
      <c r="NBF381" s="669"/>
      <c r="NBG381" s="669"/>
      <c r="NBH381" s="669"/>
      <c r="NBI381" s="669"/>
      <c r="NBJ381" s="669"/>
      <c r="NBK381" s="669"/>
      <c r="NBL381" s="669"/>
      <c r="NBM381" s="669"/>
      <c r="NBN381" s="669"/>
      <c r="NBO381" s="669"/>
      <c r="NBP381" s="669"/>
      <c r="NBQ381" s="669"/>
      <c r="NBR381" s="669"/>
      <c r="NBS381" s="669"/>
      <c r="NBT381" s="669"/>
      <c r="NBU381" s="669"/>
      <c r="NBV381" s="669"/>
      <c r="NBW381" s="669"/>
      <c r="NBX381" s="669"/>
      <c r="NBY381" s="669"/>
      <c r="NBZ381" s="669"/>
      <c r="NCA381" s="669"/>
      <c r="NCB381" s="669"/>
      <c r="NCC381" s="669"/>
      <c r="NCD381" s="669"/>
      <c r="NCE381" s="669"/>
      <c r="NCF381" s="669"/>
      <c r="NCG381" s="669"/>
      <c r="NCH381" s="669"/>
      <c r="NCI381" s="669"/>
      <c r="NCJ381" s="669"/>
      <c r="NCK381" s="669"/>
      <c r="NCL381" s="669"/>
      <c r="NCM381" s="669"/>
      <c r="NCN381" s="669"/>
      <c r="NCO381" s="669"/>
      <c r="NCP381" s="669"/>
      <c r="NCQ381" s="669"/>
      <c r="NCR381" s="669"/>
      <c r="NCS381" s="669"/>
      <c r="NCT381" s="669"/>
      <c r="NCU381" s="669"/>
      <c r="NCV381" s="669"/>
      <c r="NCW381" s="669"/>
      <c r="NCX381" s="669"/>
      <c r="NCY381" s="669"/>
      <c r="NCZ381" s="669"/>
      <c r="NDA381" s="669"/>
      <c r="NDB381" s="669"/>
      <c r="NDC381" s="669"/>
      <c r="NDD381" s="669"/>
      <c r="NDE381" s="669"/>
      <c r="NDF381" s="669"/>
      <c r="NDG381" s="669"/>
      <c r="NDH381" s="669"/>
      <c r="NDI381" s="669"/>
      <c r="NDJ381" s="669"/>
      <c r="NDK381" s="669"/>
      <c r="NDL381" s="669"/>
      <c r="NDM381" s="669"/>
      <c r="NDN381" s="669"/>
      <c r="NDO381" s="669"/>
      <c r="NDP381" s="669"/>
      <c r="NDQ381" s="669"/>
      <c r="NDR381" s="669"/>
      <c r="NDS381" s="669"/>
      <c r="NDT381" s="669"/>
      <c r="NDU381" s="669"/>
      <c r="NDV381" s="669"/>
      <c r="NDW381" s="669"/>
      <c r="NDX381" s="669"/>
      <c r="NDY381" s="669"/>
      <c r="NDZ381" s="669"/>
      <c r="NEA381" s="669"/>
      <c r="NEB381" s="669"/>
      <c r="NEC381" s="669"/>
      <c r="NED381" s="669"/>
      <c r="NEE381" s="669"/>
      <c r="NEF381" s="669"/>
      <c r="NEG381" s="669"/>
      <c r="NEH381" s="669"/>
      <c r="NEI381" s="669"/>
      <c r="NEJ381" s="669"/>
      <c r="NEK381" s="669"/>
      <c r="NEL381" s="669"/>
      <c r="NEM381" s="669"/>
      <c r="NEN381" s="669"/>
      <c r="NEO381" s="669"/>
      <c r="NEP381" s="669"/>
      <c r="NEQ381" s="669"/>
      <c r="NER381" s="669"/>
      <c r="NES381" s="669"/>
      <c r="NET381" s="669"/>
      <c r="NEU381" s="669"/>
      <c r="NEV381" s="669"/>
      <c r="NEW381" s="669"/>
      <c r="NEX381" s="669"/>
      <c r="NEY381" s="669"/>
      <c r="NEZ381" s="669"/>
      <c r="NFA381" s="669"/>
      <c r="NFB381" s="669"/>
      <c r="NFC381" s="669"/>
      <c r="NFD381" s="669"/>
      <c r="NFE381" s="669"/>
      <c r="NFF381" s="669"/>
      <c r="NFG381" s="669"/>
      <c r="NFH381" s="669"/>
      <c r="NFI381" s="669"/>
      <c r="NFJ381" s="669"/>
      <c r="NFK381" s="669"/>
      <c r="NFL381" s="669"/>
      <c r="NFM381" s="669"/>
      <c r="NFN381" s="669"/>
      <c r="NFO381" s="669"/>
      <c r="NFP381" s="669"/>
      <c r="NFQ381" s="669"/>
      <c r="NFR381" s="669"/>
      <c r="NFS381" s="669"/>
      <c r="NFT381" s="669"/>
      <c r="NFU381" s="669"/>
      <c r="NFV381" s="669"/>
      <c r="NFW381" s="669"/>
      <c r="NFX381" s="669"/>
      <c r="NFY381" s="669"/>
      <c r="NFZ381" s="669"/>
      <c r="NGA381" s="669"/>
      <c r="NGB381" s="669"/>
      <c r="NGC381" s="669"/>
      <c r="NGD381" s="669"/>
      <c r="NGE381" s="669"/>
      <c r="NGF381" s="669"/>
      <c r="NGG381" s="669"/>
      <c r="NGH381" s="669"/>
      <c r="NGI381" s="669"/>
      <c r="NGJ381" s="669"/>
      <c r="NGK381" s="669"/>
      <c r="NGL381" s="669"/>
      <c r="NGM381" s="669"/>
      <c r="NGN381" s="669"/>
      <c r="NGO381" s="669"/>
      <c r="NGP381" s="669"/>
      <c r="NGQ381" s="669"/>
      <c r="NGR381" s="669"/>
      <c r="NGS381" s="669"/>
      <c r="NGT381" s="669"/>
      <c r="NGU381" s="669"/>
      <c r="NGV381" s="669"/>
      <c r="NGW381" s="669"/>
      <c r="NGX381" s="669"/>
      <c r="NGY381" s="669"/>
      <c r="NGZ381" s="669"/>
      <c r="NHA381" s="669"/>
      <c r="NHB381" s="669"/>
      <c r="NHC381" s="669"/>
      <c r="NHD381" s="669"/>
      <c r="NHE381" s="669"/>
      <c r="NHF381" s="669"/>
      <c r="NHG381" s="669"/>
      <c r="NHH381" s="669"/>
      <c r="NHI381" s="669"/>
      <c r="NHJ381" s="669"/>
      <c r="NHK381" s="669"/>
      <c r="NHL381" s="669"/>
      <c r="NHM381" s="669"/>
      <c r="NHN381" s="669"/>
      <c r="NHO381" s="669"/>
      <c r="NHP381" s="669"/>
      <c r="NHQ381" s="669"/>
      <c r="NHR381" s="669"/>
      <c r="NHS381" s="669"/>
      <c r="NHT381" s="669"/>
      <c r="NHU381" s="669"/>
      <c r="NHV381" s="669"/>
      <c r="NHW381" s="669"/>
      <c r="NHX381" s="669"/>
      <c r="NHY381" s="669"/>
      <c r="NHZ381" s="669"/>
      <c r="NIA381" s="669"/>
      <c r="NIB381" s="669"/>
      <c r="NIC381" s="669"/>
      <c r="NID381" s="669"/>
      <c r="NIE381" s="669"/>
      <c r="NIF381" s="669"/>
      <c r="NIG381" s="669"/>
      <c r="NIH381" s="669"/>
      <c r="NII381" s="669"/>
      <c r="NIJ381" s="669"/>
      <c r="NIK381" s="669"/>
      <c r="NIL381" s="669"/>
      <c r="NIM381" s="669"/>
      <c r="NIN381" s="669"/>
      <c r="NIO381" s="669"/>
      <c r="NIP381" s="669"/>
      <c r="NIQ381" s="669"/>
      <c r="NIR381" s="669"/>
      <c r="NIS381" s="669"/>
      <c r="NIT381" s="669"/>
      <c r="NIU381" s="669"/>
      <c r="NIV381" s="669"/>
      <c r="NIW381" s="669"/>
      <c r="NIX381" s="669"/>
      <c r="NIY381" s="669"/>
      <c r="NIZ381" s="669"/>
      <c r="NJA381" s="669"/>
      <c r="NJB381" s="669"/>
      <c r="NJC381" s="669"/>
      <c r="NJD381" s="669"/>
      <c r="NJE381" s="669"/>
      <c r="NJF381" s="669"/>
      <c r="NJG381" s="669"/>
      <c r="NJH381" s="669"/>
      <c r="NJI381" s="669"/>
      <c r="NJJ381" s="669"/>
      <c r="NJK381" s="669"/>
      <c r="NJL381" s="669"/>
      <c r="NJM381" s="669"/>
      <c r="NJN381" s="669"/>
      <c r="NJO381" s="669"/>
      <c r="NJP381" s="669"/>
      <c r="NJQ381" s="669"/>
      <c r="NJR381" s="669"/>
      <c r="NJS381" s="669"/>
      <c r="NJT381" s="669"/>
      <c r="NJU381" s="669"/>
      <c r="NJV381" s="669"/>
      <c r="NJW381" s="669"/>
      <c r="NJX381" s="669"/>
      <c r="NJY381" s="669"/>
      <c r="NJZ381" s="669"/>
      <c r="NKA381" s="669"/>
      <c r="NKB381" s="669"/>
      <c r="NKC381" s="669"/>
      <c r="NKD381" s="669"/>
      <c r="NKE381" s="669"/>
      <c r="NKF381" s="669"/>
      <c r="NKG381" s="669"/>
      <c r="NKH381" s="669"/>
      <c r="NKI381" s="669"/>
      <c r="NKJ381" s="669"/>
      <c r="NKK381" s="669"/>
      <c r="NKL381" s="669"/>
      <c r="NKM381" s="669"/>
      <c r="NKN381" s="669"/>
      <c r="NKO381" s="669"/>
      <c r="NKP381" s="669"/>
      <c r="NKQ381" s="669"/>
      <c r="NKR381" s="669"/>
      <c r="NKS381" s="669"/>
      <c r="NKT381" s="669"/>
      <c r="NKU381" s="669"/>
      <c r="NKV381" s="669"/>
      <c r="NKW381" s="669"/>
      <c r="NKX381" s="669"/>
      <c r="NKY381" s="669"/>
      <c r="NKZ381" s="669"/>
      <c r="NLA381" s="669"/>
      <c r="NLB381" s="669"/>
      <c r="NLC381" s="669"/>
      <c r="NLD381" s="669"/>
      <c r="NLE381" s="669"/>
      <c r="NLF381" s="669"/>
      <c r="NLG381" s="669"/>
      <c r="NLH381" s="669"/>
      <c r="NLI381" s="669"/>
      <c r="NLJ381" s="669"/>
      <c r="NLK381" s="669"/>
      <c r="NLL381" s="669"/>
      <c r="NLM381" s="669"/>
      <c r="NLN381" s="669"/>
      <c r="NLO381" s="669"/>
      <c r="NLP381" s="669"/>
      <c r="NLQ381" s="669"/>
      <c r="NLR381" s="669"/>
      <c r="NLS381" s="669"/>
      <c r="NLT381" s="669"/>
      <c r="NLU381" s="669"/>
      <c r="NLV381" s="669"/>
      <c r="NLW381" s="669"/>
      <c r="NLX381" s="669"/>
      <c r="NLY381" s="669"/>
      <c r="NLZ381" s="669"/>
      <c r="NMA381" s="669"/>
      <c r="NMB381" s="669"/>
      <c r="NMC381" s="669"/>
      <c r="NMD381" s="669"/>
      <c r="NME381" s="669"/>
      <c r="NMF381" s="669"/>
      <c r="NMG381" s="669"/>
      <c r="NMH381" s="669"/>
      <c r="NMI381" s="669"/>
      <c r="NMJ381" s="669"/>
      <c r="NMK381" s="669"/>
      <c r="NML381" s="669"/>
      <c r="NMM381" s="669"/>
      <c r="NMN381" s="669"/>
      <c r="NMO381" s="669"/>
      <c r="NMP381" s="669"/>
      <c r="NMQ381" s="669"/>
      <c r="NMR381" s="669"/>
      <c r="NMS381" s="669"/>
      <c r="NMT381" s="669"/>
      <c r="NMU381" s="669"/>
      <c r="NMV381" s="669"/>
      <c r="NMW381" s="669"/>
      <c r="NMX381" s="669"/>
      <c r="NMY381" s="669"/>
      <c r="NMZ381" s="669"/>
      <c r="NNA381" s="669"/>
      <c r="NNB381" s="669"/>
      <c r="NNC381" s="669"/>
      <c r="NND381" s="669"/>
      <c r="NNE381" s="669"/>
      <c r="NNF381" s="669"/>
      <c r="NNG381" s="669"/>
      <c r="NNH381" s="669"/>
      <c r="NNI381" s="669"/>
      <c r="NNJ381" s="669"/>
      <c r="NNK381" s="669"/>
      <c r="NNL381" s="669"/>
      <c r="NNM381" s="669"/>
      <c r="NNN381" s="669"/>
      <c r="NNO381" s="669"/>
      <c r="NNP381" s="669"/>
      <c r="NNQ381" s="669"/>
      <c r="NNR381" s="669"/>
      <c r="NNS381" s="669"/>
      <c r="NNT381" s="669"/>
      <c r="NNU381" s="669"/>
      <c r="NNV381" s="669"/>
      <c r="NNW381" s="669"/>
      <c r="NNX381" s="669"/>
      <c r="NNY381" s="669"/>
      <c r="NNZ381" s="669"/>
      <c r="NOA381" s="669"/>
      <c r="NOB381" s="669"/>
      <c r="NOC381" s="669"/>
      <c r="NOD381" s="669"/>
      <c r="NOE381" s="669"/>
      <c r="NOF381" s="669"/>
      <c r="NOG381" s="669"/>
      <c r="NOH381" s="669"/>
      <c r="NOI381" s="669"/>
      <c r="NOJ381" s="669"/>
      <c r="NOK381" s="669"/>
      <c r="NOL381" s="669"/>
      <c r="NOM381" s="669"/>
      <c r="NON381" s="669"/>
      <c r="NOO381" s="669"/>
      <c r="NOP381" s="669"/>
      <c r="NOQ381" s="669"/>
      <c r="NOR381" s="669"/>
      <c r="NOS381" s="669"/>
      <c r="NOT381" s="669"/>
      <c r="NOU381" s="669"/>
      <c r="NOV381" s="669"/>
      <c r="NOW381" s="669"/>
      <c r="NOX381" s="669"/>
      <c r="NOY381" s="669"/>
      <c r="NOZ381" s="669"/>
      <c r="NPA381" s="669"/>
      <c r="NPB381" s="669"/>
      <c r="NPC381" s="669"/>
      <c r="NPD381" s="669"/>
      <c r="NPE381" s="669"/>
      <c r="NPF381" s="669"/>
      <c r="NPG381" s="669"/>
      <c r="NPH381" s="669"/>
      <c r="NPI381" s="669"/>
      <c r="NPJ381" s="669"/>
      <c r="NPK381" s="669"/>
      <c r="NPL381" s="669"/>
      <c r="NPM381" s="669"/>
      <c r="NPN381" s="669"/>
      <c r="NPO381" s="669"/>
      <c r="NPP381" s="669"/>
      <c r="NPQ381" s="669"/>
      <c r="NPR381" s="669"/>
      <c r="NPS381" s="669"/>
      <c r="NPT381" s="669"/>
      <c r="NPU381" s="669"/>
      <c r="NPV381" s="669"/>
      <c r="NPW381" s="669"/>
      <c r="NPX381" s="669"/>
      <c r="NPY381" s="669"/>
      <c r="NPZ381" s="669"/>
      <c r="NQA381" s="669"/>
      <c r="NQB381" s="669"/>
      <c r="NQC381" s="669"/>
      <c r="NQD381" s="669"/>
      <c r="NQE381" s="669"/>
      <c r="NQF381" s="669"/>
      <c r="NQG381" s="669"/>
      <c r="NQH381" s="669"/>
      <c r="NQI381" s="669"/>
      <c r="NQJ381" s="669"/>
      <c r="NQK381" s="669"/>
      <c r="NQL381" s="669"/>
      <c r="NQM381" s="669"/>
      <c r="NQN381" s="669"/>
      <c r="NQO381" s="669"/>
      <c r="NQP381" s="669"/>
      <c r="NQQ381" s="669"/>
      <c r="NQR381" s="669"/>
      <c r="NQS381" s="669"/>
      <c r="NQT381" s="669"/>
      <c r="NQU381" s="669"/>
      <c r="NQV381" s="669"/>
      <c r="NQW381" s="669"/>
      <c r="NQX381" s="669"/>
      <c r="NQY381" s="669"/>
      <c r="NQZ381" s="669"/>
      <c r="NRA381" s="669"/>
      <c r="NRB381" s="669"/>
      <c r="NRC381" s="669"/>
      <c r="NRD381" s="669"/>
      <c r="NRE381" s="669"/>
      <c r="NRF381" s="669"/>
      <c r="NRG381" s="669"/>
      <c r="NRH381" s="669"/>
      <c r="NRI381" s="669"/>
      <c r="NRJ381" s="669"/>
      <c r="NRK381" s="669"/>
      <c r="NRL381" s="669"/>
      <c r="NRM381" s="669"/>
      <c r="NRN381" s="669"/>
      <c r="NRO381" s="669"/>
      <c r="NRP381" s="669"/>
      <c r="NRQ381" s="669"/>
      <c r="NRR381" s="669"/>
      <c r="NRS381" s="669"/>
      <c r="NRT381" s="669"/>
      <c r="NRU381" s="669"/>
      <c r="NRV381" s="669"/>
      <c r="NRW381" s="669"/>
      <c r="NRX381" s="669"/>
      <c r="NRY381" s="669"/>
      <c r="NRZ381" s="669"/>
      <c r="NSA381" s="669"/>
      <c r="NSB381" s="669"/>
      <c r="NSC381" s="669"/>
      <c r="NSD381" s="669"/>
      <c r="NSE381" s="669"/>
      <c r="NSF381" s="669"/>
      <c r="NSG381" s="669"/>
      <c r="NSH381" s="669"/>
      <c r="NSI381" s="669"/>
      <c r="NSJ381" s="669"/>
      <c r="NSK381" s="669"/>
      <c r="NSL381" s="669"/>
      <c r="NSM381" s="669"/>
      <c r="NSN381" s="669"/>
      <c r="NSO381" s="669"/>
      <c r="NSP381" s="669"/>
      <c r="NSQ381" s="669"/>
      <c r="NSR381" s="669"/>
      <c r="NSS381" s="669"/>
      <c r="NST381" s="669"/>
      <c r="NSU381" s="669"/>
      <c r="NSV381" s="669"/>
      <c r="NSW381" s="669"/>
      <c r="NSX381" s="669"/>
      <c r="NSY381" s="669"/>
      <c r="NSZ381" s="669"/>
      <c r="NTA381" s="669"/>
      <c r="NTB381" s="669"/>
      <c r="NTC381" s="669"/>
      <c r="NTD381" s="669"/>
      <c r="NTE381" s="669"/>
      <c r="NTF381" s="669"/>
      <c r="NTG381" s="669"/>
      <c r="NTH381" s="669"/>
      <c r="NTI381" s="669"/>
      <c r="NTJ381" s="669"/>
      <c r="NTK381" s="669"/>
      <c r="NTL381" s="669"/>
      <c r="NTM381" s="669"/>
      <c r="NTN381" s="669"/>
      <c r="NTO381" s="669"/>
      <c r="NTP381" s="669"/>
      <c r="NTQ381" s="669"/>
      <c r="NTR381" s="669"/>
      <c r="NTS381" s="669"/>
      <c r="NTT381" s="669"/>
      <c r="NTU381" s="669"/>
      <c r="NTV381" s="669"/>
      <c r="NTW381" s="669"/>
      <c r="NTX381" s="669"/>
      <c r="NTY381" s="669"/>
      <c r="NTZ381" s="669"/>
      <c r="NUA381" s="669"/>
      <c r="NUB381" s="669"/>
      <c r="NUC381" s="669"/>
      <c r="NUD381" s="669"/>
      <c r="NUE381" s="669"/>
      <c r="NUF381" s="669"/>
      <c r="NUG381" s="669"/>
      <c r="NUH381" s="669"/>
      <c r="NUI381" s="669"/>
      <c r="NUJ381" s="669"/>
      <c r="NUK381" s="669"/>
      <c r="NUL381" s="669"/>
      <c r="NUM381" s="669"/>
      <c r="NUN381" s="669"/>
      <c r="NUO381" s="669"/>
      <c r="NUP381" s="669"/>
      <c r="NUQ381" s="669"/>
      <c r="NUR381" s="669"/>
      <c r="NUS381" s="669"/>
      <c r="NUT381" s="669"/>
      <c r="NUU381" s="669"/>
      <c r="NUV381" s="669"/>
      <c r="NUW381" s="669"/>
      <c r="NUX381" s="669"/>
      <c r="NUY381" s="669"/>
      <c r="NUZ381" s="669"/>
      <c r="NVA381" s="669"/>
      <c r="NVB381" s="669"/>
      <c r="NVC381" s="669"/>
      <c r="NVD381" s="669"/>
      <c r="NVE381" s="669"/>
      <c r="NVF381" s="669"/>
      <c r="NVG381" s="669"/>
      <c r="NVH381" s="669"/>
      <c r="NVI381" s="669"/>
      <c r="NVJ381" s="669"/>
      <c r="NVK381" s="669"/>
      <c r="NVL381" s="669"/>
      <c r="NVM381" s="669"/>
      <c r="NVN381" s="669"/>
      <c r="NVO381" s="669"/>
      <c r="NVP381" s="669"/>
      <c r="NVQ381" s="669"/>
      <c r="NVR381" s="669"/>
      <c r="NVS381" s="669"/>
      <c r="NVT381" s="669"/>
      <c r="NVU381" s="669"/>
      <c r="NVV381" s="669"/>
      <c r="NVW381" s="669"/>
      <c r="NVX381" s="669"/>
      <c r="NVY381" s="669"/>
      <c r="NVZ381" s="669"/>
      <c r="NWA381" s="669"/>
      <c r="NWB381" s="669"/>
      <c r="NWC381" s="669"/>
      <c r="NWD381" s="669"/>
      <c r="NWE381" s="669"/>
      <c r="NWF381" s="669"/>
      <c r="NWG381" s="669"/>
      <c r="NWH381" s="669"/>
      <c r="NWI381" s="669"/>
      <c r="NWJ381" s="669"/>
      <c r="NWK381" s="669"/>
      <c r="NWL381" s="669"/>
      <c r="NWM381" s="669"/>
      <c r="NWN381" s="669"/>
      <c r="NWO381" s="669"/>
      <c r="NWP381" s="669"/>
      <c r="NWQ381" s="669"/>
      <c r="NWR381" s="669"/>
      <c r="NWS381" s="669"/>
      <c r="NWT381" s="669"/>
      <c r="NWU381" s="669"/>
      <c r="NWV381" s="669"/>
      <c r="NWW381" s="669"/>
      <c r="NWX381" s="669"/>
      <c r="NWY381" s="669"/>
      <c r="NWZ381" s="669"/>
      <c r="NXA381" s="669"/>
      <c r="NXB381" s="669"/>
      <c r="NXC381" s="669"/>
      <c r="NXD381" s="669"/>
      <c r="NXE381" s="669"/>
      <c r="NXF381" s="669"/>
      <c r="NXG381" s="669"/>
      <c r="NXH381" s="669"/>
      <c r="NXI381" s="669"/>
      <c r="NXJ381" s="669"/>
      <c r="NXK381" s="669"/>
      <c r="NXL381" s="669"/>
      <c r="NXM381" s="669"/>
      <c r="NXN381" s="669"/>
      <c r="NXO381" s="669"/>
      <c r="NXP381" s="669"/>
      <c r="NXQ381" s="669"/>
      <c r="NXR381" s="669"/>
      <c r="NXS381" s="669"/>
      <c r="NXT381" s="669"/>
      <c r="NXU381" s="669"/>
      <c r="NXV381" s="669"/>
      <c r="NXW381" s="669"/>
      <c r="NXX381" s="669"/>
      <c r="NXY381" s="669"/>
      <c r="NXZ381" s="669"/>
      <c r="NYA381" s="669"/>
      <c r="NYB381" s="669"/>
      <c r="NYC381" s="669"/>
      <c r="NYD381" s="669"/>
      <c r="NYE381" s="669"/>
      <c r="NYF381" s="669"/>
      <c r="NYG381" s="669"/>
      <c r="NYH381" s="669"/>
      <c r="NYI381" s="669"/>
      <c r="NYJ381" s="669"/>
      <c r="NYK381" s="669"/>
      <c r="NYL381" s="669"/>
      <c r="NYM381" s="669"/>
      <c r="NYN381" s="669"/>
      <c r="NYO381" s="669"/>
      <c r="NYP381" s="669"/>
      <c r="NYQ381" s="669"/>
      <c r="NYR381" s="669"/>
      <c r="NYS381" s="669"/>
      <c r="NYT381" s="669"/>
      <c r="NYU381" s="669"/>
      <c r="NYV381" s="669"/>
      <c r="NYW381" s="669"/>
      <c r="NYX381" s="669"/>
      <c r="NYY381" s="669"/>
      <c r="NYZ381" s="669"/>
      <c r="NZA381" s="669"/>
      <c r="NZB381" s="669"/>
      <c r="NZC381" s="669"/>
      <c r="NZD381" s="669"/>
      <c r="NZE381" s="669"/>
      <c r="NZF381" s="669"/>
      <c r="NZG381" s="669"/>
      <c r="NZH381" s="669"/>
      <c r="NZI381" s="669"/>
      <c r="NZJ381" s="669"/>
      <c r="NZK381" s="669"/>
      <c r="NZL381" s="669"/>
      <c r="NZM381" s="669"/>
      <c r="NZN381" s="669"/>
      <c r="NZO381" s="669"/>
      <c r="NZP381" s="669"/>
      <c r="NZQ381" s="669"/>
      <c r="NZR381" s="669"/>
      <c r="NZS381" s="669"/>
      <c r="NZT381" s="669"/>
      <c r="NZU381" s="669"/>
      <c r="NZV381" s="669"/>
      <c r="NZW381" s="669"/>
      <c r="NZX381" s="669"/>
      <c r="NZY381" s="669"/>
      <c r="NZZ381" s="669"/>
      <c r="OAA381" s="669"/>
      <c r="OAB381" s="669"/>
      <c r="OAC381" s="669"/>
      <c r="OAD381" s="669"/>
      <c r="OAE381" s="669"/>
      <c r="OAF381" s="669"/>
      <c r="OAG381" s="669"/>
      <c r="OAH381" s="669"/>
      <c r="OAI381" s="669"/>
      <c r="OAJ381" s="669"/>
      <c r="OAK381" s="669"/>
      <c r="OAL381" s="669"/>
      <c r="OAM381" s="669"/>
      <c r="OAN381" s="669"/>
      <c r="OAO381" s="669"/>
      <c r="OAP381" s="669"/>
      <c r="OAQ381" s="669"/>
      <c r="OAR381" s="669"/>
      <c r="OAS381" s="669"/>
      <c r="OAT381" s="669"/>
      <c r="OAU381" s="669"/>
      <c r="OAV381" s="669"/>
      <c r="OAW381" s="669"/>
      <c r="OAX381" s="669"/>
      <c r="OAY381" s="669"/>
      <c r="OAZ381" s="669"/>
      <c r="OBA381" s="669"/>
      <c r="OBB381" s="669"/>
      <c r="OBC381" s="669"/>
      <c r="OBD381" s="669"/>
      <c r="OBE381" s="669"/>
      <c r="OBF381" s="669"/>
      <c r="OBG381" s="669"/>
      <c r="OBH381" s="669"/>
      <c r="OBI381" s="669"/>
      <c r="OBJ381" s="669"/>
      <c r="OBK381" s="669"/>
      <c r="OBL381" s="669"/>
      <c r="OBM381" s="669"/>
      <c r="OBN381" s="669"/>
      <c r="OBO381" s="669"/>
      <c r="OBP381" s="669"/>
      <c r="OBQ381" s="669"/>
      <c r="OBR381" s="669"/>
      <c r="OBS381" s="669"/>
      <c r="OBT381" s="669"/>
      <c r="OBU381" s="669"/>
      <c r="OBV381" s="669"/>
      <c r="OBW381" s="669"/>
      <c r="OBX381" s="669"/>
      <c r="OBY381" s="669"/>
      <c r="OBZ381" s="669"/>
      <c r="OCA381" s="669"/>
      <c r="OCB381" s="669"/>
      <c r="OCC381" s="669"/>
      <c r="OCD381" s="669"/>
      <c r="OCE381" s="669"/>
      <c r="OCF381" s="669"/>
      <c r="OCG381" s="669"/>
      <c r="OCH381" s="669"/>
      <c r="OCI381" s="669"/>
      <c r="OCJ381" s="669"/>
      <c r="OCK381" s="669"/>
      <c r="OCL381" s="669"/>
      <c r="OCM381" s="669"/>
      <c r="OCN381" s="669"/>
      <c r="OCO381" s="669"/>
      <c r="OCP381" s="669"/>
      <c r="OCQ381" s="669"/>
      <c r="OCR381" s="669"/>
      <c r="OCS381" s="669"/>
      <c r="OCT381" s="669"/>
      <c r="OCU381" s="669"/>
      <c r="OCV381" s="669"/>
      <c r="OCW381" s="669"/>
      <c r="OCX381" s="669"/>
      <c r="OCY381" s="669"/>
      <c r="OCZ381" s="669"/>
      <c r="ODA381" s="669"/>
      <c r="ODB381" s="669"/>
      <c r="ODC381" s="669"/>
      <c r="ODD381" s="669"/>
      <c r="ODE381" s="669"/>
      <c r="ODF381" s="669"/>
      <c r="ODG381" s="669"/>
      <c r="ODH381" s="669"/>
      <c r="ODI381" s="669"/>
      <c r="ODJ381" s="669"/>
      <c r="ODK381" s="669"/>
      <c r="ODL381" s="669"/>
      <c r="ODM381" s="669"/>
      <c r="ODN381" s="669"/>
      <c r="ODO381" s="669"/>
      <c r="ODP381" s="669"/>
      <c r="ODQ381" s="669"/>
      <c r="ODR381" s="669"/>
      <c r="ODS381" s="669"/>
      <c r="ODT381" s="669"/>
      <c r="ODU381" s="669"/>
      <c r="ODV381" s="669"/>
      <c r="ODW381" s="669"/>
      <c r="ODX381" s="669"/>
      <c r="ODY381" s="669"/>
      <c r="ODZ381" s="669"/>
      <c r="OEA381" s="669"/>
      <c r="OEB381" s="669"/>
      <c r="OEC381" s="669"/>
      <c r="OED381" s="669"/>
      <c r="OEE381" s="669"/>
      <c r="OEF381" s="669"/>
      <c r="OEG381" s="669"/>
      <c r="OEH381" s="669"/>
      <c r="OEI381" s="669"/>
      <c r="OEJ381" s="669"/>
      <c r="OEK381" s="669"/>
      <c r="OEL381" s="669"/>
      <c r="OEM381" s="669"/>
      <c r="OEN381" s="669"/>
      <c r="OEO381" s="669"/>
      <c r="OEP381" s="669"/>
      <c r="OEQ381" s="669"/>
      <c r="OER381" s="669"/>
      <c r="OES381" s="669"/>
      <c r="OET381" s="669"/>
      <c r="OEU381" s="669"/>
      <c r="OEV381" s="669"/>
      <c r="OEW381" s="669"/>
      <c r="OEX381" s="669"/>
      <c r="OEY381" s="669"/>
      <c r="OEZ381" s="669"/>
      <c r="OFA381" s="669"/>
      <c r="OFB381" s="669"/>
      <c r="OFC381" s="669"/>
      <c r="OFD381" s="669"/>
      <c r="OFE381" s="669"/>
      <c r="OFF381" s="669"/>
      <c r="OFG381" s="669"/>
      <c r="OFH381" s="669"/>
      <c r="OFI381" s="669"/>
      <c r="OFJ381" s="669"/>
      <c r="OFK381" s="669"/>
      <c r="OFL381" s="669"/>
      <c r="OFM381" s="669"/>
      <c r="OFN381" s="669"/>
      <c r="OFO381" s="669"/>
      <c r="OFP381" s="669"/>
      <c r="OFQ381" s="669"/>
      <c r="OFR381" s="669"/>
      <c r="OFS381" s="669"/>
      <c r="OFT381" s="669"/>
      <c r="OFU381" s="669"/>
      <c r="OFV381" s="669"/>
      <c r="OFW381" s="669"/>
      <c r="OFX381" s="669"/>
      <c r="OFY381" s="669"/>
      <c r="OFZ381" s="669"/>
      <c r="OGA381" s="669"/>
      <c r="OGB381" s="669"/>
      <c r="OGC381" s="669"/>
      <c r="OGD381" s="669"/>
      <c r="OGE381" s="669"/>
      <c r="OGF381" s="669"/>
      <c r="OGG381" s="669"/>
      <c r="OGH381" s="669"/>
      <c r="OGI381" s="669"/>
      <c r="OGJ381" s="669"/>
      <c r="OGK381" s="669"/>
      <c r="OGL381" s="669"/>
      <c r="OGM381" s="669"/>
      <c r="OGN381" s="669"/>
      <c r="OGO381" s="669"/>
      <c r="OGP381" s="669"/>
      <c r="OGQ381" s="669"/>
      <c r="OGR381" s="669"/>
      <c r="OGS381" s="669"/>
      <c r="OGT381" s="669"/>
      <c r="OGU381" s="669"/>
      <c r="OGV381" s="669"/>
      <c r="OGW381" s="669"/>
      <c r="OGX381" s="669"/>
      <c r="OGY381" s="669"/>
      <c r="OGZ381" s="669"/>
      <c r="OHA381" s="669"/>
      <c r="OHB381" s="669"/>
      <c r="OHC381" s="669"/>
      <c r="OHD381" s="669"/>
      <c r="OHE381" s="669"/>
      <c r="OHF381" s="669"/>
      <c r="OHG381" s="669"/>
      <c r="OHH381" s="669"/>
      <c r="OHI381" s="669"/>
      <c r="OHJ381" s="669"/>
      <c r="OHK381" s="669"/>
      <c r="OHL381" s="669"/>
      <c r="OHM381" s="669"/>
      <c r="OHN381" s="669"/>
      <c r="OHO381" s="669"/>
      <c r="OHP381" s="669"/>
      <c r="OHQ381" s="669"/>
      <c r="OHR381" s="669"/>
      <c r="OHS381" s="669"/>
      <c r="OHT381" s="669"/>
      <c r="OHU381" s="669"/>
      <c r="OHV381" s="669"/>
      <c r="OHW381" s="669"/>
      <c r="OHX381" s="669"/>
      <c r="OHY381" s="669"/>
      <c r="OHZ381" s="669"/>
      <c r="OIA381" s="669"/>
      <c r="OIB381" s="669"/>
      <c r="OIC381" s="669"/>
      <c r="OID381" s="669"/>
      <c r="OIE381" s="669"/>
      <c r="OIF381" s="669"/>
      <c r="OIG381" s="669"/>
      <c r="OIH381" s="669"/>
      <c r="OII381" s="669"/>
      <c r="OIJ381" s="669"/>
      <c r="OIK381" s="669"/>
      <c r="OIL381" s="669"/>
      <c r="OIM381" s="669"/>
      <c r="OIN381" s="669"/>
      <c r="OIO381" s="669"/>
      <c r="OIP381" s="669"/>
      <c r="OIQ381" s="669"/>
      <c r="OIR381" s="669"/>
      <c r="OIS381" s="669"/>
      <c r="OIT381" s="669"/>
      <c r="OIU381" s="669"/>
      <c r="OIV381" s="669"/>
      <c r="OIW381" s="669"/>
      <c r="OIX381" s="669"/>
      <c r="OIY381" s="669"/>
      <c r="OIZ381" s="669"/>
      <c r="OJA381" s="669"/>
      <c r="OJB381" s="669"/>
      <c r="OJC381" s="669"/>
      <c r="OJD381" s="669"/>
      <c r="OJE381" s="669"/>
      <c r="OJF381" s="669"/>
      <c r="OJG381" s="669"/>
      <c r="OJH381" s="669"/>
      <c r="OJI381" s="669"/>
      <c r="OJJ381" s="669"/>
      <c r="OJK381" s="669"/>
      <c r="OJL381" s="669"/>
      <c r="OJM381" s="669"/>
      <c r="OJN381" s="669"/>
      <c r="OJO381" s="669"/>
      <c r="OJP381" s="669"/>
      <c r="OJQ381" s="669"/>
      <c r="OJR381" s="669"/>
      <c r="OJS381" s="669"/>
      <c r="OJT381" s="669"/>
      <c r="OJU381" s="669"/>
      <c r="OJV381" s="669"/>
      <c r="OJW381" s="669"/>
      <c r="OJX381" s="669"/>
      <c r="OJY381" s="669"/>
      <c r="OJZ381" s="669"/>
      <c r="OKA381" s="669"/>
      <c r="OKB381" s="669"/>
      <c r="OKC381" s="669"/>
      <c r="OKD381" s="669"/>
      <c r="OKE381" s="669"/>
      <c r="OKF381" s="669"/>
      <c r="OKG381" s="669"/>
      <c r="OKH381" s="669"/>
      <c r="OKI381" s="669"/>
      <c r="OKJ381" s="669"/>
      <c r="OKK381" s="669"/>
      <c r="OKL381" s="669"/>
      <c r="OKM381" s="669"/>
      <c r="OKN381" s="669"/>
      <c r="OKO381" s="669"/>
      <c r="OKP381" s="669"/>
      <c r="OKQ381" s="669"/>
      <c r="OKR381" s="669"/>
      <c r="OKS381" s="669"/>
      <c r="OKT381" s="669"/>
      <c r="OKU381" s="669"/>
      <c r="OKV381" s="669"/>
      <c r="OKW381" s="669"/>
      <c r="OKX381" s="669"/>
      <c r="OKY381" s="669"/>
      <c r="OKZ381" s="669"/>
      <c r="OLA381" s="669"/>
      <c r="OLB381" s="669"/>
      <c r="OLC381" s="669"/>
      <c r="OLD381" s="669"/>
      <c r="OLE381" s="669"/>
      <c r="OLF381" s="669"/>
      <c r="OLG381" s="669"/>
      <c r="OLH381" s="669"/>
      <c r="OLI381" s="669"/>
      <c r="OLJ381" s="669"/>
      <c r="OLK381" s="669"/>
      <c r="OLL381" s="669"/>
      <c r="OLM381" s="669"/>
      <c r="OLN381" s="669"/>
      <c r="OLO381" s="669"/>
      <c r="OLP381" s="669"/>
      <c r="OLQ381" s="669"/>
      <c r="OLR381" s="669"/>
      <c r="OLS381" s="669"/>
      <c r="OLT381" s="669"/>
      <c r="OLU381" s="669"/>
      <c r="OLV381" s="669"/>
      <c r="OLW381" s="669"/>
      <c r="OLX381" s="669"/>
      <c r="OLY381" s="669"/>
      <c r="OLZ381" s="669"/>
      <c r="OMA381" s="669"/>
      <c r="OMB381" s="669"/>
      <c r="OMC381" s="669"/>
      <c r="OMD381" s="669"/>
      <c r="OME381" s="669"/>
      <c r="OMF381" s="669"/>
      <c r="OMG381" s="669"/>
      <c r="OMH381" s="669"/>
      <c r="OMI381" s="669"/>
      <c r="OMJ381" s="669"/>
      <c r="OMK381" s="669"/>
      <c r="OML381" s="669"/>
      <c r="OMM381" s="669"/>
      <c r="OMN381" s="669"/>
      <c r="OMO381" s="669"/>
      <c r="OMP381" s="669"/>
      <c r="OMQ381" s="669"/>
      <c r="OMR381" s="669"/>
      <c r="OMS381" s="669"/>
      <c r="OMT381" s="669"/>
      <c r="OMU381" s="669"/>
      <c r="OMV381" s="669"/>
      <c r="OMW381" s="669"/>
      <c r="OMX381" s="669"/>
      <c r="OMY381" s="669"/>
      <c r="OMZ381" s="669"/>
      <c r="ONA381" s="669"/>
      <c r="ONB381" s="669"/>
      <c r="ONC381" s="669"/>
      <c r="OND381" s="669"/>
      <c r="ONE381" s="669"/>
      <c r="ONF381" s="669"/>
      <c r="ONG381" s="669"/>
      <c r="ONH381" s="669"/>
      <c r="ONI381" s="669"/>
      <c r="ONJ381" s="669"/>
      <c r="ONK381" s="669"/>
      <c r="ONL381" s="669"/>
      <c r="ONM381" s="669"/>
      <c r="ONN381" s="669"/>
      <c r="ONO381" s="669"/>
      <c r="ONP381" s="669"/>
      <c r="ONQ381" s="669"/>
      <c r="ONR381" s="669"/>
      <c r="ONS381" s="669"/>
      <c r="ONT381" s="669"/>
      <c r="ONU381" s="669"/>
      <c r="ONV381" s="669"/>
      <c r="ONW381" s="669"/>
      <c r="ONX381" s="669"/>
      <c r="ONY381" s="669"/>
      <c r="ONZ381" s="669"/>
      <c r="OOA381" s="669"/>
      <c r="OOB381" s="669"/>
      <c r="OOC381" s="669"/>
      <c r="OOD381" s="669"/>
      <c r="OOE381" s="669"/>
      <c r="OOF381" s="669"/>
      <c r="OOG381" s="669"/>
      <c r="OOH381" s="669"/>
      <c r="OOI381" s="669"/>
      <c r="OOJ381" s="669"/>
      <c r="OOK381" s="669"/>
      <c r="OOL381" s="669"/>
      <c r="OOM381" s="669"/>
      <c r="OON381" s="669"/>
      <c r="OOO381" s="669"/>
      <c r="OOP381" s="669"/>
      <c r="OOQ381" s="669"/>
      <c r="OOR381" s="669"/>
      <c r="OOS381" s="669"/>
      <c r="OOT381" s="669"/>
      <c r="OOU381" s="669"/>
      <c r="OOV381" s="669"/>
      <c r="OOW381" s="669"/>
      <c r="OOX381" s="669"/>
      <c r="OOY381" s="669"/>
      <c r="OOZ381" s="669"/>
      <c r="OPA381" s="669"/>
      <c r="OPB381" s="669"/>
      <c r="OPC381" s="669"/>
      <c r="OPD381" s="669"/>
      <c r="OPE381" s="669"/>
      <c r="OPF381" s="669"/>
      <c r="OPG381" s="669"/>
      <c r="OPH381" s="669"/>
      <c r="OPI381" s="669"/>
      <c r="OPJ381" s="669"/>
      <c r="OPK381" s="669"/>
      <c r="OPL381" s="669"/>
      <c r="OPM381" s="669"/>
      <c r="OPN381" s="669"/>
      <c r="OPO381" s="669"/>
      <c r="OPP381" s="669"/>
      <c r="OPQ381" s="669"/>
      <c r="OPR381" s="669"/>
      <c r="OPS381" s="669"/>
      <c r="OPT381" s="669"/>
      <c r="OPU381" s="669"/>
      <c r="OPV381" s="669"/>
      <c r="OPW381" s="669"/>
      <c r="OPX381" s="669"/>
      <c r="OPY381" s="669"/>
      <c r="OPZ381" s="669"/>
      <c r="OQA381" s="669"/>
      <c r="OQB381" s="669"/>
      <c r="OQC381" s="669"/>
      <c r="OQD381" s="669"/>
      <c r="OQE381" s="669"/>
      <c r="OQF381" s="669"/>
      <c r="OQG381" s="669"/>
      <c r="OQH381" s="669"/>
      <c r="OQI381" s="669"/>
      <c r="OQJ381" s="669"/>
      <c r="OQK381" s="669"/>
      <c r="OQL381" s="669"/>
      <c r="OQM381" s="669"/>
      <c r="OQN381" s="669"/>
      <c r="OQO381" s="669"/>
      <c r="OQP381" s="669"/>
      <c r="OQQ381" s="669"/>
      <c r="OQR381" s="669"/>
      <c r="OQS381" s="669"/>
      <c r="OQT381" s="669"/>
      <c r="OQU381" s="669"/>
      <c r="OQV381" s="669"/>
      <c r="OQW381" s="669"/>
      <c r="OQX381" s="669"/>
      <c r="OQY381" s="669"/>
      <c r="OQZ381" s="669"/>
      <c r="ORA381" s="669"/>
      <c r="ORB381" s="669"/>
      <c r="ORC381" s="669"/>
      <c r="ORD381" s="669"/>
      <c r="ORE381" s="669"/>
      <c r="ORF381" s="669"/>
      <c r="ORG381" s="669"/>
      <c r="ORH381" s="669"/>
      <c r="ORI381" s="669"/>
      <c r="ORJ381" s="669"/>
      <c r="ORK381" s="669"/>
      <c r="ORL381" s="669"/>
      <c r="ORM381" s="669"/>
      <c r="ORN381" s="669"/>
      <c r="ORO381" s="669"/>
      <c r="ORP381" s="669"/>
      <c r="ORQ381" s="669"/>
      <c r="ORR381" s="669"/>
      <c r="ORS381" s="669"/>
      <c r="ORT381" s="669"/>
      <c r="ORU381" s="669"/>
      <c r="ORV381" s="669"/>
      <c r="ORW381" s="669"/>
      <c r="ORX381" s="669"/>
      <c r="ORY381" s="669"/>
      <c r="ORZ381" s="669"/>
      <c r="OSA381" s="669"/>
      <c r="OSB381" s="669"/>
      <c r="OSC381" s="669"/>
      <c r="OSD381" s="669"/>
      <c r="OSE381" s="669"/>
      <c r="OSF381" s="669"/>
      <c r="OSG381" s="669"/>
      <c r="OSH381" s="669"/>
      <c r="OSI381" s="669"/>
      <c r="OSJ381" s="669"/>
      <c r="OSK381" s="669"/>
      <c r="OSL381" s="669"/>
      <c r="OSM381" s="669"/>
      <c r="OSN381" s="669"/>
      <c r="OSO381" s="669"/>
      <c r="OSP381" s="669"/>
      <c r="OSQ381" s="669"/>
      <c r="OSR381" s="669"/>
      <c r="OSS381" s="669"/>
      <c r="OST381" s="669"/>
      <c r="OSU381" s="669"/>
      <c r="OSV381" s="669"/>
      <c r="OSW381" s="669"/>
      <c r="OSX381" s="669"/>
      <c r="OSY381" s="669"/>
      <c r="OSZ381" s="669"/>
      <c r="OTA381" s="669"/>
      <c r="OTB381" s="669"/>
      <c r="OTC381" s="669"/>
      <c r="OTD381" s="669"/>
      <c r="OTE381" s="669"/>
      <c r="OTF381" s="669"/>
      <c r="OTG381" s="669"/>
      <c r="OTH381" s="669"/>
      <c r="OTI381" s="669"/>
      <c r="OTJ381" s="669"/>
      <c r="OTK381" s="669"/>
      <c r="OTL381" s="669"/>
      <c r="OTM381" s="669"/>
      <c r="OTN381" s="669"/>
      <c r="OTO381" s="669"/>
      <c r="OTP381" s="669"/>
      <c r="OTQ381" s="669"/>
      <c r="OTR381" s="669"/>
      <c r="OTS381" s="669"/>
      <c r="OTT381" s="669"/>
      <c r="OTU381" s="669"/>
      <c r="OTV381" s="669"/>
      <c r="OTW381" s="669"/>
      <c r="OTX381" s="669"/>
      <c r="OTY381" s="669"/>
      <c r="OTZ381" s="669"/>
      <c r="OUA381" s="669"/>
      <c r="OUB381" s="669"/>
      <c r="OUC381" s="669"/>
      <c r="OUD381" s="669"/>
      <c r="OUE381" s="669"/>
      <c r="OUF381" s="669"/>
      <c r="OUG381" s="669"/>
      <c r="OUH381" s="669"/>
      <c r="OUI381" s="669"/>
      <c r="OUJ381" s="669"/>
      <c r="OUK381" s="669"/>
      <c r="OUL381" s="669"/>
      <c r="OUM381" s="669"/>
      <c r="OUN381" s="669"/>
      <c r="OUO381" s="669"/>
      <c r="OUP381" s="669"/>
      <c r="OUQ381" s="669"/>
      <c r="OUR381" s="669"/>
      <c r="OUS381" s="669"/>
      <c r="OUT381" s="669"/>
      <c r="OUU381" s="669"/>
      <c r="OUV381" s="669"/>
      <c r="OUW381" s="669"/>
      <c r="OUX381" s="669"/>
      <c r="OUY381" s="669"/>
      <c r="OUZ381" s="669"/>
      <c r="OVA381" s="669"/>
      <c r="OVB381" s="669"/>
      <c r="OVC381" s="669"/>
      <c r="OVD381" s="669"/>
      <c r="OVE381" s="669"/>
      <c r="OVF381" s="669"/>
      <c r="OVG381" s="669"/>
      <c r="OVH381" s="669"/>
      <c r="OVI381" s="669"/>
      <c r="OVJ381" s="669"/>
      <c r="OVK381" s="669"/>
      <c r="OVL381" s="669"/>
      <c r="OVM381" s="669"/>
      <c r="OVN381" s="669"/>
      <c r="OVO381" s="669"/>
      <c r="OVP381" s="669"/>
      <c r="OVQ381" s="669"/>
      <c r="OVR381" s="669"/>
      <c r="OVS381" s="669"/>
      <c r="OVT381" s="669"/>
      <c r="OVU381" s="669"/>
      <c r="OVV381" s="669"/>
      <c r="OVW381" s="669"/>
      <c r="OVX381" s="669"/>
      <c r="OVY381" s="669"/>
      <c r="OVZ381" s="669"/>
      <c r="OWA381" s="669"/>
      <c r="OWB381" s="669"/>
      <c r="OWC381" s="669"/>
      <c r="OWD381" s="669"/>
      <c r="OWE381" s="669"/>
      <c r="OWF381" s="669"/>
      <c r="OWG381" s="669"/>
      <c r="OWH381" s="669"/>
      <c r="OWI381" s="669"/>
      <c r="OWJ381" s="669"/>
      <c r="OWK381" s="669"/>
      <c r="OWL381" s="669"/>
      <c r="OWM381" s="669"/>
      <c r="OWN381" s="669"/>
      <c r="OWO381" s="669"/>
      <c r="OWP381" s="669"/>
      <c r="OWQ381" s="669"/>
      <c r="OWR381" s="669"/>
      <c r="OWS381" s="669"/>
      <c r="OWT381" s="669"/>
      <c r="OWU381" s="669"/>
      <c r="OWV381" s="669"/>
      <c r="OWW381" s="669"/>
      <c r="OWX381" s="669"/>
      <c r="OWY381" s="669"/>
      <c r="OWZ381" s="669"/>
      <c r="OXA381" s="669"/>
      <c r="OXB381" s="669"/>
      <c r="OXC381" s="669"/>
      <c r="OXD381" s="669"/>
      <c r="OXE381" s="669"/>
      <c r="OXF381" s="669"/>
      <c r="OXG381" s="669"/>
      <c r="OXH381" s="669"/>
      <c r="OXI381" s="669"/>
      <c r="OXJ381" s="669"/>
      <c r="OXK381" s="669"/>
      <c r="OXL381" s="669"/>
      <c r="OXM381" s="669"/>
      <c r="OXN381" s="669"/>
      <c r="OXO381" s="669"/>
      <c r="OXP381" s="669"/>
      <c r="OXQ381" s="669"/>
      <c r="OXR381" s="669"/>
      <c r="OXS381" s="669"/>
      <c r="OXT381" s="669"/>
      <c r="OXU381" s="669"/>
      <c r="OXV381" s="669"/>
      <c r="OXW381" s="669"/>
      <c r="OXX381" s="669"/>
      <c r="OXY381" s="669"/>
      <c r="OXZ381" s="669"/>
      <c r="OYA381" s="669"/>
      <c r="OYB381" s="669"/>
      <c r="OYC381" s="669"/>
      <c r="OYD381" s="669"/>
      <c r="OYE381" s="669"/>
      <c r="OYF381" s="669"/>
      <c r="OYG381" s="669"/>
      <c r="OYH381" s="669"/>
      <c r="OYI381" s="669"/>
      <c r="OYJ381" s="669"/>
      <c r="OYK381" s="669"/>
      <c r="OYL381" s="669"/>
      <c r="OYM381" s="669"/>
      <c r="OYN381" s="669"/>
      <c r="OYO381" s="669"/>
      <c r="OYP381" s="669"/>
      <c r="OYQ381" s="669"/>
      <c r="OYR381" s="669"/>
      <c r="OYS381" s="669"/>
      <c r="OYT381" s="669"/>
      <c r="OYU381" s="669"/>
      <c r="OYV381" s="669"/>
      <c r="OYW381" s="669"/>
      <c r="OYX381" s="669"/>
      <c r="OYY381" s="669"/>
      <c r="OYZ381" s="669"/>
      <c r="OZA381" s="669"/>
      <c r="OZB381" s="669"/>
      <c r="OZC381" s="669"/>
      <c r="OZD381" s="669"/>
      <c r="OZE381" s="669"/>
      <c r="OZF381" s="669"/>
      <c r="OZG381" s="669"/>
      <c r="OZH381" s="669"/>
      <c r="OZI381" s="669"/>
      <c r="OZJ381" s="669"/>
      <c r="OZK381" s="669"/>
      <c r="OZL381" s="669"/>
      <c r="OZM381" s="669"/>
      <c r="OZN381" s="669"/>
      <c r="OZO381" s="669"/>
      <c r="OZP381" s="669"/>
      <c r="OZQ381" s="669"/>
      <c r="OZR381" s="669"/>
      <c r="OZS381" s="669"/>
      <c r="OZT381" s="669"/>
      <c r="OZU381" s="669"/>
      <c r="OZV381" s="669"/>
      <c r="OZW381" s="669"/>
      <c r="OZX381" s="669"/>
      <c r="OZY381" s="669"/>
      <c r="OZZ381" s="669"/>
      <c r="PAA381" s="669"/>
      <c r="PAB381" s="669"/>
      <c r="PAC381" s="669"/>
      <c r="PAD381" s="669"/>
      <c r="PAE381" s="669"/>
      <c r="PAF381" s="669"/>
      <c r="PAG381" s="669"/>
      <c r="PAH381" s="669"/>
      <c r="PAI381" s="669"/>
      <c r="PAJ381" s="669"/>
      <c r="PAK381" s="669"/>
      <c r="PAL381" s="669"/>
      <c r="PAM381" s="669"/>
      <c r="PAN381" s="669"/>
      <c r="PAO381" s="669"/>
      <c r="PAP381" s="669"/>
      <c r="PAQ381" s="669"/>
      <c r="PAR381" s="669"/>
      <c r="PAS381" s="669"/>
      <c r="PAT381" s="669"/>
      <c r="PAU381" s="669"/>
      <c r="PAV381" s="669"/>
      <c r="PAW381" s="669"/>
      <c r="PAX381" s="669"/>
      <c r="PAY381" s="669"/>
      <c r="PAZ381" s="669"/>
      <c r="PBA381" s="669"/>
      <c r="PBB381" s="669"/>
      <c r="PBC381" s="669"/>
      <c r="PBD381" s="669"/>
      <c r="PBE381" s="669"/>
      <c r="PBF381" s="669"/>
      <c r="PBG381" s="669"/>
      <c r="PBH381" s="669"/>
      <c r="PBI381" s="669"/>
      <c r="PBJ381" s="669"/>
      <c r="PBK381" s="669"/>
      <c r="PBL381" s="669"/>
      <c r="PBM381" s="669"/>
      <c r="PBN381" s="669"/>
      <c r="PBO381" s="669"/>
      <c r="PBP381" s="669"/>
      <c r="PBQ381" s="669"/>
      <c r="PBR381" s="669"/>
      <c r="PBS381" s="669"/>
      <c r="PBT381" s="669"/>
      <c r="PBU381" s="669"/>
      <c r="PBV381" s="669"/>
      <c r="PBW381" s="669"/>
      <c r="PBX381" s="669"/>
      <c r="PBY381" s="669"/>
      <c r="PBZ381" s="669"/>
      <c r="PCA381" s="669"/>
      <c r="PCB381" s="669"/>
      <c r="PCC381" s="669"/>
      <c r="PCD381" s="669"/>
      <c r="PCE381" s="669"/>
      <c r="PCF381" s="669"/>
      <c r="PCG381" s="669"/>
      <c r="PCH381" s="669"/>
      <c r="PCI381" s="669"/>
      <c r="PCJ381" s="669"/>
      <c r="PCK381" s="669"/>
      <c r="PCL381" s="669"/>
      <c r="PCM381" s="669"/>
      <c r="PCN381" s="669"/>
      <c r="PCO381" s="669"/>
      <c r="PCP381" s="669"/>
      <c r="PCQ381" s="669"/>
      <c r="PCR381" s="669"/>
      <c r="PCS381" s="669"/>
      <c r="PCT381" s="669"/>
      <c r="PCU381" s="669"/>
      <c r="PCV381" s="669"/>
      <c r="PCW381" s="669"/>
      <c r="PCX381" s="669"/>
      <c r="PCY381" s="669"/>
      <c r="PCZ381" s="669"/>
      <c r="PDA381" s="669"/>
      <c r="PDB381" s="669"/>
      <c r="PDC381" s="669"/>
      <c r="PDD381" s="669"/>
      <c r="PDE381" s="669"/>
      <c r="PDF381" s="669"/>
      <c r="PDG381" s="669"/>
      <c r="PDH381" s="669"/>
      <c r="PDI381" s="669"/>
      <c r="PDJ381" s="669"/>
      <c r="PDK381" s="669"/>
      <c r="PDL381" s="669"/>
      <c r="PDM381" s="669"/>
      <c r="PDN381" s="669"/>
      <c r="PDO381" s="669"/>
      <c r="PDP381" s="669"/>
      <c r="PDQ381" s="669"/>
      <c r="PDR381" s="669"/>
      <c r="PDS381" s="669"/>
      <c r="PDT381" s="669"/>
      <c r="PDU381" s="669"/>
      <c r="PDV381" s="669"/>
      <c r="PDW381" s="669"/>
      <c r="PDX381" s="669"/>
      <c r="PDY381" s="669"/>
      <c r="PDZ381" s="669"/>
      <c r="PEA381" s="669"/>
      <c r="PEB381" s="669"/>
      <c r="PEC381" s="669"/>
      <c r="PED381" s="669"/>
      <c r="PEE381" s="669"/>
      <c r="PEF381" s="669"/>
      <c r="PEG381" s="669"/>
      <c r="PEH381" s="669"/>
      <c r="PEI381" s="669"/>
      <c r="PEJ381" s="669"/>
      <c r="PEK381" s="669"/>
      <c r="PEL381" s="669"/>
      <c r="PEM381" s="669"/>
      <c r="PEN381" s="669"/>
      <c r="PEO381" s="669"/>
      <c r="PEP381" s="669"/>
      <c r="PEQ381" s="669"/>
      <c r="PER381" s="669"/>
      <c r="PES381" s="669"/>
      <c r="PET381" s="669"/>
      <c r="PEU381" s="669"/>
      <c r="PEV381" s="669"/>
      <c r="PEW381" s="669"/>
      <c r="PEX381" s="669"/>
      <c r="PEY381" s="669"/>
      <c r="PEZ381" s="669"/>
      <c r="PFA381" s="669"/>
      <c r="PFB381" s="669"/>
      <c r="PFC381" s="669"/>
      <c r="PFD381" s="669"/>
      <c r="PFE381" s="669"/>
      <c r="PFF381" s="669"/>
      <c r="PFG381" s="669"/>
      <c r="PFH381" s="669"/>
      <c r="PFI381" s="669"/>
      <c r="PFJ381" s="669"/>
      <c r="PFK381" s="669"/>
      <c r="PFL381" s="669"/>
      <c r="PFM381" s="669"/>
      <c r="PFN381" s="669"/>
      <c r="PFO381" s="669"/>
      <c r="PFP381" s="669"/>
      <c r="PFQ381" s="669"/>
      <c r="PFR381" s="669"/>
      <c r="PFS381" s="669"/>
      <c r="PFT381" s="669"/>
      <c r="PFU381" s="669"/>
      <c r="PFV381" s="669"/>
      <c r="PFW381" s="669"/>
      <c r="PFX381" s="669"/>
      <c r="PFY381" s="669"/>
      <c r="PFZ381" s="669"/>
      <c r="PGA381" s="669"/>
      <c r="PGB381" s="669"/>
      <c r="PGC381" s="669"/>
      <c r="PGD381" s="669"/>
      <c r="PGE381" s="669"/>
      <c r="PGF381" s="669"/>
      <c r="PGG381" s="669"/>
      <c r="PGH381" s="669"/>
      <c r="PGI381" s="669"/>
      <c r="PGJ381" s="669"/>
      <c r="PGK381" s="669"/>
      <c r="PGL381" s="669"/>
      <c r="PGM381" s="669"/>
      <c r="PGN381" s="669"/>
      <c r="PGO381" s="669"/>
      <c r="PGP381" s="669"/>
      <c r="PGQ381" s="669"/>
      <c r="PGR381" s="669"/>
      <c r="PGS381" s="669"/>
      <c r="PGT381" s="669"/>
      <c r="PGU381" s="669"/>
      <c r="PGV381" s="669"/>
      <c r="PGW381" s="669"/>
      <c r="PGX381" s="669"/>
      <c r="PGY381" s="669"/>
      <c r="PGZ381" s="669"/>
      <c r="PHA381" s="669"/>
      <c r="PHB381" s="669"/>
      <c r="PHC381" s="669"/>
      <c r="PHD381" s="669"/>
      <c r="PHE381" s="669"/>
      <c r="PHF381" s="669"/>
      <c r="PHG381" s="669"/>
      <c r="PHH381" s="669"/>
      <c r="PHI381" s="669"/>
      <c r="PHJ381" s="669"/>
      <c r="PHK381" s="669"/>
      <c r="PHL381" s="669"/>
      <c r="PHM381" s="669"/>
      <c r="PHN381" s="669"/>
      <c r="PHO381" s="669"/>
      <c r="PHP381" s="669"/>
      <c r="PHQ381" s="669"/>
      <c r="PHR381" s="669"/>
      <c r="PHS381" s="669"/>
      <c r="PHT381" s="669"/>
      <c r="PHU381" s="669"/>
      <c r="PHV381" s="669"/>
      <c r="PHW381" s="669"/>
      <c r="PHX381" s="669"/>
      <c r="PHY381" s="669"/>
      <c r="PHZ381" s="669"/>
      <c r="PIA381" s="669"/>
      <c r="PIB381" s="669"/>
      <c r="PIC381" s="669"/>
      <c r="PID381" s="669"/>
      <c r="PIE381" s="669"/>
      <c r="PIF381" s="669"/>
      <c r="PIG381" s="669"/>
      <c r="PIH381" s="669"/>
      <c r="PII381" s="669"/>
      <c r="PIJ381" s="669"/>
      <c r="PIK381" s="669"/>
      <c r="PIL381" s="669"/>
      <c r="PIM381" s="669"/>
      <c r="PIN381" s="669"/>
      <c r="PIO381" s="669"/>
      <c r="PIP381" s="669"/>
      <c r="PIQ381" s="669"/>
      <c r="PIR381" s="669"/>
      <c r="PIS381" s="669"/>
      <c r="PIT381" s="669"/>
      <c r="PIU381" s="669"/>
      <c r="PIV381" s="669"/>
      <c r="PIW381" s="669"/>
      <c r="PIX381" s="669"/>
      <c r="PIY381" s="669"/>
      <c r="PIZ381" s="669"/>
      <c r="PJA381" s="669"/>
      <c r="PJB381" s="669"/>
      <c r="PJC381" s="669"/>
      <c r="PJD381" s="669"/>
      <c r="PJE381" s="669"/>
      <c r="PJF381" s="669"/>
      <c r="PJG381" s="669"/>
      <c r="PJH381" s="669"/>
      <c r="PJI381" s="669"/>
      <c r="PJJ381" s="669"/>
      <c r="PJK381" s="669"/>
      <c r="PJL381" s="669"/>
      <c r="PJM381" s="669"/>
      <c r="PJN381" s="669"/>
      <c r="PJO381" s="669"/>
      <c r="PJP381" s="669"/>
      <c r="PJQ381" s="669"/>
      <c r="PJR381" s="669"/>
      <c r="PJS381" s="669"/>
      <c r="PJT381" s="669"/>
      <c r="PJU381" s="669"/>
      <c r="PJV381" s="669"/>
      <c r="PJW381" s="669"/>
      <c r="PJX381" s="669"/>
      <c r="PJY381" s="669"/>
      <c r="PJZ381" s="669"/>
      <c r="PKA381" s="669"/>
      <c r="PKB381" s="669"/>
      <c r="PKC381" s="669"/>
      <c r="PKD381" s="669"/>
      <c r="PKE381" s="669"/>
      <c r="PKF381" s="669"/>
      <c r="PKG381" s="669"/>
      <c r="PKH381" s="669"/>
      <c r="PKI381" s="669"/>
      <c r="PKJ381" s="669"/>
      <c r="PKK381" s="669"/>
      <c r="PKL381" s="669"/>
      <c r="PKM381" s="669"/>
      <c r="PKN381" s="669"/>
      <c r="PKO381" s="669"/>
      <c r="PKP381" s="669"/>
      <c r="PKQ381" s="669"/>
      <c r="PKR381" s="669"/>
      <c r="PKS381" s="669"/>
      <c r="PKT381" s="669"/>
      <c r="PKU381" s="669"/>
      <c r="PKV381" s="669"/>
      <c r="PKW381" s="669"/>
      <c r="PKX381" s="669"/>
      <c r="PKY381" s="669"/>
      <c r="PKZ381" s="669"/>
      <c r="PLA381" s="669"/>
      <c r="PLB381" s="669"/>
      <c r="PLC381" s="669"/>
      <c r="PLD381" s="669"/>
      <c r="PLE381" s="669"/>
      <c r="PLF381" s="669"/>
      <c r="PLG381" s="669"/>
      <c r="PLH381" s="669"/>
      <c r="PLI381" s="669"/>
      <c r="PLJ381" s="669"/>
      <c r="PLK381" s="669"/>
      <c r="PLL381" s="669"/>
      <c r="PLM381" s="669"/>
      <c r="PLN381" s="669"/>
      <c r="PLO381" s="669"/>
      <c r="PLP381" s="669"/>
      <c r="PLQ381" s="669"/>
      <c r="PLR381" s="669"/>
      <c r="PLS381" s="669"/>
      <c r="PLT381" s="669"/>
      <c r="PLU381" s="669"/>
      <c r="PLV381" s="669"/>
      <c r="PLW381" s="669"/>
      <c r="PLX381" s="669"/>
      <c r="PLY381" s="669"/>
      <c r="PLZ381" s="669"/>
      <c r="PMA381" s="669"/>
      <c r="PMB381" s="669"/>
      <c r="PMC381" s="669"/>
      <c r="PMD381" s="669"/>
      <c r="PME381" s="669"/>
      <c r="PMF381" s="669"/>
      <c r="PMG381" s="669"/>
      <c r="PMH381" s="669"/>
      <c r="PMI381" s="669"/>
      <c r="PMJ381" s="669"/>
      <c r="PMK381" s="669"/>
      <c r="PML381" s="669"/>
      <c r="PMM381" s="669"/>
      <c r="PMN381" s="669"/>
      <c r="PMO381" s="669"/>
      <c r="PMP381" s="669"/>
      <c r="PMQ381" s="669"/>
      <c r="PMR381" s="669"/>
      <c r="PMS381" s="669"/>
      <c r="PMT381" s="669"/>
      <c r="PMU381" s="669"/>
      <c r="PMV381" s="669"/>
      <c r="PMW381" s="669"/>
      <c r="PMX381" s="669"/>
      <c r="PMY381" s="669"/>
      <c r="PMZ381" s="669"/>
      <c r="PNA381" s="669"/>
      <c r="PNB381" s="669"/>
      <c r="PNC381" s="669"/>
      <c r="PND381" s="669"/>
      <c r="PNE381" s="669"/>
      <c r="PNF381" s="669"/>
      <c r="PNG381" s="669"/>
      <c r="PNH381" s="669"/>
      <c r="PNI381" s="669"/>
      <c r="PNJ381" s="669"/>
      <c r="PNK381" s="669"/>
      <c r="PNL381" s="669"/>
      <c r="PNM381" s="669"/>
      <c r="PNN381" s="669"/>
      <c r="PNO381" s="669"/>
      <c r="PNP381" s="669"/>
      <c r="PNQ381" s="669"/>
      <c r="PNR381" s="669"/>
      <c r="PNS381" s="669"/>
      <c r="PNT381" s="669"/>
      <c r="PNU381" s="669"/>
      <c r="PNV381" s="669"/>
      <c r="PNW381" s="669"/>
      <c r="PNX381" s="669"/>
      <c r="PNY381" s="669"/>
      <c r="PNZ381" s="669"/>
      <c r="POA381" s="669"/>
      <c r="POB381" s="669"/>
      <c r="POC381" s="669"/>
      <c r="POD381" s="669"/>
      <c r="POE381" s="669"/>
      <c r="POF381" s="669"/>
      <c r="POG381" s="669"/>
      <c r="POH381" s="669"/>
      <c r="POI381" s="669"/>
      <c r="POJ381" s="669"/>
      <c r="POK381" s="669"/>
      <c r="POL381" s="669"/>
      <c r="POM381" s="669"/>
      <c r="PON381" s="669"/>
      <c r="POO381" s="669"/>
      <c r="POP381" s="669"/>
      <c r="POQ381" s="669"/>
      <c r="POR381" s="669"/>
      <c r="POS381" s="669"/>
      <c r="POT381" s="669"/>
      <c r="POU381" s="669"/>
      <c r="POV381" s="669"/>
      <c r="POW381" s="669"/>
      <c r="POX381" s="669"/>
      <c r="POY381" s="669"/>
      <c r="POZ381" s="669"/>
      <c r="PPA381" s="669"/>
      <c r="PPB381" s="669"/>
      <c r="PPC381" s="669"/>
      <c r="PPD381" s="669"/>
      <c r="PPE381" s="669"/>
      <c r="PPF381" s="669"/>
      <c r="PPG381" s="669"/>
      <c r="PPH381" s="669"/>
      <c r="PPI381" s="669"/>
      <c r="PPJ381" s="669"/>
      <c r="PPK381" s="669"/>
      <c r="PPL381" s="669"/>
      <c r="PPM381" s="669"/>
      <c r="PPN381" s="669"/>
      <c r="PPO381" s="669"/>
      <c r="PPP381" s="669"/>
      <c r="PPQ381" s="669"/>
      <c r="PPR381" s="669"/>
      <c r="PPS381" s="669"/>
      <c r="PPT381" s="669"/>
      <c r="PPU381" s="669"/>
      <c r="PPV381" s="669"/>
      <c r="PPW381" s="669"/>
      <c r="PPX381" s="669"/>
      <c r="PPY381" s="669"/>
      <c r="PPZ381" s="669"/>
      <c r="PQA381" s="669"/>
      <c r="PQB381" s="669"/>
      <c r="PQC381" s="669"/>
      <c r="PQD381" s="669"/>
      <c r="PQE381" s="669"/>
      <c r="PQF381" s="669"/>
      <c r="PQG381" s="669"/>
      <c r="PQH381" s="669"/>
      <c r="PQI381" s="669"/>
      <c r="PQJ381" s="669"/>
      <c r="PQK381" s="669"/>
      <c r="PQL381" s="669"/>
      <c r="PQM381" s="669"/>
      <c r="PQN381" s="669"/>
      <c r="PQO381" s="669"/>
      <c r="PQP381" s="669"/>
      <c r="PQQ381" s="669"/>
      <c r="PQR381" s="669"/>
      <c r="PQS381" s="669"/>
      <c r="PQT381" s="669"/>
      <c r="PQU381" s="669"/>
      <c r="PQV381" s="669"/>
      <c r="PQW381" s="669"/>
      <c r="PQX381" s="669"/>
      <c r="PQY381" s="669"/>
      <c r="PQZ381" s="669"/>
      <c r="PRA381" s="669"/>
      <c r="PRB381" s="669"/>
      <c r="PRC381" s="669"/>
      <c r="PRD381" s="669"/>
      <c r="PRE381" s="669"/>
      <c r="PRF381" s="669"/>
      <c r="PRG381" s="669"/>
      <c r="PRH381" s="669"/>
      <c r="PRI381" s="669"/>
      <c r="PRJ381" s="669"/>
      <c r="PRK381" s="669"/>
      <c r="PRL381" s="669"/>
      <c r="PRM381" s="669"/>
      <c r="PRN381" s="669"/>
      <c r="PRO381" s="669"/>
      <c r="PRP381" s="669"/>
      <c r="PRQ381" s="669"/>
      <c r="PRR381" s="669"/>
      <c r="PRS381" s="669"/>
      <c r="PRT381" s="669"/>
      <c r="PRU381" s="669"/>
      <c r="PRV381" s="669"/>
      <c r="PRW381" s="669"/>
      <c r="PRX381" s="669"/>
      <c r="PRY381" s="669"/>
      <c r="PRZ381" s="669"/>
      <c r="PSA381" s="669"/>
      <c r="PSB381" s="669"/>
      <c r="PSC381" s="669"/>
      <c r="PSD381" s="669"/>
      <c r="PSE381" s="669"/>
      <c r="PSF381" s="669"/>
      <c r="PSG381" s="669"/>
      <c r="PSH381" s="669"/>
      <c r="PSI381" s="669"/>
      <c r="PSJ381" s="669"/>
      <c r="PSK381" s="669"/>
      <c r="PSL381" s="669"/>
      <c r="PSM381" s="669"/>
      <c r="PSN381" s="669"/>
      <c r="PSO381" s="669"/>
      <c r="PSP381" s="669"/>
      <c r="PSQ381" s="669"/>
      <c r="PSR381" s="669"/>
      <c r="PSS381" s="669"/>
      <c r="PST381" s="669"/>
      <c r="PSU381" s="669"/>
      <c r="PSV381" s="669"/>
      <c r="PSW381" s="669"/>
      <c r="PSX381" s="669"/>
      <c r="PSY381" s="669"/>
      <c r="PSZ381" s="669"/>
      <c r="PTA381" s="669"/>
      <c r="PTB381" s="669"/>
      <c r="PTC381" s="669"/>
      <c r="PTD381" s="669"/>
      <c r="PTE381" s="669"/>
      <c r="PTF381" s="669"/>
      <c r="PTG381" s="669"/>
      <c r="PTH381" s="669"/>
      <c r="PTI381" s="669"/>
      <c r="PTJ381" s="669"/>
      <c r="PTK381" s="669"/>
      <c r="PTL381" s="669"/>
      <c r="PTM381" s="669"/>
      <c r="PTN381" s="669"/>
      <c r="PTO381" s="669"/>
      <c r="PTP381" s="669"/>
      <c r="PTQ381" s="669"/>
      <c r="PTR381" s="669"/>
      <c r="PTS381" s="669"/>
      <c r="PTT381" s="669"/>
      <c r="PTU381" s="669"/>
      <c r="PTV381" s="669"/>
      <c r="PTW381" s="669"/>
      <c r="PTX381" s="669"/>
      <c r="PTY381" s="669"/>
      <c r="PTZ381" s="669"/>
      <c r="PUA381" s="669"/>
      <c r="PUB381" s="669"/>
      <c r="PUC381" s="669"/>
      <c r="PUD381" s="669"/>
      <c r="PUE381" s="669"/>
      <c r="PUF381" s="669"/>
      <c r="PUG381" s="669"/>
      <c r="PUH381" s="669"/>
      <c r="PUI381" s="669"/>
      <c r="PUJ381" s="669"/>
      <c r="PUK381" s="669"/>
      <c r="PUL381" s="669"/>
      <c r="PUM381" s="669"/>
      <c r="PUN381" s="669"/>
      <c r="PUO381" s="669"/>
      <c r="PUP381" s="669"/>
      <c r="PUQ381" s="669"/>
      <c r="PUR381" s="669"/>
      <c r="PUS381" s="669"/>
      <c r="PUT381" s="669"/>
      <c r="PUU381" s="669"/>
      <c r="PUV381" s="669"/>
      <c r="PUW381" s="669"/>
      <c r="PUX381" s="669"/>
      <c r="PUY381" s="669"/>
      <c r="PUZ381" s="669"/>
      <c r="PVA381" s="669"/>
      <c r="PVB381" s="669"/>
      <c r="PVC381" s="669"/>
      <c r="PVD381" s="669"/>
      <c r="PVE381" s="669"/>
      <c r="PVF381" s="669"/>
      <c r="PVG381" s="669"/>
      <c r="PVH381" s="669"/>
      <c r="PVI381" s="669"/>
      <c r="PVJ381" s="669"/>
      <c r="PVK381" s="669"/>
      <c r="PVL381" s="669"/>
      <c r="PVM381" s="669"/>
      <c r="PVN381" s="669"/>
      <c r="PVO381" s="669"/>
      <c r="PVP381" s="669"/>
      <c r="PVQ381" s="669"/>
      <c r="PVR381" s="669"/>
      <c r="PVS381" s="669"/>
      <c r="PVT381" s="669"/>
      <c r="PVU381" s="669"/>
      <c r="PVV381" s="669"/>
      <c r="PVW381" s="669"/>
      <c r="PVX381" s="669"/>
      <c r="PVY381" s="669"/>
      <c r="PVZ381" s="669"/>
      <c r="PWA381" s="669"/>
      <c r="PWB381" s="669"/>
      <c r="PWC381" s="669"/>
      <c r="PWD381" s="669"/>
      <c r="PWE381" s="669"/>
      <c r="PWF381" s="669"/>
      <c r="PWG381" s="669"/>
      <c r="PWH381" s="669"/>
      <c r="PWI381" s="669"/>
      <c r="PWJ381" s="669"/>
      <c r="PWK381" s="669"/>
      <c r="PWL381" s="669"/>
      <c r="PWM381" s="669"/>
      <c r="PWN381" s="669"/>
      <c r="PWO381" s="669"/>
      <c r="PWP381" s="669"/>
      <c r="PWQ381" s="669"/>
      <c r="PWR381" s="669"/>
      <c r="PWS381" s="669"/>
      <c r="PWT381" s="669"/>
      <c r="PWU381" s="669"/>
      <c r="PWV381" s="669"/>
      <c r="PWW381" s="669"/>
      <c r="PWX381" s="669"/>
      <c r="PWY381" s="669"/>
      <c r="PWZ381" s="669"/>
      <c r="PXA381" s="669"/>
      <c r="PXB381" s="669"/>
      <c r="PXC381" s="669"/>
      <c r="PXD381" s="669"/>
      <c r="PXE381" s="669"/>
      <c r="PXF381" s="669"/>
      <c r="PXG381" s="669"/>
      <c r="PXH381" s="669"/>
      <c r="PXI381" s="669"/>
      <c r="PXJ381" s="669"/>
      <c r="PXK381" s="669"/>
      <c r="PXL381" s="669"/>
      <c r="PXM381" s="669"/>
      <c r="PXN381" s="669"/>
      <c r="PXO381" s="669"/>
      <c r="PXP381" s="669"/>
      <c r="PXQ381" s="669"/>
      <c r="PXR381" s="669"/>
      <c r="PXS381" s="669"/>
      <c r="PXT381" s="669"/>
      <c r="PXU381" s="669"/>
      <c r="PXV381" s="669"/>
      <c r="PXW381" s="669"/>
      <c r="PXX381" s="669"/>
      <c r="PXY381" s="669"/>
      <c r="PXZ381" s="669"/>
      <c r="PYA381" s="669"/>
      <c r="PYB381" s="669"/>
      <c r="PYC381" s="669"/>
      <c r="PYD381" s="669"/>
      <c r="PYE381" s="669"/>
      <c r="PYF381" s="669"/>
      <c r="PYG381" s="669"/>
      <c r="PYH381" s="669"/>
      <c r="PYI381" s="669"/>
      <c r="PYJ381" s="669"/>
      <c r="PYK381" s="669"/>
      <c r="PYL381" s="669"/>
      <c r="PYM381" s="669"/>
      <c r="PYN381" s="669"/>
      <c r="PYO381" s="669"/>
      <c r="PYP381" s="669"/>
      <c r="PYQ381" s="669"/>
      <c r="PYR381" s="669"/>
      <c r="PYS381" s="669"/>
      <c r="PYT381" s="669"/>
      <c r="PYU381" s="669"/>
      <c r="PYV381" s="669"/>
      <c r="PYW381" s="669"/>
      <c r="PYX381" s="669"/>
      <c r="PYY381" s="669"/>
      <c r="PYZ381" s="669"/>
      <c r="PZA381" s="669"/>
      <c r="PZB381" s="669"/>
      <c r="PZC381" s="669"/>
      <c r="PZD381" s="669"/>
      <c r="PZE381" s="669"/>
      <c r="PZF381" s="669"/>
      <c r="PZG381" s="669"/>
      <c r="PZH381" s="669"/>
      <c r="PZI381" s="669"/>
      <c r="PZJ381" s="669"/>
      <c r="PZK381" s="669"/>
      <c r="PZL381" s="669"/>
      <c r="PZM381" s="669"/>
      <c r="PZN381" s="669"/>
      <c r="PZO381" s="669"/>
      <c r="PZP381" s="669"/>
      <c r="PZQ381" s="669"/>
      <c r="PZR381" s="669"/>
      <c r="PZS381" s="669"/>
      <c r="PZT381" s="669"/>
      <c r="PZU381" s="669"/>
      <c r="PZV381" s="669"/>
      <c r="PZW381" s="669"/>
      <c r="PZX381" s="669"/>
      <c r="PZY381" s="669"/>
      <c r="PZZ381" s="669"/>
      <c r="QAA381" s="669"/>
      <c r="QAB381" s="669"/>
      <c r="QAC381" s="669"/>
      <c r="QAD381" s="669"/>
      <c r="QAE381" s="669"/>
      <c r="QAF381" s="669"/>
      <c r="QAG381" s="669"/>
      <c r="QAH381" s="669"/>
      <c r="QAI381" s="669"/>
      <c r="QAJ381" s="669"/>
      <c r="QAK381" s="669"/>
      <c r="QAL381" s="669"/>
      <c r="QAM381" s="669"/>
      <c r="QAN381" s="669"/>
      <c r="QAO381" s="669"/>
      <c r="QAP381" s="669"/>
      <c r="QAQ381" s="669"/>
      <c r="QAR381" s="669"/>
      <c r="QAS381" s="669"/>
      <c r="QAT381" s="669"/>
      <c r="QAU381" s="669"/>
      <c r="QAV381" s="669"/>
      <c r="QAW381" s="669"/>
      <c r="QAX381" s="669"/>
      <c r="QAY381" s="669"/>
      <c r="QAZ381" s="669"/>
      <c r="QBA381" s="669"/>
      <c r="QBB381" s="669"/>
      <c r="QBC381" s="669"/>
      <c r="QBD381" s="669"/>
      <c r="QBE381" s="669"/>
      <c r="QBF381" s="669"/>
      <c r="QBG381" s="669"/>
      <c r="QBH381" s="669"/>
      <c r="QBI381" s="669"/>
      <c r="QBJ381" s="669"/>
      <c r="QBK381" s="669"/>
      <c r="QBL381" s="669"/>
      <c r="QBM381" s="669"/>
      <c r="QBN381" s="669"/>
      <c r="QBO381" s="669"/>
      <c r="QBP381" s="669"/>
      <c r="QBQ381" s="669"/>
      <c r="QBR381" s="669"/>
      <c r="QBS381" s="669"/>
      <c r="QBT381" s="669"/>
      <c r="QBU381" s="669"/>
      <c r="QBV381" s="669"/>
      <c r="QBW381" s="669"/>
      <c r="QBX381" s="669"/>
      <c r="QBY381" s="669"/>
      <c r="QBZ381" s="669"/>
      <c r="QCA381" s="669"/>
      <c r="QCB381" s="669"/>
      <c r="QCC381" s="669"/>
      <c r="QCD381" s="669"/>
      <c r="QCE381" s="669"/>
      <c r="QCF381" s="669"/>
      <c r="QCG381" s="669"/>
      <c r="QCH381" s="669"/>
      <c r="QCI381" s="669"/>
      <c r="QCJ381" s="669"/>
      <c r="QCK381" s="669"/>
      <c r="QCL381" s="669"/>
      <c r="QCM381" s="669"/>
      <c r="QCN381" s="669"/>
      <c r="QCO381" s="669"/>
      <c r="QCP381" s="669"/>
      <c r="QCQ381" s="669"/>
      <c r="QCR381" s="669"/>
      <c r="QCS381" s="669"/>
      <c r="QCT381" s="669"/>
      <c r="QCU381" s="669"/>
      <c r="QCV381" s="669"/>
      <c r="QCW381" s="669"/>
      <c r="QCX381" s="669"/>
      <c r="QCY381" s="669"/>
      <c r="QCZ381" s="669"/>
      <c r="QDA381" s="669"/>
      <c r="QDB381" s="669"/>
      <c r="QDC381" s="669"/>
      <c r="QDD381" s="669"/>
      <c r="QDE381" s="669"/>
      <c r="QDF381" s="669"/>
      <c r="QDG381" s="669"/>
      <c r="QDH381" s="669"/>
      <c r="QDI381" s="669"/>
      <c r="QDJ381" s="669"/>
      <c r="QDK381" s="669"/>
      <c r="QDL381" s="669"/>
      <c r="QDM381" s="669"/>
      <c r="QDN381" s="669"/>
      <c r="QDO381" s="669"/>
      <c r="QDP381" s="669"/>
      <c r="QDQ381" s="669"/>
      <c r="QDR381" s="669"/>
      <c r="QDS381" s="669"/>
      <c r="QDT381" s="669"/>
      <c r="QDU381" s="669"/>
      <c r="QDV381" s="669"/>
      <c r="QDW381" s="669"/>
      <c r="QDX381" s="669"/>
      <c r="QDY381" s="669"/>
      <c r="QDZ381" s="669"/>
      <c r="QEA381" s="669"/>
      <c r="QEB381" s="669"/>
      <c r="QEC381" s="669"/>
      <c r="QED381" s="669"/>
      <c r="QEE381" s="669"/>
      <c r="QEF381" s="669"/>
      <c r="QEG381" s="669"/>
      <c r="QEH381" s="669"/>
      <c r="QEI381" s="669"/>
      <c r="QEJ381" s="669"/>
      <c r="QEK381" s="669"/>
      <c r="QEL381" s="669"/>
      <c r="QEM381" s="669"/>
      <c r="QEN381" s="669"/>
      <c r="QEO381" s="669"/>
      <c r="QEP381" s="669"/>
      <c r="QEQ381" s="669"/>
      <c r="QER381" s="669"/>
      <c r="QES381" s="669"/>
      <c r="QET381" s="669"/>
      <c r="QEU381" s="669"/>
      <c r="QEV381" s="669"/>
      <c r="QEW381" s="669"/>
      <c r="QEX381" s="669"/>
      <c r="QEY381" s="669"/>
      <c r="QEZ381" s="669"/>
      <c r="QFA381" s="669"/>
      <c r="QFB381" s="669"/>
      <c r="QFC381" s="669"/>
      <c r="QFD381" s="669"/>
      <c r="QFE381" s="669"/>
      <c r="QFF381" s="669"/>
      <c r="QFG381" s="669"/>
      <c r="QFH381" s="669"/>
      <c r="QFI381" s="669"/>
      <c r="QFJ381" s="669"/>
      <c r="QFK381" s="669"/>
      <c r="QFL381" s="669"/>
      <c r="QFM381" s="669"/>
      <c r="QFN381" s="669"/>
      <c r="QFO381" s="669"/>
      <c r="QFP381" s="669"/>
      <c r="QFQ381" s="669"/>
      <c r="QFR381" s="669"/>
      <c r="QFS381" s="669"/>
      <c r="QFT381" s="669"/>
      <c r="QFU381" s="669"/>
      <c r="QFV381" s="669"/>
      <c r="QFW381" s="669"/>
      <c r="QFX381" s="669"/>
      <c r="QFY381" s="669"/>
      <c r="QFZ381" s="669"/>
      <c r="QGA381" s="669"/>
      <c r="QGB381" s="669"/>
      <c r="QGC381" s="669"/>
      <c r="QGD381" s="669"/>
      <c r="QGE381" s="669"/>
      <c r="QGF381" s="669"/>
      <c r="QGG381" s="669"/>
      <c r="QGH381" s="669"/>
      <c r="QGI381" s="669"/>
      <c r="QGJ381" s="669"/>
      <c r="QGK381" s="669"/>
      <c r="QGL381" s="669"/>
      <c r="QGM381" s="669"/>
      <c r="QGN381" s="669"/>
      <c r="QGO381" s="669"/>
      <c r="QGP381" s="669"/>
      <c r="QGQ381" s="669"/>
      <c r="QGR381" s="669"/>
      <c r="QGS381" s="669"/>
      <c r="QGT381" s="669"/>
      <c r="QGU381" s="669"/>
      <c r="QGV381" s="669"/>
      <c r="QGW381" s="669"/>
      <c r="QGX381" s="669"/>
      <c r="QGY381" s="669"/>
      <c r="QGZ381" s="669"/>
      <c r="QHA381" s="669"/>
      <c r="QHB381" s="669"/>
      <c r="QHC381" s="669"/>
      <c r="QHD381" s="669"/>
      <c r="QHE381" s="669"/>
      <c r="QHF381" s="669"/>
      <c r="QHG381" s="669"/>
      <c r="QHH381" s="669"/>
      <c r="QHI381" s="669"/>
      <c r="QHJ381" s="669"/>
      <c r="QHK381" s="669"/>
      <c r="QHL381" s="669"/>
      <c r="QHM381" s="669"/>
      <c r="QHN381" s="669"/>
      <c r="QHO381" s="669"/>
      <c r="QHP381" s="669"/>
      <c r="QHQ381" s="669"/>
      <c r="QHR381" s="669"/>
      <c r="QHS381" s="669"/>
      <c r="QHT381" s="669"/>
      <c r="QHU381" s="669"/>
      <c r="QHV381" s="669"/>
      <c r="QHW381" s="669"/>
      <c r="QHX381" s="669"/>
      <c r="QHY381" s="669"/>
      <c r="QHZ381" s="669"/>
      <c r="QIA381" s="669"/>
      <c r="QIB381" s="669"/>
      <c r="QIC381" s="669"/>
      <c r="QID381" s="669"/>
      <c r="QIE381" s="669"/>
      <c r="QIF381" s="669"/>
      <c r="QIG381" s="669"/>
      <c r="QIH381" s="669"/>
      <c r="QII381" s="669"/>
      <c r="QIJ381" s="669"/>
      <c r="QIK381" s="669"/>
      <c r="QIL381" s="669"/>
      <c r="QIM381" s="669"/>
      <c r="QIN381" s="669"/>
      <c r="QIO381" s="669"/>
      <c r="QIP381" s="669"/>
      <c r="QIQ381" s="669"/>
      <c r="QIR381" s="669"/>
      <c r="QIS381" s="669"/>
      <c r="QIT381" s="669"/>
      <c r="QIU381" s="669"/>
      <c r="QIV381" s="669"/>
      <c r="QIW381" s="669"/>
      <c r="QIX381" s="669"/>
      <c r="QIY381" s="669"/>
      <c r="QIZ381" s="669"/>
      <c r="QJA381" s="669"/>
      <c r="QJB381" s="669"/>
      <c r="QJC381" s="669"/>
      <c r="QJD381" s="669"/>
      <c r="QJE381" s="669"/>
      <c r="QJF381" s="669"/>
      <c r="QJG381" s="669"/>
      <c r="QJH381" s="669"/>
      <c r="QJI381" s="669"/>
      <c r="QJJ381" s="669"/>
      <c r="QJK381" s="669"/>
      <c r="QJL381" s="669"/>
      <c r="QJM381" s="669"/>
      <c r="QJN381" s="669"/>
      <c r="QJO381" s="669"/>
      <c r="QJP381" s="669"/>
      <c r="QJQ381" s="669"/>
      <c r="QJR381" s="669"/>
      <c r="QJS381" s="669"/>
      <c r="QJT381" s="669"/>
      <c r="QJU381" s="669"/>
      <c r="QJV381" s="669"/>
      <c r="QJW381" s="669"/>
      <c r="QJX381" s="669"/>
      <c r="QJY381" s="669"/>
      <c r="QJZ381" s="669"/>
      <c r="QKA381" s="669"/>
      <c r="QKB381" s="669"/>
      <c r="QKC381" s="669"/>
      <c r="QKD381" s="669"/>
      <c r="QKE381" s="669"/>
      <c r="QKF381" s="669"/>
      <c r="QKG381" s="669"/>
      <c r="QKH381" s="669"/>
      <c r="QKI381" s="669"/>
      <c r="QKJ381" s="669"/>
      <c r="QKK381" s="669"/>
      <c r="QKL381" s="669"/>
      <c r="QKM381" s="669"/>
      <c r="QKN381" s="669"/>
      <c r="QKO381" s="669"/>
      <c r="QKP381" s="669"/>
      <c r="QKQ381" s="669"/>
      <c r="QKR381" s="669"/>
      <c r="QKS381" s="669"/>
      <c r="QKT381" s="669"/>
      <c r="QKU381" s="669"/>
      <c r="QKV381" s="669"/>
      <c r="QKW381" s="669"/>
      <c r="QKX381" s="669"/>
      <c r="QKY381" s="669"/>
      <c r="QKZ381" s="669"/>
      <c r="QLA381" s="669"/>
      <c r="QLB381" s="669"/>
      <c r="QLC381" s="669"/>
      <c r="QLD381" s="669"/>
      <c r="QLE381" s="669"/>
      <c r="QLF381" s="669"/>
      <c r="QLG381" s="669"/>
      <c r="QLH381" s="669"/>
      <c r="QLI381" s="669"/>
      <c r="QLJ381" s="669"/>
      <c r="QLK381" s="669"/>
      <c r="QLL381" s="669"/>
      <c r="QLM381" s="669"/>
      <c r="QLN381" s="669"/>
      <c r="QLO381" s="669"/>
      <c r="QLP381" s="669"/>
      <c r="QLQ381" s="669"/>
      <c r="QLR381" s="669"/>
      <c r="QLS381" s="669"/>
      <c r="QLT381" s="669"/>
      <c r="QLU381" s="669"/>
      <c r="QLV381" s="669"/>
      <c r="QLW381" s="669"/>
      <c r="QLX381" s="669"/>
      <c r="QLY381" s="669"/>
      <c r="QLZ381" s="669"/>
      <c r="QMA381" s="669"/>
      <c r="QMB381" s="669"/>
      <c r="QMC381" s="669"/>
      <c r="QMD381" s="669"/>
      <c r="QME381" s="669"/>
      <c r="QMF381" s="669"/>
      <c r="QMG381" s="669"/>
      <c r="QMH381" s="669"/>
      <c r="QMI381" s="669"/>
      <c r="QMJ381" s="669"/>
      <c r="QMK381" s="669"/>
      <c r="QML381" s="669"/>
      <c r="QMM381" s="669"/>
      <c r="QMN381" s="669"/>
      <c r="QMO381" s="669"/>
      <c r="QMP381" s="669"/>
      <c r="QMQ381" s="669"/>
      <c r="QMR381" s="669"/>
      <c r="QMS381" s="669"/>
      <c r="QMT381" s="669"/>
      <c r="QMU381" s="669"/>
      <c r="QMV381" s="669"/>
      <c r="QMW381" s="669"/>
      <c r="QMX381" s="669"/>
      <c r="QMY381" s="669"/>
      <c r="QMZ381" s="669"/>
      <c r="QNA381" s="669"/>
      <c r="QNB381" s="669"/>
      <c r="QNC381" s="669"/>
      <c r="QND381" s="669"/>
      <c r="QNE381" s="669"/>
      <c r="QNF381" s="669"/>
      <c r="QNG381" s="669"/>
      <c r="QNH381" s="669"/>
      <c r="QNI381" s="669"/>
      <c r="QNJ381" s="669"/>
      <c r="QNK381" s="669"/>
      <c r="QNL381" s="669"/>
      <c r="QNM381" s="669"/>
      <c r="QNN381" s="669"/>
      <c r="QNO381" s="669"/>
      <c r="QNP381" s="669"/>
      <c r="QNQ381" s="669"/>
      <c r="QNR381" s="669"/>
      <c r="QNS381" s="669"/>
      <c r="QNT381" s="669"/>
      <c r="QNU381" s="669"/>
      <c r="QNV381" s="669"/>
      <c r="QNW381" s="669"/>
      <c r="QNX381" s="669"/>
      <c r="QNY381" s="669"/>
      <c r="QNZ381" s="669"/>
      <c r="QOA381" s="669"/>
      <c r="QOB381" s="669"/>
      <c r="QOC381" s="669"/>
      <c r="QOD381" s="669"/>
      <c r="QOE381" s="669"/>
      <c r="QOF381" s="669"/>
      <c r="QOG381" s="669"/>
      <c r="QOH381" s="669"/>
      <c r="QOI381" s="669"/>
      <c r="QOJ381" s="669"/>
      <c r="QOK381" s="669"/>
      <c r="QOL381" s="669"/>
      <c r="QOM381" s="669"/>
      <c r="QON381" s="669"/>
      <c r="QOO381" s="669"/>
      <c r="QOP381" s="669"/>
      <c r="QOQ381" s="669"/>
      <c r="QOR381" s="669"/>
      <c r="QOS381" s="669"/>
      <c r="QOT381" s="669"/>
      <c r="QOU381" s="669"/>
      <c r="QOV381" s="669"/>
      <c r="QOW381" s="669"/>
      <c r="QOX381" s="669"/>
      <c r="QOY381" s="669"/>
      <c r="QOZ381" s="669"/>
      <c r="QPA381" s="669"/>
      <c r="QPB381" s="669"/>
      <c r="QPC381" s="669"/>
      <c r="QPD381" s="669"/>
      <c r="QPE381" s="669"/>
      <c r="QPF381" s="669"/>
      <c r="QPG381" s="669"/>
      <c r="QPH381" s="669"/>
      <c r="QPI381" s="669"/>
      <c r="QPJ381" s="669"/>
      <c r="QPK381" s="669"/>
      <c r="QPL381" s="669"/>
      <c r="QPM381" s="669"/>
      <c r="QPN381" s="669"/>
      <c r="QPO381" s="669"/>
      <c r="QPP381" s="669"/>
      <c r="QPQ381" s="669"/>
      <c r="QPR381" s="669"/>
      <c r="QPS381" s="669"/>
      <c r="QPT381" s="669"/>
      <c r="QPU381" s="669"/>
      <c r="QPV381" s="669"/>
      <c r="QPW381" s="669"/>
      <c r="QPX381" s="669"/>
      <c r="QPY381" s="669"/>
      <c r="QPZ381" s="669"/>
      <c r="QQA381" s="669"/>
      <c r="QQB381" s="669"/>
      <c r="QQC381" s="669"/>
      <c r="QQD381" s="669"/>
      <c r="QQE381" s="669"/>
      <c r="QQF381" s="669"/>
      <c r="QQG381" s="669"/>
      <c r="QQH381" s="669"/>
      <c r="QQI381" s="669"/>
      <c r="QQJ381" s="669"/>
      <c r="QQK381" s="669"/>
      <c r="QQL381" s="669"/>
      <c r="QQM381" s="669"/>
      <c r="QQN381" s="669"/>
      <c r="QQO381" s="669"/>
      <c r="QQP381" s="669"/>
      <c r="QQQ381" s="669"/>
      <c r="QQR381" s="669"/>
      <c r="QQS381" s="669"/>
      <c r="QQT381" s="669"/>
      <c r="QQU381" s="669"/>
      <c r="QQV381" s="669"/>
      <c r="QQW381" s="669"/>
      <c r="QQX381" s="669"/>
      <c r="QQY381" s="669"/>
      <c r="QQZ381" s="669"/>
      <c r="QRA381" s="669"/>
      <c r="QRB381" s="669"/>
      <c r="QRC381" s="669"/>
      <c r="QRD381" s="669"/>
      <c r="QRE381" s="669"/>
      <c r="QRF381" s="669"/>
      <c r="QRG381" s="669"/>
      <c r="QRH381" s="669"/>
      <c r="QRI381" s="669"/>
      <c r="QRJ381" s="669"/>
      <c r="QRK381" s="669"/>
      <c r="QRL381" s="669"/>
      <c r="QRM381" s="669"/>
      <c r="QRN381" s="669"/>
      <c r="QRO381" s="669"/>
      <c r="QRP381" s="669"/>
      <c r="QRQ381" s="669"/>
      <c r="QRR381" s="669"/>
      <c r="QRS381" s="669"/>
      <c r="QRT381" s="669"/>
      <c r="QRU381" s="669"/>
      <c r="QRV381" s="669"/>
      <c r="QRW381" s="669"/>
      <c r="QRX381" s="669"/>
      <c r="QRY381" s="669"/>
      <c r="QRZ381" s="669"/>
      <c r="QSA381" s="669"/>
      <c r="QSB381" s="669"/>
      <c r="QSC381" s="669"/>
      <c r="QSD381" s="669"/>
      <c r="QSE381" s="669"/>
      <c r="QSF381" s="669"/>
      <c r="QSG381" s="669"/>
      <c r="QSH381" s="669"/>
      <c r="QSI381" s="669"/>
      <c r="QSJ381" s="669"/>
      <c r="QSK381" s="669"/>
      <c r="QSL381" s="669"/>
      <c r="QSM381" s="669"/>
      <c r="QSN381" s="669"/>
      <c r="QSO381" s="669"/>
      <c r="QSP381" s="669"/>
      <c r="QSQ381" s="669"/>
      <c r="QSR381" s="669"/>
      <c r="QSS381" s="669"/>
      <c r="QST381" s="669"/>
      <c r="QSU381" s="669"/>
      <c r="QSV381" s="669"/>
      <c r="QSW381" s="669"/>
      <c r="QSX381" s="669"/>
      <c r="QSY381" s="669"/>
      <c r="QSZ381" s="669"/>
      <c r="QTA381" s="669"/>
      <c r="QTB381" s="669"/>
      <c r="QTC381" s="669"/>
      <c r="QTD381" s="669"/>
      <c r="QTE381" s="669"/>
      <c r="QTF381" s="669"/>
      <c r="QTG381" s="669"/>
      <c r="QTH381" s="669"/>
      <c r="QTI381" s="669"/>
      <c r="QTJ381" s="669"/>
      <c r="QTK381" s="669"/>
      <c r="QTL381" s="669"/>
      <c r="QTM381" s="669"/>
      <c r="QTN381" s="669"/>
      <c r="QTO381" s="669"/>
      <c r="QTP381" s="669"/>
      <c r="QTQ381" s="669"/>
      <c r="QTR381" s="669"/>
      <c r="QTS381" s="669"/>
      <c r="QTT381" s="669"/>
      <c r="QTU381" s="669"/>
      <c r="QTV381" s="669"/>
      <c r="QTW381" s="669"/>
      <c r="QTX381" s="669"/>
      <c r="QTY381" s="669"/>
      <c r="QTZ381" s="669"/>
      <c r="QUA381" s="669"/>
      <c r="QUB381" s="669"/>
      <c r="QUC381" s="669"/>
      <c r="QUD381" s="669"/>
      <c r="QUE381" s="669"/>
      <c r="QUF381" s="669"/>
      <c r="QUG381" s="669"/>
      <c r="QUH381" s="669"/>
      <c r="QUI381" s="669"/>
      <c r="QUJ381" s="669"/>
      <c r="QUK381" s="669"/>
      <c r="QUL381" s="669"/>
      <c r="QUM381" s="669"/>
      <c r="QUN381" s="669"/>
      <c r="QUO381" s="669"/>
      <c r="QUP381" s="669"/>
      <c r="QUQ381" s="669"/>
      <c r="QUR381" s="669"/>
      <c r="QUS381" s="669"/>
      <c r="QUT381" s="669"/>
      <c r="QUU381" s="669"/>
      <c r="QUV381" s="669"/>
      <c r="QUW381" s="669"/>
      <c r="QUX381" s="669"/>
      <c r="QUY381" s="669"/>
      <c r="QUZ381" s="669"/>
      <c r="QVA381" s="669"/>
      <c r="QVB381" s="669"/>
      <c r="QVC381" s="669"/>
      <c r="QVD381" s="669"/>
      <c r="QVE381" s="669"/>
      <c r="QVF381" s="669"/>
      <c r="QVG381" s="669"/>
      <c r="QVH381" s="669"/>
      <c r="QVI381" s="669"/>
      <c r="QVJ381" s="669"/>
      <c r="QVK381" s="669"/>
      <c r="QVL381" s="669"/>
      <c r="QVM381" s="669"/>
      <c r="QVN381" s="669"/>
      <c r="QVO381" s="669"/>
      <c r="QVP381" s="669"/>
      <c r="QVQ381" s="669"/>
      <c r="QVR381" s="669"/>
      <c r="QVS381" s="669"/>
      <c r="QVT381" s="669"/>
      <c r="QVU381" s="669"/>
      <c r="QVV381" s="669"/>
      <c r="QVW381" s="669"/>
      <c r="QVX381" s="669"/>
      <c r="QVY381" s="669"/>
      <c r="QVZ381" s="669"/>
      <c r="QWA381" s="669"/>
      <c r="QWB381" s="669"/>
      <c r="QWC381" s="669"/>
      <c r="QWD381" s="669"/>
      <c r="QWE381" s="669"/>
      <c r="QWF381" s="669"/>
      <c r="QWG381" s="669"/>
      <c r="QWH381" s="669"/>
      <c r="QWI381" s="669"/>
      <c r="QWJ381" s="669"/>
      <c r="QWK381" s="669"/>
      <c r="QWL381" s="669"/>
      <c r="QWM381" s="669"/>
      <c r="QWN381" s="669"/>
      <c r="QWO381" s="669"/>
      <c r="QWP381" s="669"/>
      <c r="QWQ381" s="669"/>
      <c r="QWR381" s="669"/>
      <c r="QWS381" s="669"/>
      <c r="QWT381" s="669"/>
      <c r="QWU381" s="669"/>
      <c r="QWV381" s="669"/>
      <c r="QWW381" s="669"/>
      <c r="QWX381" s="669"/>
      <c r="QWY381" s="669"/>
      <c r="QWZ381" s="669"/>
      <c r="QXA381" s="669"/>
      <c r="QXB381" s="669"/>
      <c r="QXC381" s="669"/>
      <c r="QXD381" s="669"/>
      <c r="QXE381" s="669"/>
      <c r="QXF381" s="669"/>
      <c r="QXG381" s="669"/>
      <c r="QXH381" s="669"/>
      <c r="QXI381" s="669"/>
      <c r="QXJ381" s="669"/>
      <c r="QXK381" s="669"/>
      <c r="QXL381" s="669"/>
      <c r="QXM381" s="669"/>
      <c r="QXN381" s="669"/>
      <c r="QXO381" s="669"/>
      <c r="QXP381" s="669"/>
      <c r="QXQ381" s="669"/>
      <c r="QXR381" s="669"/>
      <c r="QXS381" s="669"/>
      <c r="QXT381" s="669"/>
      <c r="QXU381" s="669"/>
      <c r="QXV381" s="669"/>
      <c r="QXW381" s="669"/>
      <c r="QXX381" s="669"/>
      <c r="QXY381" s="669"/>
      <c r="QXZ381" s="669"/>
      <c r="QYA381" s="669"/>
      <c r="QYB381" s="669"/>
      <c r="QYC381" s="669"/>
      <c r="QYD381" s="669"/>
      <c r="QYE381" s="669"/>
      <c r="QYF381" s="669"/>
      <c r="QYG381" s="669"/>
      <c r="QYH381" s="669"/>
      <c r="QYI381" s="669"/>
      <c r="QYJ381" s="669"/>
      <c r="QYK381" s="669"/>
      <c r="QYL381" s="669"/>
      <c r="QYM381" s="669"/>
      <c r="QYN381" s="669"/>
      <c r="QYO381" s="669"/>
      <c r="QYP381" s="669"/>
      <c r="QYQ381" s="669"/>
      <c r="QYR381" s="669"/>
      <c r="QYS381" s="669"/>
      <c r="QYT381" s="669"/>
      <c r="QYU381" s="669"/>
      <c r="QYV381" s="669"/>
      <c r="QYW381" s="669"/>
      <c r="QYX381" s="669"/>
      <c r="QYY381" s="669"/>
      <c r="QYZ381" s="669"/>
      <c r="QZA381" s="669"/>
      <c r="QZB381" s="669"/>
      <c r="QZC381" s="669"/>
      <c r="QZD381" s="669"/>
      <c r="QZE381" s="669"/>
      <c r="QZF381" s="669"/>
      <c r="QZG381" s="669"/>
      <c r="QZH381" s="669"/>
      <c r="QZI381" s="669"/>
      <c r="QZJ381" s="669"/>
      <c r="QZK381" s="669"/>
      <c r="QZL381" s="669"/>
      <c r="QZM381" s="669"/>
      <c r="QZN381" s="669"/>
      <c r="QZO381" s="669"/>
      <c r="QZP381" s="669"/>
      <c r="QZQ381" s="669"/>
      <c r="QZR381" s="669"/>
      <c r="QZS381" s="669"/>
      <c r="QZT381" s="669"/>
      <c r="QZU381" s="669"/>
      <c r="QZV381" s="669"/>
      <c r="QZW381" s="669"/>
      <c r="QZX381" s="669"/>
      <c r="QZY381" s="669"/>
      <c r="QZZ381" s="669"/>
      <c r="RAA381" s="669"/>
      <c r="RAB381" s="669"/>
      <c r="RAC381" s="669"/>
      <c r="RAD381" s="669"/>
      <c r="RAE381" s="669"/>
      <c r="RAF381" s="669"/>
      <c r="RAG381" s="669"/>
      <c r="RAH381" s="669"/>
      <c r="RAI381" s="669"/>
      <c r="RAJ381" s="669"/>
      <c r="RAK381" s="669"/>
      <c r="RAL381" s="669"/>
      <c r="RAM381" s="669"/>
      <c r="RAN381" s="669"/>
      <c r="RAO381" s="669"/>
      <c r="RAP381" s="669"/>
      <c r="RAQ381" s="669"/>
      <c r="RAR381" s="669"/>
      <c r="RAS381" s="669"/>
      <c r="RAT381" s="669"/>
      <c r="RAU381" s="669"/>
      <c r="RAV381" s="669"/>
      <c r="RAW381" s="669"/>
      <c r="RAX381" s="669"/>
      <c r="RAY381" s="669"/>
      <c r="RAZ381" s="669"/>
      <c r="RBA381" s="669"/>
      <c r="RBB381" s="669"/>
      <c r="RBC381" s="669"/>
      <c r="RBD381" s="669"/>
      <c r="RBE381" s="669"/>
      <c r="RBF381" s="669"/>
      <c r="RBG381" s="669"/>
      <c r="RBH381" s="669"/>
      <c r="RBI381" s="669"/>
      <c r="RBJ381" s="669"/>
      <c r="RBK381" s="669"/>
      <c r="RBL381" s="669"/>
      <c r="RBM381" s="669"/>
      <c r="RBN381" s="669"/>
      <c r="RBO381" s="669"/>
      <c r="RBP381" s="669"/>
      <c r="RBQ381" s="669"/>
      <c r="RBR381" s="669"/>
      <c r="RBS381" s="669"/>
      <c r="RBT381" s="669"/>
      <c r="RBU381" s="669"/>
      <c r="RBV381" s="669"/>
      <c r="RBW381" s="669"/>
      <c r="RBX381" s="669"/>
      <c r="RBY381" s="669"/>
      <c r="RBZ381" s="669"/>
      <c r="RCA381" s="669"/>
      <c r="RCB381" s="669"/>
      <c r="RCC381" s="669"/>
      <c r="RCD381" s="669"/>
      <c r="RCE381" s="669"/>
      <c r="RCF381" s="669"/>
      <c r="RCG381" s="669"/>
      <c r="RCH381" s="669"/>
      <c r="RCI381" s="669"/>
      <c r="RCJ381" s="669"/>
      <c r="RCK381" s="669"/>
      <c r="RCL381" s="669"/>
      <c r="RCM381" s="669"/>
      <c r="RCN381" s="669"/>
      <c r="RCO381" s="669"/>
      <c r="RCP381" s="669"/>
      <c r="RCQ381" s="669"/>
      <c r="RCR381" s="669"/>
      <c r="RCS381" s="669"/>
      <c r="RCT381" s="669"/>
      <c r="RCU381" s="669"/>
      <c r="RCV381" s="669"/>
      <c r="RCW381" s="669"/>
      <c r="RCX381" s="669"/>
      <c r="RCY381" s="669"/>
      <c r="RCZ381" s="669"/>
      <c r="RDA381" s="669"/>
      <c r="RDB381" s="669"/>
      <c r="RDC381" s="669"/>
      <c r="RDD381" s="669"/>
      <c r="RDE381" s="669"/>
      <c r="RDF381" s="669"/>
      <c r="RDG381" s="669"/>
      <c r="RDH381" s="669"/>
      <c r="RDI381" s="669"/>
      <c r="RDJ381" s="669"/>
      <c r="RDK381" s="669"/>
      <c r="RDL381" s="669"/>
      <c r="RDM381" s="669"/>
      <c r="RDN381" s="669"/>
      <c r="RDO381" s="669"/>
      <c r="RDP381" s="669"/>
      <c r="RDQ381" s="669"/>
      <c r="RDR381" s="669"/>
      <c r="RDS381" s="669"/>
      <c r="RDT381" s="669"/>
      <c r="RDU381" s="669"/>
      <c r="RDV381" s="669"/>
      <c r="RDW381" s="669"/>
      <c r="RDX381" s="669"/>
      <c r="RDY381" s="669"/>
      <c r="RDZ381" s="669"/>
      <c r="REA381" s="669"/>
      <c r="REB381" s="669"/>
      <c r="REC381" s="669"/>
      <c r="RED381" s="669"/>
      <c r="REE381" s="669"/>
      <c r="REF381" s="669"/>
      <c r="REG381" s="669"/>
      <c r="REH381" s="669"/>
      <c r="REI381" s="669"/>
      <c r="REJ381" s="669"/>
      <c r="REK381" s="669"/>
      <c r="REL381" s="669"/>
      <c r="REM381" s="669"/>
      <c r="REN381" s="669"/>
      <c r="REO381" s="669"/>
      <c r="REP381" s="669"/>
      <c r="REQ381" s="669"/>
      <c r="RER381" s="669"/>
      <c r="RES381" s="669"/>
      <c r="RET381" s="669"/>
      <c r="REU381" s="669"/>
      <c r="REV381" s="669"/>
      <c r="REW381" s="669"/>
      <c r="REX381" s="669"/>
      <c r="REY381" s="669"/>
      <c r="REZ381" s="669"/>
      <c r="RFA381" s="669"/>
      <c r="RFB381" s="669"/>
      <c r="RFC381" s="669"/>
      <c r="RFD381" s="669"/>
      <c r="RFE381" s="669"/>
      <c r="RFF381" s="669"/>
      <c r="RFG381" s="669"/>
      <c r="RFH381" s="669"/>
      <c r="RFI381" s="669"/>
      <c r="RFJ381" s="669"/>
      <c r="RFK381" s="669"/>
      <c r="RFL381" s="669"/>
      <c r="RFM381" s="669"/>
      <c r="RFN381" s="669"/>
      <c r="RFO381" s="669"/>
      <c r="RFP381" s="669"/>
      <c r="RFQ381" s="669"/>
      <c r="RFR381" s="669"/>
      <c r="RFS381" s="669"/>
      <c r="RFT381" s="669"/>
      <c r="RFU381" s="669"/>
      <c r="RFV381" s="669"/>
      <c r="RFW381" s="669"/>
      <c r="RFX381" s="669"/>
      <c r="RFY381" s="669"/>
      <c r="RFZ381" s="669"/>
      <c r="RGA381" s="669"/>
      <c r="RGB381" s="669"/>
      <c r="RGC381" s="669"/>
      <c r="RGD381" s="669"/>
      <c r="RGE381" s="669"/>
      <c r="RGF381" s="669"/>
      <c r="RGG381" s="669"/>
      <c r="RGH381" s="669"/>
      <c r="RGI381" s="669"/>
      <c r="RGJ381" s="669"/>
      <c r="RGK381" s="669"/>
      <c r="RGL381" s="669"/>
      <c r="RGM381" s="669"/>
      <c r="RGN381" s="669"/>
      <c r="RGO381" s="669"/>
      <c r="RGP381" s="669"/>
      <c r="RGQ381" s="669"/>
      <c r="RGR381" s="669"/>
      <c r="RGS381" s="669"/>
      <c r="RGT381" s="669"/>
      <c r="RGU381" s="669"/>
      <c r="RGV381" s="669"/>
      <c r="RGW381" s="669"/>
      <c r="RGX381" s="669"/>
      <c r="RGY381" s="669"/>
      <c r="RGZ381" s="669"/>
      <c r="RHA381" s="669"/>
      <c r="RHB381" s="669"/>
      <c r="RHC381" s="669"/>
      <c r="RHD381" s="669"/>
      <c r="RHE381" s="669"/>
      <c r="RHF381" s="669"/>
      <c r="RHG381" s="669"/>
      <c r="RHH381" s="669"/>
      <c r="RHI381" s="669"/>
      <c r="RHJ381" s="669"/>
      <c r="RHK381" s="669"/>
      <c r="RHL381" s="669"/>
      <c r="RHM381" s="669"/>
      <c r="RHN381" s="669"/>
      <c r="RHO381" s="669"/>
      <c r="RHP381" s="669"/>
      <c r="RHQ381" s="669"/>
      <c r="RHR381" s="669"/>
      <c r="RHS381" s="669"/>
      <c r="RHT381" s="669"/>
      <c r="RHU381" s="669"/>
      <c r="RHV381" s="669"/>
      <c r="RHW381" s="669"/>
      <c r="RHX381" s="669"/>
      <c r="RHY381" s="669"/>
      <c r="RHZ381" s="669"/>
      <c r="RIA381" s="669"/>
      <c r="RIB381" s="669"/>
      <c r="RIC381" s="669"/>
      <c r="RID381" s="669"/>
      <c r="RIE381" s="669"/>
      <c r="RIF381" s="669"/>
      <c r="RIG381" s="669"/>
      <c r="RIH381" s="669"/>
      <c r="RII381" s="669"/>
      <c r="RIJ381" s="669"/>
      <c r="RIK381" s="669"/>
      <c r="RIL381" s="669"/>
      <c r="RIM381" s="669"/>
      <c r="RIN381" s="669"/>
      <c r="RIO381" s="669"/>
      <c r="RIP381" s="669"/>
      <c r="RIQ381" s="669"/>
      <c r="RIR381" s="669"/>
      <c r="RIS381" s="669"/>
      <c r="RIT381" s="669"/>
      <c r="RIU381" s="669"/>
      <c r="RIV381" s="669"/>
      <c r="RIW381" s="669"/>
      <c r="RIX381" s="669"/>
      <c r="RIY381" s="669"/>
      <c r="RIZ381" s="669"/>
      <c r="RJA381" s="669"/>
      <c r="RJB381" s="669"/>
      <c r="RJC381" s="669"/>
      <c r="RJD381" s="669"/>
      <c r="RJE381" s="669"/>
      <c r="RJF381" s="669"/>
      <c r="RJG381" s="669"/>
      <c r="RJH381" s="669"/>
      <c r="RJI381" s="669"/>
      <c r="RJJ381" s="669"/>
      <c r="RJK381" s="669"/>
      <c r="RJL381" s="669"/>
      <c r="RJM381" s="669"/>
      <c r="RJN381" s="669"/>
      <c r="RJO381" s="669"/>
      <c r="RJP381" s="669"/>
      <c r="RJQ381" s="669"/>
      <c r="RJR381" s="669"/>
      <c r="RJS381" s="669"/>
      <c r="RJT381" s="669"/>
      <c r="RJU381" s="669"/>
      <c r="RJV381" s="669"/>
      <c r="RJW381" s="669"/>
      <c r="RJX381" s="669"/>
      <c r="RJY381" s="669"/>
      <c r="RJZ381" s="669"/>
      <c r="RKA381" s="669"/>
      <c r="RKB381" s="669"/>
      <c r="RKC381" s="669"/>
      <c r="RKD381" s="669"/>
      <c r="RKE381" s="669"/>
      <c r="RKF381" s="669"/>
      <c r="RKG381" s="669"/>
      <c r="RKH381" s="669"/>
      <c r="RKI381" s="669"/>
      <c r="RKJ381" s="669"/>
      <c r="RKK381" s="669"/>
      <c r="RKL381" s="669"/>
      <c r="RKM381" s="669"/>
      <c r="RKN381" s="669"/>
      <c r="RKO381" s="669"/>
      <c r="RKP381" s="669"/>
      <c r="RKQ381" s="669"/>
      <c r="RKR381" s="669"/>
      <c r="RKS381" s="669"/>
      <c r="RKT381" s="669"/>
      <c r="RKU381" s="669"/>
      <c r="RKV381" s="669"/>
      <c r="RKW381" s="669"/>
      <c r="RKX381" s="669"/>
      <c r="RKY381" s="669"/>
      <c r="RKZ381" s="669"/>
      <c r="RLA381" s="669"/>
      <c r="RLB381" s="669"/>
      <c r="RLC381" s="669"/>
      <c r="RLD381" s="669"/>
      <c r="RLE381" s="669"/>
      <c r="RLF381" s="669"/>
      <c r="RLG381" s="669"/>
      <c r="RLH381" s="669"/>
      <c r="RLI381" s="669"/>
      <c r="RLJ381" s="669"/>
      <c r="RLK381" s="669"/>
      <c r="RLL381" s="669"/>
      <c r="RLM381" s="669"/>
      <c r="RLN381" s="669"/>
      <c r="RLO381" s="669"/>
      <c r="RLP381" s="669"/>
      <c r="RLQ381" s="669"/>
      <c r="RLR381" s="669"/>
      <c r="RLS381" s="669"/>
      <c r="RLT381" s="669"/>
      <c r="RLU381" s="669"/>
      <c r="RLV381" s="669"/>
      <c r="RLW381" s="669"/>
      <c r="RLX381" s="669"/>
      <c r="RLY381" s="669"/>
      <c r="RLZ381" s="669"/>
      <c r="RMA381" s="669"/>
      <c r="RMB381" s="669"/>
      <c r="RMC381" s="669"/>
      <c r="RMD381" s="669"/>
      <c r="RME381" s="669"/>
      <c r="RMF381" s="669"/>
      <c r="RMG381" s="669"/>
      <c r="RMH381" s="669"/>
      <c r="RMI381" s="669"/>
      <c r="RMJ381" s="669"/>
      <c r="RMK381" s="669"/>
      <c r="RML381" s="669"/>
      <c r="RMM381" s="669"/>
      <c r="RMN381" s="669"/>
      <c r="RMO381" s="669"/>
      <c r="RMP381" s="669"/>
      <c r="RMQ381" s="669"/>
      <c r="RMR381" s="669"/>
      <c r="RMS381" s="669"/>
      <c r="RMT381" s="669"/>
      <c r="RMU381" s="669"/>
      <c r="RMV381" s="669"/>
      <c r="RMW381" s="669"/>
      <c r="RMX381" s="669"/>
      <c r="RMY381" s="669"/>
      <c r="RMZ381" s="669"/>
      <c r="RNA381" s="669"/>
      <c r="RNB381" s="669"/>
      <c r="RNC381" s="669"/>
      <c r="RND381" s="669"/>
      <c r="RNE381" s="669"/>
      <c r="RNF381" s="669"/>
      <c r="RNG381" s="669"/>
      <c r="RNH381" s="669"/>
      <c r="RNI381" s="669"/>
      <c r="RNJ381" s="669"/>
      <c r="RNK381" s="669"/>
      <c r="RNL381" s="669"/>
      <c r="RNM381" s="669"/>
      <c r="RNN381" s="669"/>
      <c r="RNO381" s="669"/>
      <c r="RNP381" s="669"/>
      <c r="RNQ381" s="669"/>
      <c r="RNR381" s="669"/>
      <c r="RNS381" s="669"/>
      <c r="RNT381" s="669"/>
      <c r="RNU381" s="669"/>
      <c r="RNV381" s="669"/>
      <c r="RNW381" s="669"/>
      <c r="RNX381" s="669"/>
      <c r="RNY381" s="669"/>
      <c r="RNZ381" s="669"/>
      <c r="ROA381" s="669"/>
      <c r="ROB381" s="669"/>
      <c r="ROC381" s="669"/>
      <c r="ROD381" s="669"/>
      <c r="ROE381" s="669"/>
      <c r="ROF381" s="669"/>
      <c r="ROG381" s="669"/>
      <c r="ROH381" s="669"/>
      <c r="ROI381" s="669"/>
      <c r="ROJ381" s="669"/>
      <c r="ROK381" s="669"/>
      <c r="ROL381" s="669"/>
      <c r="ROM381" s="669"/>
      <c r="RON381" s="669"/>
      <c r="ROO381" s="669"/>
      <c r="ROP381" s="669"/>
      <c r="ROQ381" s="669"/>
      <c r="ROR381" s="669"/>
      <c r="ROS381" s="669"/>
      <c r="ROT381" s="669"/>
      <c r="ROU381" s="669"/>
      <c r="ROV381" s="669"/>
      <c r="ROW381" s="669"/>
      <c r="ROX381" s="669"/>
      <c r="ROY381" s="669"/>
      <c r="ROZ381" s="669"/>
      <c r="RPA381" s="669"/>
      <c r="RPB381" s="669"/>
      <c r="RPC381" s="669"/>
      <c r="RPD381" s="669"/>
      <c r="RPE381" s="669"/>
      <c r="RPF381" s="669"/>
      <c r="RPG381" s="669"/>
      <c r="RPH381" s="669"/>
      <c r="RPI381" s="669"/>
      <c r="RPJ381" s="669"/>
      <c r="RPK381" s="669"/>
      <c r="RPL381" s="669"/>
      <c r="RPM381" s="669"/>
      <c r="RPN381" s="669"/>
      <c r="RPO381" s="669"/>
      <c r="RPP381" s="669"/>
      <c r="RPQ381" s="669"/>
      <c r="RPR381" s="669"/>
      <c r="RPS381" s="669"/>
      <c r="RPT381" s="669"/>
      <c r="RPU381" s="669"/>
      <c r="RPV381" s="669"/>
      <c r="RPW381" s="669"/>
      <c r="RPX381" s="669"/>
      <c r="RPY381" s="669"/>
      <c r="RPZ381" s="669"/>
      <c r="RQA381" s="669"/>
      <c r="RQB381" s="669"/>
      <c r="RQC381" s="669"/>
      <c r="RQD381" s="669"/>
      <c r="RQE381" s="669"/>
      <c r="RQF381" s="669"/>
      <c r="RQG381" s="669"/>
      <c r="RQH381" s="669"/>
      <c r="RQI381" s="669"/>
      <c r="RQJ381" s="669"/>
      <c r="RQK381" s="669"/>
      <c r="RQL381" s="669"/>
      <c r="RQM381" s="669"/>
      <c r="RQN381" s="669"/>
      <c r="RQO381" s="669"/>
      <c r="RQP381" s="669"/>
      <c r="RQQ381" s="669"/>
      <c r="RQR381" s="669"/>
      <c r="RQS381" s="669"/>
      <c r="RQT381" s="669"/>
      <c r="RQU381" s="669"/>
      <c r="RQV381" s="669"/>
      <c r="RQW381" s="669"/>
      <c r="RQX381" s="669"/>
      <c r="RQY381" s="669"/>
      <c r="RQZ381" s="669"/>
      <c r="RRA381" s="669"/>
      <c r="RRB381" s="669"/>
      <c r="RRC381" s="669"/>
      <c r="RRD381" s="669"/>
      <c r="RRE381" s="669"/>
      <c r="RRF381" s="669"/>
      <c r="RRG381" s="669"/>
      <c r="RRH381" s="669"/>
      <c r="RRI381" s="669"/>
      <c r="RRJ381" s="669"/>
      <c r="RRK381" s="669"/>
      <c r="RRL381" s="669"/>
      <c r="RRM381" s="669"/>
      <c r="RRN381" s="669"/>
      <c r="RRO381" s="669"/>
      <c r="RRP381" s="669"/>
      <c r="RRQ381" s="669"/>
      <c r="RRR381" s="669"/>
      <c r="RRS381" s="669"/>
      <c r="RRT381" s="669"/>
      <c r="RRU381" s="669"/>
      <c r="RRV381" s="669"/>
      <c r="RRW381" s="669"/>
      <c r="RRX381" s="669"/>
      <c r="RRY381" s="669"/>
      <c r="RRZ381" s="669"/>
      <c r="RSA381" s="669"/>
      <c r="RSB381" s="669"/>
      <c r="RSC381" s="669"/>
      <c r="RSD381" s="669"/>
      <c r="RSE381" s="669"/>
      <c r="RSF381" s="669"/>
      <c r="RSG381" s="669"/>
      <c r="RSH381" s="669"/>
      <c r="RSI381" s="669"/>
      <c r="RSJ381" s="669"/>
      <c r="RSK381" s="669"/>
      <c r="RSL381" s="669"/>
      <c r="RSM381" s="669"/>
      <c r="RSN381" s="669"/>
      <c r="RSO381" s="669"/>
      <c r="RSP381" s="669"/>
      <c r="RSQ381" s="669"/>
      <c r="RSR381" s="669"/>
      <c r="RSS381" s="669"/>
      <c r="RST381" s="669"/>
      <c r="RSU381" s="669"/>
      <c r="RSV381" s="669"/>
      <c r="RSW381" s="669"/>
      <c r="RSX381" s="669"/>
      <c r="RSY381" s="669"/>
      <c r="RSZ381" s="669"/>
      <c r="RTA381" s="669"/>
      <c r="RTB381" s="669"/>
      <c r="RTC381" s="669"/>
      <c r="RTD381" s="669"/>
      <c r="RTE381" s="669"/>
      <c r="RTF381" s="669"/>
      <c r="RTG381" s="669"/>
      <c r="RTH381" s="669"/>
      <c r="RTI381" s="669"/>
      <c r="RTJ381" s="669"/>
      <c r="RTK381" s="669"/>
      <c r="RTL381" s="669"/>
      <c r="RTM381" s="669"/>
      <c r="RTN381" s="669"/>
      <c r="RTO381" s="669"/>
      <c r="RTP381" s="669"/>
      <c r="RTQ381" s="669"/>
      <c r="RTR381" s="669"/>
      <c r="RTS381" s="669"/>
      <c r="RTT381" s="669"/>
      <c r="RTU381" s="669"/>
      <c r="RTV381" s="669"/>
      <c r="RTW381" s="669"/>
      <c r="RTX381" s="669"/>
      <c r="RTY381" s="669"/>
      <c r="RTZ381" s="669"/>
      <c r="RUA381" s="669"/>
      <c r="RUB381" s="669"/>
      <c r="RUC381" s="669"/>
      <c r="RUD381" s="669"/>
      <c r="RUE381" s="669"/>
      <c r="RUF381" s="669"/>
      <c r="RUG381" s="669"/>
      <c r="RUH381" s="669"/>
      <c r="RUI381" s="669"/>
      <c r="RUJ381" s="669"/>
      <c r="RUK381" s="669"/>
      <c r="RUL381" s="669"/>
      <c r="RUM381" s="669"/>
      <c r="RUN381" s="669"/>
      <c r="RUO381" s="669"/>
      <c r="RUP381" s="669"/>
      <c r="RUQ381" s="669"/>
      <c r="RUR381" s="669"/>
      <c r="RUS381" s="669"/>
      <c r="RUT381" s="669"/>
      <c r="RUU381" s="669"/>
      <c r="RUV381" s="669"/>
      <c r="RUW381" s="669"/>
      <c r="RUX381" s="669"/>
      <c r="RUY381" s="669"/>
      <c r="RUZ381" s="669"/>
      <c r="RVA381" s="669"/>
      <c r="RVB381" s="669"/>
      <c r="RVC381" s="669"/>
      <c r="RVD381" s="669"/>
      <c r="RVE381" s="669"/>
      <c r="RVF381" s="669"/>
      <c r="RVG381" s="669"/>
      <c r="RVH381" s="669"/>
      <c r="RVI381" s="669"/>
      <c r="RVJ381" s="669"/>
      <c r="RVK381" s="669"/>
      <c r="RVL381" s="669"/>
      <c r="RVM381" s="669"/>
      <c r="RVN381" s="669"/>
      <c r="RVO381" s="669"/>
      <c r="RVP381" s="669"/>
      <c r="RVQ381" s="669"/>
      <c r="RVR381" s="669"/>
      <c r="RVS381" s="669"/>
      <c r="RVT381" s="669"/>
      <c r="RVU381" s="669"/>
      <c r="RVV381" s="669"/>
      <c r="RVW381" s="669"/>
      <c r="RVX381" s="669"/>
      <c r="RVY381" s="669"/>
      <c r="RVZ381" s="669"/>
      <c r="RWA381" s="669"/>
      <c r="RWB381" s="669"/>
      <c r="RWC381" s="669"/>
      <c r="RWD381" s="669"/>
      <c r="RWE381" s="669"/>
      <c r="RWF381" s="669"/>
      <c r="RWG381" s="669"/>
      <c r="RWH381" s="669"/>
      <c r="RWI381" s="669"/>
      <c r="RWJ381" s="669"/>
      <c r="RWK381" s="669"/>
      <c r="RWL381" s="669"/>
      <c r="RWM381" s="669"/>
      <c r="RWN381" s="669"/>
      <c r="RWO381" s="669"/>
      <c r="RWP381" s="669"/>
      <c r="RWQ381" s="669"/>
      <c r="RWR381" s="669"/>
      <c r="RWS381" s="669"/>
      <c r="RWT381" s="669"/>
      <c r="RWU381" s="669"/>
      <c r="RWV381" s="669"/>
      <c r="RWW381" s="669"/>
      <c r="RWX381" s="669"/>
      <c r="RWY381" s="669"/>
      <c r="RWZ381" s="669"/>
      <c r="RXA381" s="669"/>
      <c r="RXB381" s="669"/>
      <c r="RXC381" s="669"/>
      <c r="RXD381" s="669"/>
      <c r="RXE381" s="669"/>
      <c r="RXF381" s="669"/>
      <c r="RXG381" s="669"/>
      <c r="RXH381" s="669"/>
      <c r="RXI381" s="669"/>
      <c r="RXJ381" s="669"/>
      <c r="RXK381" s="669"/>
      <c r="RXL381" s="669"/>
      <c r="RXM381" s="669"/>
      <c r="RXN381" s="669"/>
      <c r="RXO381" s="669"/>
      <c r="RXP381" s="669"/>
      <c r="RXQ381" s="669"/>
      <c r="RXR381" s="669"/>
      <c r="RXS381" s="669"/>
      <c r="RXT381" s="669"/>
      <c r="RXU381" s="669"/>
      <c r="RXV381" s="669"/>
      <c r="RXW381" s="669"/>
      <c r="RXX381" s="669"/>
      <c r="RXY381" s="669"/>
      <c r="RXZ381" s="669"/>
      <c r="RYA381" s="669"/>
      <c r="RYB381" s="669"/>
      <c r="RYC381" s="669"/>
      <c r="RYD381" s="669"/>
      <c r="RYE381" s="669"/>
      <c r="RYF381" s="669"/>
      <c r="RYG381" s="669"/>
      <c r="RYH381" s="669"/>
      <c r="RYI381" s="669"/>
      <c r="RYJ381" s="669"/>
      <c r="RYK381" s="669"/>
      <c r="RYL381" s="669"/>
      <c r="RYM381" s="669"/>
      <c r="RYN381" s="669"/>
      <c r="RYO381" s="669"/>
      <c r="RYP381" s="669"/>
      <c r="RYQ381" s="669"/>
      <c r="RYR381" s="669"/>
      <c r="RYS381" s="669"/>
      <c r="RYT381" s="669"/>
      <c r="RYU381" s="669"/>
      <c r="RYV381" s="669"/>
      <c r="RYW381" s="669"/>
      <c r="RYX381" s="669"/>
      <c r="RYY381" s="669"/>
      <c r="RYZ381" s="669"/>
      <c r="RZA381" s="669"/>
      <c r="RZB381" s="669"/>
      <c r="RZC381" s="669"/>
      <c r="RZD381" s="669"/>
      <c r="RZE381" s="669"/>
      <c r="RZF381" s="669"/>
      <c r="RZG381" s="669"/>
      <c r="RZH381" s="669"/>
      <c r="RZI381" s="669"/>
      <c r="RZJ381" s="669"/>
      <c r="RZK381" s="669"/>
      <c r="RZL381" s="669"/>
      <c r="RZM381" s="669"/>
      <c r="RZN381" s="669"/>
      <c r="RZO381" s="669"/>
      <c r="RZP381" s="669"/>
      <c r="RZQ381" s="669"/>
      <c r="RZR381" s="669"/>
      <c r="RZS381" s="669"/>
      <c r="RZT381" s="669"/>
      <c r="RZU381" s="669"/>
      <c r="RZV381" s="669"/>
      <c r="RZW381" s="669"/>
      <c r="RZX381" s="669"/>
      <c r="RZY381" s="669"/>
      <c r="RZZ381" s="669"/>
      <c r="SAA381" s="669"/>
      <c r="SAB381" s="669"/>
      <c r="SAC381" s="669"/>
      <c r="SAD381" s="669"/>
      <c r="SAE381" s="669"/>
      <c r="SAF381" s="669"/>
      <c r="SAG381" s="669"/>
      <c r="SAH381" s="669"/>
      <c r="SAI381" s="669"/>
      <c r="SAJ381" s="669"/>
      <c r="SAK381" s="669"/>
      <c r="SAL381" s="669"/>
      <c r="SAM381" s="669"/>
      <c r="SAN381" s="669"/>
      <c r="SAO381" s="669"/>
      <c r="SAP381" s="669"/>
      <c r="SAQ381" s="669"/>
      <c r="SAR381" s="669"/>
      <c r="SAS381" s="669"/>
      <c r="SAT381" s="669"/>
      <c r="SAU381" s="669"/>
      <c r="SAV381" s="669"/>
      <c r="SAW381" s="669"/>
      <c r="SAX381" s="669"/>
      <c r="SAY381" s="669"/>
      <c r="SAZ381" s="669"/>
      <c r="SBA381" s="669"/>
      <c r="SBB381" s="669"/>
      <c r="SBC381" s="669"/>
      <c r="SBD381" s="669"/>
      <c r="SBE381" s="669"/>
      <c r="SBF381" s="669"/>
      <c r="SBG381" s="669"/>
      <c r="SBH381" s="669"/>
      <c r="SBI381" s="669"/>
      <c r="SBJ381" s="669"/>
      <c r="SBK381" s="669"/>
      <c r="SBL381" s="669"/>
      <c r="SBM381" s="669"/>
      <c r="SBN381" s="669"/>
      <c r="SBO381" s="669"/>
      <c r="SBP381" s="669"/>
      <c r="SBQ381" s="669"/>
      <c r="SBR381" s="669"/>
      <c r="SBS381" s="669"/>
      <c r="SBT381" s="669"/>
      <c r="SBU381" s="669"/>
      <c r="SBV381" s="669"/>
      <c r="SBW381" s="669"/>
      <c r="SBX381" s="669"/>
      <c r="SBY381" s="669"/>
      <c r="SBZ381" s="669"/>
      <c r="SCA381" s="669"/>
      <c r="SCB381" s="669"/>
      <c r="SCC381" s="669"/>
      <c r="SCD381" s="669"/>
      <c r="SCE381" s="669"/>
      <c r="SCF381" s="669"/>
      <c r="SCG381" s="669"/>
      <c r="SCH381" s="669"/>
      <c r="SCI381" s="669"/>
      <c r="SCJ381" s="669"/>
      <c r="SCK381" s="669"/>
      <c r="SCL381" s="669"/>
      <c r="SCM381" s="669"/>
      <c r="SCN381" s="669"/>
      <c r="SCO381" s="669"/>
      <c r="SCP381" s="669"/>
      <c r="SCQ381" s="669"/>
      <c r="SCR381" s="669"/>
      <c r="SCS381" s="669"/>
      <c r="SCT381" s="669"/>
      <c r="SCU381" s="669"/>
      <c r="SCV381" s="669"/>
      <c r="SCW381" s="669"/>
      <c r="SCX381" s="669"/>
      <c r="SCY381" s="669"/>
      <c r="SCZ381" s="669"/>
      <c r="SDA381" s="669"/>
      <c r="SDB381" s="669"/>
      <c r="SDC381" s="669"/>
      <c r="SDD381" s="669"/>
      <c r="SDE381" s="669"/>
      <c r="SDF381" s="669"/>
      <c r="SDG381" s="669"/>
      <c r="SDH381" s="669"/>
      <c r="SDI381" s="669"/>
      <c r="SDJ381" s="669"/>
      <c r="SDK381" s="669"/>
      <c r="SDL381" s="669"/>
      <c r="SDM381" s="669"/>
      <c r="SDN381" s="669"/>
      <c r="SDO381" s="669"/>
      <c r="SDP381" s="669"/>
      <c r="SDQ381" s="669"/>
      <c r="SDR381" s="669"/>
      <c r="SDS381" s="669"/>
      <c r="SDT381" s="669"/>
      <c r="SDU381" s="669"/>
      <c r="SDV381" s="669"/>
      <c r="SDW381" s="669"/>
      <c r="SDX381" s="669"/>
      <c r="SDY381" s="669"/>
      <c r="SDZ381" s="669"/>
      <c r="SEA381" s="669"/>
      <c r="SEB381" s="669"/>
      <c r="SEC381" s="669"/>
      <c r="SED381" s="669"/>
      <c r="SEE381" s="669"/>
      <c r="SEF381" s="669"/>
      <c r="SEG381" s="669"/>
      <c r="SEH381" s="669"/>
      <c r="SEI381" s="669"/>
      <c r="SEJ381" s="669"/>
      <c r="SEK381" s="669"/>
      <c r="SEL381" s="669"/>
      <c r="SEM381" s="669"/>
      <c r="SEN381" s="669"/>
      <c r="SEO381" s="669"/>
      <c r="SEP381" s="669"/>
      <c r="SEQ381" s="669"/>
      <c r="SER381" s="669"/>
      <c r="SES381" s="669"/>
      <c r="SET381" s="669"/>
      <c r="SEU381" s="669"/>
      <c r="SEV381" s="669"/>
      <c r="SEW381" s="669"/>
      <c r="SEX381" s="669"/>
      <c r="SEY381" s="669"/>
      <c r="SEZ381" s="669"/>
      <c r="SFA381" s="669"/>
      <c r="SFB381" s="669"/>
      <c r="SFC381" s="669"/>
      <c r="SFD381" s="669"/>
      <c r="SFE381" s="669"/>
      <c r="SFF381" s="669"/>
      <c r="SFG381" s="669"/>
      <c r="SFH381" s="669"/>
      <c r="SFI381" s="669"/>
      <c r="SFJ381" s="669"/>
      <c r="SFK381" s="669"/>
      <c r="SFL381" s="669"/>
      <c r="SFM381" s="669"/>
      <c r="SFN381" s="669"/>
      <c r="SFO381" s="669"/>
      <c r="SFP381" s="669"/>
      <c r="SFQ381" s="669"/>
      <c r="SFR381" s="669"/>
      <c r="SFS381" s="669"/>
      <c r="SFT381" s="669"/>
      <c r="SFU381" s="669"/>
      <c r="SFV381" s="669"/>
      <c r="SFW381" s="669"/>
      <c r="SFX381" s="669"/>
      <c r="SFY381" s="669"/>
      <c r="SFZ381" s="669"/>
      <c r="SGA381" s="669"/>
      <c r="SGB381" s="669"/>
      <c r="SGC381" s="669"/>
      <c r="SGD381" s="669"/>
      <c r="SGE381" s="669"/>
      <c r="SGF381" s="669"/>
      <c r="SGG381" s="669"/>
      <c r="SGH381" s="669"/>
      <c r="SGI381" s="669"/>
      <c r="SGJ381" s="669"/>
      <c r="SGK381" s="669"/>
      <c r="SGL381" s="669"/>
      <c r="SGM381" s="669"/>
      <c r="SGN381" s="669"/>
      <c r="SGO381" s="669"/>
      <c r="SGP381" s="669"/>
      <c r="SGQ381" s="669"/>
      <c r="SGR381" s="669"/>
      <c r="SGS381" s="669"/>
      <c r="SGT381" s="669"/>
      <c r="SGU381" s="669"/>
      <c r="SGV381" s="669"/>
      <c r="SGW381" s="669"/>
      <c r="SGX381" s="669"/>
      <c r="SGY381" s="669"/>
      <c r="SGZ381" s="669"/>
      <c r="SHA381" s="669"/>
      <c r="SHB381" s="669"/>
      <c r="SHC381" s="669"/>
      <c r="SHD381" s="669"/>
      <c r="SHE381" s="669"/>
      <c r="SHF381" s="669"/>
      <c r="SHG381" s="669"/>
      <c r="SHH381" s="669"/>
      <c r="SHI381" s="669"/>
      <c r="SHJ381" s="669"/>
      <c r="SHK381" s="669"/>
      <c r="SHL381" s="669"/>
      <c r="SHM381" s="669"/>
      <c r="SHN381" s="669"/>
      <c r="SHO381" s="669"/>
      <c r="SHP381" s="669"/>
      <c r="SHQ381" s="669"/>
      <c r="SHR381" s="669"/>
      <c r="SHS381" s="669"/>
      <c r="SHT381" s="669"/>
      <c r="SHU381" s="669"/>
      <c r="SHV381" s="669"/>
      <c r="SHW381" s="669"/>
      <c r="SHX381" s="669"/>
      <c r="SHY381" s="669"/>
      <c r="SHZ381" s="669"/>
      <c r="SIA381" s="669"/>
      <c r="SIB381" s="669"/>
      <c r="SIC381" s="669"/>
      <c r="SID381" s="669"/>
      <c r="SIE381" s="669"/>
      <c r="SIF381" s="669"/>
      <c r="SIG381" s="669"/>
      <c r="SIH381" s="669"/>
      <c r="SII381" s="669"/>
      <c r="SIJ381" s="669"/>
      <c r="SIK381" s="669"/>
      <c r="SIL381" s="669"/>
      <c r="SIM381" s="669"/>
      <c r="SIN381" s="669"/>
      <c r="SIO381" s="669"/>
      <c r="SIP381" s="669"/>
      <c r="SIQ381" s="669"/>
      <c r="SIR381" s="669"/>
      <c r="SIS381" s="669"/>
      <c r="SIT381" s="669"/>
      <c r="SIU381" s="669"/>
      <c r="SIV381" s="669"/>
      <c r="SIW381" s="669"/>
      <c r="SIX381" s="669"/>
      <c r="SIY381" s="669"/>
      <c r="SIZ381" s="669"/>
      <c r="SJA381" s="669"/>
      <c r="SJB381" s="669"/>
      <c r="SJC381" s="669"/>
      <c r="SJD381" s="669"/>
      <c r="SJE381" s="669"/>
      <c r="SJF381" s="669"/>
      <c r="SJG381" s="669"/>
      <c r="SJH381" s="669"/>
      <c r="SJI381" s="669"/>
      <c r="SJJ381" s="669"/>
      <c r="SJK381" s="669"/>
      <c r="SJL381" s="669"/>
      <c r="SJM381" s="669"/>
      <c r="SJN381" s="669"/>
      <c r="SJO381" s="669"/>
      <c r="SJP381" s="669"/>
      <c r="SJQ381" s="669"/>
      <c r="SJR381" s="669"/>
      <c r="SJS381" s="669"/>
      <c r="SJT381" s="669"/>
      <c r="SJU381" s="669"/>
      <c r="SJV381" s="669"/>
      <c r="SJW381" s="669"/>
      <c r="SJX381" s="669"/>
      <c r="SJY381" s="669"/>
      <c r="SJZ381" s="669"/>
      <c r="SKA381" s="669"/>
      <c r="SKB381" s="669"/>
      <c r="SKC381" s="669"/>
      <c r="SKD381" s="669"/>
      <c r="SKE381" s="669"/>
      <c r="SKF381" s="669"/>
      <c r="SKG381" s="669"/>
      <c r="SKH381" s="669"/>
      <c r="SKI381" s="669"/>
      <c r="SKJ381" s="669"/>
      <c r="SKK381" s="669"/>
      <c r="SKL381" s="669"/>
      <c r="SKM381" s="669"/>
      <c r="SKN381" s="669"/>
      <c r="SKO381" s="669"/>
      <c r="SKP381" s="669"/>
      <c r="SKQ381" s="669"/>
      <c r="SKR381" s="669"/>
      <c r="SKS381" s="669"/>
      <c r="SKT381" s="669"/>
      <c r="SKU381" s="669"/>
      <c r="SKV381" s="669"/>
      <c r="SKW381" s="669"/>
      <c r="SKX381" s="669"/>
      <c r="SKY381" s="669"/>
      <c r="SKZ381" s="669"/>
      <c r="SLA381" s="669"/>
      <c r="SLB381" s="669"/>
      <c r="SLC381" s="669"/>
      <c r="SLD381" s="669"/>
      <c r="SLE381" s="669"/>
      <c r="SLF381" s="669"/>
      <c r="SLG381" s="669"/>
      <c r="SLH381" s="669"/>
      <c r="SLI381" s="669"/>
      <c r="SLJ381" s="669"/>
      <c r="SLK381" s="669"/>
      <c r="SLL381" s="669"/>
      <c r="SLM381" s="669"/>
      <c r="SLN381" s="669"/>
      <c r="SLO381" s="669"/>
      <c r="SLP381" s="669"/>
      <c r="SLQ381" s="669"/>
      <c r="SLR381" s="669"/>
      <c r="SLS381" s="669"/>
      <c r="SLT381" s="669"/>
      <c r="SLU381" s="669"/>
      <c r="SLV381" s="669"/>
      <c r="SLW381" s="669"/>
      <c r="SLX381" s="669"/>
      <c r="SLY381" s="669"/>
      <c r="SLZ381" s="669"/>
      <c r="SMA381" s="669"/>
      <c r="SMB381" s="669"/>
      <c r="SMC381" s="669"/>
      <c r="SMD381" s="669"/>
      <c r="SME381" s="669"/>
      <c r="SMF381" s="669"/>
      <c r="SMG381" s="669"/>
      <c r="SMH381" s="669"/>
      <c r="SMI381" s="669"/>
      <c r="SMJ381" s="669"/>
      <c r="SMK381" s="669"/>
      <c r="SML381" s="669"/>
      <c r="SMM381" s="669"/>
      <c r="SMN381" s="669"/>
      <c r="SMO381" s="669"/>
      <c r="SMP381" s="669"/>
      <c r="SMQ381" s="669"/>
      <c r="SMR381" s="669"/>
      <c r="SMS381" s="669"/>
      <c r="SMT381" s="669"/>
      <c r="SMU381" s="669"/>
      <c r="SMV381" s="669"/>
      <c r="SMW381" s="669"/>
      <c r="SMX381" s="669"/>
      <c r="SMY381" s="669"/>
      <c r="SMZ381" s="669"/>
      <c r="SNA381" s="669"/>
      <c r="SNB381" s="669"/>
      <c r="SNC381" s="669"/>
      <c r="SND381" s="669"/>
      <c r="SNE381" s="669"/>
      <c r="SNF381" s="669"/>
      <c r="SNG381" s="669"/>
      <c r="SNH381" s="669"/>
      <c r="SNI381" s="669"/>
      <c r="SNJ381" s="669"/>
      <c r="SNK381" s="669"/>
      <c r="SNL381" s="669"/>
      <c r="SNM381" s="669"/>
      <c r="SNN381" s="669"/>
      <c r="SNO381" s="669"/>
      <c r="SNP381" s="669"/>
      <c r="SNQ381" s="669"/>
      <c r="SNR381" s="669"/>
      <c r="SNS381" s="669"/>
      <c r="SNT381" s="669"/>
      <c r="SNU381" s="669"/>
      <c r="SNV381" s="669"/>
      <c r="SNW381" s="669"/>
      <c r="SNX381" s="669"/>
      <c r="SNY381" s="669"/>
      <c r="SNZ381" s="669"/>
      <c r="SOA381" s="669"/>
      <c r="SOB381" s="669"/>
      <c r="SOC381" s="669"/>
      <c r="SOD381" s="669"/>
      <c r="SOE381" s="669"/>
      <c r="SOF381" s="669"/>
      <c r="SOG381" s="669"/>
      <c r="SOH381" s="669"/>
      <c r="SOI381" s="669"/>
      <c r="SOJ381" s="669"/>
      <c r="SOK381" s="669"/>
      <c r="SOL381" s="669"/>
      <c r="SOM381" s="669"/>
      <c r="SON381" s="669"/>
      <c r="SOO381" s="669"/>
      <c r="SOP381" s="669"/>
      <c r="SOQ381" s="669"/>
      <c r="SOR381" s="669"/>
      <c r="SOS381" s="669"/>
      <c r="SOT381" s="669"/>
      <c r="SOU381" s="669"/>
      <c r="SOV381" s="669"/>
      <c r="SOW381" s="669"/>
      <c r="SOX381" s="669"/>
      <c r="SOY381" s="669"/>
      <c r="SOZ381" s="669"/>
      <c r="SPA381" s="669"/>
      <c r="SPB381" s="669"/>
      <c r="SPC381" s="669"/>
      <c r="SPD381" s="669"/>
      <c r="SPE381" s="669"/>
      <c r="SPF381" s="669"/>
      <c r="SPG381" s="669"/>
      <c r="SPH381" s="669"/>
      <c r="SPI381" s="669"/>
      <c r="SPJ381" s="669"/>
      <c r="SPK381" s="669"/>
      <c r="SPL381" s="669"/>
      <c r="SPM381" s="669"/>
      <c r="SPN381" s="669"/>
      <c r="SPO381" s="669"/>
      <c r="SPP381" s="669"/>
      <c r="SPQ381" s="669"/>
      <c r="SPR381" s="669"/>
      <c r="SPS381" s="669"/>
      <c r="SPT381" s="669"/>
      <c r="SPU381" s="669"/>
      <c r="SPV381" s="669"/>
      <c r="SPW381" s="669"/>
      <c r="SPX381" s="669"/>
      <c r="SPY381" s="669"/>
      <c r="SPZ381" s="669"/>
      <c r="SQA381" s="669"/>
      <c r="SQB381" s="669"/>
      <c r="SQC381" s="669"/>
      <c r="SQD381" s="669"/>
      <c r="SQE381" s="669"/>
      <c r="SQF381" s="669"/>
      <c r="SQG381" s="669"/>
      <c r="SQH381" s="669"/>
      <c r="SQI381" s="669"/>
      <c r="SQJ381" s="669"/>
      <c r="SQK381" s="669"/>
      <c r="SQL381" s="669"/>
      <c r="SQM381" s="669"/>
      <c r="SQN381" s="669"/>
      <c r="SQO381" s="669"/>
      <c r="SQP381" s="669"/>
      <c r="SQQ381" s="669"/>
      <c r="SQR381" s="669"/>
      <c r="SQS381" s="669"/>
      <c r="SQT381" s="669"/>
      <c r="SQU381" s="669"/>
      <c r="SQV381" s="669"/>
      <c r="SQW381" s="669"/>
      <c r="SQX381" s="669"/>
      <c r="SQY381" s="669"/>
      <c r="SQZ381" s="669"/>
      <c r="SRA381" s="669"/>
      <c r="SRB381" s="669"/>
      <c r="SRC381" s="669"/>
      <c r="SRD381" s="669"/>
      <c r="SRE381" s="669"/>
      <c r="SRF381" s="669"/>
      <c r="SRG381" s="669"/>
      <c r="SRH381" s="669"/>
      <c r="SRI381" s="669"/>
      <c r="SRJ381" s="669"/>
      <c r="SRK381" s="669"/>
      <c r="SRL381" s="669"/>
      <c r="SRM381" s="669"/>
      <c r="SRN381" s="669"/>
      <c r="SRO381" s="669"/>
      <c r="SRP381" s="669"/>
      <c r="SRQ381" s="669"/>
      <c r="SRR381" s="669"/>
      <c r="SRS381" s="669"/>
      <c r="SRT381" s="669"/>
      <c r="SRU381" s="669"/>
      <c r="SRV381" s="669"/>
      <c r="SRW381" s="669"/>
      <c r="SRX381" s="669"/>
      <c r="SRY381" s="669"/>
      <c r="SRZ381" s="669"/>
      <c r="SSA381" s="669"/>
      <c r="SSB381" s="669"/>
      <c r="SSC381" s="669"/>
      <c r="SSD381" s="669"/>
      <c r="SSE381" s="669"/>
      <c r="SSF381" s="669"/>
      <c r="SSG381" s="669"/>
      <c r="SSH381" s="669"/>
      <c r="SSI381" s="669"/>
      <c r="SSJ381" s="669"/>
      <c r="SSK381" s="669"/>
      <c r="SSL381" s="669"/>
      <c r="SSM381" s="669"/>
      <c r="SSN381" s="669"/>
      <c r="SSO381" s="669"/>
      <c r="SSP381" s="669"/>
      <c r="SSQ381" s="669"/>
      <c r="SSR381" s="669"/>
      <c r="SSS381" s="669"/>
      <c r="SST381" s="669"/>
      <c r="SSU381" s="669"/>
      <c r="SSV381" s="669"/>
      <c r="SSW381" s="669"/>
      <c r="SSX381" s="669"/>
      <c r="SSY381" s="669"/>
      <c r="SSZ381" s="669"/>
      <c r="STA381" s="669"/>
      <c r="STB381" s="669"/>
      <c r="STC381" s="669"/>
      <c r="STD381" s="669"/>
      <c r="STE381" s="669"/>
      <c r="STF381" s="669"/>
      <c r="STG381" s="669"/>
      <c r="STH381" s="669"/>
      <c r="STI381" s="669"/>
      <c r="STJ381" s="669"/>
      <c r="STK381" s="669"/>
      <c r="STL381" s="669"/>
      <c r="STM381" s="669"/>
      <c r="STN381" s="669"/>
      <c r="STO381" s="669"/>
      <c r="STP381" s="669"/>
      <c r="STQ381" s="669"/>
      <c r="STR381" s="669"/>
      <c r="STS381" s="669"/>
      <c r="STT381" s="669"/>
      <c r="STU381" s="669"/>
      <c r="STV381" s="669"/>
      <c r="STW381" s="669"/>
      <c r="STX381" s="669"/>
      <c r="STY381" s="669"/>
      <c r="STZ381" s="669"/>
      <c r="SUA381" s="669"/>
      <c r="SUB381" s="669"/>
      <c r="SUC381" s="669"/>
      <c r="SUD381" s="669"/>
      <c r="SUE381" s="669"/>
      <c r="SUF381" s="669"/>
      <c r="SUG381" s="669"/>
      <c r="SUH381" s="669"/>
      <c r="SUI381" s="669"/>
      <c r="SUJ381" s="669"/>
      <c r="SUK381" s="669"/>
      <c r="SUL381" s="669"/>
      <c r="SUM381" s="669"/>
      <c r="SUN381" s="669"/>
      <c r="SUO381" s="669"/>
      <c r="SUP381" s="669"/>
      <c r="SUQ381" s="669"/>
      <c r="SUR381" s="669"/>
      <c r="SUS381" s="669"/>
      <c r="SUT381" s="669"/>
      <c r="SUU381" s="669"/>
      <c r="SUV381" s="669"/>
      <c r="SUW381" s="669"/>
      <c r="SUX381" s="669"/>
      <c r="SUY381" s="669"/>
      <c r="SUZ381" s="669"/>
      <c r="SVA381" s="669"/>
      <c r="SVB381" s="669"/>
      <c r="SVC381" s="669"/>
      <c r="SVD381" s="669"/>
      <c r="SVE381" s="669"/>
      <c r="SVF381" s="669"/>
      <c r="SVG381" s="669"/>
      <c r="SVH381" s="669"/>
      <c r="SVI381" s="669"/>
      <c r="SVJ381" s="669"/>
      <c r="SVK381" s="669"/>
      <c r="SVL381" s="669"/>
      <c r="SVM381" s="669"/>
      <c r="SVN381" s="669"/>
      <c r="SVO381" s="669"/>
      <c r="SVP381" s="669"/>
      <c r="SVQ381" s="669"/>
      <c r="SVR381" s="669"/>
      <c r="SVS381" s="669"/>
      <c r="SVT381" s="669"/>
      <c r="SVU381" s="669"/>
      <c r="SVV381" s="669"/>
      <c r="SVW381" s="669"/>
      <c r="SVX381" s="669"/>
      <c r="SVY381" s="669"/>
      <c r="SVZ381" s="669"/>
      <c r="SWA381" s="669"/>
      <c r="SWB381" s="669"/>
      <c r="SWC381" s="669"/>
      <c r="SWD381" s="669"/>
      <c r="SWE381" s="669"/>
      <c r="SWF381" s="669"/>
      <c r="SWG381" s="669"/>
      <c r="SWH381" s="669"/>
      <c r="SWI381" s="669"/>
      <c r="SWJ381" s="669"/>
      <c r="SWK381" s="669"/>
      <c r="SWL381" s="669"/>
      <c r="SWM381" s="669"/>
      <c r="SWN381" s="669"/>
      <c r="SWO381" s="669"/>
      <c r="SWP381" s="669"/>
      <c r="SWQ381" s="669"/>
      <c r="SWR381" s="669"/>
      <c r="SWS381" s="669"/>
      <c r="SWT381" s="669"/>
      <c r="SWU381" s="669"/>
      <c r="SWV381" s="669"/>
      <c r="SWW381" s="669"/>
      <c r="SWX381" s="669"/>
      <c r="SWY381" s="669"/>
      <c r="SWZ381" s="669"/>
      <c r="SXA381" s="669"/>
      <c r="SXB381" s="669"/>
      <c r="SXC381" s="669"/>
      <c r="SXD381" s="669"/>
      <c r="SXE381" s="669"/>
      <c r="SXF381" s="669"/>
      <c r="SXG381" s="669"/>
      <c r="SXH381" s="669"/>
      <c r="SXI381" s="669"/>
      <c r="SXJ381" s="669"/>
      <c r="SXK381" s="669"/>
      <c r="SXL381" s="669"/>
      <c r="SXM381" s="669"/>
      <c r="SXN381" s="669"/>
      <c r="SXO381" s="669"/>
      <c r="SXP381" s="669"/>
      <c r="SXQ381" s="669"/>
      <c r="SXR381" s="669"/>
      <c r="SXS381" s="669"/>
      <c r="SXT381" s="669"/>
      <c r="SXU381" s="669"/>
      <c r="SXV381" s="669"/>
      <c r="SXW381" s="669"/>
      <c r="SXX381" s="669"/>
      <c r="SXY381" s="669"/>
      <c r="SXZ381" s="669"/>
      <c r="SYA381" s="669"/>
      <c r="SYB381" s="669"/>
      <c r="SYC381" s="669"/>
      <c r="SYD381" s="669"/>
      <c r="SYE381" s="669"/>
      <c r="SYF381" s="669"/>
      <c r="SYG381" s="669"/>
      <c r="SYH381" s="669"/>
      <c r="SYI381" s="669"/>
      <c r="SYJ381" s="669"/>
      <c r="SYK381" s="669"/>
      <c r="SYL381" s="669"/>
      <c r="SYM381" s="669"/>
      <c r="SYN381" s="669"/>
      <c r="SYO381" s="669"/>
      <c r="SYP381" s="669"/>
      <c r="SYQ381" s="669"/>
      <c r="SYR381" s="669"/>
      <c r="SYS381" s="669"/>
      <c r="SYT381" s="669"/>
      <c r="SYU381" s="669"/>
      <c r="SYV381" s="669"/>
      <c r="SYW381" s="669"/>
      <c r="SYX381" s="669"/>
      <c r="SYY381" s="669"/>
      <c r="SYZ381" s="669"/>
      <c r="SZA381" s="669"/>
      <c r="SZB381" s="669"/>
      <c r="SZC381" s="669"/>
      <c r="SZD381" s="669"/>
      <c r="SZE381" s="669"/>
      <c r="SZF381" s="669"/>
      <c r="SZG381" s="669"/>
      <c r="SZH381" s="669"/>
      <c r="SZI381" s="669"/>
      <c r="SZJ381" s="669"/>
      <c r="SZK381" s="669"/>
      <c r="SZL381" s="669"/>
      <c r="SZM381" s="669"/>
      <c r="SZN381" s="669"/>
      <c r="SZO381" s="669"/>
      <c r="SZP381" s="669"/>
      <c r="SZQ381" s="669"/>
      <c r="SZR381" s="669"/>
      <c r="SZS381" s="669"/>
      <c r="SZT381" s="669"/>
      <c r="SZU381" s="669"/>
      <c r="SZV381" s="669"/>
      <c r="SZW381" s="669"/>
      <c r="SZX381" s="669"/>
      <c r="SZY381" s="669"/>
      <c r="SZZ381" s="669"/>
      <c r="TAA381" s="669"/>
      <c r="TAB381" s="669"/>
      <c r="TAC381" s="669"/>
      <c r="TAD381" s="669"/>
      <c r="TAE381" s="669"/>
      <c r="TAF381" s="669"/>
      <c r="TAG381" s="669"/>
      <c r="TAH381" s="669"/>
      <c r="TAI381" s="669"/>
      <c r="TAJ381" s="669"/>
      <c r="TAK381" s="669"/>
      <c r="TAL381" s="669"/>
      <c r="TAM381" s="669"/>
      <c r="TAN381" s="669"/>
      <c r="TAO381" s="669"/>
      <c r="TAP381" s="669"/>
      <c r="TAQ381" s="669"/>
      <c r="TAR381" s="669"/>
      <c r="TAS381" s="669"/>
      <c r="TAT381" s="669"/>
      <c r="TAU381" s="669"/>
      <c r="TAV381" s="669"/>
      <c r="TAW381" s="669"/>
      <c r="TAX381" s="669"/>
      <c r="TAY381" s="669"/>
      <c r="TAZ381" s="669"/>
      <c r="TBA381" s="669"/>
      <c r="TBB381" s="669"/>
      <c r="TBC381" s="669"/>
      <c r="TBD381" s="669"/>
      <c r="TBE381" s="669"/>
      <c r="TBF381" s="669"/>
      <c r="TBG381" s="669"/>
      <c r="TBH381" s="669"/>
      <c r="TBI381" s="669"/>
      <c r="TBJ381" s="669"/>
      <c r="TBK381" s="669"/>
      <c r="TBL381" s="669"/>
      <c r="TBM381" s="669"/>
      <c r="TBN381" s="669"/>
      <c r="TBO381" s="669"/>
      <c r="TBP381" s="669"/>
      <c r="TBQ381" s="669"/>
      <c r="TBR381" s="669"/>
      <c r="TBS381" s="669"/>
      <c r="TBT381" s="669"/>
      <c r="TBU381" s="669"/>
      <c r="TBV381" s="669"/>
      <c r="TBW381" s="669"/>
      <c r="TBX381" s="669"/>
      <c r="TBY381" s="669"/>
      <c r="TBZ381" s="669"/>
      <c r="TCA381" s="669"/>
      <c r="TCB381" s="669"/>
      <c r="TCC381" s="669"/>
      <c r="TCD381" s="669"/>
      <c r="TCE381" s="669"/>
      <c r="TCF381" s="669"/>
      <c r="TCG381" s="669"/>
      <c r="TCH381" s="669"/>
      <c r="TCI381" s="669"/>
      <c r="TCJ381" s="669"/>
      <c r="TCK381" s="669"/>
      <c r="TCL381" s="669"/>
      <c r="TCM381" s="669"/>
      <c r="TCN381" s="669"/>
      <c r="TCO381" s="669"/>
      <c r="TCP381" s="669"/>
      <c r="TCQ381" s="669"/>
      <c r="TCR381" s="669"/>
      <c r="TCS381" s="669"/>
      <c r="TCT381" s="669"/>
      <c r="TCU381" s="669"/>
      <c r="TCV381" s="669"/>
      <c r="TCW381" s="669"/>
      <c r="TCX381" s="669"/>
      <c r="TCY381" s="669"/>
      <c r="TCZ381" s="669"/>
      <c r="TDA381" s="669"/>
      <c r="TDB381" s="669"/>
      <c r="TDC381" s="669"/>
      <c r="TDD381" s="669"/>
      <c r="TDE381" s="669"/>
      <c r="TDF381" s="669"/>
      <c r="TDG381" s="669"/>
      <c r="TDH381" s="669"/>
      <c r="TDI381" s="669"/>
      <c r="TDJ381" s="669"/>
      <c r="TDK381" s="669"/>
      <c r="TDL381" s="669"/>
      <c r="TDM381" s="669"/>
      <c r="TDN381" s="669"/>
      <c r="TDO381" s="669"/>
      <c r="TDP381" s="669"/>
      <c r="TDQ381" s="669"/>
      <c r="TDR381" s="669"/>
      <c r="TDS381" s="669"/>
      <c r="TDT381" s="669"/>
      <c r="TDU381" s="669"/>
      <c r="TDV381" s="669"/>
      <c r="TDW381" s="669"/>
      <c r="TDX381" s="669"/>
      <c r="TDY381" s="669"/>
      <c r="TDZ381" s="669"/>
      <c r="TEA381" s="669"/>
      <c r="TEB381" s="669"/>
      <c r="TEC381" s="669"/>
      <c r="TED381" s="669"/>
      <c r="TEE381" s="669"/>
      <c r="TEF381" s="669"/>
      <c r="TEG381" s="669"/>
      <c r="TEH381" s="669"/>
      <c r="TEI381" s="669"/>
      <c r="TEJ381" s="669"/>
      <c r="TEK381" s="669"/>
      <c r="TEL381" s="669"/>
      <c r="TEM381" s="669"/>
      <c r="TEN381" s="669"/>
      <c r="TEO381" s="669"/>
      <c r="TEP381" s="669"/>
      <c r="TEQ381" s="669"/>
      <c r="TER381" s="669"/>
      <c r="TES381" s="669"/>
      <c r="TET381" s="669"/>
      <c r="TEU381" s="669"/>
      <c r="TEV381" s="669"/>
      <c r="TEW381" s="669"/>
      <c r="TEX381" s="669"/>
      <c r="TEY381" s="669"/>
      <c r="TEZ381" s="669"/>
      <c r="TFA381" s="669"/>
      <c r="TFB381" s="669"/>
      <c r="TFC381" s="669"/>
      <c r="TFD381" s="669"/>
      <c r="TFE381" s="669"/>
      <c r="TFF381" s="669"/>
      <c r="TFG381" s="669"/>
      <c r="TFH381" s="669"/>
      <c r="TFI381" s="669"/>
      <c r="TFJ381" s="669"/>
      <c r="TFK381" s="669"/>
      <c r="TFL381" s="669"/>
      <c r="TFM381" s="669"/>
      <c r="TFN381" s="669"/>
      <c r="TFO381" s="669"/>
      <c r="TFP381" s="669"/>
      <c r="TFQ381" s="669"/>
      <c r="TFR381" s="669"/>
      <c r="TFS381" s="669"/>
      <c r="TFT381" s="669"/>
      <c r="TFU381" s="669"/>
      <c r="TFV381" s="669"/>
      <c r="TFW381" s="669"/>
      <c r="TFX381" s="669"/>
      <c r="TFY381" s="669"/>
      <c r="TFZ381" s="669"/>
      <c r="TGA381" s="669"/>
      <c r="TGB381" s="669"/>
      <c r="TGC381" s="669"/>
      <c r="TGD381" s="669"/>
      <c r="TGE381" s="669"/>
      <c r="TGF381" s="669"/>
      <c r="TGG381" s="669"/>
      <c r="TGH381" s="669"/>
      <c r="TGI381" s="669"/>
      <c r="TGJ381" s="669"/>
      <c r="TGK381" s="669"/>
      <c r="TGL381" s="669"/>
      <c r="TGM381" s="669"/>
      <c r="TGN381" s="669"/>
      <c r="TGO381" s="669"/>
      <c r="TGP381" s="669"/>
      <c r="TGQ381" s="669"/>
      <c r="TGR381" s="669"/>
      <c r="TGS381" s="669"/>
      <c r="TGT381" s="669"/>
      <c r="TGU381" s="669"/>
      <c r="TGV381" s="669"/>
      <c r="TGW381" s="669"/>
      <c r="TGX381" s="669"/>
      <c r="TGY381" s="669"/>
      <c r="TGZ381" s="669"/>
      <c r="THA381" s="669"/>
      <c r="THB381" s="669"/>
      <c r="THC381" s="669"/>
      <c r="THD381" s="669"/>
      <c r="THE381" s="669"/>
      <c r="THF381" s="669"/>
      <c r="THG381" s="669"/>
      <c r="THH381" s="669"/>
      <c r="THI381" s="669"/>
      <c r="THJ381" s="669"/>
      <c r="THK381" s="669"/>
      <c r="THL381" s="669"/>
      <c r="THM381" s="669"/>
      <c r="THN381" s="669"/>
      <c r="THO381" s="669"/>
      <c r="THP381" s="669"/>
      <c r="THQ381" s="669"/>
      <c r="THR381" s="669"/>
      <c r="THS381" s="669"/>
      <c r="THT381" s="669"/>
      <c r="THU381" s="669"/>
      <c r="THV381" s="669"/>
      <c r="THW381" s="669"/>
      <c r="THX381" s="669"/>
      <c r="THY381" s="669"/>
      <c r="THZ381" s="669"/>
      <c r="TIA381" s="669"/>
      <c r="TIB381" s="669"/>
      <c r="TIC381" s="669"/>
      <c r="TID381" s="669"/>
      <c r="TIE381" s="669"/>
      <c r="TIF381" s="669"/>
      <c r="TIG381" s="669"/>
      <c r="TIH381" s="669"/>
      <c r="TII381" s="669"/>
      <c r="TIJ381" s="669"/>
      <c r="TIK381" s="669"/>
      <c r="TIL381" s="669"/>
      <c r="TIM381" s="669"/>
      <c r="TIN381" s="669"/>
      <c r="TIO381" s="669"/>
      <c r="TIP381" s="669"/>
      <c r="TIQ381" s="669"/>
      <c r="TIR381" s="669"/>
      <c r="TIS381" s="669"/>
      <c r="TIT381" s="669"/>
      <c r="TIU381" s="669"/>
      <c r="TIV381" s="669"/>
      <c r="TIW381" s="669"/>
      <c r="TIX381" s="669"/>
      <c r="TIY381" s="669"/>
      <c r="TIZ381" s="669"/>
      <c r="TJA381" s="669"/>
      <c r="TJB381" s="669"/>
      <c r="TJC381" s="669"/>
      <c r="TJD381" s="669"/>
      <c r="TJE381" s="669"/>
      <c r="TJF381" s="669"/>
      <c r="TJG381" s="669"/>
      <c r="TJH381" s="669"/>
      <c r="TJI381" s="669"/>
      <c r="TJJ381" s="669"/>
      <c r="TJK381" s="669"/>
      <c r="TJL381" s="669"/>
      <c r="TJM381" s="669"/>
      <c r="TJN381" s="669"/>
      <c r="TJO381" s="669"/>
      <c r="TJP381" s="669"/>
      <c r="TJQ381" s="669"/>
      <c r="TJR381" s="669"/>
      <c r="TJS381" s="669"/>
      <c r="TJT381" s="669"/>
      <c r="TJU381" s="669"/>
      <c r="TJV381" s="669"/>
      <c r="TJW381" s="669"/>
      <c r="TJX381" s="669"/>
      <c r="TJY381" s="669"/>
      <c r="TJZ381" s="669"/>
      <c r="TKA381" s="669"/>
      <c r="TKB381" s="669"/>
      <c r="TKC381" s="669"/>
      <c r="TKD381" s="669"/>
      <c r="TKE381" s="669"/>
      <c r="TKF381" s="669"/>
      <c r="TKG381" s="669"/>
      <c r="TKH381" s="669"/>
      <c r="TKI381" s="669"/>
      <c r="TKJ381" s="669"/>
      <c r="TKK381" s="669"/>
      <c r="TKL381" s="669"/>
      <c r="TKM381" s="669"/>
      <c r="TKN381" s="669"/>
      <c r="TKO381" s="669"/>
      <c r="TKP381" s="669"/>
      <c r="TKQ381" s="669"/>
      <c r="TKR381" s="669"/>
      <c r="TKS381" s="669"/>
      <c r="TKT381" s="669"/>
      <c r="TKU381" s="669"/>
      <c r="TKV381" s="669"/>
      <c r="TKW381" s="669"/>
      <c r="TKX381" s="669"/>
      <c r="TKY381" s="669"/>
      <c r="TKZ381" s="669"/>
      <c r="TLA381" s="669"/>
      <c r="TLB381" s="669"/>
      <c r="TLC381" s="669"/>
      <c r="TLD381" s="669"/>
      <c r="TLE381" s="669"/>
      <c r="TLF381" s="669"/>
      <c r="TLG381" s="669"/>
      <c r="TLH381" s="669"/>
      <c r="TLI381" s="669"/>
      <c r="TLJ381" s="669"/>
      <c r="TLK381" s="669"/>
      <c r="TLL381" s="669"/>
      <c r="TLM381" s="669"/>
      <c r="TLN381" s="669"/>
      <c r="TLO381" s="669"/>
      <c r="TLP381" s="669"/>
      <c r="TLQ381" s="669"/>
      <c r="TLR381" s="669"/>
      <c r="TLS381" s="669"/>
      <c r="TLT381" s="669"/>
      <c r="TLU381" s="669"/>
      <c r="TLV381" s="669"/>
      <c r="TLW381" s="669"/>
      <c r="TLX381" s="669"/>
      <c r="TLY381" s="669"/>
      <c r="TLZ381" s="669"/>
      <c r="TMA381" s="669"/>
      <c r="TMB381" s="669"/>
      <c r="TMC381" s="669"/>
      <c r="TMD381" s="669"/>
      <c r="TME381" s="669"/>
      <c r="TMF381" s="669"/>
      <c r="TMG381" s="669"/>
      <c r="TMH381" s="669"/>
      <c r="TMI381" s="669"/>
      <c r="TMJ381" s="669"/>
      <c r="TMK381" s="669"/>
      <c r="TML381" s="669"/>
      <c r="TMM381" s="669"/>
      <c r="TMN381" s="669"/>
      <c r="TMO381" s="669"/>
      <c r="TMP381" s="669"/>
      <c r="TMQ381" s="669"/>
      <c r="TMR381" s="669"/>
      <c r="TMS381" s="669"/>
      <c r="TMT381" s="669"/>
      <c r="TMU381" s="669"/>
      <c r="TMV381" s="669"/>
      <c r="TMW381" s="669"/>
      <c r="TMX381" s="669"/>
      <c r="TMY381" s="669"/>
      <c r="TMZ381" s="669"/>
      <c r="TNA381" s="669"/>
      <c r="TNB381" s="669"/>
      <c r="TNC381" s="669"/>
      <c r="TND381" s="669"/>
      <c r="TNE381" s="669"/>
      <c r="TNF381" s="669"/>
      <c r="TNG381" s="669"/>
      <c r="TNH381" s="669"/>
      <c r="TNI381" s="669"/>
      <c r="TNJ381" s="669"/>
      <c r="TNK381" s="669"/>
      <c r="TNL381" s="669"/>
      <c r="TNM381" s="669"/>
      <c r="TNN381" s="669"/>
      <c r="TNO381" s="669"/>
      <c r="TNP381" s="669"/>
      <c r="TNQ381" s="669"/>
      <c r="TNR381" s="669"/>
      <c r="TNS381" s="669"/>
      <c r="TNT381" s="669"/>
      <c r="TNU381" s="669"/>
      <c r="TNV381" s="669"/>
      <c r="TNW381" s="669"/>
      <c r="TNX381" s="669"/>
      <c r="TNY381" s="669"/>
      <c r="TNZ381" s="669"/>
      <c r="TOA381" s="669"/>
      <c r="TOB381" s="669"/>
      <c r="TOC381" s="669"/>
      <c r="TOD381" s="669"/>
      <c r="TOE381" s="669"/>
      <c r="TOF381" s="669"/>
      <c r="TOG381" s="669"/>
      <c r="TOH381" s="669"/>
      <c r="TOI381" s="669"/>
      <c r="TOJ381" s="669"/>
      <c r="TOK381" s="669"/>
      <c r="TOL381" s="669"/>
      <c r="TOM381" s="669"/>
      <c r="TON381" s="669"/>
      <c r="TOO381" s="669"/>
      <c r="TOP381" s="669"/>
      <c r="TOQ381" s="669"/>
      <c r="TOR381" s="669"/>
      <c r="TOS381" s="669"/>
      <c r="TOT381" s="669"/>
      <c r="TOU381" s="669"/>
      <c r="TOV381" s="669"/>
      <c r="TOW381" s="669"/>
      <c r="TOX381" s="669"/>
      <c r="TOY381" s="669"/>
      <c r="TOZ381" s="669"/>
      <c r="TPA381" s="669"/>
      <c r="TPB381" s="669"/>
      <c r="TPC381" s="669"/>
      <c r="TPD381" s="669"/>
      <c r="TPE381" s="669"/>
      <c r="TPF381" s="669"/>
      <c r="TPG381" s="669"/>
      <c r="TPH381" s="669"/>
      <c r="TPI381" s="669"/>
      <c r="TPJ381" s="669"/>
      <c r="TPK381" s="669"/>
      <c r="TPL381" s="669"/>
      <c r="TPM381" s="669"/>
      <c r="TPN381" s="669"/>
      <c r="TPO381" s="669"/>
      <c r="TPP381" s="669"/>
      <c r="TPQ381" s="669"/>
      <c r="TPR381" s="669"/>
      <c r="TPS381" s="669"/>
      <c r="TPT381" s="669"/>
      <c r="TPU381" s="669"/>
      <c r="TPV381" s="669"/>
      <c r="TPW381" s="669"/>
      <c r="TPX381" s="669"/>
      <c r="TPY381" s="669"/>
      <c r="TPZ381" s="669"/>
      <c r="TQA381" s="669"/>
      <c r="TQB381" s="669"/>
      <c r="TQC381" s="669"/>
      <c r="TQD381" s="669"/>
      <c r="TQE381" s="669"/>
      <c r="TQF381" s="669"/>
      <c r="TQG381" s="669"/>
      <c r="TQH381" s="669"/>
      <c r="TQI381" s="669"/>
      <c r="TQJ381" s="669"/>
      <c r="TQK381" s="669"/>
      <c r="TQL381" s="669"/>
      <c r="TQM381" s="669"/>
      <c r="TQN381" s="669"/>
      <c r="TQO381" s="669"/>
      <c r="TQP381" s="669"/>
      <c r="TQQ381" s="669"/>
      <c r="TQR381" s="669"/>
      <c r="TQS381" s="669"/>
      <c r="TQT381" s="669"/>
      <c r="TQU381" s="669"/>
      <c r="TQV381" s="669"/>
      <c r="TQW381" s="669"/>
      <c r="TQX381" s="669"/>
      <c r="TQY381" s="669"/>
      <c r="TQZ381" s="669"/>
      <c r="TRA381" s="669"/>
      <c r="TRB381" s="669"/>
      <c r="TRC381" s="669"/>
      <c r="TRD381" s="669"/>
      <c r="TRE381" s="669"/>
      <c r="TRF381" s="669"/>
      <c r="TRG381" s="669"/>
      <c r="TRH381" s="669"/>
      <c r="TRI381" s="669"/>
      <c r="TRJ381" s="669"/>
      <c r="TRK381" s="669"/>
      <c r="TRL381" s="669"/>
      <c r="TRM381" s="669"/>
      <c r="TRN381" s="669"/>
      <c r="TRO381" s="669"/>
      <c r="TRP381" s="669"/>
      <c r="TRQ381" s="669"/>
      <c r="TRR381" s="669"/>
      <c r="TRS381" s="669"/>
      <c r="TRT381" s="669"/>
      <c r="TRU381" s="669"/>
      <c r="TRV381" s="669"/>
      <c r="TRW381" s="669"/>
      <c r="TRX381" s="669"/>
      <c r="TRY381" s="669"/>
      <c r="TRZ381" s="669"/>
      <c r="TSA381" s="669"/>
      <c r="TSB381" s="669"/>
      <c r="TSC381" s="669"/>
      <c r="TSD381" s="669"/>
      <c r="TSE381" s="669"/>
      <c r="TSF381" s="669"/>
      <c r="TSG381" s="669"/>
      <c r="TSH381" s="669"/>
      <c r="TSI381" s="669"/>
      <c r="TSJ381" s="669"/>
      <c r="TSK381" s="669"/>
      <c r="TSL381" s="669"/>
      <c r="TSM381" s="669"/>
      <c r="TSN381" s="669"/>
      <c r="TSO381" s="669"/>
      <c r="TSP381" s="669"/>
      <c r="TSQ381" s="669"/>
      <c r="TSR381" s="669"/>
      <c r="TSS381" s="669"/>
      <c r="TST381" s="669"/>
      <c r="TSU381" s="669"/>
      <c r="TSV381" s="669"/>
      <c r="TSW381" s="669"/>
      <c r="TSX381" s="669"/>
      <c r="TSY381" s="669"/>
      <c r="TSZ381" s="669"/>
      <c r="TTA381" s="669"/>
      <c r="TTB381" s="669"/>
      <c r="TTC381" s="669"/>
      <c r="TTD381" s="669"/>
      <c r="TTE381" s="669"/>
      <c r="TTF381" s="669"/>
      <c r="TTG381" s="669"/>
      <c r="TTH381" s="669"/>
      <c r="TTI381" s="669"/>
      <c r="TTJ381" s="669"/>
      <c r="TTK381" s="669"/>
      <c r="TTL381" s="669"/>
      <c r="TTM381" s="669"/>
      <c r="TTN381" s="669"/>
      <c r="TTO381" s="669"/>
      <c r="TTP381" s="669"/>
      <c r="TTQ381" s="669"/>
      <c r="TTR381" s="669"/>
      <c r="TTS381" s="669"/>
      <c r="TTT381" s="669"/>
      <c r="TTU381" s="669"/>
      <c r="TTV381" s="669"/>
      <c r="TTW381" s="669"/>
      <c r="TTX381" s="669"/>
      <c r="TTY381" s="669"/>
      <c r="TTZ381" s="669"/>
      <c r="TUA381" s="669"/>
      <c r="TUB381" s="669"/>
      <c r="TUC381" s="669"/>
      <c r="TUD381" s="669"/>
      <c r="TUE381" s="669"/>
      <c r="TUF381" s="669"/>
      <c r="TUG381" s="669"/>
      <c r="TUH381" s="669"/>
      <c r="TUI381" s="669"/>
      <c r="TUJ381" s="669"/>
      <c r="TUK381" s="669"/>
      <c r="TUL381" s="669"/>
      <c r="TUM381" s="669"/>
      <c r="TUN381" s="669"/>
      <c r="TUO381" s="669"/>
      <c r="TUP381" s="669"/>
      <c r="TUQ381" s="669"/>
      <c r="TUR381" s="669"/>
      <c r="TUS381" s="669"/>
      <c r="TUT381" s="669"/>
      <c r="TUU381" s="669"/>
      <c r="TUV381" s="669"/>
      <c r="TUW381" s="669"/>
      <c r="TUX381" s="669"/>
      <c r="TUY381" s="669"/>
      <c r="TUZ381" s="669"/>
      <c r="TVA381" s="669"/>
      <c r="TVB381" s="669"/>
      <c r="TVC381" s="669"/>
      <c r="TVD381" s="669"/>
      <c r="TVE381" s="669"/>
      <c r="TVF381" s="669"/>
      <c r="TVG381" s="669"/>
      <c r="TVH381" s="669"/>
      <c r="TVI381" s="669"/>
      <c r="TVJ381" s="669"/>
      <c r="TVK381" s="669"/>
      <c r="TVL381" s="669"/>
      <c r="TVM381" s="669"/>
      <c r="TVN381" s="669"/>
      <c r="TVO381" s="669"/>
      <c r="TVP381" s="669"/>
      <c r="TVQ381" s="669"/>
      <c r="TVR381" s="669"/>
      <c r="TVS381" s="669"/>
      <c r="TVT381" s="669"/>
      <c r="TVU381" s="669"/>
      <c r="TVV381" s="669"/>
      <c r="TVW381" s="669"/>
      <c r="TVX381" s="669"/>
      <c r="TVY381" s="669"/>
      <c r="TVZ381" s="669"/>
      <c r="TWA381" s="669"/>
      <c r="TWB381" s="669"/>
      <c r="TWC381" s="669"/>
      <c r="TWD381" s="669"/>
      <c r="TWE381" s="669"/>
      <c r="TWF381" s="669"/>
      <c r="TWG381" s="669"/>
      <c r="TWH381" s="669"/>
      <c r="TWI381" s="669"/>
      <c r="TWJ381" s="669"/>
      <c r="TWK381" s="669"/>
      <c r="TWL381" s="669"/>
      <c r="TWM381" s="669"/>
      <c r="TWN381" s="669"/>
      <c r="TWO381" s="669"/>
      <c r="TWP381" s="669"/>
      <c r="TWQ381" s="669"/>
      <c r="TWR381" s="669"/>
      <c r="TWS381" s="669"/>
      <c r="TWT381" s="669"/>
      <c r="TWU381" s="669"/>
      <c r="TWV381" s="669"/>
      <c r="TWW381" s="669"/>
      <c r="TWX381" s="669"/>
      <c r="TWY381" s="669"/>
      <c r="TWZ381" s="669"/>
      <c r="TXA381" s="669"/>
      <c r="TXB381" s="669"/>
      <c r="TXC381" s="669"/>
      <c r="TXD381" s="669"/>
      <c r="TXE381" s="669"/>
      <c r="TXF381" s="669"/>
      <c r="TXG381" s="669"/>
      <c r="TXH381" s="669"/>
      <c r="TXI381" s="669"/>
      <c r="TXJ381" s="669"/>
      <c r="TXK381" s="669"/>
      <c r="TXL381" s="669"/>
      <c r="TXM381" s="669"/>
      <c r="TXN381" s="669"/>
      <c r="TXO381" s="669"/>
      <c r="TXP381" s="669"/>
      <c r="TXQ381" s="669"/>
      <c r="TXR381" s="669"/>
      <c r="TXS381" s="669"/>
      <c r="TXT381" s="669"/>
      <c r="TXU381" s="669"/>
      <c r="TXV381" s="669"/>
      <c r="TXW381" s="669"/>
      <c r="TXX381" s="669"/>
      <c r="TXY381" s="669"/>
      <c r="TXZ381" s="669"/>
      <c r="TYA381" s="669"/>
      <c r="TYB381" s="669"/>
      <c r="TYC381" s="669"/>
      <c r="TYD381" s="669"/>
      <c r="TYE381" s="669"/>
      <c r="TYF381" s="669"/>
      <c r="TYG381" s="669"/>
      <c r="TYH381" s="669"/>
      <c r="TYI381" s="669"/>
      <c r="TYJ381" s="669"/>
      <c r="TYK381" s="669"/>
      <c r="TYL381" s="669"/>
      <c r="TYM381" s="669"/>
      <c r="TYN381" s="669"/>
      <c r="TYO381" s="669"/>
      <c r="TYP381" s="669"/>
      <c r="TYQ381" s="669"/>
      <c r="TYR381" s="669"/>
      <c r="TYS381" s="669"/>
      <c r="TYT381" s="669"/>
      <c r="TYU381" s="669"/>
      <c r="TYV381" s="669"/>
      <c r="TYW381" s="669"/>
      <c r="TYX381" s="669"/>
      <c r="TYY381" s="669"/>
      <c r="TYZ381" s="669"/>
      <c r="TZA381" s="669"/>
      <c r="TZB381" s="669"/>
      <c r="TZC381" s="669"/>
      <c r="TZD381" s="669"/>
      <c r="TZE381" s="669"/>
      <c r="TZF381" s="669"/>
      <c r="TZG381" s="669"/>
      <c r="TZH381" s="669"/>
      <c r="TZI381" s="669"/>
      <c r="TZJ381" s="669"/>
      <c r="TZK381" s="669"/>
      <c r="TZL381" s="669"/>
      <c r="TZM381" s="669"/>
      <c r="TZN381" s="669"/>
      <c r="TZO381" s="669"/>
      <c r="TZP381" s="669"/>
      <c r="TZQ381" s="669"/>
      <c r="TZR381" s="669"/>
      <c r="TZS381" s="669"/>
      <c r="TZT381" s="669"/>
      <c r="TZU381" s="669"/>
      <c r="TZV381" s="669"/>
      <c r="TZW381" s="669"/>
      <c r="TZX381" s="669"/>
      <c r="TZY381" s="669"/>
      <c r="TZZ381" s="669"/>
      <c r="UAA381" s="669"/>
      <c r="UAB381" s="669"/>
      <c r="UAC381" s="669"/>
      <c r="UAD381" s="669"/>
      <c r="UAE381" s="669"/>
      <c r="UAF381" s="669"/>
      <c r="UAG381" s="669"/>
      <c r="UAH381" s="669"/>
      <c r="UAI381" s="669"/>
      <c r="UAJ381" s="669"/>
      <c r="UAK381" s="669"/>
      <c r="UAL381" s="669"/>
      <c r="UAM381" s="669"/>
      <c r="UAN381" s="669"/>
      <c r="UAO381" s="669"/>
      <c r="UAP381" s="669"/>
      <c r="UAQ381" s="669"/>
      <c r="UAR381" s="669"/>
      <c r="UAS381" s="669"/>
      <c r="UAT381" s="669"/>
      <c r="UAU381" s="669"/>
      <c r="UAV381" s="669"/>
      <c r="UAW381" s="669"/>
      <c r="UAX381" s="669"/>
      <c r="UAY381" s="669"/>
      <c r="UAZ381" s="669"/>
      <c r="UBA381" s="669"/>
      <c r="UBB381" s="669"/>
      <c r="UBC381" s="669"/>
      <c r="UBD381" s="669"/>
      <c r="UBE381" s="669"/>
      <c r="UBF381" s="669"/>
      <c r="UBG381" s="669"/>
      <c r="UBH381" s="669"/>
      <c r="UBI381" s="669"/>
      <c r="UBJ381" s="669"/>
      <c r="UBK381" s="669"/>
      <c r="UBL381" s="669"/>
      <c r="UBM381" s="669"/>
      <c r="UBN381" s="669"/>
      <c r="UBO381" s="669"/>
      <c r="UBP381" s="669"/>
      <c r="UBQ381" s="669"/>
      <c r="UBR381" s="669"/>
      <c r="UBS381" s="669"/>
      <c r="UBT381" s="669"/>
      <c r="UBU381" s="669"/>
      <c r="UBV381" s="669"/>
      <c r="UBW381" s="669"/>
      <c r="UBX381" s="669"/>
      <c r="UBY381" s="669"/>
      <c r="UBZ381" s="669"/>
      <c r="UCA381" s="669"/>
      <c r="UCB381" s="669"/>
      <c r="UCC381" s="669"/>
      <c r="UCD381" s="669"/>
      <c r="UCE381" s="669"/>
      <c r="UCF381" s="669"/>
      <c r="UCG381" s="669"/>
      <c r="UCH381" s="669"/>
      <c r="UCI381" s="669"/>
      <c r="UCJ381" s="669"/>
      <c r="UCK381" s="669"/>
      <c r="UCL381" s="669"/>
      <c r="UCM381" s="669"/>
      <c r="UCN381" s="669"/>
      <c r="UCO381" s="669"/>
      <c r="UCP381" s="669"/>
      <c r="UCQ381" s="669"/>
      <c r="UCR381" s="669"/>
      <c r="UCS381" s="669"/>
      <c r="UCT381" s="669"/>
      <c r="UCU381" s="669"/>
      <c r="UCV381" s="669"/>
      <c r="UCW381" s="669"/>
      <c r="UCX381" s="669"/>
      <c r="UCY381" s="669"/>
      <c r="UCZ381" s="669"/>
      <c r="UDA381" s="669"/>
      <c r="UDB381" s="669"/>
      <c r="UDC381" s="669"/>
      <c r="UDD381" s="669"/>
      <c r="UDE381" s="669"/>
      <c r="UDF381" s="669"/>
      <c r="UDG381" s="669"/>
      <c r="UDH381" s="669"/>
      <c r="UDI381" s="669"/>
      <c r="UDJ381" s="669"/>
      <c r="UDK381" s="669"/>
      <c r="UDL381" s="669"/>
      <c r="UDM381" s="669"/>
      <c r="UDN381" s="669"/>
      <c r="UDO381" s="669"/>
      <c r="UDP381" s="669"/>
      <c r="UDQ381" s="669"/>
      <c r="UDR381" s="669"/>
      <c r="UDS381" s="669"/>
      <c r="UDT381" s="669"/>
      <c r="UDU381" s="669"/>
      <c r="UDV381" s="669"/>
      <c r="UDW381" s="669"/>
      <c r="UDX381" s="669"/>
      <c r="UDY381" s="669"/>
      <c r="UDZ381" s="669"/>
      <c r="UEA381" s="669"/>
      <c r="UEB381" s="669"/>
      <c r="UEC381" s="669"/>
      <c r="UED381" s="669"/>
      <c r="UEE381" s="669"/>
      <c r="UEF381" s="669"/>
      <c r="UEG381" s="669"/>
      <c r="UEH381" s="669"/>
      <c r="UEI381" s="669"/>
      <c r="UEJ381" s="669"/>
      <c r="UEK381" s="669"/>
      <c r="UEL381" s="669"/>
      <c r="UEM381" s="669"/>
      <c r="UEN381" s="669"/>
      <c r="UEO381" s="669"/>
      <c r="UEP381" s="669"/>
      <c r="UEQ381" s="669"/>
      <c r="UER381" s="669"/>
      <c r="UES381" s="669"/>
      <c r="UET381" s="669"/>
      <c r="UEU381" s="669"/>
      <c r="UEV381" s="669"/>
      <c r="UEW381" s="669"/>
      <c r="UEX381" s="669"/>
      <c r="UEY381" s="669"/>
      <c r="UEZ381" s="669"/>
      <c r="UFA381" s="669"/>
      <c r="UFB381" s="669"/>
      <c r="UFC381" s="669"/>
      <c r="UFD381" s="669"/>
      <c r="UFE381" s="669"/>
      <c r="UFF381" s="669"/>
      <c r="UFG381" s="669"/>
      <c r="UFH381" s="669"/>
      <c r="UFI381" s="669"/>
      <c r="UFJ381" s="669"/>
      <c r="UFK381" s="669"/>
      <c r="UFL381" s="669"/>
      <c r="UFM381" s="669"/>
      <c r="UFN381" s="669"/>
      <c r="UFO381" s="669"/>
      <c r="UFP381" s="669"/>
      <c r="UFQ381" s="669"/>
      <c r="UFR381" s="669"/>
      <c r="UFS381" s="669"/>
      <c r="UFT381" s="669"/>
      <c r="UFU381" s="669"/>
      <c r="UFV381" s="669"/>
      <c r="UFW381" s="669"/>
      <c r="UFX381" s="669"/>
      <c r="UFY381" s="669"/>
      <c r="UFZ381" s="669"/>
      <c r="UGA381" s="669"/>
      <c r="UGB381" s="669"/>
      <c r="UGC381" s="669"/>
      <c r="UGD381" s="669"/>
      <c r="UGE381" s="669"/>
      <c r="UGF381" s="669"/>
      <c r="UGG381" s="669"/>
      <c r="UGH381" s="669"/>
      <c r="UGI381" s="669"/>
      <c r="UGJ381" s="669"/>
      <c r="UGK381" s="669"/>
      <c r="UGL381" s="669"/>
      <c r="UGM381" s="669"/>
      <c r="UGN381" s="669"/>
      <c r="UGO381" s="669"/>
      <c r="UGP381" s="669"/>
      <c r="UGQ381" s="669"/>
      <c r="UGR381" s="669"/>
      <c r="UGS381" s="669"/>
      <c r="UGT381" s="669"/>
      <c r="UGU381" s="669"/>
      <c r="UGV381" s="669"/>
      <c r="UGW381" s="669"/>
      <c r="UGX381" s="669"/>
      <c r="UGY381" s="669"/>
      <c r="UGZ381" s="669"/>
      <c r="UHA381" s="669"/>
      <c r="UHB381" s="669"/>
      <c r="UHC381" s="669"/>
      <c r="UHD381" s="669"/>
      <c r="UHE381" s="669"/>
      <c r="UHF381" s="669"/>
      <c r="UHG381" s="669"/>
      <c r="UHH381" s="669"/>
      <c r="UHI381" s="669"/>
      <c r="UHJ381" s="669"/>
      <c r="UHK381" s="669"/>
      <c r="UHL381" s="669"/>
      <c r="UHM381" s="669"/>
      <c r="UHN381" s="669"/>
      <c r="UHO381" s="669"/>
      <c r="UHP381" s="669"/>
      <c r="UHQ381" s="669"/>
      <c r="UHR381" s="669"/>
      <c r="UHS381" s="669"/>
      <c r="UHT381" s="669"/>
      <c r="UHU381" s="669"/>
      <c r="UHV381" s="669"/>
      <c r="UHW381" s="669"/>
      <c r="UHX381" s="669"/>
      <c r="UHY381" s="669"/>
      <c r="UHZ381" s="669"/>
      <c r="UIA381" s="669"/>
      <c r="UIB381" s="669"/>
      <c r="UIC381" s="669"/>
      <c r="UID381" s="669"/>
      <c r="UIE381" s="669"/>
      <c r="UIF381" s="669"/>
      <c r="UIG381" s="669"/>
      <c r="UIH381" s="669"/>
      <c r="UII381" s="669"/>
      <c r="UIJ381" s="669"/>
      <c r="UIK381" s="669"/>
      <c r="UIL381" s="669"/>
      <c r="UIM381" s="669"/>
      <c r="UIN381" s="669"/>
      <c r="UIO381" s="669"/>
      <c r="UIP381" s="669"/>
      <c r="UIQ381" s="669"/>
      <c r="UIR381" s="669"/>
      <c r="UIS381" s="669"/>
      <c r="UIT381" s="669"/>
      <c r="UIU381" s="669"/>
      <c r="UIV381" s="669"/>
      <c r="UIW381" s="669"/>
      <c r="UIX381" s="669"/>
      <c r="UIY381" s="669"/>
      <c r="UIZ381" s="669"/>
      <c r="UJA381" s="669"/>
      <c r="UJB381" s="669"/>
      <c r="UJC381" s="669"/>
      <c r="UJD381" s="669"/>
      <c r="UJE381" s="669"/>
      <c r="UJF381" s="669"/>
      <c r="UJG381" s="669"/>
      <c r="UJH381" s="669"/>
      <c r="UJI381" s="669"/>
      <c r="UJJ381" s="669"/>
      <c r="UJK381" s="669"/>
      <c r="UJL381" s="669"/>
      <c r="UJM381" s="669"/>
      <c r="UJN381" s="669"/>
      <c r="UJO381" s="669"/>
      <c r="UJP381" s="669"/>
      <c r="UJQ381" s="669"/>
      <c r="UJR381" s="669"/>
      <c r="UJS381" s="669"/>
      <c r="UJT381" s="669"/>
      <c r="UJU381" s="669"/>
      <c r="UJV381" s="669"/>
      <c r="UJW381" s="669"/>
      <c r="UJX381" s="669"/>
      <c r="UJY381" s="669"/>
      <c r="UJZ381" s="669"/>
      <c r="UKA381" s="669"/>
      <c r="UKB381" s="669"/>
      <c r="UKC381" s="669"/>
      <c r="UKD381" s="669"/>
      <c r="UKE381" s="669"/>
      <c r="UKF381" s="669"/>
      <c r="UKG381" s="669"/>
      <c r="UKH381" s="669"/>
      <c r="UKI381" s="669"/>
      <c r="UKJ381" s="669"/>
      <c r="UKK381" s="669"/>
      <c r="UKL381" s="669"/>
      <c r="UKM381" s="669"/>
      <c r="UKN381" s="669"/>
      <c r="UKO381" s="669"/>
      <c r="UKP381" s="669"/>
      <c r="UKQ381" s="669"/>
      <c r="UKR381" s="669"/>
      <c r="UKS381" s="669"/>
      <c r="UKT381" s="669"/>
      <c r="UKU381" s="669"/>
      <c r="UKV381" s="669"/>
      <c r="UKW381" s="669"/>
      <c r="UKX381" s="669"/>
      <c r="UKY381" s="669"/>
      <c r="UKZ381" s="669"/>
      <c r="ULA381" s="669"/>
      <c r="ULB381" s="669"/>
      <c r="ULC381" s="669"/>
      <c r="ULD381" s="669"/>
      <c r="ULE381" s="669"/>
      <c r="ULF381" s="669"/>
      <c r="ULG381" s="669"/>
      <c r="ULH381" s="669"/>
      <c r="ULI381" s="669"/>
      <c r="ULJ381" s="669"/>
      <c r="ULK381" s="669"/>
      <c r="ULL381" s="669"/>
      <c r="ULM381" s="669"/>
      <c r="ULN381" s="669"/>
      <c r="ULO381" s="669"/>
      <c r="ULP381" s="669"/>
      <c r="ULQ381" s="669"/>
      <c r="ULR381" s="669"/>
      <c r="ULS381" s="669"/>
      <c r="ULT381" s="669"/>
      <c r="ULU381" s="669"/>
      <c r="ULV381" s="669"/>
      <c r="ULW381" s="669"/>
      <c r="ULX381" s="669"/>
      <c r="ULY381" s="669"/>
      <c r="ULZ381" s="669"/>
      <c r="UMA381" s="669"/>
      <c r="UMB381" s="669"/>
      <c r="UMC381" s="669"/>
      <c r="UMD381" s="669"/>
      <c r="UME381" s="669"/>
      <c r="UMF381" s="669"/>
      <c r="UMG381" s="669"/>
      <c r="UMH381" s="669"/>
      <c r="UMI381" s="669"/>
      <c r="UMJ381" s="669"/>
      <c r="UMK381" s="669"/>
      <c r="UML381" s="669"/>
      <c r="UMM381" s="669"/>
      <c r="UMN381" s="669"/>
      <c r="UMO381" s="669"/>
      <c r="UMP381" s="669"/>
      <c r="UMQ381" s="669"/>
      <c r="UMR381" s="669"/>
      <c r="UMS381" s="669"/>
      <c r="UMT381" s="669"/>
      <c r="UMU381" s="669"/>
      <c r="UMV381" s="669"/>
      <c r="UMW381" s="669"/>
      <c r="UMX381" s="669"/>
      <c r="UMY381" s="669"/>
      <c r="UMZ381" s="669"/>
      <c r="UNA381" s="669"/>
      <c r="UNB381" s="669"/>
      <c r="UNC381" s="669"/>
      <c r="UND381" s="669"/>
      <c r="UNE381" s="669"/>
      <c r="UNF381" s="669"/>
      <c r="UNG381" s="669"/>
      <c r="UNH381" s="669"/>
      <c r="UNI381" s="669"/>
      <c r="UNJ381" s="669"/>
      <c r="UNK381" s="669"/>
      <c r="UNL381" s="669"/>
      <c r="UNM381" s="669"/>
      <c r="UNN381" s="669"/>
      <c r="UNO381" s="669"/>
      <c r="UNP381" s="669"/>
      <c r="UNQ381" s="669"/>
      <c r="UNR381" s="669"/>
      <c r="UNS381" s="669"/>
      <c r="UNT381" s="669"/>
      <c r="UNU381" s="669"/>
      <c r="UNV381" s="669"/>
      <c r="UNW381" s="669"/>
      <c r="UNX381" s="669"/>
      <c r="UNY381" s="669"/>
      <c r="UNZ381" s="669"/>
      <c r="UOA381" s="669"/>
      <c r="UOB381" s="669"/>
      <c r="UOC381" s="669"/>
      <c r="UOD381" s="669"/>
      <c r="UOE381" s="669"/>
      <c r="UOF381" s="669"/>
      <c r="UOG381" s="669"/>
      <c r="UOH381" s="669"/>
      <c r="UOI381" s="669"/>
      <c r="UOJ381" s="669"/>
      <c r="UOK381" s="669"/>
      <c r="UOL381" s="669"/>
      <c r="UOM381" s="669"/>
      <c r="UON381" s="669"/>
      <c r="UOO381" s="669"/>
      <c r="UOP381" s="669"/>
      <c r="UOQ381" s="669"/>
      <c r="UOR381" s="669"/>
      <c r="UOS381" s="669"/>
      <c r="UOT381" s="669"/>
      <c r="UOU381" s="669"/>
      <c r="UOV381" s="669"/>
      <c r="UOW381" s="669"/>
      <c r="UOX381" s="669"/>
      <c r="UOY381" s="669"/>
      <c r="UOZ381" s="669"/>
      <c r="UPA381" s="669"/>
      <c r="UPB381" s="669"/>
      <c r="UPC381" s="669"/>
      <c r="UPD381" s="669"/>
      <c r="UPE381" s="669"/>
      <c r="UPF381" s="669"/>
      <c r="UPG381" s="669"/>
      <c r="UPH381" s="669"/>
      <c r="UPI381" s="669"/>
      <c r="UPJ381" s="669"/>
      <c r="UPK381" s="669"/>
      <c r="UPL381" s="669"/>
      <c r="UPM381" s="669"/>
      <c r="UPN381" s="669"/>
      <c r="UPO381" s="669"/>
      <c r="UPP381" s="669"/>
      <c r="UPQ381" s="669"/>
      <c r="UPR381" s="669"/>
      <c r="UPS381" s="669"/>
      <c r="UPT381" s="669"/>
      <c r="UPU381" s="669"/>
      <c r="UPV381" s="669"/>
      <c r="UPW381" s="669"/>
      <c r="UPX381" s="669"/>
      <c r="UPY381" s="669"/>
      <c r="UPZ381" s="669"/>
      <c r="UQA381" s="669"/>
      <c r="UQB381" s="669"/>
      <c r="UQC381" s="669"/>
      <c r="UQD381" s="669"/>
      <c r="UQE381" s="669"/>
      <c r="UQF381" s="669"/>
      <c r="UQG381" s="669"/>
      <c r="UQH381" s="669"/>
      <c r="UQI381" s="669"/>
      <c r="UQJ381" s="669"/>
      <c r="UQK381" s="669"/>
      <c r="UQL381" s="669"/>
      <c r="UQM381" s="669"/>
      <c r="UQN381" s="669"/>
      <c r="UQO381" s="669"/>
      <c r="UQP381" s="669"/>
      <c r="UQQ381" s="669"/>
      <c r="UQR381" s="669"/>
      <c r="UQS381" s="669"/>
      <c r="UQT381" s="669"/>
      <c r="UQU381" s="669"/>
      <c r="UQV381" s="669"/>
      <c r="UQW381" s="669"/>
      <c r="UQX381" s="669"/>
      <c r="UQY381" s="669"/>
      <c r="UQZ381" s="669"/>
      <c r="URA381" s="669"/>
      <c r="URB381" s="669"/>
      <c r="URC381" s="669"/>
      <c r="URD381" s="669"/>
      <c r="URE381" s="669"/>
      <c r="URF381" s="669"/>
      <c r="URG381" s="669"/>
      <c r="URH381" s="669"/>
      <c r="URI381" s="669"/>
      <c r="URJ381" s="669"/>
      <c r="URK381" s="669"/>
      <c r="URL381" s="669"/>
      <c r="URM381" s="669"/>
      <c r="URN381" s="669"/>
      <c r="URO381" s="669"/>
      <c r="URP381" s="669"/>
      <c r="URQ381" s="669"/>
      <c r="URR381" s="669"/>
      <c r="URS381" s="669"/>
      <c r="URT381" s="669"/>
      <c r="URU381" s="669"/>
      <c r="URV381" s="669"/>
      <c r="URW381" s="669"/>
      <c r="URX381" s="669"/>
      <c r="URY381" s="669"/>
      <c r="URZ381" s="669"/>
      <c r="USA381" s="669"/>
      <c r="USB381" s="669"/>
      <c r="USC381" s="669"/>
      <c r="USD381" s="669"/>
      <c r="USE381" s="669"/>
      <c r="USF381" s="669"/>
      <c r="USG381" s="669"/>
      <c r="USH381" s="669"/>
      <c r="USI381" s="669"/>
      <c r="USJ381" s="669"/>
      <c r="USK381" s="669"/>
      <c r="USL381" s="669"/>
      <c r="USM381" s="669"/>
      <c r="USN381" s="669"/>
      <c r="USO381" s="669"/>
      <c r="USP381" s="669"/>
      <c r="USQ381" s="669"/>
      <c r="USR381" s="669"/>
      <c r="USS381" s="669"/>
      <c r="UST381" s="669"/>
      <c r="USU381" s="669"/>
      <c r="USV381" s="669"/>
      <c r="USW381" s="669"/>
      <c r="USX381" s="669"/>
      <c r="USY381" s="669"/>
      <c r="USZ381" s="669"/>
      <c r="UTA381" s="669"/>
      <c r="UTB381" s="669"/>
      <c r="UTC381" s="669"/>
      <c r="UTD381" s="669"/>
      <c r="UTE381" s="669"/>
      <c r="UTF381" s="669"/>
      <c r="UTG381" s="669"/>
      <c r="UTH381" s="669"/>
      <c r="UTI381" s="669"/>
      <c r="UTJ381" s="669"/>
      <c r="UTK381" s="669"/>
      <c r="UTL381" s="669"/>
      <c r="UTM381" s="669"/>
      <c r="UTN381" s="669"/>
      <c r="UTO381" s="669"/>
      <c r="UTP381" s="669"/>
      <c r="UTQ381" s="669"/>
      <c r="UTR381" s="669"/>
      <c r="UTS381" s="669"/>
      <c r="UTT381" s="669"/>
      <c r="UTU381" s="669"/>
      <c r="UTV381" s="669"/>
      <c r="UTW381" s="669"/>
      <c r="UTX381" s="669"/>
      <c r="UTY381" s="669"/>
      <c r="UTZ381" s="669"/>
      <c r="UUA381" s="669"/>
      <c r="UUB381" s="669"/>
      <c r="UUC381" s="669"/>
      <c r="UUD381" s="669"/>
      <c r="UUE381" s="669"/>
      <c r="UUF381" s="669"/>
      <c r="UUG381" s="669"/>
      <c r="UUH381" s="669"/>
      <c r="UUI381" s="669"/>
      <c r="UUJ381" s="669"/>
      <c r="UUK381" s="669"/>
      <c r="UUL381" s="669"/>
      <c r="UUM381" s="669"/>
      <c r="UUN381" s="669"/>
      <c r="UUO381" s="669"/>
      <c r="UUP381" s="669"/>
      <c r="UUQ381" s="669"/>
      <c r="UUR381" s="669"/>
      <c r="UUS381" s="669"/>
      <c r="UUT381" s="669"/>
      <c r="UUU381" s="669"/>
      <c r="UUV381" s="669"/>
      <c r="UUW381" s="669"/>
      <c r="UUX381" s="669"/>
      <c r="UUY381" s="669"/>
      <c r="UUZ381" s="669"/>
      <c r="UVA381" s="669"/>
      <c r="UVB381" s="669"/>
      <c r="UVC381" s="669"/>
      <c r="UVD381" s="669"/>
      <c r="UVE381" s="669"/>
      <c r="UVF381" s="669"/>
      <c r="UVG381" s="669"/>
      <c r="UVH381" s="669"/>
      <c r="UVI381" s="669"/>
      <c r="UVJ381" s="669"/>
      <c r="UVK381" s="669"/>
      <c r="UVL381" s="669"/>
      <c r="UVM381" s="669"/>
      <c r="UVN381" s="669"/>
      <c r="UVO381" s="669"/>
      <c r="UVP381" s="669"/>
      <c r="UVQ381" s="669"/>
      <c r="UVR381" s="669"/>
      <c r="UVS381" s="669"/>
      <c r="UVT381" s="669"/>
      <c r="UVU381" s="669"/>
      <c r="UVV381" s="669"/>
      <c r="UVW381" s="669"/>
      <c r="UVX381" s="669"/>
      <c r="UVY381" s="669"/>
      <c r="UVZ381" s="669"/>
      <c r="UWA381" s="669"/>
      <c r="UWB381" s="669"/>
      <c r="UWC381" s="669"/>
      <c r="UWD381" s="669"/>
      <c r="UWE381" s="669"/>
      <c r="UWF381" s="669"/>
      <c r="UWG381" s="669"/>
      <c r="UWH381" s="669"/>
      <c r="UWI381" s="669"/>
      <c r="UWJ381" s="669"/>
      <c r="UWK381" s="669"/>
      <c r="UWL381" s="669"/>
      <c r="UWM381" s="669"/>
      <c r="UWN381" s="669"/>
      <c r="UWO381" s="669"/>
      <c r="UWP381" s="669"/>
      <c r="UWQ381" s="669"/>
      <c r="UWR381" s="669"/>
      <c r="UWS381" s="669"/>
      <c r="UWT381" s="669"/>
      <c r="UWU381" s="669"/>
      <c r="UWV381" s="669"/>
      <c r="UWW381" s="669"/>
      <c r="UWX381" s="669"/>
      <c r="UWY381" s="669"/>
      <c r="UWZ381" s="669"/>
      <c r="UXA381" s="669"/>
      <c r="UXB381" s="669"/>
      <c r="UXC381" s="669"/>
      <c r="UXD381" s="669"/>
      <c r="UXE381" s="669"/>
      <c r="UXF381" s="669"/>
      <c r="UXG381" s="669"/>
      <c r="UXH381" s="669"/>
      <c r="UXI381" s="669"/>
      <c r="UXJ381" s="669"/>
      <c r="UXK381" s="669"/>
      <c r="UXL381" s="669"/>
      <c r="UXM381" s="669"/>
      <c r="UXN381" s="669"/>
      <c r="UXO381" s="669"/>
      <c r="UXP381" s="669"/>
      <c r="UXQ381" s="669"/>
      <c r="UXR381" s="669"/>
      <c r="UXS381" s="669"/>
      <c r="UXT381" s="669"/>
      <c r="UXU381" s="669"/>
      <c r="UXV381" s="669"/>
      <c r="UXW381" s="669"/>
      <c r="UXX381" s="669"/>
      <c r="UXY381" s="669"/>
      <c r="UXZ381" s="669"/>
      <c r="UYA381" s="669"/>
      <c r="UYB381" s="669"/>
      <c r="UYC381" s="669"/>
      <c r="UYD381" s="669"/>
      <c r="UYE381" s="669"/>
      <c r="UYF381" s="669"/>
      <c r="UYG381" s="669"/>
      <c r="UYH381" s="669"/>
      <c r="UYI381" s="669"/>
      <c r="UYJ381" s="669"/>
      <c r="UYK381" s="669"/>
      <c r="UYL381" s="669"/>
      <c r="UYM381" s="669"/>
      <c r="UYN381" s="669"/>
      <c r="UYO381" s="669"/>
      <c r="UYP381" s="669"/>
      <c r="UYQ381" s="669"/>
      <c r="UYR381" s="669"/>
      <c r="UYS381" s="669"/>
      <c r="UYT381" s="669"/>
      <c r="UYU381" s="669"/>
      <c r="UYV381" s="669"/>
      <c r="UYW381" s="669"/>
      <c r="UYX381" s="669"/>
      <c r="UYY381" s="669"/>
      <c r="UYZ381" s="669"/>
      <c r="UZA381" s="669"/>
      <c r="UZB381" s="669"/>
      <c r="UZC381" s="669"/>
      <c r="UZD381" s="669"/>
      <c r="UZE381" s="669"/>
      <c r="UZF381" s="669"/>
      <c r="UZG381" s="669"/>
      <c r="UZH381" s="669"/>
      <c r="UZI381" s="669"/>
      <c r="UZJ381" s="669"/>
      <c r="UZK381" s="669"/>
      <c r="UZL381" s="669"/>
      <c r="UZM381" s="669"/>
      <c r="UZN381" s="669"/>
      <c r="UZO381" s="669"/>
      <c r="UZP381" s="669"/>
      <c r="UZQ381" s="669"/>
      <c r="UZR381" s="669"/>
      <c r="UZS381" s="669"/>
      <c r="UZT381" s="669"/>
      <c r="UZU381" s="669"/>
      <c r="UZV381" s="669"/>
      <c r="UZW381" s="669"/>
      <c r="UZX381" s="669"/>
      <c r="UZY381" s="669"/>
      <c r="UZZ381" s="669"/>
      <c r="VAA381" s="669"/>
      <c r="VAB381" s="669"/>
      <c r="VAC381" s="669"/>
      <c r="VAD381" s="669"/>
      <c r="VAE381" s="669"/>
      <c r="VAF381" s="669"/>
      <c r="VAG381" s="669"/>
      <c r="VAH381" s="669"/>
      <c r="VAI381" s="669"/>
      <c r="VAJ381" s="669"/>
      <c r="VAK381" s="669"/>
      <c r="VAL381" s="669"/>
      <c r="VAM381" s="669"/>
      <c r="VAN381" s="669"/>
      <c r="VAO381" s="669"/>
      <c r="VAP381" s="669"/>
      <c r="VAQ381" s="669"/>
      <c r="VAR381" s="669"/>
      <c r="VAS381" s="669"/>
      <c r="VAT381" s="669"/>
      <c r="VAU381" s="669"/>
      <c r="VAV381" s="669"/>
      <c r="VAW381" s="669"/>
      <c r="VAX381" s="669"/>
      <c r="VAY381" s="669"/>
      <c r="VAZ381" s="669"/>
      <c r="VBA381" s="669"/>
      <c r="VBB381" s="669"/>
      <c r="VBC381" s="669"/>
      <c r="VBD381" s="669"/>
      <c r="VBE381" s="669"/>
      <c r="VBF381" s="669"/>
      <c r="VBG381" s="669"/>
      <c r="VBH381" s="669"/>
      <c r="VBI381" s="669"/>
      <c r="VBJ381" s="669"/>
      <c r="VBK381" s="669"/>
      <c r="VBL381" s="669"/>
      <c r="VBM381" s="669"/>
      <c r="VBN381" s="669"/>
      <c r="VBO381" s="669"/>
      <c r="VBP381" s="669"/>
      <c r="VBQ381" s="669"/>
      <c r="VBR381" s="669"/>
      <c r="VBS381" s="669"/>
      <c r="VBT381" s="669"/>
      <c r="VBU381" s="669"/>
      <c r="VBV381" s="669"/>
      <c r="VBW381" s="669"/>
      <c r="VBX381" s="669"/>
      <c r="VBY381" s="669"/>
      <c r="VBZ381" s="669"/>
      <c r="VCA381" s="669"/>
      <c r="VCB381" s="669"/>
      <c r="VCC381" s="669"/>
      <c r="VCD381" s="669"/>
      <c r="VCE381" s="669"/>
      <c r="VCF381" s="669"/>
      <c r="VCG381" s="669"/>
      <c r="VCH381" s="669"/>
      <c r="VCI381" s="669"/>
      <c r="VCJ381" s="669"/>
      <c r="VCK381" s="669"/>
      <c r="VCL381" s="669"/>
      <c r="VCM381" s="669"/>
      <c r="VCN381" s="669"/>
      <c r="VCO381" s="669"/>
      <c r="VCP381" s="669"/>
      <c r="VCQ381" s="669"/>
      <c r="VCR381" s="669"/>
      <c r="VCS381" s="669"/>
      <c r="VCT381" s="669"/>
      <c r="VCU381" s="669"/>
      <c r="VCV381" s="669"/>
      <c r="VCW381" s="669"/>
      <c r="VCX381" s="669"/>
      <c r="VCY381" s="669"/>
      <c r="VCZ381" s="669"/>
      <c r="VDA381" s="669"/>
      <c r="VDB381" s="669"/>
      <c r="VDC381" s="669"/>
      <c r="VDD381" s="669"/>
      <c r="VDE381" s="669"/>
      <c r="VDF381" s="669"/>
      <c r="VDG381" s="669"/>
      <c r="VDH381" s="669"/>
      <c r="VDI381" s="669"/>
      <c r="VDJ381" s="669"/>
      <c r="VDK381" s="669"/>
      <c r="VDL381" s="669"/>
      <c r="VDM381" s="669"/>
      <c r="VDN381" s="669"/>
      <c r="VDO381" s="669"/>
      <c r="VDP381" s="669"/>
      <c r="VDQ381" s="669"/>
      <c r="VDR381" s="669"/>
      <c r="VDS381" s="669"/>
      <c r="VDT381" s="669"/>
      <c r="VDU381" s="669"/>
      <c r="VDV381" s="669"/>
      <c r="VDW381" s="669"/>
      <c r="VDX381" s="669"/>
      <c r="VDY381" s="669"/>
      <c r="VDZ381" s="669"/>
      <c r="VEA381" s="669"/>
      <c r="VEB381" s="669"/>
      <c r="VEC381" s="669"/>
      <c r="VED381" s="669"/>
      <c r="VEE381" s="669"/>
      <c r="VEF381" s="669"/>
      <c r="VEG381" s="669"/>
      <c r="VEH381" s="669"/>
      <c r="VEI381" s="669"/>
      <c r="VEJ381" s="669"/>
      <c r="VEK381" s="669"/>
      <c r="VEL381" s="669"/>
      <c r="VEM381" s="669"/>
      <c r="VEN381" s="669"/>
      <c r="VEO381" s="669"/>
      <c r="VEP381" s="669"/>
      <c r="VEQ381" s="669"/>
      <c r="VER381" s="669"/>
      <c r="VES381" s="669"/>
      <c r="VET381" s="669"/>
      <c r="VEU381" s="669"/>
      <c r="VEV381" s="669"/>
      <c r="VEW381" s="669"/>
      <c r="VEX381" s="669"/>
      <c r="VEY381" s="669"/>
      <c r="VEZ381" s="669"/>
      <c r="VFA381" s="669"/>
      <c r="VFB381" s="669"/>
      <c r="VFC381" s="669"/>
      <c r="VFD381" s="669"/>
      <c r="VFE381" s="669"/>
      <c r="VFF381" s="669"/>
      <c r="VFG381" s="669"/>
      <c r="VFH381" s="669"/>
      <c r="VFI381" s="669"/>
      <c r="VFJ381" s="669"/>
      <c r="VFK381" s="669"/>
      <c r="VFL381" s="669"/>
      <c r="VFM381" s="669"/>
      <c r="VFN381" s="669"/>
      <c r="VFO381" s="669"/>
      <c r="VFP381" s="669"/>
      <c r="VFQ381" s="669"/>
      <c r="VFR381" s="669"/>
      <c r="VFS381" s="669"/>
      <c r="VFT381" s="669"/>
      <c r="VFU381" s="669"/>
      <c r="VFV381" s="669"/>
      <c r="VFW381" s="669"/>
      <c r="VFX381" s="669"/>
      <c r="VFY381" s="669"/>
      <c r="VFZ381" s="669"/>
      <c r="VGA381" s="669"/>
      <c r="VGB381" s="669"/>
      <c r="VGC381" s="669"/>
      <c r="VGD381" s="669"/>
      <c r="VGE381" s="669"/>
      <c r="VGF381" s="669"/>
      <c r="VGG381" s="669"/>
      <c r="VGH381" s="669"/>
      <c r="VGI381" s="669"/>
      <c r="VGJ381" s="669"/>
      <c r="VGK381" s="669"/>
      <c r="VGL381" s="669"/>
      <c r="VGM381" s="669"/>
      <c r="VGN381" s="669"/>
      <c r="VGO381" s="669"/>
      <c r="VGP381" s="669"/>
      <c r="VGQ381" s="669"/>
      <c r="VGR381" s="669"/>
      <c r="VGS381" s="669"/>
      <c r="VGT381" s="669"/>
      <c r="VGU381" s="669"/>
      <c r="VGV381" s="669"/>
      <c r="VGW381" s="669"/>
      <c r="VGX381" s="669"/>
      <c r="VGY381" s="669"/>
      <c r="VGZ381" s="669"/>
      <c r="VHA381" s="669"/>
      <c r="VHB381" s="669"/>
      <c r="VHC381" s="669"/>
      <c r="VHD381" s="669"/>
      <c r="VHE381" s="669"/>
      <c r="VHF381" s="669"/>
      <c r="VHG381" s="669"/>
      <c r="VHH381" s="669"/>
      <c r="VHI381" s="669"/>
      <c r="VHJ381" s="669"/>
      <c r="VHK381" s="669"/>
      <c r="VHL381" s="669"/>
      <c r="VHM381" s="669"/>
      <c r="VHN381" s="669"/>
      <c r="VHO381" s="669"/>
      <c r="VHP381" s="669"/>
      <c r="VHQ381" s="669"/>
      <c r="VHR381" s="669"/>
      <c r="VHS381" s="669"/>
      <c r="VHT381" s="669"/>
      <c r="VHU381" s="669"/>
      <c r="VHV381" s="669"/>
      <c r="VHW381" s="669"/>
      <c r="VHX381" s="669"/>
      <c r="VHY381" s="669"/>
      <c r="VHZ381" s="669"/>
      <c r="VIA381" s="669"/>
      <c r="VIB381" s="669"/>
      <c r="VIC381" s="669"/>
      <c r="VID381" s="669"/>
      <c r="VIE381" s="669"/>
      <c r="VIF381" s="669"/>
      <c r="VIG381" s="669"/>
      <c r="VIH381" s="669"/>
      <c r="VII381" s="669"/>
      <c r="VIJ381" s="669"/>
      <c r="VIK381" s="669"/>
      <c r="VIL381" s="669"/>
      <c r="VIM381" s="669"/>
      <c r="VIN381" s="669"/>
      <c r="VIO381" s="669"/>
      <c r="VIP381" s="669"/>
      <c r="VIQ381" s="669"/>
      <c r="VIR381" s="669"/>
      <c r="VIS381" s="669"/>
      <c r="VIT381" s="669"/>
      <c r="VIU381" s="669"/>
      <c r="VIV381" s="669"/>
      <c r="VIW381" s="669"/>
      <c r="VIX381" s="669"/>
      <c r="VIY381" s="669"/>
      <c r="VIZ381" s="669"/>
      <c r="VJA381" s="669"/>
      <c r="VJB381" s="669"/>
      <c r="VJC381" s="669"/>
      <c r="VJD381" s="669"/>
      <c r="VJE381" s="669"/>
      <c r="VJF381" s="669"/>
      <c r="VJG381" s="669"/>
      <c r="VJH381" s="669"/>
      <c r="VJI381" s="669"/>
      <c r="VJJ381" s="669"/>
      <c r="VJK381" s="669"/>
      <c r="VJL381" s="669"/>
      <c r="VJM381" s="669"/>
      <c r="VJN381" s="669"/>
      <c r="VJO381" s="669"/>
      <c r="VJP381" s="669"/>
      <c r="VJQ381" s="669"/>
      <c r="VJR381" s="669"/>
      <c r="VJS381" s="669"/>
      <c r="VJT381" s="669"/>
      <c r="VJU381" s="669"/>
      <c r="VJV381" s="669"/>
      <c r="VJW381" s="669"/>
      <c r="VJX381" s="669"/>
      <c r="VJY381" s="669"/>
      <c r="VJZ381" s="669"/>
      <c r="VKA381" s="669"/>
      <c r="VKB381" s="669"/>
      <c r="VKC381" s="669"/>
      <c r="VKD381" s="669"/>
      <c r="VKE381" s="669"/>
      <c r="VKF381" s="669"/>
      <c r="VKG381" s="669"/>
      <c r="VKH381" s="669"/>
      <c r="VKI381" s="669"/>
      <c r="VKJ381" s="669"/>
      <c r="VKK381" s="669"/>
      <c r="VKL381" s="669"/>
      <c r="VKM381" s="669"/>
      <c r="VKN381" s="669"/>
      <c r="VKO381" s="669"/>
      <c r="VKP381" s="669"/>
      <c r="VKQ381" s="669"/>
      <c r="VKR381" s="669"/>
      <c r="VKS381" s="669"/>
      <c r="VKT381" s="669"/>
      <c r="VKU381" s="669"/>
      <c r="VKV381" s="669"/>
      <c r="VKW381" s="669"/>
      <c r="VKX381" s="669"/>
      <c r="VKY381" s="669"/>
      <c r="VKZ381" s="669"/>
      <c r="VLA381" s="669"/>
      <c r="VLB381" s="669"/>
      <c r="VLC381" s="669"/>
      <c r="VLD381" s="669"/>
      <c r="VLE381" s="669"/>
      <c r="VLF381" s="669"/>
      <c r="VLG381" s="669"/>
      <c r="VLH381" s="669"/>
      <c r="VLI381" s="669"/>
      <c r="VLJ381" s="669"/>
      <c r="VLK381" s="669"/>
      <c r="VLL381" s="669"/>
      <c r="VLM381" s="669"/>
      <c r="VLN381" s="669"/>
      <c r="VLO381" s="669"/>
      <c r="VLP381" s="669"/>
      <c r="VLQ381" s="669"/>
      <c r="VLR381" s="669"/>
      <c r="VLS381" s="669"/>
      <c r="VLT381" s="669"/>
      <c r="VLU381" s="669"/>
      <c r="VLV381" s="669"/>
      <c r="VLW381" s="669"/>
      <c r="VLX381" s="669"/>
      <c r="VLY381" s="669"/>
      <c r="VLZ381" s="669"/>
      <c r="VMA381" s="669"/>
      <c r="VMB381" s="669"/>
      <c r="VMC381" s="669"/>
      <c r="VMD381" s="669"/>
      <c r="VME381" s="669"/>
      <c r="VMF381" s="669"/>
      <c r="VMG381" s="669"/>
      <c r="VMH381" s="669"/>
      <c r="VMI381" s="669"/>
      <c r="VMJ381" s="669"/>
      <c r="VMK381" s="669"/>
      <c r="VML381" s="669"/>
      <c r="VMM381" s="669"/>
      <c r="VMN381" s="669"/>
      <c r="VMO381" s="669"/>
      <c r="VMP381" s="669"/>
      <c r="VMQ381" s="669"/>
      <c r="VMR381" s="669"/>
      <c r="VMS381" s="669"/>
      <c r="VMT381" s="669"/>
      <c r="VMU381" s="669"/>
      <c r="VMV381" s="669"/>
      <c r="VMW381" s="669"/>
      <c r="VMX381" s="669"/>
      <c r="VMY381" s="669"/>
      <c r="VMZ381" s="669"/>
      <c r="VNA381" s="669"/>
      <c r="VNB381" s="669"/>
      <c r="VNC381" s="669"/>
      <c r="VND381" s="669"/>
      <c r="VNE381" s="669"/>
      <c r="VNF381" s="669"/>
      <c r="VNG381" s="669"/>
      <c r="VNH381" s="669"/>
      <c r="VNI381" s="669"/>
      <c r="VNJ381" s="669"/>
      <c r="VNK381" s="669"/>
      <c r="VNL381" s="669"/>
      <c r="VNM381" s="669"/>
      <c r="VNN381" s="669"/>
      <c r="VNO381" s="669"/>
      <c r="VNP381" s="669"/>
      <c r="VNQ381" s="669"/>
      <c r="VNR381" s="669"/>
      <c r="VNS381" s="669"/>
      <c r="VNT381" s="669"/>
      <c r="VNU381" s="669"/>
      <c r="VNV381" s="669"/>
      <c r="VNW381" s="669"/>
      <c r="VNX381" s="669"/>
      <c r="VNY381" s="669"/>
      <c r="VNZ381" s="669"/>
      <c r="VOA381" s="669"/>
      <c r="VOB381" s="669"/>
      <c r="VOC381" s="669"/>
      <c r="VOD381" s="669"/>
      <c r="VOE381" s="669"/>
      <c r="VOF381" s="669"/>
      <c r="VOG381" s="669"/>
      <c r="VOH381" s="669"/>
      <c r="VOI381" s="669"/>
      <c r="VOJ381" s="669"/>
      <c r="VOK381" s="669"/>
      <c r="VOL381" s="669"/>
      <c r="VOM381" s="669"/>
      <c r="VON381" s="669"/>
      <c r="VOO381" s="669"/>
      <c r="VOP381" s="669"/>
      <c r="VOQ381" s="669"/>
      <c r="VOR381" s="669"/>
      <c r="VOS381" s="669"/>
      <c r="VOT381" s="669"/>
      <c r="VOU381" s="669"/>
      <c r="VOV381" s="669"/>
      <c r="VOW381" s="669"/>
      <c r="VOX381" s="669"/>
      <c r="VOY381" s="669"/>
      <c r="VOZ381" s="669"/>
      <c r="VPA381" s="669"/>
      <c r="VPB381" s="669"/>
      <c r="VPC381" s="669"/>
      <c r="VPD381" s="669"/>
      <c r="VPE381" s="669"/>
      <c r="VPF381" s="669"/>
      <c r="VPG381" s="669"/>
      <c r="VPH381" s="669"/>
      <c r="VPI381" s="669"/>
      <c r="VPJ381" s="669"/>
      <c r="VPK381" s="669"/>
      <c r="VPL381" s="669"/>
      <c r="VPM381" s="669"/>
      <c r="VPN381" s="669"/>
      <c r="VPO381" s="669"/>
      <c r="VPP381" s="669"/>
      <c r="VPQ381" s="669"/>
      <c r="VPR381" s="669"/>
      <c r="VPS381" s="669"/>
      <c r="VPT381" s="669"/>
      <c r="VPU381" s="669"/>
      <c r="VPV381" s="669"/>
      <c r="VPW381" s="669"/>
      <c r="VPX381" s="669"/>
      <c r="VPY381" s="669"/>
      <c r="VPZ381" s="669"/>
      <c r="VQA381" s="669"/>
      <c r="VQB381" s="669"/>
      <c r="VQC381" s="669"/>
      <c r="VQD381" s="669"/>
      <c r="VQE381" s="669"/>
      <c r="VQF381" s="669"/>
      <c r="VQG381" s="669"/>
      <c r="VQH381" s="669"/>
      <c r="VQI381" s="669"/>
      <c r="VQJ381" s="669"/>
      <c r="VQK381" s="669"/>
      <c r="VQL381" s="669"/>
      <c r="VQM381" s="669"/>
      <c r="VQN381" s="669"/>
      <c r="VQO381" s="669"/>
      <c r="VQP381" s="669"/>
      <c r="VQQ381" s="669"/>
      <c r="VQR381" s="669"/>
      <c r="VQS381" s="669"/>
      <c r="VQT381" s="669"/>
      <c r="VQU381" s="669"/>
      <c r="VQV381" s="669"/>
      <c r="VQW381" s="669"/>
      <c r="VQX381" s="669"/>
      <c r="VQY381" s="669"/>
      <c r="VQZ381" s="669"/>
      <c r="VRA381" s="669"/>
      <c r="VRB381" s="669"/>
      <c r="VRC381" s="669"/>
      <c r="VRD381" s="669"/>
      <c r="VRE381" s="669"/>
      <c r="VRF381" s="669"/>
      <c r="VRG381" s="669"/>
      <c r="VRH381" s="669"/>
      <c r="VRI381" s="669"/>
      <c r="VRJ381" s="669"/>
      <c r="VRK381" s="669"/>
      <c r="VRL381" s="669"/>
      <c r="VRM381" s="669"/>
      <c r="VRN381" s="669"/>
      <c r="VRO381" s="669"/>
      <c r="VRP381" s="669"/>
      <c r="VRQ381" s="669"/>
      <c r="VRR381" s="669"/>
      <c r="VRS381" s="669"/>
      <c r="VRT381" s="669"/>
      <c r="VRU381" s="669"/>
      <c r="VRV381" s="669"/>
      <c r="VRW381" s="669"/>
      <c r="VRX381" s="669"/>
      <c r="VRY381" s="669"/>
      <c r="VRZ381" s="669"/>
      <c r="VSA381" s="669"/>
      <c r="VSB381" s="669"/>
      <c r="VSC381" s="669"/>
      <c r="VSD381" s="669"/>
      <c r="VSE381" s="669"/>
      <c r="VSF381" s="669"/>
      <c r="VSG381" s="669"/>
      <c r="VSH381" s="669"/>
      <c r="VSI381" s="669"/>
      <c r="VSJ381" s="669"/>
      <c r="VSK381" s="669"/>
      <c r="VSL381" s="669"/>
      <c r="VSM381" s="669"/>
      <c r="VSN381" s="669"/>
      <c r="VSO381" s="669"/>
      <c r="VSP381" s="669"/>
      <c r="VSQ381" s="669"/>
      <c r="VSR381" s="669"/>
      <c r="VSS381" s="669"/>
      <c r="VST381" s="669"/>
      <c r="VSU381" s="669"/>
      <c r="VSV381" s="669"/>
      <c r="VSW381" s="669"/>
      <c r="VSX381" s="669"/>
      <c r="VSY381" s="669"/>
      <c r="VSZ381" s="669"/>
      <c r="VTA381" s="669"/>
      <c r="VTB381" s="669"/>
      <c r="VTC381" s="669"/>
      <c r="VTD381" s="669"/>
      <c r="VTE381" s="669"/>
      <c r="VTF381" s="669"/>
      <c r="VTG381" s="669"/>
      <c r="VTH381" s="669"/>
      <c r="VTI381" s="669"/>
      <c r="VTJ381" s="669"/>
      <c r="VTK381" s="669"/>
      <c r="VTL381" s="669"/>
      <c r="VTM381" s="669"/>
      <c r="VTN381" s="669"/>
      <c r="VTO381" s="669"/>
      <c r="VTP381" s="669"/>
      <c r="VTQ381" s="669"/>
      <c r="VTR381" s="669"/>
      <c r="VTS381" s="669"/>
      <c r="VTT381" s="669"/>
      <c r="VTU381" s="669"/>
      <c r="VTV381" s="669"/>
      <c r="VTW381" s="669"/>
      <c r="VTX381" s="669"/>
      <c r="VTY381" s="669"/>
      <c r="VTZ381" s="669"/>
      <c r="VUA381" s="669"/>
      <c r="VUB381" s="669"/>
      <c r="VUC381" s="669"/>
      <c r="VUD381" s="669"/>
      <c r="VUE381" s="669"/>
      <c r="VUF381" s="669"/>
      <c r="VUG381" s="669"/>
      <c r="VUH381" s="669"/>
      <c r="VUI381" s="669"/>
      <c r="VUJ381" s="669"/>
      <c r="VUK381" s="669"/>
      <c r="VUL381" s="669"/>
      <c r="VUM381" s="669"/>
      <c r="VUN381" s="669"/>
      <c r="VUO381" s="669"/>
      <c r="VUP381" s="669"/>
      <c r="VUQ381" s="669"/>
      <c r="VUR381" s="669"/>
      <c r="VUS381" s="669"/>
      <c r="VUT381" s="669"/>
      <c r="VUU381" s="669"/>
      <c r="VUV381" s="669"/>
      <c r="VUW381" s="669"/>
      <c r="VUX381" s="669"/>
      <c r="VUY381" s="669"/>
      <c r="VUZ381" s="669"/>
      <c r="VVA381" s="669"/>
      <c r="VVB381" s="669"/>
      <c r="VVC381" s="669"/>
      <c r="VVD381" s="669"/>
      <c r="VVE381" s="669"/>
      <c r="VVF381" s="669"/>
      <c r="VVG381" s="669"/>
      <c r="VVH381" s="669"/>
      <c r="VVI381" s="669"/>
      <c r="VVJ381" s="669"/>
      <c r="VVK381" s="669"/>
      <c r="VVL381" s="669"/>
      <c r="VVM381" s="669"/>
      <c r="VVN381" s="669"/>
      <c r="VVO381" s="669"/>
      <c r="VVP381" s="669"/>
      <c r="VVQ381" s="669"/>
      <c r="VVR381" s="669"/>
      <c r="VVS381" s="669"/>
      <c r="VVT381" s="669"/>
      <c r="VVU381" s="669"/>
      <c r="VVV381" s="669"/>
      <c r="VVW381" s="669"/>
      <c r="VVX381" s="669"/>
      <c r="VVY381" s="669"/>
      <c r="VVZ381" s="669"/>
      <c r="VWA381" s="669"/>
      <c r="VWB381" s="669"/>
      <c r="VWC381" s="669"/>
      <c r="VWD381" s="669"/>
      <c r="VWE381" s="669"/>
      <c r="VWF381" s="669"/>
      <c r="VWG381" s="669"/>
      <c r="VWH381" s="669"/>
      <c r="VWI381" s="669"/>
      <c r="VWJ381" s="669"/>
      <c r="VWK381" s="669"/>
      <c r="VWL381" s="669"/>
      <c r="VWM381" s="669"/>
      <c r="VWN381" s="669"/>
      <c r="VWO381" s="669"/>
      <c r="VWP381" s="669"/>
      <c r="VWQ381" s="669"/>
      <c r="VWR381" s="669"/>
      <c r="VWS381" s="669"/>
      <c r="VWT381" s="669"/>
      <c r="VWU381" s="669"/>
      <c r="VWV381" s="669"/>
      <c r="VWW381" s="669"/>
      <c r="VWX381" s="669"/>
      <c r="VWY381" s="669"/>
      <c r="VWZ381" s="669"/>
      <c r="VXA381" s="669"/>
      <c r="VXB381" s="669"/>
      <c r="VXC381" s="669"/>
      <c r="VXD381" s="669"/>
      <c r="VXE381" s="669"/>
      <c r="VXF381" s="669"/>
      <c r="VXG381" s="669"/>
      <c r="VXH381" s="669"/>
      <c r="VXI381" s="669"/>
      <c r="VXJ381" s="669"/>
      <c r="VXK381" s="669"/>
      <c r="VXL381" s="669"/>
      <c r="VXM381" s="669"/>
      <c r="VXN381" s="669"/>
      <c r="VXO381" s="669"/>
      <c r="VXP381" s="669"/>
      <c r="VXQ381" s="669"/>
      <c r="VXR381" s="669"/>
      <c r="VXS381" s="669"/>
      <c r="VXT381" s="669"/>
      <c r="VXU381" s="669"/>
      <c r="VXV381" s="669"/>
      <c r="VXW381" s="669"/>
      <c r="VXX381" s="669"/>
      <c r="VXY381" s="669"/>
      <c r="VXZ381" s="669"/>
      <c r="VYA381" s="669"/>
      <c r="VYB381" s="669"/>
      <c r="VYC381" s="669"/>
      <c r="VYD381" s="669"/>
      <c r="VYE381" s="669"/>
      <c r="VYF381" s="669"/>
      <c r="VYG381" s="669"/>
      <c r="VYH381" s="669"/>
      <c r="VYI381" s="669"/>
      <c r="VYJ381" s="669"/>
      <c r="VYK381" s="669"/>
      <c r="VYL381" s="669"/>
      <c r="VYM381" s="669"/>
      <c r="VYN381" s="669"/>
      <c r="VYO381" s="669"/>
      <c r="VYP381" s="669"/>
      <c r="VYQ381" s="669"/>
      <c r="VYR381" s="669"/>
      <c r="VYS381" s="669"/>
      <c r="VYT381" s="669"/>
      <c r="VYU381" s="669"/>
      <c r="VYV381" s="669"/>
      <c r="VYW381" s="669"/>
      <c r="VYX381" s="669"/>
      <c r="VYY381" s="669"/>
      <c r="VYZ381" s="669"/>
      <c r="VZA381" s="669"/>
      <c r="VZB381" s="669"/>
      <c r="VZC381" s="669"/>
      <c r="VZD381" s="669"/>
      <c r="VZE381" s="669"/>
      <c r="VZF381" s="669"/>
      <c r="VZG381" s="669"/>
      <c r="VZH381" s="669"/>
      <c r="VZI381" s="669"/>
      <c r="VZJ381" s="669"/>
      <c r="VZK381" s="669"/>
      <c r="VZL381" s="669"/>
      <c r="VZM381" s="669"/>
      <c r="VZN381" s="669"/>
      <c r="VZO381" s="669"/>
      <c r="VZP381" s="669"/>
      <c r="VZQ381" s="669"/>
      <c r="VZR381" s="669"/>
      <c r="VZS381" s="669"/>
      <c r="VZT381" s="669"/>
      <c r="VZU381" s="669"/>
      <c r="VZV381" s="669"/>
      <c r="VZW381" s="669"/>
      <c r="VZX381" s="669"/>
      <c r="VZY381" s="669"/>
      <c r="VZZ381" s="669"/>
      <c r="WAA381" s="669"/>
      <c r="WAB381" s="669"/>
      <c r="WAC381" s="669"/>
      <c r="WAD381" s="669"/>
      <c r="WAE381" s="669"/>
      <c r="WAF381" s="669"/>
      <c r="WAG381" s="669"/>
      <c r="WAH381" s="669"/>
      <c r="WAI381" s="669"/>
      <c r="WAJ381" s="669"/>
      <c r="WAK381" s="669"/>
      <c r="WAL381" s="669"/>
      <c r="WAM381" s="669"/>
      <c r="WAN381" s="669"/>
      <c r="WAO381" s="669"/>
      <c r="WAP381" s="669"/>
      <c r="WAQ381" s="669"/>
      <c r="WAR381" s="669"/>
      <c r="WAS381" s="669"/>
      <c r="WAT381" s="669"/>
      <c r="WAU381" s="669"/>
      <c r="WAV381" s="669"/>
      <c r="WAW381" s="669"/>
      <c r="WAX381" s="669"/>
      <c r="WAY381" s="669"/>
      <c r="WAZ381" s="669"/>
      <c r="WBA381" s="669"/>
      <c r="WBB381" s="669"/>
      <c r="WBC381" s="669"/>
      <c r="WBD381" s="669"/>
      <c r="WBE381" s="669"/>
      <c r="WBF381" s="669"/>
      <c r="WBG381" s="669"/>
      <c r="WBH381" s="669"/>
      <c r="WBI381" s="669"/>
      <c r="WBJ381" s="669"/>
      <c r="WBK381" s="669"/>
      <c r="WBL381" s="669"/>
      <c r="WBM381" s="669"/>
      <c r="WBN381" s="669"/>
      <c r="WBO381" s="669"/>
      <c r="WBP381" s="669"/>
      <c r="WBQ381" s="669"/>
      <c r="WBR381" s="669"/>
      <c r="WBS381" s="669"/>
      <c r="WBT381" s="669"/>
      <c r="WBU381" s="669"/>
      <c r="WBV381" s="669"/>
      <c r="WBW381" s="669"/>
      <c r="WBX381" s="669"/>
      <c r="WBY381" s="669"/>
      <c r="WBZ381" s="669"/>
      <c r="WCA381" s="669"/>
      <c r="WCB381" s="669"/>
      <c r="WCC381" s="669"/>
      <c r="WCD381" s="669"/>
      <c r="WCE381" s="669"/>
      <c r="WCF381" s="669"/>
      <c r="WCG381" s="669"/>
      <c r="WCH381" s="669"/>
      <c r="WCI381" s="669"/>
      <c r="WCJ381" s="669"/>
      <c r="WCK381" s="669"/>
      <c r="WCL381" s="669"/>
      <c r="WCM381" s="669"/>
      <c r="WCN381" s="669"/>
      <c r="WCO381" s="669"/>
      <c r="WCP381" s="669"/>
      <c r="WCQ381" s="669"/>
      <c r="WCR381" s="669"/>
      <c r="WCS381" s="669"/>
      <c r="WCT381" s="669"/>
      <c r="WCU381" s="669"/>
      <c r="WCV381" s="669"/>
      <c r="WCW381" s="669"/>
      <c r="WCX381" s="669"/>
      <c r="WCY381" s="669"/>
      <c r="WCZ381" s="669"/>
      <c r="WDA381" s="669"/>
      <c r="WDB381" s="669"/>
      <c r="WDC381" s="669"/>
      <c r="WDD381" s="669"/>
      <c r="WDE381" s="669"/>
      <c r="WDF381" s="669"/>
      <c r="WDG381" s="669"/>
      <c r="WDH381" s="669"/>
      <c r="WDI381" s="669"/>
      <c r="WDJ381" s="669"/>
      <c r="WDK381" s="669"/>
      <c r="WDL381" s="669"/>
      <c r="WDM381" s="669"/>
      <c r="WDN381" s="669"/>
      <c r="WDO381" s="669"/>
      <c r="WDP381" s="669"/>
      <c r="WDQ381" s="669"/>
      <c r="WDR381" s="669"/>
      <c r="WDS381" s="669"/>
      <c r="WDT381" s="669"/>
      <c r="WDU381" s="669"/>
      <c r="WDV381" s="669"/>
      <c r="WDW381" s="669"/>
      <c r="WDX381" s="669"/>
      <c r="WDY381" s="669"/>
      <c r="WDZ381" s="669"/>
      <c r="WEA381" s="669"/>
      <c r="WEB381" s="669"/>
      <c r="WEC381" s="669"/>
      <c r="WED381" s="669"/>
      <c r="WEE381" s="669"/>
      <c r="WEF381" s="669"/>
      <c r="WEG381" s="669"/>
      <c r="WEH381" s="669"/>
      <c r="WEI381" s="669"/>
      <c r="WEJ381" s="669"/>
      <c r="WEK381" s="669"/>
      <c r="WEL381" s="669"/>
      <c r="WEM381" s="669"/>
      <c r="WEN381" s="669"/>
      <c r="WEO381" s="669"/>
      <c r="WEP381" s="669"/>
      <c r="WEQ381" s="669"/>
      <c r="WER381" s="669"/>
      <c r="WES381" s="669"/>
      <c r="WET381" s="669"/>
      <c r="WEU381" s="669"/>
      <c r="WEV381" s="669"/>
      <c r="WEW381" s="669"/>
      <c r="WEX381" s="669"/>
      <c r="WEY381" s="669"/>
      <c r="WEZ381" s="669"/>
      <c r="WFA381" s="669"/>
      <c r="WFB381" s="669"/>
      <c r="WFC381" s="669"/>
      <c r="WFD381" s="669"/>
      <c r="WFE381" s="669"/>
      <c r="WFF381" s="669"/>
      <c r="WFG381" s="669"/>
      <c r="WFH381" s="669"/>
      <c r="WFI381" s="669"/>
      <c r="WFJ381" s="669"/>
      <c r="WFK381" s="669"/>
      <c r="WFL381" s="669"/>
      <c r="WFM381" s="669"/>
      <c r="WFN381" s="669"/>
      <c r="WFO381" s="669"/>
      <c r="WFP381" s="669"/>
      <c r="WFQ381" s="669"/>
      <c r="WFR381" s="669"/>
      <c r="WFS381" s="669"/>
      <c r="WFT381" s="669"/>
      <c r="WFU381" s="669"/>
      <c r="WFV381" s="669"/>
      <c r="WFW381" s="669"/>
      <c r="WFX381" s="669"/>
      <c r="WFY381" s="669"/>
      <c r="WFZ381" s="669"/>
      <c r="WGA381" s="669"/>
      <c r="WGB381" s="669"/>
      <c r="WGC381" s="669"/>
      <c r="WGD381" s="669"/>
      <c r="WGE381" s="669"/>
      <c r="WGF381" s="669"/>
      <c r="WGG381" s="669"/>
      <c r="WGH381" s="669"/>
      <c r="WGI381" s="669"/>
      <c r="WGJ381" s="669"/>
      <c r="WGK381" s="669"/>
      <c r="WGL381" s="669"/>
      <c r="WGM381" s="669"/>
      <c r="WGN381" s="669"/>
      <c r="WGO381" s="669"/>
      <c r="WGP381" s="669"/>
      <c r="WGQ381" s="669"/>
      <c r="WGR381" s="669"/>
      <c r="WGS381" s="669"/>
      <c r="WGT381" s="669"/>
      <c r="WGU381" s="669"/>
      <c r="WGV381" s="669"/>
      <c r="WGW381" s="669"/>
      <c r="WGX381" s="669"/>
      <c r="WGY381" s="669"/>
      <c r="WGZ381" s="669"/>
      <c r="WHA381" s="669"/>
      <c r="WHB381" s="669"/>
      <c r="WHC381" s="669"/>
      <c r="WHD381" s="669"/>
      <c r="WHE381" s="669"/>
      <c r="WHF381" s="669"/>
      <c r="WHG381" s="669"/>
      <c r="WHH381" s="669"/>
      <c r="WHI381" s="669"/>
      <c r="WHJ381" s="669"/>
      <c r="WHK381" s="669"/>
      <c r="WHL381" s="669"/>
      <c r="WHM381" s="669"/>
      <c r="WHN381" s="669"/>
      <c r="WHO381" s="669"/>
      <c r="WHP381" s="669"/>
      <c r="WHQ381" s="669"/>
      <c r="WHR381" s="669"/>
      <c r="WHS381" s="669"/>
      <c r="WHT381" s="669"/>
      <c r="WHU381" s="669"/>
      <c r="WHV381" s="669"/>
      <c r="WHW381" s="669"/>
      <c r="WHX381" s="669"/>
      <c r="WHY381" s="669"/>
      <c r="WHZ381" s="669"/>
      <c r="WIA381" s="669"/>
      <c r="WIB381" s="669"/>
      <c r="WIC381" s="669"/>
      <c r="WID381" s="669"/>
      <c r="WIE381" s="669"/>
      <c r="WIF381" s="669"/>
      <c r="WIG381" s="669"/>
      <c r="WIH381" s="669"/>
      <c r="WII381" s="669"/>
      <c r="WIJ381" s="669"/>
      <c r="WIK381" s="669"/>
      <c r="WIL381" s="669"/>
      <c r="WIM381" s="669"/>
      <c r="WIN381" s="669"/>
      <c r="WIO381" s="669"/>
      <c r="WIP381" s="669"/>
      <c r="WIQ381" s="669"/>
      <c r="WIR381" s="669"/>
      <c r="WIS381" s="669"/>
      <c r="WIT381" s="669"/>
      <c r="WIU381" s="669"/>
      <c r="WIV381" s="669"/>
      <c r="WIW381" s="669"/>
      <c r="WIX381" s="669"/>
      <c r="WIY381" s="669"/>
      <c r="WIZ381" s="669"/>
      <c r="WJA381" s="669"/>
      <c r="WJB381" s="669"/>
      <c r="WJC381" s="669"/>
      <c r="WJD381" s="669"/>
      <c r="WJE381" s="669"/>
      <c r="WJF381" s="669"/>
      <c r="WJG381" s="669"/>
      <c r="WJH381" s="669"/>
      <c r="WJI381" s="669"/>
      <c r="WJJ381" s="669"/>
      <c r="WJK381" s="669"/>
      <c r="WJL381" s="669"/>
      <c r="WJM381" s="669"/>
      <c r="WJN381" s="669"/>
      <c r="WJO381" s="669"/>
      <c r="WJP381" s="669"/>
      <c r="WJQ381" s="669"/>
      <c r="WJR381" s="669"/>
      <c r="WJS381" s="669"/>
      <c r="WJT381" s="669"/>
      <c r="WJU381" s="669"/>
      <c r="WJV381" s="669"/>
      <c r="WJW381" s="669"/>
      <c r="WJX381" s="669"/>
      <c r="WJY381" s="669"/>
      <c r="WJZ381" s="669"/>
      <c r="WKA381" s="669"/>
      <c r="WKB381" s="669"/>
      <c r="WKC381" s="669"/>
      <c r="WKD381" s="669"/>
      <c r="WKE381" s="669"/>
      <c r="WKF381" s="669"/>
      <c r="WKG381" s="669"/>
      <c r="WKH381" s="669"/>
      <c r="WKI381" s="669"/>
      <c r="WKJ381" s="669"/>
      <c r="WKK381" s="669"/>
      <c r="WKL381" s="669"/>
      <c r="WKM381" s="669"/>
      <c r="WKN381" s="669"/>
      <c r="WKO381" s="669"/>
      <c r="WKP381" s="669"/>
      <c r="WKQ381" s="669"/>
      <c r="WKR381" s="669"/>
      <c r="WKS381" s="669"/>
      <c r="WKT381" s="669"/>
      <c r="WKU381" s="669"/>
      <c r="WKV381" s="669"/>
      <c r="WKW381" s="669"/>
      <c r="WKX381" s="669"/>
      <c r="WKY381" s="669"/>
      <c r="WKZ381" s="669"/>
      <c r="WLA381" s="669"/>
      <c r="WLB381" s="669"/>
      <c r="WLC381" s="669"/>
      <c r="WLD381" s="669"/>
      <c r="WLE381" s="669"/>
      <c r="WLF381" s="669"/>
      <c r="WLG381" s="669"/>
      <c r="WLH381" s="669"/>
      <c r="WLI381" s="669"/>
      <c r="WLJ381" s="669"/>
      <c r="WLK381" s="669"/>
      <c r="WLL381" s="669"/>
      <c r="WLM381" s="669"/>
      <c r="WLN381" s="669"/>
      <c r="WLO381" s="669"/>
      <c r="WLP381" s="669"/>
      <c r="WLQ381" s="669"/>
      <c r="WLR381" s="669"/>
      <c r="WLS381" s="669"/>
      <c r="WLT381" s="669"/>
      <c r="WLU381" s="669"/>
      <c r="WLV381" s="669"/>
      <c r="WLW381" s="669"/>
      <c r="WLX381" s="669"/>
      <c r="WLY381" s="669"/>
      <c r="WLZ381" s="669"/>
      <c r="WMA381" s="669"/>
      <c r="WMB381" s="669"/>
      <c r="WMC381" s="669"/>
      <c r="WMD381" s="669"/>
      <c r="WME381" s="669"/>
      <c r="WMF381" s="669"/>
      <c r="WMG381" s="669"/>
      <c r="WMH381" s="669"/>
      <c r="WMI381" s="669"/>
      <c r="WMJ381" s="669"/>
      <c r="WMK381" s="669"/>
      <c r="WML381" s="669"/>
      <c r="WMM381" s="669"/>
      <c r="WMN381" s="669"/>
      <c r="WMO381" s="669"/>
      <c r="WMP381" s="669"/>
      <c r="WMQ381" s="669"/>
      <c r="WMR381" s="669"/>
      <c r="WMS381" s="669"/>
      <c r="WMT381" s="669"/>
      <c r="WMU381" s="669"/>
      <c r="WMV381" s="669"/>
      <c r="WMW381" s="669"/>
      <c r="WMX381" s="669"/>
      <c r="WMY381" s="669"/>
      <c r="WMZ381" s="669"/>
      <c r="WNA381" s="669"/>
      <c r="WNB381" s="669"/>
      <c r="WNC381" s="669"/>
      <c r="WND381" s="669"/>
      <c r="WNE381" s="669"/>
      <c r="WNF381" s="669"/>
      <c r="WNG381" s="669"/>
      <c r="WNH381" s="669"/>
      <c r="WNI381" s="669"/>
      <c r="WNJ381" s="669"/>
      <c r="WNK381" s="669"/>
      <c r="WNL381" s="669"/>
      <c r="WNM381" s="669"/>
      <c r="WNN381" s="669"/>
      <c r="WNO381" s="669"/>
      <c r="WNP381" s="669"/>
      <c r="WNQ381" s="669"/>
      <c r="WNR381" s="669"/>
      <c r="WNS381" s="669"/>
      <c r="WNT381" s="669"/>
      <c r="WNU381" s="669"/>
      <c r="WNV381" s="669"/>
      <c r="WNW381" s="669"/>
      <c r="WNX381" s="669"/>
      <c r="WNY381" s="669"/>
      <c r="WNZ381" s="669"/>
      <c r="WOA381" s="669"/>
      <c r="WOB381" s="669"/>
      <c r="WOC381" s="669"/>
      <c r="WOD381" s="669"/>
      <c r="WOE381" s="669"/>
      <c r="WOF381" s="669"/>
      <c r="WOG381" s="669"/>
      <c r="WOH381" s="669"/>
      <c r="WOI381" s="669"/>
      <c r="WOJ381" s="669"/>
      <c r="WOK381" s="669"/>
      <c r="WOL381" s="669"/>
      <c r="WOM381" s="669"/>
      <c r="WON381" s="669"/>
      <c r="WOO381" s="669"/>
      <c r="WOP381" s="669"/>
      <c r="WOQ381" s="669"/>
      <c r="WOR381" s="669"/>
      <c r="WOS381" s="669"/>
      <c r="WOT381" s="669"/>
      <c r="WOU381" s="669"/>
      <c r="WOV381" s="669"/>
      <c r="WOW381" s="669"/>
      <c r="WOX381" s="669"/>
      <c r="WOY381" s="669"/>
      <c r="WOZ381" s="669"/>
      <c r="WPA381" s="669"/>
      <c r="WPB381" s="669"/>
      <c r="WPC381" s="669"/>
      <c r="WPD381" s="669"/>
      <c r="WPE381" s="669"/>
      <c r="WPF381" s="669"/>
      <c r="WPG381" s="669"/>
      <c r="WPH381" s="669"/>
      <c r="WPI381" s="669"/>
      <c r="WPJ381" s="669"/>
      <c r="WPK381" s="669"/>
      <c r="WPL381" s="669"/>
      <c r="WPM381" s="669"/>
      <c r="WPN381" s="669"/>
      <c r="WPO381" s="669"/>
      <c r="WPP381" s="669"/>
      <c r="WPQ381" s="669"/>
      <c r="WPR381" s="669"/>
      <c r="WPS381" s="669"/>
      <c r="WPT381" s="669"/>
      <c r="WPU381" s="669"/>
      <c r="WPV381" s="669"/>
      <c r="WPW381" s="669"/>
      <c r="WPX381" s="669"/>
      <c r="WPY381" s="669"/>
      <c r="WPZ381" s="669"/>
      <c r="WQA381" s="669"/>
      <c r="WQB381" s="669"/>
      <c r="WQC381" s="669"/>
      <c r="WQD381" s="669"/>
      <c r="WQE381" s="669"/>
      <c r="WQF381" s="669"/>
      <c r="WQG381" s="669"/>
      <c r="WQH381" s="669"/>
      <c r="WQI381" s="669"/>
      <c r="WQJ381" s="669"/>
      <c r="WQK381" s="669"/>
      <c r="WQL381" s="669"/>
      <c r="WQM381" s="669"/>
      <c r="WQN381" s="669"/>
      <c r="WQO381" s="669"/>
      <c r="WQP381" s="669"/>
      <c r="WQQ381" s="669"/>
      <c r="WQR381" s="669"/>
      <c r="WQS381" s="669"/>
      <c r="WQT381" s="669"/>
      <c r="WQU381" s="669"/>
      <c r="WQV381" s="669"/>
      <c r="WQW381" s="669"/>
      <c r="WQX381" s="669"/>
      <c r="WQY381" s="669"/>
      <c r="WQZ381" s="669"/>
      <c r="WRA381" s="669"/>
      <c r="WRB381" s="669"/>
      <c r="WRC381" s="669"/>
      <c r="WRD381" s="669"/>
      <c r="WRE381" s="669"/>
      <c r="WRF381" s="669"/>
      <c r="WRG381" s="669"/>
      <c r="WRH381" s="669"/>
      <c r="WRI381" s="669"/>
      <c r="WRJ381" s="669"/>
      <c r="WRK381" s="669"/>
      <c r="WRL381" s="669"/>
      <c r="WRM381" s="669"/>
      <c r="WRN381" s="669"/>
      <c r="WRO381" s="669"/>
      <c r="WRP381" s="669"/>
      <c r="WRQ381" s="669"/>
      <c r="WRR381" s="669"/>
      <c r="WRS381" s="669"/>
      <c r="WRT381" s="669"/>
      <c r="WRU381" s="669"/>
      <c r="WRV381" s="669"/>
      <c r="WRW381" s="669"/>
      <c r="WRX381" s="669"/>
      <c r="WRY381" s="669"/>
      <c r="WRZ381" s="669"/>
      <c r="WSA381" s="669"/>
      <c r="WSB381" s="669"/>
      <c r="WSC381" s="669"/>
      <c r="WSD381" s="669"/>
      <c r="WSE381" s="669"/>
      <c r="WSF381" s="669"/>
      <c r="WSG381" s="669"/>
      <c r="WSH381" s="669"/>
      <c r="WSI381" s="669"/>
      <c r="WSJ381" s="669"/>
      <c r="WSK381" s="669"/>
      <c r="WSL381" s="669"/>
      <c r="WSM381" s="669"/>
      <c r="WSN381" s="669"/>
      <c r="WSO381" s="669"/>
      <c r="WSP381" s="669"/>
      <c r="WSQ381" s="669"/>
      <c r="WSR381" s="669"/>
      <c r="WSS381" s="669"/>
      <c r="WST381" s="669"/>
      <c r="WSU381" s="669"/>
      <c r="WSV381" s="669"/>
      <c r="WSW381" s="669"/>
      <c r="WSX381" s="669"/>
      <c r="WSY381" s="669"/>
      <c r="WSZ381" s="669"/>
      <c r="WTA381" s="669"/>
      <c r="WTB381" s="669"/>
      <c r="WTC381" s="669"/>
      <c r="WTD381" s="669"/>
      <c r="WTE381" s="669"/>
      <c r="WTF381" s="669"/>
      <c r="WTG381" s="669"/>
      <c r="WTH381" s="669"/>
      <c r="WTI381" s="669"/>
      <c r="WTJ381" s="669"/>
      <c r="WTK381" s="669"/>
      <c r="WTL381" s="669"/>
      <c r="WTM381" s="669"/>
      <c r="WTN381" s="669"/>
      <c r="WTO381" s="669"/>
      <c r="WTP381" s="669"/>
      <c r="WTQ381" s="669"/>
      <c r="WTR381" s="669"/>
      <c r="WTS381" s="669"/>
      <c r="WTT381" s="669"/>
      <c r="WTU381" s="669"/>
      <c r="WTV381" s="669"/>
      <c r="WTW381" s="669"/>
      <c r="WTX381" s="669"/>
      <c r="WTY381" s="669"/>
      <c r="WTZ381" s="669"/>
      <c r="WUA381" s="669"/>
      <c r="WUB381" s="669"/>
      <c r="WUC381" s="669"/>
      <c r="WUD381" s="669"/>
      <c r="WUE381" s="669"/>
      <c r="WUF381" s="669"/>
      <c r="WUG381" s="669"/>
      <c r="WUH381" s="669"/>
      <c r="WUI381" s="669"/>
      <c r="WUJ381" s="669"/>
      <c r="WUK381" s="669"/>
      <c r="WUL381" s="669"/>
      <c r="WUM381" s="669"/>
      <c r="WUN381" s="669"/>
      <c r="WUO381" s="669"/>
      <c r="WUP381" s="669"/>
      <c r="WUQ381" s="669"/>
      <c r="WUR381" s="669"/>
      <c r="WUS381" s="669"/>
      <c r="WUT381" s="669"/>
      <c r="WUU381" s="669"/>
      <c r="WUV381" s="669"/>
      <c r="WUW381" s="669"/>
      <c r="WUX381" s="669"/>
      <c r="WUY381" s="669"/>
      <c r="WUZ381" s="669"/>
      <c r="WVA381" s="669"/>
      <c r="WVB381" s="669"/>
      <c r="WVC381" s="669"/>
      <c r="WVD381" s="669"/>
      <c r="WVE381" s="669"/>
      <c r="WVF381" s="669"/>
      <c r="WVG381" s="669"/>
      <c r="WVH381" s="669"/>
      <c r="WVI381" s="669"/>
      <c r="WVJ381" s="669"/>
      <c r="WVK381" s="669"/>
      <c r="WVL381" s="669"/>
      <c r="WVM381" s="669"/>
      <c r="WVN381" s="669"/>
      <c r="WVO381" s="669"/>
      <c r="WVP381" s="669"/>
      <c r="WVQ381" s="669"/>
      <c r="WVR381" s="669"/>
      <c r="WVS381" s="669"/>
      <c r="WVT381" s="669"/>
      <c r="WVU381" s="669"/>
      <c r="WVV381" s="669"/>
      <c r="WVW381" s="669"/>
      <c r="WVX381" s="669"/>
      <c r="WVY381" s="669"/>
      <c r="WVZ381" s="669"/>
      <c r="WWA381" s="669"/>
      <c r="WWB381" s="669"/>
      <c r="WWC381" s="669"/>
      <c r="WWD381" s="669"/>
      <c r="WWE381" s="669"/>
      <c r="WWF381" s="669"/>
      <c r="WWG381" s="669"/>
      <c r="WWH381" s="669"/>
      <c r="WWI381" s="669"/>
      <c r="WWJ381" s="669"/>
      <c r="WWK381" s="669"/>
      <c r="WWL381" s="669"/>
      <c r="WWM381" s="669"/>
      <c r="WWN381" s="669"/>
      <c r="WWO381" s="669"/>
      <c r="WWP381" s="669"/>
      <c r="WWQ381" s="669"/>
      <c r="WWR381" s="669"/>
      <c r="WWS381" s="669"/>
      <c r="WWT381" s="669"/>
      <c r="WWU381" s="669"/>
      <c r="WWV381" s="669"/>
      <c r="WWW381" s="669"/>
      <c r="WWX381" s="669"/>
      <c r="WWY381" s="669"/>
      <c r="WWZ381" s="669"/>
      <c r="WXA381" s="669"/>
      <c r="WXB381" s="669"/>
      <c r="WXC381" s="669"/>
      <c r="WXD381" s="669"/>
      <c r="WXE381" s="669"/>
      <c r="WXF381" s="669"/>
      <c r="WXG381" s="669"/>
      <c r="WXH381" s="669"/>
      <c r="WXI381" s="669"/>
      <c r="WXJ381" s="669"/>
      <c r="WXK381" s="669"/>
      <c r="WXL381" s="669"/>
      <c r="WXM381" s="669"/>
      <c r="WXN381" s="669"/>
      <c r="WXO381" s="669"/>
      <c r="WXP381" s="669"/>
      <c r="WXQ381" s="669"/>
      <c r="WXR381" s="669"/>
      <c r="WXS381" s="669"/>
      <c r="WXT381" s="669"/>
      <c r="WXU381" s="669"/>
      <c r="WXV381" s="669"/>
      <c r="WXW381" s="669"/>
      <c r="WXX381" s="669"/>
      <c r="WXY381" s="669"/>
      <c r="WXZ381" s="669"/>
      <c r="WYA381" s="669"/>
      <c r="WYB381" s="669"/>
      <c r="WYC381" s="669"/>
      <c r="WYD381" s="669"/>
      <c r="WYE381" s="669"/>
      <c r="WYF381" s="669"/>
      <c r="WYG381" s="669"/>
      <c r="WYH381" s="669"/>
      <c r="WYI381" s="669"/>
      <c r="WYJ381" s="669"/>
      <c r="WYK381" s="669"/>
      <c r="WYL381" s="669"/>
      <c r="WYM381" s="669"/>
      <c r="WYN381" s="669"/>
      <c r="WYO381" s="669"/>
      <c r="WYP381" s="669"/>
      <c r="WYQ381" s="669"/>
      <c r="WYR381" s="669"/>
      <c r="WYS381" s="669"/>
      <c r="WYT381" s="669"/>
      <c r="WYU381" s="669"/>
      <c r="WYV381" s="669"/>
      <c r="WYW381" s="669"/>
      <c r="WYX381" s="669"/>
      <c r="WYY381" s="669"/>
      <c r="WYZ381" s="669"/>
      <c r="WZA381" s="669"/>
      <c r="WZB381" s="669"/>
      <c r="WZC381" s="669"/>
      <c r="WZD381" s="669"/>
      <c r="WZE381" s="669"/>
      <c r="WZF381" s="669"/>
      <c r="WZG381" s="669"/>
      <c r="WZH381" s="669"/>
      <c r="WZI381" s="669"/>
      <c r="WZJ381" s="669"/>
      <c r="WZK381" s="669"/>
      <c r="WZL381" s="669"/>
      <c r="WZM381" s="669"/>
      <c r="WZN381" s="669"/>
      <c r="WZO381" s="669"/>
      <c r="WZP381" s="669"/>
      <c r="WZQ381" s="669"/>
      <c r="WZR381" s="669"/>
      <c r="WZS381" s="669"/>
      <c r="WZT381" s="669"/>
      <c r="WZU381" s="669"/>
      <c r="WZV381" s="669"/>
      <c r="WZW381" s="669"/>
      <c r="WZX381" s="669"/>
      <c r="WZY381" s="669"/>
      <c r="WZZ381" s="669"/>
      <c r="XAA381" s="669"/>
      <c r="XAB381" s="669"/>
      <c r="XAC381" s="669"/>
      <c r="XAD381" s="669"/>
      <c r="XAE381" s="669"/>
      <c r="XAF381" s="669"/>
      <c r="XAG381" s="669"/>
      <c r="XAH381" s="669"/>
      <c r="XAI381" s="669"/>
      <c r="XAJ381" s="669"/>
      <c r="XAK381" s="669"/>
      <c r="XAL381" s="669"/>
      <c r="XAM381" s="669"/>
      <c r="XAN381" s="669"/>
      <c r="XAO381" s="669"/>
      <c r="XAP381" s="669"/>
      <c r="XAQ381" s="669"/>
      <c r="XAR381" s="669"/>
      <c r="XAS381" s="669"/>
      <c r="XAT381" s="669"/>
      <c r="XAU381" s="669"/>
      <c r="XAV381" s="669"/>
      <c r="XAW381" s="669"/>
      <c r="XAX381" s="669"/>
      <c r="XAY381" s="669"/>
      <c r="XAZ381" s="669"/>
      <c r="XBA381" s="669"/>
      <c r="XBB381" s="669"/>
      <c r="XBC381" s="669"/>
      <c r="XBD381" s="669"/>
      <c r="XBE381" s="669"/>
      <c r="XBF381" s="669"/>
      <c r="XBG381" s="669"/>
      <c r="XBH381" s="669"/>
      <c r="XBI381" s="669"/>
      <c r="XBJ381" s="669"/>
      <c r="XBK381" s="669"/>
      <c r="XBL381" s="669"/>
      <c r="XBM381" s="669"/>
      <c r="XBN381" s="669"/>
      <c r="XBO381" s="669"/>
      <c r="XBP381" s="669"/>
      <c r="XBQ381" s="669"/>
      <c r="XBR381" s="669"/>
      <c r="XBS381" s="669"/>
      <c r="XBT381" s="669"/>
      <c r="XBU381" s="669"/>
      <c r="XBV381" s="669"/>
      <c r="XBW381" s="669"/>
      <c r="XBX381" s="669"/>
      <c r="XBY381" s="669"/>
      <c r="XBZ381" s="669"/>
      <c r="XCA381" s="669"/>
      <c r="XCB381" s="669"/>
      <c r="XCC381" s="669"/>
      <c r="XCD381" s="669"/>
      <c r="XCE381" s="669"/>
      <c r="XCF381" s="669"/>
      <c r="XCG381" s="669"/>
      <c r="XCH381" s="669"/>
      <c r="XCI381" s="669"/>
      <c r="XCJ381" s="669"/>
      <c r="XCK381" s="669"/>
      <c r="XCL381" s="669"/>
      <c r="XCM381" s="669"/>
      <c r="XCN381" s="669"/>
      <c r="XCO381" s="669"/>
      <c r="XCP381" s="669"/>
      <c r="XCQ381" s="669"/>
      <c r="XCR381" s="669"/>
      <c r="XCS381" s="669"/>
      <c r="XCT381" s="669"/>
      <c r="XCU381" s="669"/>
      <c r="XCV381" s="669"/>
      <c r="XCW381" s="669"/>
      <c r="XCX381" s="669"/>
      <c r="XCY381" s="669"/>
      <c r="XCZ381" s="669"/>
      <c r="XDA381" s="669"/>
      <c r="XDB381" s="669"/>
      <c r="XDC381" s="669"/>
      <c r="XDD381" s="669"/>
      <c r="XDE381" s="669"/>
      <c r="XDF381" s="669"/>
      <c r="XDG381" s="669"/>
      <c r="XDH381" s="669"/>
      <c r="XDI381" s="669"/>
      <c r="XDJ381" s="669"/>
      <c r="XDK381" s="669"/>
      <c r="XDL381" s="669"/>
      <c r="XDM381" s="669"/>
      <c r="XDN381" s="669"/>
      <c r="XDO381" s="669"/>
      <c r="XDP381" s="669"/>
      <c r="XDQ381" s="669"/>
      <c r="XDR381" s="669"/>
      <c r="XDS381" s="669"/>
      <c r="XDT381" s="669"/>
      <c r="XDU381" s="669"/>
      <c r="XDV381" s="669"/>
      <c r="XDW381" s="669"/>
      <c r="XDX381" s="669"/>
      <c r="XDY381" s="669"/>
      <c r="XDZ381" s="669"/>
      <c r="XEA381" s="669"/>
      <c r="XEB381" s="669"/>
      <c r="XEC381" s="669"/>
      <c r="XED381" s="669"/>
      <c r="XEE381" s="669"/>
      <c r="XEF381" s="669"/>
      <c r="XEG381" s="669"/>
      <c r="XEH381" s="669"/>
      <c r="XEI381" s="669"/>
      <c r="XEJ381" s="669"/>
      <c r="XEK381" s="669"/>
      <c r="XEL381" s="669"/>
      <c r="XEM381" s="669"/>
      <c r="XEN381" s="669"/>
      <c r="XEO381" s="669"/>
      <c r="XEP381" s="669"/>
      <c r="XEQ381" s="669"/>
      <c r="XER381" s="669"/>
      <c r="XES381" s="669"/>
      <c r="XET381" s="669"/>
      <c r="XEU381" s="669"/>
      <c r="XEV381" s="669"/>
      <c r="XEW381" s="669"/>
      <c r="XEX381" s="669"/>
      <c r="XEY381" s="669"/>
      <c r="XEZ381" s="669"/>
      <c r="XFA381" s="669"/>
      <c r="XFB381" s="669"/>
      <c r="XFC381" s="669"/>
      <c r="XFD381" s="669"/>
    </row>
    <row r="382" spans="1:16384" customFormat="1" x14ac:dyDescent="0.25">
      <c r="A382" s="65"/>
      <c r="B382" s="65"/>
      <c r="C382" s="65"/>
      <c r="D382" s="65"/>
      <c r="E382" s="65"/>
      <c r="F382" s="65"/>
      <c r="G382" s="65"/>
      <c r="H382" s="65"/>
      <c r="I382" s="108"/>
      <c r="J382" s="108"/>
      <c r="K382" s="553"/>
      <c r="L382" s="110"/>
    </row>
    <row r="383" spans="1:16384" customFormat="1" x14ac:dyDescent="0.25">
      <c r="A383" s="65"/>
      <c r="B383" s="65"/>
      <c r="C383" s="65"/>
      <c r="D383" s="65"/>
      <c r="E383" s="65"/>
      <c r="F383" s="65"/>
      <c r="G383" s="65"/>
      <c r="H383" s="65"/>
      <c r="I383" s="108"/>
      <c r="J383" s="108"/>
      <c r="K383" s="553"/>
      <c r="L383" s="110"/>
    </row>
    <row r="384" spans="1:16384" customFormat="1" x14ac:dyDescent="0.25">
      <c r="A384" s="65"/>
      <c r="B384" s="65"/>
      <c r="C384" s="65"/>
      <c r="D384" s="65"/>
      <c r="E384" s="65"/>
      <c r="F384" s="65"/>
      <c r="G384" s="65"/>
      <c r="H384" s="65"/>
      <c r="I384" s="108"/>
      <c r="J384" s="108"/>
      <c r="K384" s="553"/>
      <c r="L384" s="110"/>
    </row>
    <row r="385" spans="1:12" ht="24" customHeight="1" x14ac:dyDescent="0.25">
      <c r="A385" s="65"/>
      <c r="B385" s="65"/>
      <c r="C385" s="65"/>
      <c r="D385" s="65"/>
      <c r="E385" s="65"/>
      <c r="F385" s="65"/>
      <c r="G385" s="65"/>
      <c r="H385" s="65"/>
      <c r="I385" s="65"/>
      <c r="J385" s="65"/>
      <c r="K385" s="65"/>
      <c r="L385" s="65"/>
    </row>
    <row r="386" spans="1:12" ht="24" customHeight="1" x14ac:dyDescent="0.25">
      <c r="A386" s="65"/>
      <c r="B386" s="65"/>
      <c r="C386" s="65"/>
      <c r="D386" s="65"/>
      <c r="E386" s="65"/>
      <c r="F386" s="65"/>
      <c r="G386" s="65"/>
      <c r="H386" s="65"/>
      <c r="I386" s="65"/>
      <c r="J386" s="65"/>
      <c r="K386" s="65"/>
      <c r="L386" s="65"/>
    </row>
    <row r="387" spans="1:12" ht="24" customHeight="1" x14ac:dyDescent="0.25">
      <c r="A387" s="65"/>
      <c r="B387" s="65"/>
      <c r="C387" s="65"/>
      <c r="D387" s="65"/>
      <c r="E387" s="65"/>
      <c r="F387" s="65"/>
      <c r="G387" s="65"/>
      <c r="H387" s="65"/>
      <c r="I387" s="65"/>
      <c r="J387" s="65"/>
      <c r="K387" s="65"/>
      <c r="L387" s="65"/>
    </row>
    <row r="388" spans="1:12" ht="24" customHeight="1" x14ac:dyDescent="0.25"/>
    <row r="389" spans="1:12" ht="24" customHeight="1" x14ac:dyDescent="0.25"/>
    <row r="390" spans="1:12" ht="24" customHeight="1" x14ac:dyDescent="0.25"/>
    <row r="391" spans="1:12" ht="24" customHeight="1" x14ac:dyDescent="0.25"/>
    <row r="392" spans="1:12" ht="24" customHeight="1" x14ac:dyDescent="0.25"/>
    <row r="393" spans="1:12" ht="24" customHeight="1" x14ac:dyDescent="0.25"/>
    <row r="394" spans="1:12" ht="24" customHeight="1" x14ac:dyDescent="0.25"/>
    <row r="395" spans="1:12" ht="24" customHeight="1" x14ac:dyDescent="0.25"/>
    <row r="396" spans="1:12" ht="24" customHeight="1" x14ac:dyDescent="0.25"/>
    <row r="397" spans="1:12" ht="24" customHeight="1" x14ac:dyDescent="0.25"/>
    <row r="398" spans="1:12" ht="24" customHeight="1" x14ac:dyDescent="0.25"/>
    <row r="399" spans="1:12" ht="24" customHeight="1" x14ac:dyDescent="0.25"/>
    <row r="400" spans="1:12" ht="24" customHeight="1" x14ac:dyDescent="0.25"/>
    <row r="401" ht="24" customHeight="1" x14ac:dyDescent="0.25"/>
    <row r="402" ht="24" customHeight="1" x14ac:dyDescent="0.25"/>
    <row r="403" ht="24" customHeight="1" x14ac:dyDescent="0.25"/>
    <row r="404" ht="24" customHeight="1" x14ac:dyDescent="0.25"/>
    <row r="405" ht="24" customHeight="1" x14ac:dyDescent="0.25"/>
    <row r="406" ht="24" customHeight="1" x14ac:dyDescent="0.25"/>
    <row r="407" ht="24" customHeight="1" x14ac:dyDescent="0.25"/>
    <row r="408" ht="24" customHeight="1" x14ac:dyDescent="0.25"/>
    <row r="409" ht="24" customHeight="1" x14ac:dyDescent="0.25"/>
    <row r="410" ht="24" customHeight="1" x14ac:dyDescent="0.25"/>
    <row r="411" ht="24" customHeight="1" x14ac:dyDescent="0.25"/>
    <row r="412" ht="24" customHeight="1" x14ac:dyDescent="0.25"/>
    <row r="413" ht="24" customHeight="1" x14ac:dyDescent="0.25"/>
    <row r="414" ht="24" customHeight="1" x14ac:dyDescent="0.25"/>
    <row r="415" ht="24" customHeight="1" x14ac:dyDescent="0.25"/>
    <row r="416" ht="24" customHeight="1" x14ac:dyDescent="0.25"/>
    <row r="417" ht="24" customHeight="1" x14ac:dyDescent="0.25"/>
    <row r="418" ht="24" customHeight="1" x14ac:dyDescent="0.25"/>
    <row r="419" ht="24" customHeight="1" x14ac:dyDescent="0.25"/>
    <row r="420" ht="24" customHeight="1" x14ac:dyDescent="0.25"/>
    <row r="421" ht="24" customHeight="1" x14ac:dyDescent="0.25"/>
    <row r="422" ht="24" customHeight="1" x14ac:dyDescent="0.25"/>
    <row r="423" ht="24" customHeight="1" x14ac:dyDescent="0.25"/>
    <row r="424" ht="24" customHeight="1" x14ac:dyDescent="0.25"/>
    <row r="425" ht="24" customHeight="1" x14ac:dyDescent="0.25"/>
    <row r="426" ht="24" customHeight="1" x14ac:dyDescent="0.25"/>
    <row r="427" ht="24" customHeight="1" x14ac:dyDescent="0.25"/>
    <row r="428" ht="24" customHeight="1" x14ac:dyDescent="0.25"/>
    <row r="429" ht="24" customHeight="1" x14ac:dyDescent="0.25"/>
    <row r="430" ht="24" customHeight="1" x14ac:dyDescent="0.25"/>
    <row r="431" ht="24" customHeight="1" x14ac:dyDescent="0.25"/>
    <row r="432" ht="24" customHeight="1" x14ac:dyDescent="0.25"/>
    <row r="433" ht="24" customHeight="1" x14ac:dyDescent="0.25"/>
    <row r="434" ht="24" customHeight="1" x14ac:dyDescent="0.25"/>
    <row r="435" ht="24" customHeight="1" x14ac:dyDescent="0.25"/>
    <row r="436" ht="24" customHeight="1" x14ac:dyDescent="0.25"/>
    <row r="437" ht="24" customHeight="1" x14ac:dyDescent="0.25"/>
    <row r="438" ht="24" customHeight="1" x14ac:dyDescent="0.25"/>
    <row r="439" ht="24" customHeight="1" x14ac:dyDescent="0.25"/>
    <row r="440" ht="24" customHeight="1" x14ac:dyDescent="0.25"/>
    <row r="441" ht="24" customHeight="1" x14ac:dyDescent="0.25"/>
    <row r="442" ht="24" customHeight="1" x14ac:dyDescent="0.25"/>
    <row r="443" ht="24" customHeight="1" x14ac:dyDescent="0.25"/>
    <row r="444" ht="24" customHeight="1" x14ac:dyDescent="0.25"/>
    <row r="445" ht="24" customHeight="1" x14ac:dyDescent="0.25"/>
    <row r="446" ht="24" customHeight="1" x14ac:dyDescent="0.25"/>
    <row r="447" ht="24" customHeight="1" x14ac:dyDescent="0.25"/>
    <row r="448" ht="24" customHeight="1" x14ac:dyDescent="0.25"/>
    <row r="449" ht="24" customHeight="1" x14ac:dyDescent="0.25"/>
    <row r="450" ht="24" customHeight="1" x14ac:dyDescent="0.25"/>
    <row r="451" ht="24" customHeight="1" x14ac:dyDescent="0.25"/>
    <row r="452" ht="24" customHeight="1" x14ac:dyDescent="0.25"/>
    <row r="453" ht="24" customHeight="1" x14ac:dyDescent="0.25"/>
    <row r="454" ht="24" customHeight="1" x14ac:dyDescent="0.25"/>
    <row r="455" ht="24" customHeight="1" x14ac:dyDescent="0.25"/>
    <row r="456" ht="24" customHeight="1" x14ac:dyDescent="0.25"/>
    <row r="457" ht="24" customHeight="1" x14ac:dyDescent="0.25"/>
    <row r="458" ht="24" customHeight="1" x14ac:dyDescent="0.25"/>
    <row r="459" ht="24" customHeight="1" x14ac:dyDescent="0.25"/>
    <row r="460" ht="24" customHeight="1" x14ac:dyDescent="0.25"/>
    <row r="461" ht="24" customHeight="1" x14ac:dyDescent="0.25"/>
    <row r="462" ht="24" customHeight="1" x14ac:dyDescent="0.25"/>
    <row r="463" ht="24" customHeight="1" x14ac:dyDescent="0.25"/>
    <row r="464" ht="24" customHeight="1" x14ac:dyDescent="0.25"/>
    <row r="465" ht="24" customHeight="1" x14ac:dyDescent="0.25"/>
    <row r="466" ht="24" customHeight="1" x14ac:dyDescent="0.25"/>
    <row r="467" ht="24" customHeight="1" x14ac:dyDescent="0.25"/>
    <row r="468" ht="24" customHeight="1" x14ac:dyDescent="0.25"/>
    <row r="469" ht="24" customHeight="1" x14ac:dyDescent="0.25"/>
    <row r="470" ht="24" customHeight="1" x14ac:dyDescent="0.25"/>
    <row r="471" ht="24" customHeight="1" x14ac:dyDescent="0.25"/>
    <row r="472" ht="24" customHeight="1" x14ac:dyDescent="0.25"/>
    <row r="473" ht="24" customHeight="1" x14ac:dyDescent="0.25"/>
    <row r="474" ht="24" customHeight="1" x14ac:dyDescent="0.25"/>
    <row r="475" ht="24" customHeight="1" x14ac:dyDescent="0.25"/>
    <row r="476" ht="24" customHeight="1" x14ac:dyDescent="0.25"/>
    <row r="477" ht="24" customHeight="1" x14ac:dyDescent="0.25"/>
    <row r="478" ht="24" customHeight="1" x14ac:dyDescent="0.25"/>
    <row r="479" ht="24" customHeight="1" x14ac:dyDescent="0.25"/>
    <row r="480" ht="24" customHeight="1" x14ac:dyDescent="0.25"/>
    <row r="481" ht="24" customHeight="1" x14ac:dyDescent="0.25"/>
    <row r="482" ht="24" customHeight="1" x14ac:dyDescent="0.25"/>
    <row r="483" ht="24" customHeight="1" x14ac:dyDescent="0.25"/>
    <row r="484" ht="24" customHeight="1" x14ac:dyDescent="0.25"/>
    <row r="485" ht="24" customHeight="1" x14ac:dyDescent="0.25"/>
    <row r="486" ht="24" customHeight="1" x14ac:dyDescent="0.25"/>
    <row r="487" ht="24" customHeight="1" x14ac:dyDescent="0.25"/>
    <row r="488" ht="24" customHeight="1" x14ac:dyDescent="0.25"/>
    <row r="489" ht="24" customHeight="1" x14ac:dyDescent="0.25"/>
    <row r="490" ht="24" customHeight="1" x14ac:dyDescent="0.25"/>
    <row r="491" ht="24" customHeight="1" x14ac:dyDescent="0.25"/>
    <row r="492" ht="24" customHeight="1" x14ac:dyDescent="0.25"/>
    <row r="493" ht="24" customHeight="1" x14ac:dyDescent="0.25"/>
    <row r="494" ht="24" customHeight="1" x14ac:dyDescent="0.25"/>
    <row r="495" ht="24" customHeight="1" x14ac:dyDescent="0.25"/>
    <row r="496" ht="24" customHeight="1" x14ac:dyDescent="0.25"/>
    <row r="497" ht="24" customHeight="1" x14ac:dyDescent="0.25"/>
    <row r="498" ht="24" customHeight="1" x14ac:dyDescent="0.25"/>
    <row r="499" ht="24" customHeight="1" x14ac:dyDescent="0.25"/>
    <row r="500" ht="24" customHeight="1" x14ac:dyDescent="0.25"/>
    <row r="501" ht="24" customHeight="1" x14ac:dyDescent="0.25"/>
    <row r="502" ht="24" customHeight="1" x14ac:dyDescent="0.25"/>
    <row r="503" ht="24" customHeight="1" x14ac:dyDescent="0.25"/>
    <row r="504" ht="24" customHeight="1" x14ac:dyDescent="0.25"/>
    <row r="505" ht="24" customHeight="1" x14ac:dyDescent="0.25"/>
    <row r="506" ht="24" customHeight="1" x14ac:dyDescent="0.25"/>
    <row r="507" ht="24" customHeight="1" x14ac:dyDescent="0.25"/>
    <row r="508" ht="24" customHeight="1" x14ac:dyDescent="0.25"/>
    <row r="509" ht="24" customHeight="1" x14ac:dyDescent="0.25"/>
    <row r="510" ht="24" customHeight="1" x14ac:dyDescent="0.25"/>
    <row r="511" ht="24" customHeight="1" x14ac:dyDescent="0.25"/>
    <row r="512" ht="24" customHeight="1" x14ac:dyDescent="0.25"/>
    <row r="513" ht="24" customHeight="1" x14ac:dyDescent="0.25"/>
    <row r="514" ht="24" customHeight="1" x14ac:dyDescent="0.25"/>
    <row r="515" ht="24" customHeight="1" x14ac:dyDescent="0.25"/>
    <row r="516" ht="24" customHeight="1" x14ac:dyDescent="0.25"/>
    <row r="517" ht="24" customHeight="1" x14ac:dyDescent="0.25"/>
    <row r="518" ht="24" customHeight="1" x14ac:dyDescent="0.25"/>
    <row r="519" ht="24" customHeight="1" x14ac:dyDescent="0.25"/>
    <row r="520" ht="24" customHeight="1" x14ac:dyDescent="0.25"/>
    <row r="521" ht="24" customHeight="1" x14ac:dyDescent="0.25"/>
    <row r="522" ht="24" customHeight="1" x14ac:dyDescent="0.25"/>
    <row r="523" ht="24" customHeight="1" x14ac:dyDescent="0.25"/>
    <row r="524" ht="24" customHeight="1" x14ac:dyDescent="0.25"/>
    <row r="525" ht="24" customHeight="1" x14ac:dyDescent="0.25"/>
    <row r="526" ht="24" customHeight="1" x14ac:dyDescent="0.25"/>
    <row r="527" ht="24" customHeight="1" x14ac:dyDescent="0.25"/>
    <row r="528" ht="24" customHeight="1" x14ac:dyDescent="0.25"/>
    <row r="529" ht="24" customHeight="1" x14ac:dyDescent="0.25"/>
    <row r="530" ht="24" customHeight="1" x14ac:dyDescent="0.25"/>
    <row r="531" ht="24" customHeight="1" x14ac:dyDescent="0.25"/>
    <row r="532" ht="24" customHeight="1" x14ac:dyDescent="0.25"/>
    <row r="533" ht="24" customHeight="1" x14ac:dyDescent="0.25"/>
    <row r="534" ht="24" customHeight="1" x14ac:dyDescent="0.25"/>
    <row r="535" ht="24" customHeight="1" x14ac:dyDescent="0.25"/>
    <row r="536" ht="24" customHeight="1" x14ac:dyDescent="0.25"/>
    <row r="537" ht="24" customHeight="1" x14ac:dyDescent="0.25"/>
    <row r="538" ht="24" customHeight="1" x14ac:dyDescent="0.25"/>
    <row r="539" ht="24" customHeight="1" x14ac:dyDescent="0.25"/>
    <row r="540" ht="24" customHeight="1" x14ac:dyDescent="0.25"/>
    <row r="541" ht="24" customHeight="1" x14ac:dyDescent="0.25"/>
    <row r="542" ht="24" customHeight="1" x14ac:dyDescent="0.25"/>
    <row r="543" ht="24" customHeight="1" x14ac:dyDescent="0.25"/>
    <row r="544" ht="24" customHeight="1" x14ac:dyDescent="0.25"/>
    <row r="545" ht="24" customHeight="1" x14ac:dyDescent="0.25"/>
    <row r="546" ht="24" customHeight="1" x14ac:dyDescent="0.25"/>
    <row r="547" ht="24" customHeight="1" x14ac:dyDescent="0.25"/>
    <row r="548" ht="24" customHeight="1" x14ac:dyDescent="0.25"/>
    <row r="549" ht="24" customHeight="1" x14ac:dyDescent="0.25"/>
    <row r="550" ht="24" customHeight="1" x14ac:dyDescent="0.25"/>
    <row r="551" ht="24" customHeight="1" x14ac:dyDescent="0.25"/>
    <row r="552" ht="24" customHeight="1" x14ac:dyDescent="0.25"/>
    <row r="553" ht="24" customHeight="1" x14ac:dyDescent="0.25"/>
    <row r="554" ht="24" customHeight="1" x14ac:dyDescent="0.25"/>
    <row r="555" ht="24" customHeight="1" x14ac:dyDescent="0.25"/>
    <row r="556" ht="24" customHeight="1" x14ac:dyDescent="0.25"/>
    <row r="557" ht="24" customHeight="1" x14ac:dyDescent="0.25"/>
    <row r="558" ht="24" customHeight="1" x14ac:dyDescent="0.25"/>
    <row r="559" ht="24" customHeight="1" x14ac:dyDescent="0.25"/>
    <row r="560" ht="24" customHeight="1" x14ac:dyDescent="0.25"/>
    <row r="561" ht="24" customHeight="1" x14ac:dyDescent="0.25"/>
    <row r="562" ht="24" customHeight="1" x14ac:dyDescent="0.25"/>
    <row r="563" ht="24" customHeight="1" x14ac:dyDescent="0.25"/>
    <row r="564" ht="24" customHeight="1" x14ac:dyDescent="0.25"/>
    <row r="565" ht="24" customHeight="1" x14ac:dyDescent="0.25"/>
    <row r="566" ht="24" customHeight="1" x14ac:dyDescent="0.25"/>
    <row r="567" ht="24" customHeight="1" x14ac:dyDescent="0.25"/>
    <row r="568" ht="24" customHeight="1" x14ac:dyDescent="0.25"/>
    <row r="569" ht="24" customHeight="1" x14ac:dyDescent="0.25"/>
    <row r="570" ht="24" customHeight="1" x14ac:dyDescent="0.25"/>
    <row r="571" ht="24" customHeight="1" x14ac:dyDescent="0.25"/>
    <row r="572" ht="24" customHeight="1" x14ac:dyDescent="0.25"/>
    <row r="573" ht="24" customHeight="1" x14ac:dyDescent="0.25"/>
    <row r="574" ht="24" customHeight="1" x14ac:dyDescent="0.25"/>
    <row r="575" ht="24" customHeight="1" x14ac:dyDescent="0.25"/>
    <row r="576" ht="24" customHeight="1" x14ac:dyDescent="0.25"/>
    <row r="577" ht="24" customHeight="1" x14ac:dyDescent="0.25"/>
    <row r="578" ht="24" customHeight="1" x14ac:dyDescent="0.25"/>
    <row r="579" ht="24" customHeight="1" x14ac:dyDescent="0.25"/>
    <row r="580" ht="24" customHeight="1" x14ac:dyDescent="0.25"/>
    <row r="581" ht="24" customHeight="1" x14ac:dyDescent="0.25"/>
    <row r="582" ht="24" customHeight="1" x14ac:dyDescent="0.25"/>
    <row r="583" ht="24" customHeight="1" x14ac:dyDescent="0.25"/>
    <row r="584" ht="24" customHeight="1" x14ac:dyDescent="0.25"/>
    <row r="585" ht="24" customHeight="1" x14ac:dyDescent="0.25"/>
    <row r="586" ht="24" customHeight="1" x14ac:dyDescent="0.25"/>
    <row r="587" ht="24" customHeight="1" x14ac:dyDescent="0.25"/>
    <row r="588" ht="24" customHeight="1" x14ac:dyDescent="0.25"/>
    <row r="589" ht="24" customHeight="1" x14ac:dyDescent="0.25"/>
    <row r="590" ht="24" customHeight="1" x14ac:dyDescent="0.25"/>
    <row r="591" ht="24" customHeight="1" x14ac:dyDescent="0.25"/>
    <row r="592" ht="24" customHeight="1" x14ac:dyDescent="0.25"/>
    <row r="593" ht="24" customHeight="1" x14ac:dyDescent="0.25"/>
    <row r="594" ht="24" customHeight="1" x14ac:dyDescent="0.25"/>
    <row r="595" ht="24" customHeight="1" x14ac:dyDescent="0.25"/>
    <row r="596" ht="24" customHeight="1" x14ac:dyDescent="0.25"/>
    <row r="597" ht="24" customHeight="1" x14ac:dyDescent="0.25"/>
    <row r="598" ht="24" customHeight="1" x14ac:dyDescent="0.25"/>
    <row r="599" ht="24" customHeight="1" x14ac:dyDescent="0.25"/>
    <row r="600" ht="24" customHeight="1" x14ac:dyDescent="0.25"/>
    <row r="601" ht="24" customHeight="1" x14ac:dyDescent="0.25"/>
    <row r="602" ht="24" customHeight="1" x14ac:dyDescent="0.25"/>
    <row r="603" ht="24" customHeight="1" x14ac:dyDescent="0.25"/>
    <row r="604" ht="24" customHeight="1" x14ac:dyDescent="0.25"/>
    <row r="605" ht="24" customHeight="1" x14ac:dyDescent="0.25"/>
    <row r="606" ht="24" customHeight="1" x14ac:dyDescent="0.25"/>
    <row r="607" ht="24" customHeight="1" x14ac:dyDescent="0.25"/>
    <row r="608" ht="24" customHeight="1" x14ac:dyDescent="0.25"/>
    <row r="609" ht="24" customHeight="1" x14ac:dyDescent="0.25"/>
    <row r="610" ht="24" customHeight="1" x14ac:dyDescent="0.25"/>
    <row r="611" ht="24" customHeight="1" x14ac:dyDescent="0.25"/>
    <row r="612" ht="24" customHeight="1" x14ac:dyDescent="0.25"/>
    <row r="613" ht="24" customHeight="1" x14ac:dyDescent="0.25"/>
    <row r="614" ht="24" customHeight="1" x14ac:dyDescent="0.25"/>
    <row r="615" ht="24" customHeight="1" x14ac:dyDescent="0.25"/>
    <row r="616" ht="24" customHeight="1" x14ac:dyDescent="0.25"/>
    <row r="617" ht="24" customHeight="1" x14ac:dyDescent="0.25"/>
    <row r="618" ht="24" customHeight="1" x14ac:dyDescent="0.25"/>
    <row r="619" ht="24" customHeight="1" x14ac:dyDescent="0.25"/>
    <row r="620" ht="24" customHeight="1" x14ac:dyDescent="0.25"/>
    <row r="621" ht="24" customHeight="1" x14ac:dyDescent="0.25"/>
    <row r="622" ht="24" customHeight="1" x14ac:dyDescent="0.25"/>
    <row r="623" ht="24" customHeight="1" x14ac:dyDescent="0.25"/>
    <row r="624" ht="24" customHeight="1" x14ac:dyDescent="0.25"/>
    <row r="625" ht="24" customHeight="1" x14ac:dyDescent="0.25"/>
    <row r="626" ht="24" customHeight="1" x14ac:dyDescent="0.25"/>
    <row r="627" ht="24" customHeight="1" x14ac:dyDescent="0.25"/>
    <row r="628" ht="24" customHeight="1" x14ac:dyDescent="0.25"/>
    <row r="629" ht="24" customHeight="1" x14ac:dyDescent="0.25"/>
    <row r="630" ht="24" customHeight="1" x14ac:dyDescent="0.25"/>
    <row r="631" ht="24" customHeight="1" x14ac:dyDescent="0.25"/>
    <row r="632" ht="24" customHeight="1" x14ac:dyDescent="0.25"/>
    <row r="633" ht="24" customHeight="1" x14ac:dyDescent="0.25"/>
    <row r="634" ht="24" customHeight="1" x14ac:dyDescent="0.25"/>
    <row r="635" ht="24" customHeight="1" x14ac:dyDescent="0.25"/>
    <row r="636" ht="24" customHeight="1" x14ac:dyDescent="0.25"/>
    <row r="637" ht="24" customHeight="1" x14ac:dyDescent="0.25"/>
    <row r="638" ht="24" customHeight="1" x14ac:dyDescent="0.25"/>
    <row r="639" ht="24" customHeight="1" x14ac:dyDescent="0.25"/>
    <row r="640" ht="24" customHeight="1" x14ac:dyDescent="0.25"/>
    <row r="641" ht="24" customHeight="1" x14ac:dyDescent="0.25"/>
    <row r="642" ht="24" customHeight="1" x14ac:dyDescent="0.25"/>
    <row r="643" ht="24" customHeight="1" x14ac:dyDescent="0.25"/>
    <row r="644" ht="24" customHeight="1" x14ac:dyDescent="0.25"/>
    <row r="645" ht="24" customHeight="1" x14ac:dyDescent="0.25"/>
    <row r="646" ht="24" customHeight="1" x14ac:dyDescent="0.25"/>
    <row r="647" ht="24" customHeight="1" x14ac:dyDescent="0.25"/>
    <row r="648" ht="24" customHeight="1" x14ac:dyDescent="0.25"/>
    <row r="649" ht="24" customHeight="1" x14ac:dyDescent="0.25"/>
    <row r="650" ht="24" customHeight="1" x14ac:dyDescent="0.25"/>
    <row r="651" ht="24" customHeight="1" x14ac:dyDescent="0.25"/>
    <row r="652" ht="24" customHeight="1" x14ac:dyDescent="0.25"/>
    <row r="653" ht="24" customHeight="1" x14ac:dyDescent="0.25"/>
    <row r="654" ht="24" customHeight="1" x14ac:dyDescent="0.25"/>
    <row r="655" ht="24" customHeight="1" x14ac:dyDescent="0.25"/>
    <row r="656" ht="24" customHeight="1" x14ac:dyDescent="0.25"/>
    <row r="657" ht="24" customHeight="1" x14ac:dyDescent="0.25"/>
    <row r="658" ht="24" customHeight="1" x14ac:dyDescent="0.25"/>
    <row r="659" ht="24" customHeight="1" x14ac:dyDescent="0.25"/>
    <row r="660" ht="24" customHeight="1" x14ac:dyDescent="0.25"/>
    <row r="661" ht="24" customHeight="1" x14ac:dyDescent="0.25"/>
    <row r="662" ht="24" customHeight="1" x14ac:dyDescent="0.25"/>
    <row r="663" ht="24" customHeight="1" x14ac:dyDescent="0.25"/>
    <row r="664" ht="24" customHeight="1" x14ac:dyDescent="0.25"/>
    <row r="665" ht="24" customHeight="1" x14ac:dyDescent="0.25"/>
    <row r="666" ht="24" customHeight="1" x14ac:dyDescent="0.25"/>
    <row r="667" ht="24" customHeight="1" x14ac:dyDescent="0.25"/>
    <row r="668" ht="24" customHeight="1" x14ac:dyDescent="0.25"/>
    <row r="669" ht="24" customHeight="1" x14ac:dyDescent="0.25"/>
    <row r="670" ht="24" customHeight="1" x14ac:dyDescent="0.25"/>
    <row r="671" ht="24" customHeight="1" x14ac:dyDescent="0.25"/>
    <row r="672" ht="24" customHeight="1" x14ac:dyDescent="0.25"/>
    <row r="673" ht="24" customHeight="1" x14ac:dyDescent="0.25"/>
    <row r="674" ht="24" customHeight="1" x14ac:dyDescent="0.25"/>
    <row r="675" ht="24" customHeight="1" x14ac:dyDescent="0.25"/>
    <row r="676" ht="24" customHeight="1" x14ac:dyDescent="0.25"/>
    <row r="677" ht="24" customHeight="1" x14ac:dyDescent="0.25"/>
    <row r="678" ht="24" customHeight="1" x14ac:dyDescent="0.25"/>
    <row r="679" ht="24" customHeight="1" x14ac:dyDescent="0.25"/>
    <row r="680" ht="24" customHeight="1" x14ac:dyDescent="0.25"/>
    <row r="681" ht="24" customHeight="1" x14ac:dyDescent="0.25"/>
    <row r="682" ht="24" customHeight="1" x14ac:dyDescent="0.25"/>
    <row r="683" ht="24" customHeight="1" x14ac:dyDescent="0.25"/>
    <row r="684" ht="24" customHeight="1" x14ac:dyDescent="0.25"/>
    <row r="685" ht="24" customHeight="1" x14ac:dyDescent="0.25"/>
    <row r="686" ht="24" customHeight="1" x14ac:dyDescent="0.25"/>
    <row r="687" ht="24" customHeight="1" x14ac:dyDescent="0.25"/>
    <row r="688" ht="24" customHeight="1" x14ac:dyDescent="0.25"/>
    <row r="689" ht="24" customHeight="1" x14ac:dyDescent="0.25"/>
    <row r="690" ht="24" customHeight="1" x14ac:dyDescent="0.25"/>
    <row r="691" ht="24" customHeight="1" x14ac:dyDescent="0.25"/>
    <row r="692" ht="24" customHeight="1" x14ac:dyDescent="0.25"/>
    <row r="693" ht="24" customHeight="1" x14ac:dyDescent="0.25"/>
    <row r="694" ht="24" customHeight="1" x14ac:dyDescent="0.25"/>
    <row r="695" ht="24" customHeight="1" x14ac:dyDescent="0.25"/>
    <row r="696" ht="24" customHeight="1" x14ac:dyDescent="0.25"/>
    <row r="697" ht="24" customHeight="1" x14ac:dyDescent="0.25"/>
    <row r="698" ht="24" customHeight="1" x14ac:dyDescent="0.25"/>
    <row r="699" ht="24" customHeight="1" x14ac:dyDescent="0.25"/>
    <row r="700" ht="24" customHeight="1" x14ac:dyDescent="0.25"/>
    <row r="701" ht="24" customHeight="1" x14ac:dyDescent="0.25"/>
    <row r="702" ht="24" customHeight="1" x14ac:dyDescent="0.25"/>
    <row r="703" ht="24" customHeight="1" x14ac:dyDescent="0.25"/>
    <row r="704" ht="24" customHeight="1" x14ac:dyDescent="0.25"/>
    <row r="705" ht="24" customHeight="1" x14ac:dyDescent="0.25"/>
    <row r="706" ht="24" customHeight="1" x14ac:dyDescent="0.25"/>
    <row r="707" ht="24" customHeight="1" x14ac:dyDescent="0.25"/>
    <row r="708" ht="24" customHeight="1" x14ac:dyDescent="0.25"/>
    <row r="709" ht="24" customHeight="1" x14ac:dyDescent="0.25"/>
    <row r="710" ht="24" customHeight="1" x14ac:dyDescent="0.25"/>
    <row r="711" ht="24" customHeight="1" x14ac:dyDescent="0.25"/>
    <row r="712" ht="24" customHeight="1" x14ac:dyDescent="0.25"/>
    <row r="713" ht="24" customHeight="1" x14ac:dyDescent="0.25"/>
    <row r="714" ht="24" customHeight="1" x14ac:dyDescent="0.25"/>
    <row r="715" ht="24" customHeight="1" x14ac:dyDescent="0.25"/>
    <row r="716" ht="24" customHeight="1" x14ac:dyDescent="0.25"/>
    <row r="717" ht="24" customHeight="1" x14ac:dyDescent="0.25"/>
    <row r="718" ht="24" customHeight="1" x14ac:dyDescent="0.25"/>
    <row r="719" ht="24" customHeight="1" x14ac:dyDescent="0.25"/>
    <row r="720" ht="24" customHeight="1" x14ac:dyDescent="0.25"/>
    <row r="721" ht="24" customHeight="1" x14ac:dyDescent="0.25"/>
    <row r="722" ht="24" customHeight="1" x14ac:dyDescent="0.25"/>
    <row r="723" ht="24" customHeight="1" x14ac:dyDescent="0.25"/>
    <row r="724" ht="24" customHeight="1" x14ac:dyDescent="0.25"/>
    <row r="725" ht="24" customHeight="1" x14ac:dyDescent="0.25"/>
    <row r="726" ht="24" customHeight="1" x14ac:dyDescent="0.25"/>
    <row r="727" ht="24" customHeight="1" x14ac:dyDescent="0.25"/>
    <row r="728" ht="24" customHeight="1" x14ac:dyDescent="0.25"/>
    <row r="729" ht="24" customHeight="1" x14ac:dyDescent="0.25"/>
    <row r="730" ht="24" customHeight="1" x14ac:dyDescent="0.25"/>
    <row r="731" ht="24" customHeight="1" x14ac:dyDescent="0.25"/>
    <row r="732" ht="24" customHeight="1" x14ac:dyDescent="0.25"/>
    <row r="733" ht="24" customHeight="1" x14ac:dyDescent="0.25"/>
    <row r="734" ht="24" customHeight="1" x14ac:dyDescent="0.25"/>
    <row r="735" ht="24" customHeight="1" x14ac:dyDescent="0.25"/>
    <row r="736" ht="24" customHeight="1" x14ac:dyDescent="0.25"/>
    <row r="737" ht="24" customHeight="1" x14ac:dyDescent="0.25"/>
    <row r="738" ht="24" customHeight="1" x14ac:dyDescent="0.25"/>
    <row r="739" ht="24" customHeight="1" x14ac:dyDescent="0.25"/>
    <row r="740" ht="24" customHeight="1" x14ac:dyDescent="0.25"/>
    <row r="741" ht="24" customHeight="1" x14ac:dyDescent="0.25"/>
    <row r="742" ht="24" customHeight="1" x14ac:dyDescent="0.25"/>
    <row r="743" ht="24" customHeight="1" x14ac:dyDescent="0.25"/>
    <row r="744" ht="24" customHeight="1" x14ac:dyDescent="0.25"/>
    <row r="745" ht="24" customHeight="1" x14ac:dyDescent="0.25"/>
    <row r="746" ht="24" customHeight="1" x14ac:dyDescent="0.25"/>
    <row r="747" ht="24" customHeight="1" x14ac:dyDescent="0.25"/>
    <row r="748" ht="24" customHeight="1" x14ac:dyDescent="0.25"/>
    <row r="749" ht="24" customHeight="1" x14ac:dyDescent="0.25"/>
    <row r="750" ht="24" customHeight="1" x14ac:dyDescent="0.25"/>
    <row r="751" ht="24" customHeight="1" x14ac:dyDescent="0.25"/>
    <row r="752" ht="24" customHeight="1" x14ac:dyDescent="0.25"/>
    <row r="753" ht="24" customHeight="1" x14ac:dyDescent="0.25"/>
    <row r="754" ht="24" customHeight="1" x14ac:dyDescent="0.25"/>
    <row r="755" ht="24" customHeight="1" x14ac:dyDescent="0.25"/>
    <row r="756" ht="24" customHeight="1" x14ac:dyDescent="0.25"/>
    <row r="757" ht="24" customHeight="1" x14ac:dyDescent="0.25"/>
    <row r="758" ht="24" customHeight="1" x14ac:dyDescent="0.25"/>
    <row r="759" ht="24" customHeight="1" x14ac:dyDescent="0.25"/>
  </sheetData>
  <protectedRanges>
    <protectedRange sqref="B369:B370" name="Intervalo1_4_5_1"/>
  </protectedRanges>
  <mergeCells count="6562">
    <mergeCell ref="XEQ381:XEU381"/>
    <mergeCell ref="XEV381:XEZ381"/>
    <mergeCell ref="XFA381:XFD381"/>
    <mergeCell ref="XDR381:XDV381"/>
    <mergeCell ref="XDW381:XEA381"/>
    <mergeCell ref="XEB381:XEF381"/>
    <mergeCell ref="XEG381:XEK381"/>
    <mergeCell ref="XEL381:XEP381"/>
    <mergeCell ref="XCS381:XCW381"/>
    <mergeCell ref="XCX381:XDB381"/>
    <mergeCell ref="XDC381:XDG381"/>
    <mergeCell ref="XDH381:XDL381"/>
    <mergeCell ref="XDM381:XDQ381"/>
    <mergeCell ref="XBT381:XBX381"/>
    <mergeCell ref="XBY381:XCC381"/>
    <mergeCell ref="XCD381:XCH381"/>
    <mergeCell ref="XCI381:XCM381"/>
    <mergeCell ref="XCN381:XCR381"/>
    <mergeCell ref="XAU381:XAY381"/>
    <mergeCell ref="XAZ381:XBD381"/>
    <mergeCell ref="XBE381:XBI381"/>
    <mergeCell ref="XBJ381:XBN381"/>
    <mergeCell ref="XBO381:XBS381"/>
    <mergeCell ref="WZV381:WZZ381"/>
    <mergeCell ref="XAA381:XAE381"/>
    <mergeCell ref="XAF381:XAJ381"/>
    <mergeCell ref="XAK381:XAO381"/>
    <mergeCell ref="XAP381:XAT381"/>
    <mergeCell ref="WYW381:WZA381"/>
    <mergeCell ref="WZB381:WZF381"/>
    <mergeCell ref="WZG381:WZK381"/>
    <mergeCell ref="WZL381:WZP381"/>
    <mergeCell ref="WZQ381:WZU381"/>
    <mergeCell ref="WXX381:WYB381"/>
    <mergeCell ref="WYC381:WYG381"/>
    <mergeCell ref="WYH381:WYL381"/>
    <mergeCell ref="WYM381:WYQ381"/>
    <mergeCell ref="WYR381:WYV381"/>
    <mergeCell ref="WWY381:WXC381"/>
    <mergeCell ref="WXD381:WXH381"/>
    <mergeCell ref="WXI381:WXM381"/>
    <mergeCell ref="WXN381:WXR381"/>
    <mergeCell ref="WXS381:WXW381"/>
    <mergeCell ref="WVZ381:WWD381"/>
    <mergeCell ref="WWE381:WWI381"/>
    <mergeCell ref="WWJ381:WWN381"/>
    <mergeCell ref="WWO381:WWS381"/>
    <mergeCell ref="WWT381:WWX381"/>
    <mergeCell ref="WVA381:WVE381"/>
    <mergeCell ref="WVF381:WVJ381"/>
    <mergeCell ref="WVK381:WVO381"/>
    <mergeCell ref="WVP381:WVT381"/>
    <mergeCell ref="WVU381:WVY381"/>
    <mergeCell ref="WUB381:WUF381"/>
    <mergeCell ref="WUG381:WUK381"/>
    <mergeCell ref="WUL381:WUP381"/>
    <mergeCell ref="WUQ381:WUU381"/>
    <mergeCell ref="WUV381:WUZ381"/>
    <mergeCell ref="WTC381:WTG381"/>
    <mergeCell ref="WTH381:WTL381"/>
    <mergeCell ref="WTM381:WTQ381"/>
    <mergeCell ref="WTR381:WTV381"/>
    <mergeCell ref="WTW381:WUA381"/>
    <mergeCell ref="WSD381:WSH381"/>
    <mergeCell ref="WSI381:WSM381"/>
    <mergeCell ref="WSN381:WSR381"/>
    <mergeCell ref="WSS381:WSW381"/>
    <mergeCell ref="WSX381:WTB381"/>
    <mergeCell ref="WRE381:WRI381"/>
    <mergeCell ref="WRJ381:WRN381"/>
    <mergeCell ref="WRO381:WRS381"/>
    <mergeCell ref="WRT381:WRX381"/>
    <mergeCell ref="WRY381:WSC381"/>
    <mergeCell ref="WQF381:WQJ381"/>
    <mergeCell ref="WQK381:WQO381"/>
    <mergeCell ref="WQP381:WQT381"/>
    <mergeCell ref="WQU381:WQY381"/>
    <mergeCell ref="WQZ381:WRD381"/>
    <mergeCell ref="WPG381:WPK381"/>
    <mergeCell ref="WPL381:WPP381"/>
    <mergeCell ref="WPQ381:WPU381"/>
    <mergeCell ref="WPV381:WPZ381"/>
    <mergeCell ref="WQA381:WQE381"/>
    <mergeCell ref="WOH381:WOL381"/>
    <mergeCell ref="WOM381:WOQ381"/>
    <mergeCell ref="WOR381:WOV381"/>
    <mergeCell ref="WOW381:WPA381"/>
    <mergeCell ref="WPB381:WPF381"/>
    <mergeCell ref="WNI381:WNM381"/>
    <mergeCell ref="WNN381:WNR381"/>
    <mergeCell ref="WNS381:WNW381"/>
    <mergeCell ref="WNX381:WOB381"/>
    <mergeCell ref="WOC381:WOG381"/>
    <mergeCell ref="WMJ381:WMN381"/>
    <mergeCell ref="WMO381:WMS381"/>
    <mergeCell ref="WMT381:WMX381"/>
    <mergeCell ref="WMY381:WNC381"/>
    <mergeCell ref="WND381:WNH381"/>
    <mergeCell ref="WLK381:WLO381"/>
    <mergeCell ref="WLP381:WLT381"/>
    <mergeCell ref="WLU381:WLY381"/>
    <mergeCell ref="WLZ381:WMD381"/>
    <mergeCell ref="WME381:WMI381"/>
    <mergeCell ref="WKL381:WKP381"/>
    <mergeCell ref="WKQ381:WKU381"/>
    <mergeCell ref="WKV381:WKZ381"/>
    <mergeCell ref="WLA381:WLE381"/>
    <mergeCell ref="WLF381:WLJ381"/>
    <mergeCell ref="WJM381:WJQ381"/>
    <mergeCell ref="WJR381:WJV381"/>
    <mergeCell ref="WJW381:WKA381"/>
    <mergeCell ref="WKB381:WKF381"/>
    <mergeCell ref="WKG381:WKK381"/>
    <mergeCell ref="WIN381:WIR381"/>
    <mergeCell ref="WIS381:WIW381"/>
    <mergeCell ref="WIX381:WJB381"/>
    <mergeCell ref="WJC381:WJG381"/>
    <mergeCell ref="WJH381:WJL381"/>
    <mergeCell ref="WHO381:WHS381"/>
    <mergeCell ref="WHT381:WHX381"/>
    <mergeCell ref="WHY381:WIC381"/>
    <mergeCell ref="WID381:WIH381"/>
    <mergeCell ref="WII381:WIM381"/>
    <mergeCell ref="WGP381:WGT381"/>
    <mergeCell ref="WGU381:WGY381"/>
    <mergeCell ref="WGZ381:WHD381"/>
    <mergeCell ref="WHE381:WHI381"/>
    <mergeCell ref="WHJ381:WHN381"/>
    <mergeCell ref="WFQ381:WFU381"/>
    <mergeCell ref="WFV381:WFZ381"/>
    <mergeCell ref="WGA381:WGE381"/>
    <mergeCell ref="WGF381:WGJ381"/>
    <mergeCell ref="WGK381:WGO381"/>
    <mergeCell ref="WER381:WEV381"/>
    <mergeCell ref="WEW381:WFA381"/>
    <mergeCell ref="WFB381:WFF381"/>
    <mergeCell ref="WFG381:WFK381"/>
    <mergeCell ref="WFL381:WFP381"/>
    <mergeCell ref="WDS381:WDW381"/>
    <mergeCell ref="WDX381:WEB381"/>
    <mergeCell ref="WEC381:WEG381"/>
    <mergeCell ref="WEH381:WEL381"/>
    <mergeCell ref="WEM381:WEQ381"/>
    <mergeCell ref="WCT381:WCX381"/>
    <mergeCell ref="WCY381:WDC381"/>
    <mergeCell ref="WDD381:WDH381"/>
    <mergeCell ref="WDI381:WDM381"/>
    <mergeCell ref="WDN381:WDR381"/>
    <mergeCell ref="WBU381:WBY381"/>
    <mergeCell ref="WBZ381:WCD381"/>
    <mergeCell ref="WCE381:WCI381"/>
    <mergeCell ref="WCJ381:WCN381"/>
    <mergeCell ref="WCO381:WCS381"/>
    <mergeCell ref="WAV381:WAZ381"/>
    <mergeCell ref="WBA381:WBE381"/>
    <mergeCell ref="WBF381:WBJ381"/>
    <mergeCell ref="WBK381:WBO381"/>
    <mergeCell ref="WBP381:WBT381"/>
    <mergeCell ref="VZW381:WAA381"/>
    <mergeCell ref="WAB381:WAF381"/>
    <mergeCell ref="WAG381:WAK381"/>
    <mergeCell ref="WAL381:WAP381"/>
    <mergeCell ref="WAQ381:WAU381"/>
    <mergeCell ref="VYX381:VZB381"/>
    <mergeCell ref="VZC381:VZG381"/>
    <mergeCell ref="VZH381:VZL381"/>
    <mergeCell ref="VZM381:VZQ381"/>
    <mergeCell ref="VZR381:VZV381"/>
    <mergeCell ref="VXY381:VYC381"/>
    <mergeCell ref="VYD381:VYH381"/>
    <mergeCell ref="VYI381:VYM381"/>
    <mergeCell ref="VYN381:VYR381"/>
    <mergeCell ref="VYS381:VYW381"/>
    <mergeCell ref="VWZ381:VXD381"/>
    <mergeCell ref="VXE381:VXI381"/>
    <mergeCell ref="VXJ381:VXN381"/>
    <mergeCell ref="VXO381:VXS381"/>
    <mergeCell ref="VXT381:VXX381"/>
    <mergeCell ref="VWA381:VWE381"/>
    <mergeCell ref="VWF381:VWJ381"/>
    <mergeCell ref="VWK381:VWO381"/>
    <mergeCell ref="VWP381:VWT381"/>
    <mergeCell ref="VWU381:VWY381"/>
    <mergeCell ref="VVB381:VVF381"/>
    <mergeCell ref="VVG381:VVK381"/>
    <mergeCell ref="VVL381:VVP381"/>
    <mergeCell ref="VVQ381:VVU381"/>
    <mergeCell ref="VVV381:VVZ381"/>
    <mergeCell ref="VUC381:VUG381"/>
    <mergeCell ref="VUH381:VUL381"/>
    <mergeCell ref="VUM381:VUQ381"/>
    <mergeCell ref="VUR381:VUV381"/>
    <mergeCell ref="VUW381:VVA381"/>
    <mergeCell ref="VTD381:VTH381"/>
    <mergeCell ref="VTI381:VTM381"/>
    <mergeCell ref="VTN381:VTR381"/>
    <mergeCell ref="VTS381:VTW381"/>
    <mergeCell ref="VTX381:VUB381"/>
    <mergeCell ref="VSE381:VSI381"/>
    <mergeCell ref="VSJ381:VSN381"/>
    <mergeCell ref="VSO381:VSS381"/>
    <mergeCell ref="VST381:VSX381"/>
    <mergeCell ref="VSY381:VTC381"/>
    <mergeCell ref="VRF381:VRJ381"/>
    <mergeCell ref="VRK381:VRO381"/>
    <mergeCell ref="VRP381:VRT381"/>
    <mergeCell ref="VRU381:VRY381"/>
    <mergeCell ref="VRZ381:VSD381"/>
    <mergeCell ref="VQG381:VQK381"/>
    <mergeCell ref="VQL381:VQP381"/>
    <mergeCell ref="VQQ381:VQU381"/>
    <mergeCell ref="VQV381:VQZ381"/>
    <mergeCell ref="VRA381:VRE381"/>
    <mergeCell ref="VPH381:VPL381"/>
    <mergeCell ref="VPM381:VPQ381"/>
    <mergeCell ref="VPR381:VPV381"/>
    <mergeCell ref="VPW381:VQA381"/>
    <mergeCell ref="VQB381:VQF381"/>
    <mergeCell ref="VOI381:VOM381"/>
    <mergeCell ref="VON381:VOR381"/>
    <mergeCell ref="VOS381:VOW381"/>
    <mergeCell ref="VOX381:VPB381"/>
    <mergeCell ref="VPC381:VPG381"/>
    <mergeCell ref="VNJ381:VNN381"/>
    <mergeCell ref="VNO381:VNS381"/>
    <mergeCell ref="VNT381:VNX381"/>
    <mergeCell ref="VNY381:VOC381"/>
    <mergeCell ref="VOD381:VOH381"/>
    <mergeCell ref="VMK381:VMO381"/>
    <mergeCell ref="VMP381:VMT381"/>
    <mergeCell ref="VMU381:VMY381"/>
    <mergeCell ref="VMZ381:VND381"/>
    <mergeCell ref="VNE381:VNI381"/>
    <mergeCell ref="VLL381:VLP381"/>
    <mergeCell ref="VLQ381:VLU381"/>
    <mergeCell ref="VLV381:VLZ381"/>
    <mergeCell ref="VMA381:VME381"/>
    <mergeCell ref="VMF381:VMJ381"/>
    <mergeCell ref="VKM381:VKQ381"/>
    <mergeCell ref="VKR381:VKV381"/>
    <mergeCell ref="VKW381:VLA381"/>
    <mergeCell ref="VLB381:VLF381"/>
    <mergeCell ref="VLG381:VLK381"/>
    <mergeCell ref="VJN381:VJR381"/>
    <mergeCell ref="VJS381:VJW381"/>
    <mergeCell ref="VJX381:VKB381"/>
    <mergeCell ref="VKC381:VKG381"/>
    <mergeCell ref="VKH381:VKL381"/>
    <mergeCell ref="VIO381:VIS381"/>
    <mergeCell ref="VIT381:VIX381"/>
    <mergeCell ref="VIY381:VJC381"/>
    <mergeCell ref="VJD381:VJH381"/>
    <mergeCell ref="VJI381:VJM381"/>
    <mergeCell ref="VHP381:VHT381"/>
    <mergeCell ref="VHU381:VHY381"/>
    <mergeCell ref="VHZ381:VID381"/>
    <mergeCell ref="VIE381:VII381"/>
    <mergeCell ref="VIJ381:VIN381"/>
    <mergeCell ref="VGQ381:VGU381"/>
    <mergeCell ref="VGV381:VGZ381"/>
    <mergeCell ref="VHA381:VHE381"/>
    <mergeCell ref="VHF381:VHJ381"/>
    <mergeCell ref="VHK381:VHO381"/>
    <mergeCell ref="VFR381:VFV381"/>
    <mergeCell ref="VFW381:VGA381"/>
    <mergeCell ref="VGB381:VGF381"/>
    <mergeCell ref="VGG381:VGK381"/>
    <mergeCell ref="VGL381:VGP381"/>
    <mergeCell ref="VES381:VEW381"/>
    <mergeCell ref="VEX381:VFB381"/>
    <mergeCell ref="VFC381:VFG381"/>
    <mergeCell ref="VFH381:VFL381"/>
    <mergeCell ref="VFM381:VFQ381"/>
    <mergeCell ref="VDT381:VDX381"/>
    <mergeCell ref="VDY381:VEC381"/>
    <mergeCell ref="VED381:VEH381"/>
    <mergeCell ref="VEI381:VEM381"/>
    <mergeCell ref="VEN381:VER381"/>
    <mergeCell ref="VCU381:VCY381"/>
    <mergeCell ref="VCZ381:VDD381"/>
    <mergeCell ref="VDE381:VDI381"/>
    <mergeCell ref="VDJ381:VDN381"/>
    <mergeCell ref="VDO381:VDS381"/>
    <mergeCell ref="VBV381:VBZ381"/>
    <mergeCell ref="VCA381:VCE381"/>
    <mergeCell ref="VCF381:VCJ381"/>
    <mergeCell ref="VCK381:VCO381"/>
    <mergeCell ref="VCP381:VCT381"/>
    <mergeCell ref="VAW381:VBA381"/>
    <mergeCell ref="VBB381:VBF381"/>
    <mergeCell ref="VBG381:VBK381"/>
    <mergeCell ref="VBL381:VBP381"/>
    <mergeCell ref="VBQ381:VBU381"/>
    <mergeCell ref="UZX381:VAB381"/>
    <mergeCell ref="VAC381:VAG381"/>
    <mergeCell ref="VAH381:VAL381"/>
    <mergeCell ref="VAM381:VAQ381"/>
    <mergeCell ref="VAR381:VAV381"/>
    <mergeCell ref="UYY381:UZC381"/>
    <mergeCell ref="UZD381:UZH381"/>
    <mergeCell ref="UZI381:UZM381"/>
    <mergeCell ref="UZN381:UZR381"/>
    <mergeCell ref="UZS381:UZW381"/>
    <mergeCell ref="UXZ381:UYD381"/>
    <mergeCell ref="UYE381:UYI381"/>
    <mergeCell ref="UYJ381:UYN381"/>
    <mergeCell ref="UYO381:UYS381"/>
    <mergeCell ref="UYT381:UYX381"/>
    <mergeCell ref="UXA381:UXE381"/>
    <mergeCell ref="UXF381:UXJ381"/>
    <mergeCell ref="UXK381:UXO381"/>
    <mergeCell ref="UXP381:UXT381"/>
    <mergeCell ref="UXU381:UXY381"/>
    <mergeCell ref="UWB381:UWF381"/>
    <mergeCell ref="UWG381:UWK381"/>
    <mergeCell ref="UWL381:UWP381"/>
    <mergeCell ref="UWQ381:UWU381"/>
    <mergeCell ref="UWV381:UWZ381"/>
    <mergeCell ref="UVC381:UVG381"/>
    <mergeCell ref="UVH381:UVL381"/>
    <mergeCell ref="UVM381:UVQ381"/>
    <mergeCell ref="UVR381:UVV381"/>
    <mergeCell ref="UVW381:UWA381"/>
    <mergeCell ref="UUD381:UUH381"/>
    <mergeCell ref="UUI381:UUM381"/>
    <mergeCell ref="UUN381:UUR381"/>
    <mergeCell ref="UUS381:UUW381"/>
    <mergeCell ref="UUX381:UVB381"/>
    <mergeCell ref="UTE381:UTI381"/>
    <mergeCell ref="UTJ381:UTN381"/>
    <mergeCell ref="UTO381:UTS381"/>
    <mergeCell ref="UTT381:UTX381"/>
    <mergeCell ref="UTY381:UUC381"/>
    <mergeCell ref="USF381:USJ381"/>
    <mergeCell ref="USK381:USO381"/>
    <mergeCell ref="USP381:UST381"/>
    <mergeCell ref="USU381:USY381"/>
    <mergeCell ref="USZ381:UTD381"/>
    <mergeCell ref="URG381:URK381"/>
    <mergeCell ref="URL381:URP381"/>
    <mergeCell ref="URQ381:URU381"/>
    <mergeCell ref="URV381:URZ381"/>
    <mergeCell ref="USA381:USE381"/>
    <mergeCell ref="UQH381:UQL381"/>
    <mergeCell ref="UQM381:UQQ381"/>
    <mergeCell ref="UQR381:UQV381"/>
    <mergeCell ref="UQW381:URA381"/>
    <mergeCell ref="URB381:URF381"/>
    <mergeCell ref="UPI381:UPM381"/>
    <mergeCell ref="UPN381:UPR381"/>
    <mergeCell ref="UPS381:UPW381"/>
    <mergeCell ref="UPX381:UQB381"/>
    <mergeCell ref="UQC381:UQG381"/>
    <mergeCell ref="UOJ381:UON381"/>
    <mergeCell ref="UOO381:UOS381"/>
    <mergeCell ref="UOT381:UOX381"/>
    <mergeCell ref="UOY381:UPC381"/>
    <mergeCell ref="UPD381:UPH381"/>
    <mergeCell ref="UNK381:UNO381"/>
    <mergeCell ref="UNP381:UNT381"/>
    <mergeCell ref="UNU381:UNY381"/>
    <mergeCell ref="UNZ381:UOD381"/>
    <mergeCell ref="UOE381:UOI381"/>
    <mergeCell ref="UML381:UMP381"/>
    <mergeCell ref="UMQ381:UMU381"/>
    <mergeCell ref="UMV381:UMZ381"/>
    <mergeCell ref="UNA381:UNE381"/>
    <mergeCell ref="UNF381:UNJ381"/>
    <mergeCell ref="ULM381:ULQ381"/>
    <mergeCell ref="ULR381:ULV381"/>
    <mergeCell ref="ULW381:UMA381"/>
    <mergeCell ref="UMB381:UMF381"/>
    <mergeCell ref="UMG381:UMK381"/>
    <mergeCell ref="UKN381:UKR381"/>
    <mergeCell ref="UKS381:UKW381"/>
    <mergeCell ref="UKX381:ULB381"/>
    <mergeCell ref="ULC381:ULG381"/>
    <mergeCell ref="ULH381:ULL381"/>
    <mergeCell ref="UJO381:UJS381"/>
    <mergeCell ref="UJT381:UJX381"/>
    <mergeCell ref="UJY381:UKC381"/>
    <mergeCell ref="UKD381:UKH381"/>
    <mergeCell ref="UKI381:UKM381"/>
    <mergeCell ref="UIP381:UIT381"/>
    <mergeCell ref="UIU381:UIY381"/>
    <mergeCell ref="UIZ381:UJD381"/>
    <mergeCell ref="UJE381:UJI381"/>
    <mergeCell ref="UJJ381:UJN381"/>
    <mergeCell ref="UHQ381:UHU381"/>
    <mergeCell ref="UHV381:UHZ381"/>
    <mergeCell ref="UIA381:UIE381"/>
    <mergeCell ref="UIF381:UIJ381"/>
    <mergeCell ref="UIK381:UIO381"/>
    <mergeCell ref="UGR381:UGV381"/>
    <mergeCell ref="UGW381:UHA381"/>
    <mergeCell ref="UHB381:UHF381"/>
    <mergeCell ref="UHG381:UHK381"/>
    <mergeCell ref="UHL381:UHP381"/>
    <mergeCell ref="UFS381:UFW381"/>
    <mergeCell ref="UFX381:UGB381"/>
    <mergeCell ref="UGC381:UGG381"/>
    <mergeCell ref="UGH381:UGL381"/>
    <mergeCell ref="UGM381:UGQ381"/>
    <mergeCell ref="UET381:UEX381"/>
    <mergeCell ref="UEY381:UFC381"/>
    <mergeCell ref="UFD381:UFH381"/>
    <mergeCell ref="UFI381:UFM381"/>
    <mergeCell ref="UFN381:UFR381"/>
    <mergeCell ref="UDU381:UDY381"/>
    <mergeCell ref="UDZ381:UED381"/>
    <mergeCell ref="UEE381:UEI381"/>
    <mergeCell ref="UEJ381:UEN381"/>
    <mergeCell ref="UEO381:UES381"/>
    <mergeCell ref="UCV381:UCZ381"/>
    <mergeCell ref="UDA381:UDE381"/>
    <mergeCell ref="UDF381:UDJ381"/>
    <mergeCell ref="UDK381:UDO381"/>
    <mergeCell ref="UDP381:UDT381"/>
    <mergeCell ref="UBW381:UCA381"/>
    <mergeCell ref="UCB381:UCF381"/>
    <mergeCell ref="UCG381:UCK381"/>
    <mergeCell ref="UCL381:UCP381"/>
    <mergeCell ref="UCQ381:UCU381"/>
    <mergeCell ref="UAX381:UBB381"/>
    <mergeCell ref="UBC381:UBG381"/>
    <mergeCell ref="UBH381:UBL381"/>
    <mergeCell ref="UBM381:UBQ381"/>
    <mergeCell ref="UBR381:UBV381"/>
    <mergeCell ref="TZY381:UAC381"/>
    <mergeCell ref="UAD381:UAH381"/>
    <mergeCell ref="UAI381:UAM381"/>
    <mergeCell ref="UAN381:UAR381"/>
    <mergeCell ref="UAS381:UAW381"/>
    <mergeCell ref="TYZ381:TZD381"/>
    <mergeCell ref="TZE381:TZI381"/>
    <mergeCell ref="TZJ381:TZN381"/>
    <mergeCell ref="TZO381:TZS381"/>
    <mergeCell ref="TZT381:TZX381"/>
    <mergeCell ref="TYA381:TYE381"/>
    <mergeCell ref="TYF381:TYJ381"/>
    <mergeCell ref="TYK381:TYO381"/>
    <mergeCell ref="TYP381:TYT381"/>
    <mergeCell ref="TYU381:TYY381"/>
    <mergeCell ref="TXB381:TXF381"/>
    <mergeCell ref="TXG381:TXK381"/>
    <mergeCell ref="TXL381:TXP381"/>
    <mergeCell ref="TXQ381:TXU381"/>
    <mergeCell ref="TXV381:TXZ381"/>
    <mergeCell ref="TWC381:TWG381"/>
    <mergeCell ref="TWH381:TWL381"/>
    <mergeCell ref="TWM381:TWQ381"/>
    <mergeCell ref="TWR381:TWV381"/>
    <mergeCell ref="TWW381:TXA381"/>
    <mergeCell ref="TVD381:TVH381"/>
    <mergeCell ref="TVI381:TVM381"/>
    <mergeCell ref="TVN381:TVR381"/>
    <mergeCell ref="TVS381:TVW381"/>
    <mergeCell ref="TVX381:TWB381"/>
    <mergeCell ref="TUE381:TUI381"/>
    <mergeCell ref="TUJ381:TUN381"/>
    <mergeCell ref="TUO381:TUS381"/>
    <mergeCell ref="TUT381:TUX381"/>
    <mergeCell ref="TUY381:TVC381"/>
    <mergeCell ref="TTF381:TTJ381"/>
    <mergeCell ref="TTK381:TTO381"/>
    <mergeCell ref="TTP381:TTT381"/>
    <mergeCell ref="TTU381:TTY381"/>
    <mergeCell ref="TTZ381:TUD381"/>
    <mergeCell ref="TSG381:TSK381"/>
    <mergeCell ref="TSL381:TSP381"/>
    <mergeCell ref="TSQ381:TSU381"/>
    <mergeCell ref="TSV381:TSZ381"/>
    <mergeCell ref="TTA381:TTE381"/>
    <mergeCell ref="TRH381:TRL381"/>
    <mergeCell ref="TRM381:TRQ381"/>
    <mergeCell ref="TRR381:TRV381"/>
    <mergeCell ref="TRW381:TSA381"/>
    <mergeCell ref="TSB381:TSF381"/>
    <mergeCell ref="TQI381:TQM381"/>
    <mergeCell ref="TQN381:TQR381"/>
    <mergeCell ref="TQS381:TQW381"/>
    <mergeCell ref="TQX381:TRB381"/>
    <mergeCell ref="TRC381:TRG381"/>
    <mergeCell ref="TPJ381:TPN381"/>
    <mergeCell ref="TPO381:TPS381"/>
    <mergeCell ref="TPT381:TPX381"/>
    <mergeCell ref="TPY381:TQC381"/>
    <mergeCell ref="TQD381:TQH381"/>
    <mergeCell ref="TOK381:TOO381"/>
    <mergeCell ref="TOP381:TOT381"/>
    <mergeCell ref="TOU381:TOY381"/>
    <mergeCell ref="TOZ381:TPD381"/>
    <mergeCell ref="TPE381:TPI381"/>
    <mergeCell ref="TNL381:TNP381"/>
    <mergeCell ref="TNQ381:TNU381"/>
    <mergeCell ref="TNV381:TNZ381"/>
    <mergeCell ref="TOA381:TOE381"/>
    <mergeCell ref="TOF381:TOJ381"/>
    <mergeCell ref="TMM381:TMQ381"/>
    <mergeCell ref="TMR381:TMV381"/>
    <mergeCell ref="TMW381:TNA381"/>
    <mergeCell ref="TNB381:TNF381"/>
    <mergeCell ref="TNG381:TNK381"/>
    <mergeCell ref="TLN381:TLR381"/>
    <mergeCell ref="TLS381:TLW381"/>
    <mergeCell ref="TLX381:TMB381"/>
    <mergeCell ref="TMC381:TMG381"/>
    <mergeCell ref="TMH381:TML381"/>
    <mergeCell ref="TKO381:TKS381"/>
    <mergeCell ref="TKT381:TKX381"/>
    <mergeCell ref="TKY381:TLC381"/>
    <mergeCell ref="TLD381:TLH381"/>
    <mergeCell ref="TLI381:TLM381"/>
    <mergeCell ref="TJP381:TJT381"/>
    <mergeCell ref="TJU381:TJY381"/>
    <mergeCell ref="TJZ381:TKD381"/>
    <mergeCell ref="TKE381:TKI381"/>
    <mergeCell ref="TKJ381:TKN381"/>
    <mergeCell ref="TIQ381:TIU381"/>
    <mergeCell ref="TIV381:TIZ381"/>
    <mergeCell ref="TJA381:TJE381"/>
    <mergeCell ref="TJF381:TJJ381"/>
    <mergeCell ref="TJK381:TJO381"/>
    <mergeCell ref="THR381:THV381"/>
    <mergeCell ref="THW381:TIA381"/>
    <mergeCell ref="TIB381:TIF381"/>
    <mergeCell ref="TIG381:TIK381"/>
    <mergeCell ref="TIL381:TIP381"/>
    <mergeCell ref="TGS381:TGW381"/>
    <mergeCell ref="TGX381:THB381"/>
    <mergeCell ref="THC381:THG381"/>
    <mergeCell ref="THH381:THL381"/>
    <mergeCell ref="THM381:THQ381"/>
    <mergeCell ref="TFT381:TFX381"/>
    <mergeCell ref="TFY381:TGC381"/>
    <mergeCell ref="TGD381:TGH381"/>
    <mergeCell ref="TGI381:TGM381"/>
    <mergeCell ref="TGN381:TGR381"/>
    <mergeCell ref="TEU381:TEY381"/>
    <mergeCell ref="TEZ381:TFD381"/>
    <mergeCell ref="TFE381:TFI381"/>
    <mergeCell ref="TFJ381:TFN381"/>
    <mergeCell ref="TFO381:TFS381"/>
    <mergeCell ref="TDV381:TDZ381"/>
    <mergeCell ref="TEA381:TEE381"/>
    <mergeCell ref="TEF381:TEJ381"/>
    <mergeCell ref="TEK381:TEO381"/>
    <mergeCell ref="TEP381:TET381"/>
    <mergeCell ref="TCW381:TDA381"/>
    <mergeCell ref="TDB381:TDF381"/>
    <mergeCell ref="TDG381:TDK381"/>
    <mergeCell ref="TDL381:TDP381"/>
    <mergeCell ref="TDQ381:TDU381"/>
    <mergeCell ref="TBX381:TCB381"/>
    <mergeCell ref="TCC381:TCG381"/>
    <mergeCell ref="TCH381:TCL381"/>
    <mergeCell ref="TCM381:TCQ381"/>
    <mergeCell ref="TCR381:TCV381"/>
    <mergeCell ref="TAY381:TBC381"/>
    <mergeCell ref="TBD381:TBH381"/>
    <mergeCell ref="TBI381:TBM381"/>
    <mergeCell ref="TBN381:TBR381"/>
    <mergeCell ref="TBS381:TBW381"/>
    <mergeCell ref="SZZ381:TAD381"/>
    <mergeCell ref="TAE381:TAI381"/>
    <mergeCell ref="TAJ381:TAN381"/>
    <mergeCell ref="TAO381:TAS381"/>
    <mergeCell ref="TAT381:TAX381"/>
    <mergeCell ref="SZA381:SZE381"/>
    <mergeCell ref="SZF381:SZJ381"/>
    <mergeCell ref="SZK381:SZO381"/>
    <mergeCell ref="SZP381:SZT381"/>
    <mergeCell ref="SZU381:SZY381"/>
    <mergeCell ref="SYB381:SYF381"/>
    <mergeCell ref="SYG381:SYK381"/>
    <mergeCell ref="SYL381:SYP381"/>
    <mergeCell ref="SYQ381:SYU381"/>
    <mergeCell ref="SYV381:SYZ381"/>
    <mergeCell ref="SXC381:SXG381"/>
    <mergeCell ref="SXH381:SXL381"/>
    <mergeCell ref="SXM381:SXQ381"/>
    <mergeCell ref="SXR381:SXV381"/>
    <mergeCell ref="SXW381:SYA381"/>
    <mergeCell ref="SWD381:SWH381"/>
    <mergeCell ref="SWI381:SWM381"/>
    <mergeCell ref="SWN381:SWR381"/>
    <mergeCell ref="SWS381:SWW381"/>
    <mergeCell ref="SWX381:SXB381"/>
    <mergeCell ref="SVE381:SVI381"/>
    <mergeCell ref="SVJ381:SVN381"/>
    <mergeCell ref="SVO381:SVS381"/>
    <mergeCell ref="SVT381:SVX381"/>
    <mergeCell ref="SVY381:SWC381"/>
    <mergeCell ref="SUF381:SUJ381"/>
    <mergeCell ref="SUK381:SUO381"/>
    <mergeCell ref="SUP381:SUT381"/>
    <mergeCell ref="SUU381:SUY381"/>
    <mergeCell ref="SUZ381:SVD381"/>
    <mergeCell ref="STG381:STK381"/>
    <mergeCell ref="STL381:STP381"/>
    <mergeCell ref="STQ381:STU381"/>
    <mergeCell ref="STV381:STZ381"/>
    <mergeCell ref="SUA381:SUE381"/>
    <mergeCell ref="SSH381:SSL381"/>
    <mergeCell ref="SSM381:SSQ381"/>
    <mergeCell ref="SSR381:SSV381"/>
    <mergeCell ref="SSW381:STA381"/>
    <mergeCell ref="STB381:STF381"/>
    <mergeCell ref="SRI381:SRM381"/>
    <mergeCell ref="SRN381:SRR381"/>
    <mergeCell ref="SRS381:SRW381"/>
    <mergeCell ref="SRX381:SSB381"/>
    <mergeCell ref="SSC381:SSG381"/>
    <mergeCell ref="SQJ381:SQN381"/>
    <mergeCell ref="SQO381:SQS381"/>
    <mergeCell ref="SQT381:SQX381"/>
    <mergeCell ref="SQY381:SRC381"/>
    <mergeCell ref="SRD381:SRH381"/>
    <mergeCell ref="SPK381:SPO381"/>
    <mergeCell ref="SPP381:SPT381"/>
    <mergeCell ref="SPU381:SPY381"/>
    <mergeCell ref="SPZ381:SQD381"/>
    <mergeCell ref="SQE381:SQI381"/>
    <mergeCell ref="SOL381:SOP381"/>
    <mergeCell ref="SOQ381:SOU381"/>
    <mergeCell ref="SOV381:SOZ381"/>
    <mergeCell ref="SPA381:SPE381"/>
    <mergeCell ref="SPF381:SPJ381"/>
    <mergeCell ref="SNM381:SNQ381"/>
    <mergeCell ref="SNR381:SNV381"/>
    <mergeCell ref="SNW381:SOA381"/>
    <mergeCell ref="SOB381:SOF381"/>
    <mergeCell ref="SOG381:SOK381"/>
    <mergeCell ref="SMN381:SMR381"/>
    <mergeCell ref="SMS381:SMW381"/>
    <mergeCell ref="SMX381:SNB381"/>
    <mergeCell ref="SNC381:SNG381"/>
    <mergeCell ref="SNH381:SNL381"/>
    <mergeCell ref="SLO381:SLS381"/>
    <mergeCell ref="SLT381:SLX381"/>
    <mergeCell ref="SLY381:SMC381"/>
    <mergeCell ref="SMD381:SMH381"/>
    <mergeCell ref="SMI381:SMM381"/>
    <mergeCell ref="SKP381:SKT381"/>
    <mergeCell ref="SKU381:SKY381"/>
    <mergeCell ref="SKZ381:SLD381"/>
    <mergeCell ref="SLE381:SLI381"/>
    <mergeCell ref="SLJ381:SLN381"/>
    <mergeCell ref="SJQ381:SJU381"/>
    <mergeCell ref="SJV381:SJZ381"/>
    <mergeCell ref="SKA381:SKE381"/>
    <mergeCell ref="SKF381:SKJ381"/>
    <mergeCell ref="SKK381:SKO381"/>
    <mergeCell ref="SIR381:SIV381"/>
    <mergeCell ref="SIW381:SJA381"/>
    <mergeCell ref="SJB381:SJF381"/>
    <mergeCell ref="SJG381:SJK381"/>
    <mergeCell ref="SJL381:SJP381"/>
    <mergeCell ref="SHS381:SHW381"/>
    <mergeCell ref="SHX381:SIB381"/>
    <mergeCell ref="SIC381:SIG381"/>
    <mergeCell ref="SIH381:SIL381"/>
    <mergeCell ref="SIM381:SIQ381"/>
    <mergeCell ref="SGT381:SGX381"/>
    <mergeCell ref="SGY381:SHC381"/>
    <mergeCell ref="SHD381:SHH381"/>
    <mergeCell ref="SHI381:SHM381"/>
    <mergeCell ref="SHN381:SHR381"/>
    <mergeCell ref="SFU381:SFY381"/>
    <mergeCell ref="SFZ381:SGD381"/>
    <mergeCell ref="SGE381:SGI381"/>
    <mergeCell ref="SGJ381:SGN381"/>
    <mergeCell ref="SGO381:SGS381"/>
    <mergeCell ref="SEV381:SEZ381"/>
    <mergeCell ref="SFA381:SFE381"/>
    <mergeCell ref="SFF381:SFJ381"/>
    <mergeCell ref="SFK381:SFO381"/>
    <mergeCell ref="SFP381:SFT381"/>
    <mergeCell ref="SDW381:SEA381"/>
    <mergeCell ref="SEB381:SEF381"/>
    <mergeCell ref="SEG381:SEK381"/>
    <mergeCell ref="SEL381:SEP381"/>
    <mergeCell ref="SEQ381:SEU381"/>
    <mergeCell ref="SCX381:SDB381"/>
    <mergeCell ref="SDC381:SDG381"/>
    <mergeCell ref="SDH381:SDL381"/>
    <mergeCell ref="SDM381:SDQ381"/>
    <mergeCell ref="SDR381:SDV381"/>
    <mergeCell ref="SBY381:SCC381"/>
    <mergeCell ref="SCD381:SCH381"/>
    <mergeCell ref="SCI381:SCM381"/>
    <mergeCell ref="SCN381:SCR381"/>
    <mergeCell ref="SCS381:SCW381"/>
    <mergeCell ref="SAZ381:SBD381"/>
    <mergeCell ref="SBE381:SBI381"/>
    <mergeCell ref="SBJ381:SBN381"/>
    <mergeCell ref="SBO381:SBS381"/>
    <mergeCell ref="SBT381:SBX381"/>
    <mergeCell ref="SAA381:SAE381"/>
    <mergeCell ref="SAF381:SAJ381"/>
    <mergeCell ref="SAK381:SAO381"/>
    <mergeCell ref="SAP381:SAT381"/>
    <mergeCell ref="SAU381:SAY381"/>
    <mergeCell ref="RZB381:RZF381"/>
    <mergeCell ref="RZG381:RZK381"/>
    <mergeCell ref="RZL381:RZP381"/>
    <mergeCell ref="RZQ381:RZU381"/>
    <mergeCell ref="RZV381:RZZ381"/>
    <mergeCell ref="RYC381:RYG381"/>
    <mergeCell ref="RYH381:RYL381"/>
    <mergeCell ref="RYM381:RYQ381"/>
    <mergeCell ref="RYR381:RYV381"/>
    <mergeCell ref="RYW381:RZA381"/>
    <mergeCell ref="RXD381:RXH381"/>
    <mergeCell ref="RXI381:RXM381"/>
    <mergeCell ref="RXN381:RXR381"/>
    <mergeCell ref="RXS381:RXW381"/>
    <mergeCell ref="RXX381:RYB381"/>
    <mergeCell ref="RWE381:RWI381"/>
    <mergeCell ref="RWJ381:RWN381"/>
    <mergeCell ref="RWO381:RWS381"/>
    <mergeCell ref="RWT381:RWX381"/>
    <mergeCell ref="RWY381:RXC381"/>
    <mergeCell ref="RVF381:RVJ381"/>
    <mergeCell ref="RVK381:RVO381"/>
    <mergeCell ref="RVP381:RVT381"/>
    <mergeCell ref="RVU381:RVY381"/>
    <mergeCell ref="RVZ381:RWD381"/>
    <mergeCell ref="RUG381:RUK381"/>
    <mergeCell ref="RUL381:RUP381"/>
    <mergeCell ref="RUQ381:RUU381"/>
    <mergeCell ref="RUV381:RUZ381"/>
    <mergeCell ref="RVA381:RVE381"/>
    <mergeCell ref="RTH381:RTL381"/>
    <mergeCell ref="RTM381:RTQ381"/>
    <mergeCell ref="RTR381:RTV381"/>
    <mergeCell ref="RTW381:RUA381"/>
    <mergeCell ref="RUB381:RUF381"/>
    <mergeCell ref="RSI381:RSM381"/>
    <mergeCell ref="RSN381:RSR381"/>
    <mergeCell ref="RSS381:RSW381"/>
    <mergeCell ref="RSX381:RTB381"/>
    <mergeCell ref="RTC381:RTG381"/>
    <mergeCell ref="RRJ381:RRN381"/>
    <mergeCell ref="RRO381:RRS381"/>
    <mergeCell ref="RRT381:RRX381"/>
    <mergeCell ref="RRY381:RSC381"/>
    <mergeCell ref="RSD381:RSH381"/>
    <mergeCell ref="RQK381:RQO381"/>
    <mergeCell ref="RQP381:RQT381"/>
    <mergeCell ref="RQU381:RQY381"/>
    <mergeCell ref="RQZ381:RRD381"/>
    <mergeCell ref="RRE381:RRI381"/>
    <mergeCell ref="RPL381:RPP381"/>
    <mergeCell ref="RPQ381:RPU381"/>
    <mergeCell ref="RPV381:RPZ381"/>
    <mergeCell ref="RQA381:RQE381"/>
    <mergeCell ref="RQF381:RQJ381"/>
    <mergeCell ref="ROM381:ROQ381"/>
    <mergeCell ref="ROR381:ROV381"/>
    <mergeCell ref="ROW381:RPA381"/>
    <mergeCell ref="RPB381:RPF381"/>
    <mergeCell ref="RPG381:RPK381"/>
    <mergeCell ref="RNN381:RNR381"/>
    <mergeCell ref="RNS381:RNW381"/>
    <mergeCell ref="RNX381:ROB381"/>
    <mergeCell ref="ROC381:ROG381"/>
    <mergeCell ref="ROH381:ROL381"/>
    <mergeCell ref="RMO381:RMS381"/>
    <mergeCell ref="RMT381:RMX381"/>
    <mergeCell ref="RMY381:RNC381"/>
    <mergeCell ref="RND381:RNH381"/>
    <mergeCell ref="RNI381:RNM381"/>
    <mergeCell ref="RLP381:RLT381"/>
    <mergeCell ref="RLU381:RLY381"/>
    <mergeCell ref="RLZ381:RMD381"/>
    <mergeCell ref="RME381:RMI381"/>
    <mergeCell ref="RMJ381:RMN381"/>
    <mergeCell ref="RKQ381:RKU381"/>
    <mergeCell ref="RKV381:RKZ381"/>
    <mergeCell ref="RLA381:RLE381"/>
    <mergeCell ref="RLF381:RLJ381"/>
    <mergeCell ref="RLK381:RLO381"/>
    <mergeCell ref="RJR381:RJV381"/>
    <mergeCell ref="RJW381:RKA381"/>
    <mergeCell ref="RKB381:RKF381"/>
    <mergeCell ref="RKG381:RKK381"/>
    <mergeCell ref="RKL381:RKP381"/>
    <mergeCell ref="RIS381:RIW381"/>
    <mergeCell ref="RIX381:RJB381"/>
    <mergeCell ref="RJC381:RJG381"/>
    <mergeCell ref="RJH381:RJL381"/>
    <mergeCell ref="RJM381:RJQ381"/>
    <mergeCell ref="RHT381:RHX381"/>
    <mergeCell ref="RHY381:RIC381"/>
    <mergeCell ref="RID381:RIH381"/>
    <mergeCell ref="RII381:RIM381"/>
    <mergeCell ref="RIN381:RIR381"/>
    <mergeCell ref="RGU381:RGY381"/>
    <mergeCell ref="RGZ381:RHD381"/>
    <mergeCell ref="RHE381:RHI381"/>
    <mergeCell ref="RHJ381:RHN381"/>
    <mergeCell ref="RHO381:RHS381"/>
    <mergeCell ref="RFV381:RFZ381"/>
    <mergeCell ref="RGA381:RGE381"/>
    <mergeCell ref="RGF381:RGJ381"/>
    <mergeCell ref="RGK381:RGO381"/>
    <mergeCell ref="RGP381:RGT381"/>
    <mergeCell ref="REW381:RFA381"/>
    <mergeCell ref="RFB381:RFF381"/>
    <mergeCell ref="RFG381:RFK381"/>
    <mergeCell ref="RFL381:RFP381"/>
    <mergeCell ref="RFQ381:RFU381"/>
    <mergeCell ref="RDX381:REB381"/>
    <mergeCell ref="REC381:REG381"/>
    <mergeCell ref="REH381:REL381"/>
    <mergeCell ref="REM381:REQ381"/>
    <mergeCell ref="RER381:REV381"/>
    <mergeCell ref="RCY381:RDC381"/>
    <mergeCell ref="RDD381:RDH381"/>
    <mergeCell ref="RDI381:RDM381"/>
    <mergeCell ref="RDN381:RDR381"/>
    <mergeCell ref="RDS381:RDW381"/>
    <mergeCell ref="RBZ381:RCD381"/>
    <mergeCell ref="RCE381:RCI381"/>
    <mergeCell ref="RCJ381:RCN381"/>
    <mergeCell ref="RCO381:RCS381"/>
    <mergeCell ref="RCT381:RCX381"/>
    <mergeCell ref="RBA381:RBE381"/>
    <mergeCell ref="RBF381:RBJ381"/>
    <mergeCell ref="RBK381:RBO381"/>
    <mergeCell ref="RBP381:RBT381"/>
    <mergeCell ref="RBU381:RBY381"/>
    <mergeCell ref="RAB381:RAF381"/>
    <mergeCell ref="RAG381:RAK381"/>
    <mergeCell ref="RAL381:RAP381"/>
    <mergeCell ref="RAQ381:RAU381"/>
    <mergeCell ref="RAV381:RAZ381"/>
    <mergeCell ref="QZC381:QZG381"/>
    <mergeCell ref="QZH381:QZL381"/>
    <mergeCell ref="QZM381:QZQ381"/>
    <mergeCell ref="QZR381:QZV381"/>
    <mergeCell ref="QZW381:RAA381"/>
    <mergeCell ref="QYD381:QYH381"/>
    <mergeCell ref="QYI381:QYM381"/>
    <mergeCell ref="QYN381:QYR381"/>
    <mergeCell ref="QYS381:QYW381"/>
    <mergeCell ref="QYX381:QZB381"/>
    <mergeCell ref="QXE381:QXI381"/>
    <mergeCell ref="QXJ381:QXN381"/>
    <mergeCell ref="QXO381:QXS381"/>
    <mergeCell ref="QXT381:QXX381"/>
    <mergeCell ref="QXY381:QYC381"/>
    <mergeCell ref="QWF381:QWJ381"/>
    <mergeCell ref="QWK381:QWO381"/>
    <mergeCell ref="QWP381:QWT381"/>
    <mergeCell ref="QWU381:QWY381"/>
    <mergeCell ref="QWZ381:QXD381"/>
    <mergeCell ref="QVG381:QVK381"/>
    <mergeCell ref="QVL381:QVP381"/>
    <mergeCell ref="QVQ381:QVU381"/>
    <mergeCell ref="QVV381:QVZ381"/>
    <mergeCell ref="QWA381:QWE381"/>
    <mergeCell ref="QUH381:QUL381"/>
    <mergeCell ref="QUM381:QUQ381"/>
    <mergeCell ref="QUR381:QUV381"/>
    <mergeCell ref="QUW381:QVA381"/>
    <mergeCell ref="QVB381:QVF381"/>
    <mergeCell ref="QTI381:QTM381"/>
    <mergeCell ref="QTN381:QTR381"/>
    <mergeCell ref="QTS381:QTW381"/>
    <mergeCell ref="QTX381:QUB381"/>
    <mergeCell ref="QUC381:QUG381"/>
    <mergeCell ref="QSJ381:QSN381"/>
    <mergeCell ref="QSO381:QSS381"/>
    <mergeCell ref="QST381:QSX381"/>
    <mergeCell ref="QSY381:QTC381"/>
    <mergeCell ref="QTD381:QTH381"/>
    <mergeCell ref="QRK381:QRO381"/>
    <mergeCell ref="QRP381:QRT381"/>
    <mergeCell ref="QRU381:QRY381"/>
    <mergeCell ref="QRZ381:QSD381"/>
    <mergeCell ref="QSE381:QSI381"/>
    <mergeCell ref="QQL381:QQP381"/>
    <mergeCell ref="QQQ381:QQU381"/>
    <mergeCell ref="QQV381:QQZ381"/>
    <mergeCell ref="QRA381:QRE381"/>
    <mergeCell ref="QRF381:QRJ381"/>
    <mergeCell ref="QPM381:QPQ381"/>
    <mergeCell ref="QPR381:QPV381"/>
    <mergeCell ref="QPW381:QQA381"/>
    <mergeCell ref="QQB381:QQF381"/>
    <mergeCell ref="QQG381:QQK381"/>
    <mergeCell ref="QON381:QOR381"/>
    <mergeCell ref="QOS381:QOW381"/>
    <mergeCell ref="QOX381:QPB381"/>
    <mergeCell ref="QPC381:QPG381"/>
    <mergeCell ref="QPH381:QPL381"/>
    <mergeCell ref="QNO381:QNS381"/>
    <mergeCell ref="QNT381:QNX381"/>
    <mergeCell ref="QNY381:QOC381"/>
    <mergeCell ref="QOD381:QOH381"/>
    <mergeCell ref="QOI381:QOM381"/>
    <mergeCell ref="QMP381:QMT381"/>
    <mergeCell ref="QMU381:QMY381"/>
    <mergeCell ref="QMZ381:QND381"/>
    <mergeCell ref="QNE381:QNI381"/>
    <mergeCell ref="QNJ381:QNN381"/>
    <mergeCell ref="QLQ381:QLU381"/>
    <mergeCell ref="QLV381:QLZ381"/>
    <mergeCell ref="QMA381:QME381"/>
    <mergeCell ref="QMF381:QMJ381"/>
    <mergeCell ref="QMK381:QMO381"/>
    <mergeCell ref="QKR381:QKV381"/>
    <mergeCell ref="QKW381:QLA381"/>
    <mergeCell ref="QLB381:QLF381"/>
    <mergeCell ref="QLG381:QLK381"/>
    <mergeCell ref="QLL381:QLP381"/>
    <mergeCell ref="QJS381:QJW381"/>
    <mergeCell ref="QJX381:QKB381"/>
    <mergeCell ref="QKC381:QKG381"/>
    <mergeCell ref="QKH381:QKL381"/>
    <mergeCell ref="QKM381:QKQ381"/>
    <mergeCell ref="QIT381:QIX381"/>
    <mergeCell ref="QIY381:QJC381"/>
    <mergeCell ref="QJD381:QJH381"/>
    <mergeCell ref="QJI381:QJM381"/>
    <mergeCell ref="QJN381:QJR381"/>
    <mergeCell ref="QHU381:QHY381"/>
    <mergeCell ref="QHZ381:QID381"/>
    <mergeCell ref="QIE381:QII381"/>
    <mergeCell ref="QIJ381:QIN381"/>
    <mergeCell ref="QIO381:QIS381"/>
    <mergeCell ref="QGV381:QGZ381"/>
    <mergeCell ref="QHA381:QHE381"/>
    <mergeCell ref="QHF381:QHJ381"/>
    <mergeCell ref="QHK381:QHO381"/>
    <mergeCell ref="QHP381:QHT381"/>
    <mergeCell ref="QFW381:QGA381"/>
    <mergeCell ref="QGB381:QGF381"/>
    <mergeCell ref="QGG381:QGK381"/>
    <mergeCell ref="QGL381:QGP381"/>
    <mergeCell ref="QGQ381:QGU381"/>
    <mergeCell ref="QEX381:QFB381"/>
    <mergeCell ref="QFC381:QFG381"/>
    <mergeCell ref="QFH381:QFL381"/>
    <mergeCell ref="QFM381:QFQ381"/>
    <mergeCell ref="QFR381:QFV381"/>
    <mergeCell ref="QDY381:QEC381"/>
    <mergeCell ref="QED381:QEH381"/>
    <mergeCell ref="QEI381:QEM381"/>
    <mergeCell ref="QEN381:QER381"/>
    <mergeCell ref="QES381:QEW381"/>
    <mergeCell ref="QCZ381:QDD381"/>
    <mergeCell ref="QDE381:QDI381"/>
    <mergeCell ref="QDJ381:QDN381"/>
    <mergeCell ref="QDO381:QDS381"/>
    <mergeCell ref="QDT381:QDX381"/>
    <mergeCell ref="QCA381:QCE381"/>
    <mergeCell ref="QCF381:QCJ381"/>
    <mergeCell ref="QCK381:QCO381"/>
    <mergeCell ref="QCP381:QCT381"/>
    <mergeCell ref="QCU381:QCY381"/>
    <mergeCell ref="QBB381:QBF381"/>
    <mergeCell ref="QBG381:QBK381"/>
    <mergeCell ref="QBL381:QBP381"/>
    <mergeCell ref="QBQ381:QBU381"/>
    <mergeCell ref="QBV381:QBZ381"/>
    <mergeCell ref="QAC381:QAG381"/>
    <mergeCell ref="QAH381:QAL381"/>
    <mergeCell ref="QAM381:QAQ381"/>
    <mergeCell ref="QAR381:QAV381"/>
    <mergeCell ref="QAW381:QBA381"/>
    <mergeCell ref="PZD381:PZH381"/>
    <mergeCell ref="PZI381:PZM381"/>
    <mergeCell ref="PZN381:PZR381"/>
    <mergeCell ref="PZS381:PZW381"/>
    <mergeCell ref="PZX381:QAB381"/>
    <mergeCell ref="PYE381:PYI381"/>
    <mergeCell ref="PYJ381:PYN381"/>
    <mergeCell ref="PYO381:PYS381"/>
    <mergeCell ref="PYT381:PYX381"/>
    <mergeCell ref="PYY381:PZC381"/>
    <mergeCell ref="PXF381:PXJ381"/>
    <mergeCell ref="PXK381:PXO381"/>
    <mergeCell ref="PXP381:PXT381"/>
    <mergeCell ref="PXU381:PXY381"/>
    <mergeCell ref="PXZ381:PYD381"/>
    <mergeCell ref="PWG381:PWK381"/>
    <mergeCell ref="PWL381:PWP381"/>
    <mergeCell ref="PWQ381:PWU381"/>
    <mergeCell ref="PWV381:PWZ381"/>
    <mergeCell ref="PXA381:PXE381"/>
    <mergeCell ref="PVH381:PVL381"/>
    <mergeCell ref="PVM381:PVQ381"/>
    <mergeCell ref="PVR381:PVV381"/>
    <mergeCell ref="PVW381:PWA381"/>
    <mergeCell ref="PWB381:PWF381"/>
    <mergeCell ref="PUI381:PUM381"/>
    <mergeCell ref="PUN381:PUR381"/>
    <mergeCell ref="PUS381:PUW381"/>
    <mergeCell ref="PUX381:PVB381"/>
    <mergeCell ref="PVC381:PVG381"/>
    <mergeCell ref="PTJ381:PTN381"/>
    <mergeCell ref="PTO381:PTS381"/>
    <mergeCell ref="PTT381:PTX381"/>
    <mergeCell ref="PTY381:PUC381"/>
    <mergeCell ref="PUD381:PUH381"/>
    <mergeCell ref="PSK381:PSO381"/>
    <mergeCell ref="PSP381:PST381"/>
    <mergeCell ref="PSU381:PSY381"/>
    <mergeCell ref="PSZ381:PTD381"/>
    <mergeCell ref="PTE381:PTI381"/>
    <mergeCell ref="PRL381:PRP381"/>
    <mergeCell ref="PRQ381:PRU381"/>
    <mergeCell ref="PRV381:PRZ381"/>
    <mergeCell ref="PSA381:PSE381"/>
    <mergeCell ref="PSF381:PSJ381"/>
    <mergeCell ref="PQM381:PQQ381"/>
    <mergeCell ref="PQR381:PQV381"/>
    <mergeCell ref="PQW381:PRA381"/>
    <mergeCell ref="PRB381:PRF381"/>
    <mergeCell ref="PRG381:PRK381"/>
    <mergeCell ref="PPN381:PPR381"/>
    <mergeCell ref="PPS381:PPW381"/>
    <mergeCell ref="PPX381:PQB381"/>
    <mergeCell ref="PQC381:PQG381"/>
    <mergeCell ref="PQH381:PQL381"/>
    <mergeCell ref="POO381:POS381"/>
    <mergeCell ref="POT381:POX381"/>
    <mergeCell ref="POY381:PPC381"/>
    <mergeCell ref="PPD381:PPH381"/>
    <mergeCell ref="PPI381:PPM381"/>
    <mergeCell ref="PNP381:PNT381"/>
    <mergeCell ref="PNU381:PNY381"/>
    <mergeCell ref="PNZ381:POD381"/>
    <mergeCell ref="POE381:POI381"/>
    <mergeCell ref="POJ381:PON381"/>
    <mergeCell ref="PMQ381:PMU381"/>
    <mergeCell ref="PMV381:PMZ381"/>
    <mergeCell ref="PNA381:PNE381"/>
    <mergeCell ref="PNF381:PNJ381"/>
    <mergeCell ref="PNK381:PNO381"/>
    <mergeCell ref="PLR381:PLV381"/>
    <mergeCell ref="PLW381:PMA381"/>
    <mergeCell ref="PMB381:PMF381"/>
    <mergeCell ref="PMG381:PMK381"/>
    <mergeCell ref="PML381:PMP381"/>
    <mergeCell ref="PKS381:PKW381"/>
    <mergeCell ref="PKX381:PLB381"/>
    <mergeCell ref="PLC381:PLG381"/>
    <mergeCell ref="PLH381:PLL381"/>
    <mergeCell ref="PLM381:PLQ381"/>
    <mergeCell ref="PJT381:PJX381"/>
    <mergeCell ref="PJY381:PKC381"/>
    <mergeCell ref="PKD381:PKH381"/>
    <mergeCell ref="PKI381:PKM381"/>
    <mergeCell ref="PKN381:PKR381"/>
    <mergeCell ref="PIU381:PIY381"/>
    <mergeCell ref="PIZ381:PJD381"/>
    <mergeCell ref="PJE381:PJI381"/>
    <mergeCell ref="PJJ381:PJN381"/>
    <mergeCell ref="PJO381:PJS381"/>
    <mergeCell ref="PHV381:PHZ381"/>
    <mergeCell ref="PIA381:PIE381"/>
    <mergeCell ref="PIF381:PIJ381"/>
    <mergeCell ref="PIK381:PIO381"/>
    <mergeCell ref="PIP381:PIT381"/>
    <mergeCell ref="PGW381:PHA381"/>
    <mergeCell ref="PHB381:PHF381"/>
    <mergeCell ref="PHG381:PHK381"/>
    <mergeCell ref="PHL381:PHP381"/>
    <mergeCell ref="PHQ381:PHU381"/>
    <mergeCell ref="PFX381:PGB381"/>
    <mergeCell ref="PGC381:PGG381"/>
    <mergeCell ref="PGH381:PGL381"/>
    <mergeCell ref="PGM381:PGQ381"/>
    <mergeCell ref="PGR381:PGV381"/>
    <mergeCell ref="PEY381:PFC381"/>
    <mergeCell ref="PFD381:PFH381"/>
    <mergeCell ref="PFI381:PFM381"/>
    <mergeCell ref="PFN381:PFR381"/>
    <mergeCell ref="PFS381:PFW381"/>
    <mergeCell ref="PDZ381:PED381"/>
    <mergeCell ref="PEE381:PEI381"/>
    <mergeCell ref="PEJ381:PEN381"/>
    <mergeCell ref="PEO381:PES381"/>
    <mergeCell ref="PET381:PEX381"/>
    <mergeCell ref="PDA381:PDE381"/>
    <mergeCell ref="PDF381:PDJ381"/>
    <mergeCell ref="PDK381:PDO381"/>
    <mergeCell ref="PDP381:PDT381"/>
    <mergeCell ref="PDU381:PDY381"/>
    <mergeCell ref="PCB381:PCF381"/>
    <mergeCell ref="PCG381:PCK381"/>
    <mergeCell ref="PCL381:PCP381"/>
    <mergeCell ref="PCQ381:PCU381"/>
    <mergeCell ref="PCV381:PCZ381"/>
    <mergeCell ref="PBC381:PBG381"/>
    <mergeCell ref="PBH381:PBL381"/>
    <mergeCell ref="PBM381:PBQ381"/>
    <mergeCell ref="PBR381:PBV381"/>
    <mergeCell ref="PBW381:PCA381"/>
    <mergeCell ref="PAD381:PAH381"/>
    <mergeCell ref="PAI381:PAM381"/>
    <mergeCell ref="PAN381:PAR381"/>
    <mergeCell ref="PAS381:PAW381"/>
    <mergeCell ref="PAX381:PBB381"/>
    <mergeCell ref="OZE381:OZI381"/>
    <mergeCell ref="OZJ381:OZN381"/>
    <mergeCell ref="OZO381:OZS381"/>
    <mergeCell ref="OZT381:OZX381"/>
    <mergeCell ref="OZY381:PAC381"/>
    <mergeCell ref="OYF381:OYJ381"/>
    <mergeCell ref="OYK381:OYO381"/>
    <mergeCell ref="OYP381:OYT381"/>
    <mergeCell ref="OYU381:OYY381"/>
    <mergeCell ref="OYZ381:OZD381"/>
    <mergeCell ref="OXG381:OXK381"/>
    <mergeCell ref="OXL381:OXP381"/>
    <mergeCell ref="OXQ381:OXU381"/>
    <mergeCell ref="OXV381:OXZ381"/>
    <mergeCell ref="OYA381:OYE381"/>
    <mergeCell ref="OWH381:OWL381"/>
    <mergeCell ref="OWM381:OWQ381"/>
    <mergeCell ref="OWR381:OWV381"/>
    <mergeCell ref="OWW381:OXA381"/>
    <mergeCell ref="OXB381:OXF381"/>
    <mergeCell ref="OVI381:OVM381"/>
    <mergeCell ref="OVN381:OVR381"/>
    <mergeCell ref="OVS381:OVW381"/>
    <mergeCell ref="OVX381:OWB381"/>
    <mergeCell ref="OWC381:OWG381"/>
    <mergeCell ref="OUJ381:OUN381"/>
    <mergeCell ref="OUO381:OUS381"/>
    <mergeCell ref="OUT381:OUX381"/>
    <mergeCell ref="OUY381:OVC381"/>
    <mergeCell ref="OVD381:OVH381"/>
    <mergeCell ref="OTK381:OTO381"/>
    <mergeCell ref="OTP381:OTT381"/>
    <mergeCell ref="OTU381:OTY381"/>
    <mergeCell ref="OTZ381:OUD381"/>
    <mergeCell ref="OUE381:OUI381"/>
    <mergeCell ref="OSL381:OSP381"/>
    <mergeCell ref="OSQ381:OSU381"/>
    <mergeCell ref="OSV381:OSZ381"/>
    <mergeCell ref="OTA381:OTE381"/>
    <mergeCell ref="OTF381:OTJ381"/>
    <mergeCell ref="ORM381:ORQ381"/>
    <mergeCell ref="ORR381:ORV381"/>
    <mergeCell ref="ORW381:OSA381"/>
    <mergeCell ref="OSB381:OSF381"/>
    <mergeCell ref="OSG381:OSK381"/>
    <mergeCell ref="OQN381:OQR381"/>
    <mergeCell ref="OQS381:OQW381"/>
    <mergeCell ref="OQX381:ORB381"/>
    <mergeCell ref="ORC381:ORG381"/>
    <mergeCell ref="ORH381:ORL381"/>
    <mergeCell ref="OPO381:OPS381"/>
    <mergeCell ref="OPT381:OPX381"/>
    <mergeCell ref="OPY381:OQC381"/>
    <mergeCell ref="OQD381:OQH381"/>
    <mergeCell ref="OQI381:OQM381"/>
    <mergeCell ref="OOP381:OOT381"/>
    <mergeCell ref="OOU381:OOY381"/>
    <mergeCell ref="OOZ381:OPD381"/>
    <mergeCell ref="OPE381:OPI381"/>
    <mergeCell ref="OPJ381:OPN381"/>
    <mergeCell ref="ONQ381:ONU381"/>
    <mergeCell ref="ONV381:ONZ381"/>
    <mergeCell ref="OOA381:OOE381"/>
    <mergeCell ref="OOF381:OOJ381"/>
    <mergeCell ref="OOK381:OOO381"/>
    <mergeCell ref="OMR381:OMV381"/>
    <mergeCell ref="OMW381:ONA381"/>
    <mergeCell ref="ONB381:ONF381"/>
    <mergeCell ref="ONG381:ONK381"/>
    <mergeCell ref="ONL381:ONP381"/>
    <mergeCell ref="OLS381:OLW381"/>
    <mergeCell ref="OLX381:OMB381"/>
    <mergeCell ref="OMC381:OMG381"/>
    <mergeCell ref="OMH381:OML381"/>
    <mergeCell ref="OMM381:OMQ381"/>
    <mergeCell ref="OKT381:OKX381"/>
    <mergeCell ref="OKY381:OLC381"/>
    <mergeCell ref="OLD381:OLH381"/>
    <mergeCell ref="OLI381:OLM381"/>
    <mergeCell ref="OLN381:OLR381"/>
    <mergeCell ref="OJU381:OJY381"/>
    <mergeCell ref="OJZ381:OKD381"/>
    <mergeCell ref="OKE381:OKI381"/>
    <mergeCell ref="OKJ381:OKN381"/>
    <mergeCell ref="OKO381:OKS381"/>
    <mergeCell ref="OIV381:OIZ381"/>
    <mergeCell ref="OJA381:OJE381"/>
    <mergeCell ref="OJF381:OJJ381"/>
    <mergeCell ref="OJK381:OJO381"/>
    <mergeCell ref="OJP381:OJT381"/>
    <mergeCell ref="OHW381:OIA381"/>
    <mergeCell ref="OIB381:OIF381"/>
    <mergeCell ref="OIG381:OIK381"/>
    <mergeCell ref="OIL381:OIP381"/>
    <mergeCell ref="OIQ381:OIU381"/>
    <mergeCell ref="OGX381:OHB381"/>
    <mergeCell ref="OHC381:OHG381"/>
    <mergeCell ref="OHH381:OHL381"/>
    <mergeCell ref="OHM381:OHQ381"/>
    <mergeCell ref="OHR381:OHV381"/>
    <mergeCell ref="OFY381:OGC381"/>
    <mergeCell ref="OGD381:OGH381"/>
    <mergeCell ref="OGI381:OGM381"/>
    <mergeCell ref="OGN381:OGR381"/>
    <mergeCell ref="OGS381:OGW381"/>
    <mergeCell ref="OEZ381:OFD381"/>
    <mergeCell ref="OFE381:OFI381"/>
    <mergeCell ref="OFJ381:OFN381"/>
    <mergeCell ref="OFO381:OFS381"/>
    <mergeCell ref="OFT381:OFX381"/>
    <mergeCell ref="OEA381:OEE381"/>
    <mergeCell ref="OEF381:OEJ381"/>
    <mergeCell ref="OEK381:OEO381"/>
    <mergeCell ref="OEP381:OET381"/>
    <mergeCell ref="OEU381:OEY381"/>
    <mergeCell ref="ODB381:ODF381"/>
    <mergeCell ref="ODG381:ODK381"/>
    <mergeCell ref="ODL381:ODP381"/>
    <mergeCell ref="ODQ381:ODU381"/>
    <mergeCell ref="ODV381:ODZ381"/>
    <mergeCell ref="OCC381:OCG381"/>
    <mergeCell ref="OCH381:OCL381"/>
    <mergeCell ref="OCM381:OCQ381"/>
    <mergeCell ref="OCR381:OCV381"/>
    <mergeCell ref="OCW381:ODA381"/>
    <mergeCell ref="OBD381:OBH381"/>
    <mergeCell ref="OBI381:OBM381"/>
    <mergeCell ref="OBN381:OBR381"/>
    <mergeCell ref="OBS381:OBW381"/>
    <mergeCell ref="OBX381:OCB381"/>
    <mergeCell ref="OAE381:OAI381"/>
    <mergeCell ref="OAJ381:OAN381"/>
    <mergeCell ref="OAO381:OAS381"/>
    <mergeCell ref="OAT381:OAX381"/>
    <mergeCell ref="OAY381:OBC381"/>
    <mergeCell ref="NZF381:NZJ381"/>
    <mergeCell ref="NZK381:NZO381"/>
    <mergeCell ref="NZP381:NZT381"/>
    <mergeCell ref="NZU381:NZY381"/>
    <mergeCell ref="NZZ381:OAD381"/>
    <mergeCell ref="NYG381:NYK381"/>
    <mergeCell ref="NYL381:NYP381"/>
    <mergeCell ref="NYQ381:NYU381"/>
    <mergeCell ref="NYV381:NYZ381"/>
    <mergeCell ref="NZA381:NZE381"/>
    <mergeCell ref="NXH381:NXL381"/>
    <mergeCell ref="NXM381:NXQ381"/>
    <mergeCell ref="NXR381:NXV381"/>
    <mergeCell ref="NXW381:NYA381"/>
    <mergeCell ref="NYB381:NYF381"/>
    <mergeCell ref="NWI381:NWM381"/>
    <mergeCell ref="NWN381:NWR381"/>
    <mergeCell ref="NWS381:NWW381"/>
    <mergeCell ref="NWX381:NXB381"/>
    <mergeCell ref="NXC381:NXG381"/>
    <mergeCell ref="NVJ381:NVN381"/>
    <mergeCell ref="NVO381:NVS381"/>
    <mergeCell ref="NVT381:NVX381"/>
    <mergeCell ref="NVY381:NWC381"/>
    <mergeCell ref="NWD381:NWH381"/>
    <mergeCell ref="NUK381:NUO381"/>
    <mergeCell ref="NUP381:NUT381"/>
    <mergeCell ref="NUU381:NUY381"/>
    <mergeCell ref="NUZ381:NVD381"/>
    <mergeCell ref="NVE381:NVI381"/>
    <mergeCell ref="NTL381:NTP381"/>
    <mergeCell ref="NTQ381:NTU381"/>
    <mergeCell ref="NTV381:NTZ381"/>
    <mergeCell ref="NUA381:NUE381"/>
    <mergeCell ref="NUF381:NUJ381"/>
    <mergeCell ref="NSM381:NSQ381"/>
    <mergeCell ref="NSR381:NSV381"/>
    <mergeCell ref="NSW381:NTA381"/>
    <mergeCell ref="NTB381:NTF381"/>
    <mergeCell ref="NTG381:NTK381"/>
    <mergeCell ref="NRN381:NRR381"/>
    <mergeCell ref="NRS381:NRW381"/>
    <mergeCell ref="NRX381:NSB381"/>
    <mergeCell ref="NSC381:NSG381"/>
    <mergeCell ref="NSH381:NSL381"/>
    <mergeCell ref="NQO381:NQS381"/>
    <mergeCell ref="NQT381:NQX381"/>
    <mergeCell ref="NQY381:NRC381"/>
    <mergeCell ref="NRD381:NRH381"/>
    <mergeCell ref="NRI381:NRM381"/>
    <mergeCell ref="NPP381:NPT381"/>
    <mergeCell ref="NPU381:NPY381"/>
    <mergeCell ref="NPZ381:NQD381"/>
    <mergeCell ref="NQE381:NQI381"/>
    <mergeCell ref="NQJ381:NQN381"/>
    <mergeCell ref="NOQ381:NOU381"/>
    <mergeCell ref="NOV381:NOZ381"/>
    <mergeCell ref="NPA381:NPE381"/>
    <mergeCell ref="NPF381:NPJ381"/>
    <mergeCell ref="NPK381:NPO381"/>
    <mergeCell ref="NNR381:NNV381"/>
    <mergeCell ref="NNW381:NOA381"/>
    <mergeCell ref="NOB381:NOF381"/>
    <mergeCell ref="NOG381:NOK381"/>
    <mergeCell ref="NOL381:NOP381"/>
    <mergeCell ref="NMS381:NMW381"/>
    <mergeCell ref="NMX381:NNB381"/>
    <mergeCell ref="NNC381:NNG381"/>
    <mergeCell ref="NNH381:NNL381"/>
    <mergeCell ref="NNM381:NNQ381"/>
    <mergeCell ref="NLT381:NLX381"/>
    <mergeCell ref="NLY381:NMC381"/>
    <mergeCell ref="NMD381:NMH381"/>
    <mergeCell ref="NMI381:NMM381"/>
    <mergeCell ref="NMN381:NMR381"/>
    <mergeCell ref="NKU381:NKY381"/>
    <mergeCell ref="NKZ381:NLD381"/>
    <mergeCell ref="NLE381:NLI381"/>
    <mergeCell ref="NLJ381:NLN381"/>
    <mergeCell ref="NLO381:NLS381"/>
    <mergeCell ref="NJV381:NJZ381"/>
    <mergeCell ref="NKA381:NKE381"/>
    <mergeCell ref="NKF381:NKJ381"/>
    <mergeCell ref="NKK381:NKO381"/>
    <mergeCell ref="NKP381:NKT381"/>
    <mergeCell ref="NIW381:NJA381"/>
    <mergeCell ref="NJB381:NJF381"/>
    <mergeCell ref="NJG381:NJK381"/>
    <mergeCell ref="NJL381:NJP381"/>
    <mergeCell ref="NJQ381:NJU381"/>
    <mergeCell ref="NHX381:NIB381"/>
    <mergeCell ref="NIC381:NIG381"/>
    <mergeCell ref="NIH381:NIL381"/>
    <mergeCell ref="NIM381:NIQ381"/>
    <mergeCell ref="NIR381:NIV381"/>
    <mergeCell ref="NGY381:NHC381"/>
    <mergeCell ref="NHD381:NHH381"/>
    <mergeCell ref="NHI381:NHM381"/>
    <mergeCell ref="NHN381:NHR381"/>
    <mergeCell ref="NHS381:NHW381"/>
    <mergeCell ref="NFZ381:NGD381"/>
    <mergeCell ref="NGE381:NGI381"/>
    <mergeCell ref="NGJ381:NGN381"/>
    <mergeCell ref="NGO381:NGS381"/>
    <mergeCell ref="NGT381:NGX381"/>
    <mergeCell ref="NFA381:NFE381"/>
    <mergeCell ref="NFF381:NFJ381"/>
    <mergeCell ref="NFK381:NFO381"/>
    <mergeCell ref="NFP381:NFT381"/>
    <mergeCell ref="NFU381:NFY381"/>
    <mergeCell ref="NEB381:NEF381"/>
    <mergeCell ref="NEG381:NEK381"/>
    <mergeCell ref="NEL381:NEP381"/>
    <mergeCell ref="NEQ381:NEU381"/>
    <mergeCell ref="NEV381:NEZ381"/>
    <mergeCell ref="NDC381:NDG381"/>
    <mergeCell ref="NDH381:NDL381"/>
    <mergeCell ref="NDM381:NDQ381"/>
    <mergeCell ref="NDR381:NDV381"/>
    <mergeCell ref="NDW381:NEA381"/>
    <mergeCell ref="NCD381:NCH381"/>
    <mergeCell ref="NCI381:NCM381"/>
    <mergeCell ref="NCN381:NCR381"/>
    <mergeCell ref="NCS381:NCW381"/>
    <mergeCell ref="NCX381:NDB381"/>
    <mergeCell ref="NBE381:NBI381"/>
    <mergeCell ref="NBJ381:NBN381"/>
    <mergeCell ref="NBO381:NBS381"/>
    <mergeCell ref="NBT381:NBX381"/>
    <mergeCell ref="NBY381:NCC381"/>
    <mergeCell ref="NAF381:NAJ381"/>
    <mergeCell ref="NAK381:NAO381"/>
    <mergeCell ref="NAP381:NAT381"/>
    <mergeCell ref="NAU381:NAY381"/>
    <mergeCell ref="NAZ381:NBD381"/>
    <mergeCell ref="MZG381:MZK381"/>
    <mergeCell ref="MZL381:MZP381"/>
    <mergeCell ref="MZQ381:MZU381"/>
    <mergeCell ref="MZV381:MZZ381"/>
    <mergeCell ref="NAA381:NAE381"/>
    <mergeCell ref="MYH381:MYL381"/>
    <mergeCell ref="MYM381:MYQ381"/>
    <mergeCell ref="MYR381:MYV381"/>
    <mergeCell ref="MYW381:MZA381"/>
    <mergeCell ref="MZB381:MZF381"/>
    <mergeCell ref="MXI381:MXM381"/>
    <mergeCell ref="MXN381:MXR381"/>
    <mergeCell ref="MXS381:MXW381"/>
    <mergeCell ref="MXX381:MYB381"/>
    <mergeCell ref="MYC381:MYG381"/>
    <mergeCell ref="MWJ381:MWN381"/>
    <mergeCell ref="MWO381:MWS381"/>
    <mergeCell ref="MWT381:MWX381"/>
    <mergeCell ref="MWY381:MXC381"/>
    <mergeCell ref="MXD381:MXH381"/>
    <mergeCell ref="MVK381:MVO381"/>
    <mergeCell ref="MVP381:MVT381"/>
    <mergeCell ref="MVU381:MVY381"/>
    <mergeCell ref="MVZ381:MWD381"/>
    <mergeCell ref="MWE381:MWI381"/>
    <mergeCell ref="MUL381:MUP381"/>
    <mergeCell ref="MUQ381:MUU381"/>
    <mergeCell ref="MUV381:MUZ381"/>
    <mergeCell ref="MVA381:MVE381"/>
    <mergeCell ref="MVF381:MVJ381"/>
    <mergeCell ref="MTM381:MTQ381"/>
    <mergeCell ref="MTR381:MTV381"/>
    <mergeCell ref="MTW381:MUA381"/>
    <mergeCell ref="MUB381:MUF381"/>
    <mergeCell ref="MUG381:MUK381"/>
    <mergeCell ref="MSN381:MSR381"/>
    <mergeCell ref="MSS381:MSW381"/>
    <mergeCell ref="MSX381:MTB381"/>
    <mergeCell ref="MTC381:MTG381"/>
    <mergeCell ref="MTH381:MTL381"/>
    <mergeCell ref="MRO381:MRS381"/>
    <mergeCell ref="MRT381:MRX381"/>
    <mergeCell ref="MRY381:MSC381"/>
    <mergeCell ref="MSD381:MSH381"/>
    <mergeCell ref="MSI381:MSM381"/>
    <mergeCell ref="MQP381:MQT381"/>
    <mergeCell ref="MQU381:MQY381"/>
    <mergeCell ref="MQZ381:MRD381"/>
    <mergeCell ref="MRE381:MRI381"/>
    <mergeCell ref="MRJ381:MRN381"/>
    <mergeCell ref="MPQ381:MPU381"/>
    <mergeCell ref="MPV381:MPZ381"/>
    <mergeCell ref="MQA381:MQE381"/>
    <mergeCell ref="MQF381:MQJ381"/>
    <mergeCell ref="MQK381:MQO381"/>
    <mergeCell ref="MOR381:MOV381"/>
    <mergeCell ref="MOW381:MPA381"/>
    <mergeCell ref="MPB381:MPF381"/>
    <mergeCell ref="MPG381:MPK381"/>
    <mergeCell ref="MPL381:MPP381"/>
    <mergeCell ref="MNS381:MNW381"/>
    <mergeCell ref="MNX381:MOB381"/>
    <mergeCell ref="MOC381:MOG381"/>
    <mergeCell ref="MOH381:MOL381"/>
    <mergeCell ref="MOM381:MOQ381"/>
    <mergeCell ref="MMT381:MMX381"/>
    <mergeCell ref="MMY381:MNC381"/>
    <mergeCell ref="MND381:MNH381"/>
    <mergeCell ref="MNI381:MNM381"/>
    <mergeCell ref="MNN381:MNR381"/>
    <mergeCell ref="MLU381:MLY381"/>
    <mergeCell ref="MLZ381:MMD381"/>
    <mergeCell ref="MME381:MMI381"/>
    <mergeCell ref="MMJ381:MMN381"/>
    <mergeCell ref="MMO381:MMS381"/>
    <mergeCell ref="MKV381:MKZ381"/>
    <mergeCell ref="MLA381:MLE381"/>
    <mergeCell ref="MLF381:MLJ381"/>
    <mergeCell ref="MLK381:MLO381"/>
    <mergeCell ref="MLP381:MLT381"/>
    <mergeCell ref="MJW381:MKA381"/>
    <mergeCell ref="MKB381:MKF381"/>
    <mergeCell ref="MKG381:MKK381"/>
    <mergeCell ref="MKL381:MKP381"/>
    <mergeCell ref="MKQ381:MKU381"/>
    <mergeCell ref="MIX381:MJB381"/>
    <mergeCell ref="MJC381:MJG381"/>
    <mergeCell ref="MJH381:MJL381"/>
    <mergeCell ref="MJM381:MJQ381"/>
    <mergeCell ref="MJR381:MJV381"/>
    <mergeCell ref="MHY381:MIC381"/>
    <mergeCell ref="MID381:MIH381"/>
    <mergeCell ref="MII381:MIM381"/>
    <mergeCell ref="MIN381:MIR381"/>
    <mergeCell ref="MIS381:MIW381"/>
    <mergeCell ref="MGZ381:MHD381"/>
    <mergeCell ref="MHE381:MHI381"/>
    <mergeCell ref="MHJ381:MHN381"/>
    <mergeCell ref="MHO381:MHS381"/>
    <mergeCell ref="MHT381:MHX381"/>
    <mergeCell ref="MGA381:MGE381"/>
    <mergeCell ref="MGF381:MGJ381"/>
    <mergeCell ref="MGK381:MGO381"/>
    <mergeCell ref="MGP381:MGT381"/>
    <mergeCell ref="MGU381:MGY381"/>
    <mergeCell ref="MFB381:MFF381"/>
    <mergeCell ref="MFG381:MFK381"/>
    <mergeCell ref="MFL381:MFP381"/>
    <mergeCell ref="MFQ381:MFU381"/>
    <mergeCell ref="MFV381:MFZ381"/>
    <mergeCell ref="MEC381:MEG381"/>
    <mergeCell ref="MEH381:MEL381"/>
    <mergeCell ref="MEM381:MEQ381"/>
    <mergeCell ref="MER381:MEV381"/>
    <mergeCell ref="MEW381:MFA381"/>
    <mergeCell ref="MDD381:MDH381"/>
    <mergeCell ref="MDI381:MDM381"/>
    <mergeCell ref="MDN381:MDR381"/>
    <mergeCell ref="MDS381:MDW381"/>
    <mergeCell ref="MDX381:MEB381"/>
    <mergeCell ref="MCE381:MCI381"/>
    <mergeCell ref="MCJ381:MCN381"/>
    <mergeCell ref="MCO381:MCS381"/>
    <mergeCell ref="MCT381:MCX381"/>
    <mergeCell ref="MCY381:MDC381"/>
    <mergeCell ref="MBF381:MBJ381"/>
    <mergeCell ref="MBK381:MBO381"/>
    <mergeCell ref="MBP381:MBT381"/>
    <mergeCell ref="MBU381:MBY381"/>
    <mergeCell ref="MBZ381:MCD381"/>
    <mergeCell ref="MAG381:MAK381"/>
    <mergeCell ref="MAL381:MAP381"/>
    <mergeCell ref="MAQ381:MAU381"/>
    <mergeCell ref="MAV381:MAZ381"/>
    <mergeCell ref="MBA381:MBE381"/>
    <mergeCell ref="LZH381:LZL381"/>
    <mergeCell ref="LZM381:LZQ381"/>
    <mergeCell ref="LZR381:LZV381"/>
    <mergeCell ref="LZW381:MAA381"/>
    <mergeCell ref="MAB381:MAF381"/>
    <mergeCell ref="LYI381:LYM381"/>
    <mergeCell ref="LYN381:LYR381"/>
    <mergeCell ref="LYS381:LYW381"/>
    <mergeCell ref="LYX381:LZB381"/>
    <mergeCell ref="LZC381:LZG381"/>
    <mergeCell ref="LXJ381:LXN381"/>
    <mergeCell ref="LXO381:LXS381"/>
    <mergeCell ref="LXT381:LXX381"/>
    <mergeCell ref="LXY381:LYC381"/>
    <mergeCell ref="LYD381:LYH381"/>
    <mergeCell ref="LWK381:LWO381"/>
    <mergeCell ref="LWP381:LWT381"/>
    <mergeCell ref="LWU381:LWY381"/>
    <mergeCell ref="LWZ381:LXD381"/>
    <mergeCell ref="LXE381:LXI381"/>
    <mergeCell ref="LVL381:LVP381"/>
    <mergeCell ref="LVQ381:LVU381"/>
    <mergeCell ref="LVV381:LVZ381"/>
    <mergeCell ref="LWA381:LWE381"/>
    <mergeCell ref="LWF381:LWJ381"/>
    <mergeCell ref="LUM381:LUQ381"/>
    <mergeCell ref="LUR381:LUV381"/>
    <mergeCell ref="LUW381:LVA381"/>
    <mergeCell ref="LVB381:LVF381"/>
    <mergeCell ref="LVG381:LVK381"/>
    <mergeCell ref="LTN381:LTR381"/>
    <mergeCell ref="LTS381:LTW381"/>
    <mergeCell ref="LTX381:LUB381"/>
    <mergeCell ref="LUC381:LUG381"/>
    <mergeCell ref="LUH381:LUL381"/>
    <mergeCell ref="LSO381:LSS381"/>
    <mergeCell ref="LST381:LSX381"/>
    <mergeCell ref="LSY381:LTC381"/>
    <mergeCell ref="LTD381:LTH381"/>
    <mergeCell ref="LTI381:LTM381"/>
    <mergeCell ref="LRP381:LRT381"/>
    <mergeCell ref="LRU381:LRY381"/>
    <mergeCell ref="LRZ381:LSD381"/>
    <mergeCell ref="LSE381:LSI381"/>
    <mergeCell ref="LSJ381:LSN381"/>
    <mergeCell ref="LQQ381:LQU381"/>
    <mergeCell ref="LQV381:LQZ381"/>
    <mergeCell ref="LRA381:LRE381"/>
    <mergeCell ref="LRF381:LRJ381"/>
    <mergeCell ref="LRK381:LRO381"/>
    <mergeCell ref="LPR381:LPV381"/>
    <mergeCell ref="LPW381:LQA381"/>
    <mergeCell ref="LQB381:LQF381"/>
    <mergeCell ref="LQG381:LQK381"/>
    <mergeCell ref="LQL381:LQP381"/>
    <mergeCell ref="LOS381:LOW381"/>
    <mergeCell ref="LOX381:LPB381"/>
    <mergeCell ref="LPC381:LPG381"/>
    <mergeCell ref="LPH381:LPL381"/>
    <mergeCell ref="LPM381:LPQ381"/>
    <mergeCell ref="LNT381:LNX381"/>
    <mergeCell ref="LNY381:LOC381"/>
    <mergeCell ref="LOD381:LOH381"/>
    <mergeCell ref="LOI381:LOM381"/>
    <mergeCell ref="LON381:LOR381"/>
    <mergeCell ref="LMU381:LMY381"/>
    <mergeCell ref="LMZ381:LND381"/>
    <mergeCell ref="LNE381:LNI381"/>
    <mergeCell ref="LNJ381:LNN381"/>
    <mergeCell ref="LNO381:LNS381"/>
    <mergeCell ref="LLV381:LLZ381"/>
    <mergeCell ref="LMA381:LME381"/>
    <mergeCell ref="LMF381:LMJ381"/>
    <mergeCell ref="LMK381:LMO381"/>
    <mergeCell ref="LMP381:LMT381"/>
    <mergeCell ref="LKW381:LLA381"/>
    <mergeCell ref="LLB381:LLF381"/>
    <mergeCell ref="LLG381:LLK381"/>
    <mergeCell ref="LLL381:LLP381"/>
    <mergeCell ref="LLQ381:LLU381"/>
    <mergeCell ref="LJX381:LKB381"/>
    <mergeCell ref="LKC381:LKG381"/>
    <mergeCell ref="LKH381:LKL381"/>
    <mergeCell ref="LKM381:LKQ381"/>
    <mergeCell ref="LKR381:LKV381"/>
    <mergeCell ref="LIY381:LJC381"/>
    <mergeCell ref="LJD381:LJH381"/>
    <mergeCell ref="LJI381:LJM381"/>
    <mergeCell ref="LJN381:LJR381"/>
    <mergeCell ref="LJS381:LJW381"/>
    <mergeCell ref="LHZ381:LID381"/>
    <mergeCell ref="LIE381:LII381"/>
    <mergeCell ref="LIJ381:LIN381"/>
    <mergeCell ref="LIO381:LIS381"/>
    <mergeCell ref="LIT381:LIX381"/>
    <mergeCell ref="LHA381:LHE381"/>
    <mergeCell ref="LHF381:LHJ381"/>
    <mergeCell ref="LHK381:LHO381"/>
    <mergeCell ref="LHP381:LHT381"/>
    <mergeCell ref="LHU381:LHY381"/>
    <mergeCell ref="LGB381:LGF381"/>
    <mergeCell ref="LGG381:LGK381"/>
    <mergeCell ref="LGL381:LGP381"/>
    <mergeCell ref="LGQ381:LGU381"/>
    <mergeCell ref="LGV381:LGZ381"/>
    <mergeCell ref="LFC381:LFG381"/>
    <mergeCell ref="LFH381:LFL381"/>
    <mergeCell ref="LFM381:LFQ381"/>
    <mergeCell ref="LFR381:LFV381"/>
    <mergeCell ref="LFW381:LGA381"/>
    <mergeCell ref="LED381:LEH381"/>
    <mergeCell ref="LEI381:LEM381"/>
    <mergeCell ref="LEN381:LER381"/>
    <mergeCell ref="LES381:LEW381"/>
    <mergeCell ref="LEX381:LFB381"/>
    <mergeCell ref="LDE381:LDI381"/>
    <mergeCell ref="LDJ381:LDN381"/>
    <mergeCell ref="LDO381:LDS381"/>
    <mergeCell ref="LDT381:LDX381"/>
    <mergeCell ref="LDY381:LEC381"/>
    <mergeCell ref="LCF381:LCJ381"/>
    <mergeCell ref="LCK381:LCO381"/>
    <mergeCell ref="LCP381:LCT381"/>
    <mergeCell ref="LCU381:LCY381"/>
    <mergeCell ref="LCZ381:LDD381"/>
    <mergeCell ref="LBG381:LBK381"/>
    <mergeCell ref="LBL381:LBP381"/>
    <mergeCell ref="LBQ381:LBU381"/>
    <mergeCell ref="LBV381:LBZ381"/>
    <mergeCell ref="LCA381:LCE381"/>
    <mergeCell ref="LAH381:LAL381"/>
    <mergeCell ref="LAM381:LAQ381"/>
    <mergeCell ref="LAR381:LAV381"/>
    <mergeCell ref="LAW381:LBA381"/>
    <mergeCell ref="LBB381:LBF381"/>
    <mergeCell ref="KZI381:KZM381"/>
    <mergeCell ref="KZN381:KZR381"/>
    <mergeCell ref="KZS381:KZW381"/>
    <mergeCell ref="KZX381:LAB381"/>
    <mergeCell ref="LAC381:LAG381"/>
    <mergeCell ref="KYJ381:KYN381"/>
    <mergeCell ref="KYO381:KYS381"/>
    <mergeCell ref="KYT381:KYX381"/>
    <mergeCell ref="KYY381:KZC381"/>
    <mergeCell ref="KZD381:KZH381"/>
    <mergeCell ref="KXK381:KXO381"/>
    <mergeCell ref="KXP381:KXT381"/>
    <mergeCell ref="KXU381:KXY381"/>
    <mergeCell ref="KXZ381:KYD381"/>
    <mergeCell ref="KYE381:KYI381"/>
    <mergeCell ref="KWL381:KWP381"/>
    <mergeCell ref="KWQ381:KWU381"/>
    <mergeCell ref="KWV381:KWZ381"/>
    <mergeCell ref="KXA381:KXE381"/>
    <mergeCell ref="KXF381:KXJ381"/>
    <mergeCell ref="KVM381:KVQ381"/>
    <mergeCell ref="KVR381:KVV381"/>
    <mergeCell ref="KVW381:KWA381"/>
    <mergeCell ref="KWB381:KWF381"/>
    <mergeCell ref="KWG381:KWK381"/>
    <mergeCell ref="KUN381:KUR381"/>
    <mergeCell ref="KUS381:KUW381"/>
    <mergeCell ref="KUX381:KVB381"/>
    <mergeCell ref="KVC381:KVG381"/>
    <mergeCell ref="KVH381:KVL381"/>
    <mergeCell ref="KTO381:KTS381"/>
    <mergeCell ref="KTT381:KTX381"/>
    <mergeCell ref="KTY381:KUC381"/>
    <mergeCell ref="KUD381:KUH381"/>
    <mergeCell ref="KUI381:KUM381"/>
    <mergeCell ref="KSP381:KST381"/>
    <mergeCell ref="KSU381:KSY381"/>
    <mergeCell ref="KSZ381:KTD381"/>
    <mergeCell ref="KTE381:KTI381"/>
    <mergeCell ref="KTJ381:KTN381"/>
    <mergeCell ref="KRQ381:KRU381"/>
    <mergeCell ref="KRV381:KRZ381"/>
    <mergeCell ref="KSA381:KSE381"/>
    <mergeCell ref="KSF381:KSJ381"/>
    <mergeCell ref="KSK381:KSO381"/>
    <mergeCell ref="KQR381:KQV381"/>
    <mergeCell ref="KQW381:KRA381"/>
    <mergeCell ref="KRB381:KRF381"/>
    <mergeCell ref="KRG381:KRK381"/>
    <mergeCell ref="KRL381:KRP381"/>
    <mergeCell ref="KPS381:KPW381"/>
    <mergeCell ref="KPX381:KQB381"/>
    <mergeCell ref="KQC381:KQG381"/>
    <mergeCell ref="KQH381:KQL381"/>
    <mergeCell ref="KQM381:KQQ381"/>
    <mergeCell ref="KOT381:KOX381"/>
    <mergeCell ref="KOY381:KPC381"/>
    <mergeCell ref="KPD381:KPH381"/>
    <mergeCell ref="KPI381:KPM381"/>
    <mergeCell ref="KPN381:KPR381"/>
    <mergeCell ref="KNU381:KNY381"/>
    <mergeCell ref="KNZ381:KOD381"/>
    <mergeCell ref="KOE381:KOI381"/>
    <mergeCell ref="KOJ381:KON381"/>
    <mergeCell ref="KOO381:KOS381"/>
    <mergeCell ref="KMV381:KMZ381"/>
    <mergeCell ref="KNA381:KNE381"/>
    <mergeCell ref="KNF381:KNJ381"/>
    <mergeCell ref="KNK381:KNO381"/>
    <mergeCell ref="KNP381:KNT381"/>
    <mergeCell ref="KLW381:KMA381"/>
    <mergeCell ref="KMB381:KMF381"/>
    <mergeCell ref="KMG381:KMK381"/>
    <mergeCell ref="KML381:KMP381"/>
    <mergeCell ref="KMQ381:KMU381"/>
    <mergeCell ref="KKX381:KLB381"/>
    <mergeCell ref="KLC381:KLG381"/>
    <mergeCell ref="KLH381:KLL381"/>
    <mergeCell ref="KLM381:KLQ381"/>
    <mergeCell ref="KLR381:KLV381"/>
    <mergeCell ref="KJY381:KKC381"/>
    <mergeCell ref="KKD381:KKH381"/>
    <mergeCell ref="KKI381:KKM381"/>
    <mergeCell ref="KKN381:KKR381"/>
    <mergeCell ref="KKS381:KKW381"/>
    <mergeCell ref="KIZ381:KJD381"/>
    <mergeCell ref="KJE381:KJI381"/>
    <mergeCell ref="KJJ381:KJN381"/>
    <mergeCell ref="KJO381:KJS381"/>
    <mergeCell ref="KJT381:KJX381"/>
    <mergeCell ref="KIA381:KIE381"/>
    <mergeCell ref="KIF381:KIJ381"/>
    <mergeCell ref="KIK381:KIO381"/>
    <mergeCell ref="KIP381:KIT381"/>
    <mergeCell ref="KIU381:KIY381"/>
    <mergeCell ref="KHB381:KHF381"/>
    <mergeCell ref="KHG381:KHK381"/>
    <mergeCell ref="KHL381:KHP381"/>
    <mergeCell ref="KHQ381:KHU381"/>
    <mergeCell ref="KHV381:KHZ381"/>
    <mergeCell ref="KGC381:KGG381"/>
    <mergeCell ref="KGH381:KGL381"/>
    <mergeCell ref="KGM381:KGQ381"/>
    <mergeCell ref="KGR381:KGV381"/>
    <mergeCell ref="KGW381:KHA381"/>
    <mergeCell ref="KFD381:KFH381"/>
    <mergeCell ref="KFI381:KFM381"/>
    <mergeCell ref="KFN381:KFR381"/>
    <mergeCell ref="KFS381:KFW381"/>
    <mergeCell ref="KFX381:KGB381"/>
    <mergeCell ref="KEE381:KEI381"/>
    <mergeCell ref="KEJ381:KEN381"/>
    <mergeCell ref="KEO381:KES381"/>
    <mergeCell ref="KET381:KEX381"/>
    <mergeCell ref="KEY381:KFC381"/>
    <mergeCell ref="KDF381:KDJ381"/>
    <mergeCell ref="KDK381:KDO381"/>
    <mergeCell ref="KDP381:KDT381"/>
    <mergeCell ref="KDU381:KDY381"/>
    <mergeCell ref="KDZ381:KED381"/>
    <mergeCell ref="KCG381:KCK381"/>
    <mergeCell ref="KCL381:KCP381"/>
    <mergeCell ref="KCQ381:KCU381"/>
    <mergeCell ref="KCV381:KCZ381"/>
    <mergeCell ref="KDA381:KDE381"/>
    <mergeCell ref="KBH381:KBL381"/>
    <mergeCell ref="KBM381:KBQ381"/>
    <mergeCell ref="KBR381:KBV381"/>
    <mergeCell ref="KBW381:KCA381"/>
    <mergeCell ref="KCB381:KCF381"/>
    <mergeCell ref="KAI381:KAM381"/>
    <mergeCell ref="KAN381:KAR381"/>
    <mergeCell ref="KAS381:KAW381"/>
    <mergeCell ref="KAX381:KBB381"/>
    <mergeCell ref="KBC381:KBG381"/>
    <mergeCell ref="JZJ381:JZN381"/>
    <mergeCell ref="JZO381:JZS381"/>
    <mergeCell ref="JZT381:JZX381"/>
    <mergeCell ref="JZY381:KAC381"/>
    <mergeCell ref="KAD381:KAH381"/>
    <mergeCell ref="JYK381:JYO381"/>
    <mergeCell ref="JYP381:JYT381"/>
    <mergeCell ref="JYU381:JYY381"/>
    <mergeCell ref="JYZ381:JZD381"/>
    <mergeCell ref="JZE381:JZI381"/>
    <mergeCell ref="JXL381:JXP381"/>
    <mergeCell ref="JXQ381:JXU381"/>
    <mergeCell ref="JXV381:JXZ381"/>
    <mergeCell ref="JYA381:JYE381"/>
    <mergeCell ref="JYF381:JYJ381"/>
    <mergeCell ref="JWM381:JWQ381"/>
    <mergeCell ref="JWR381:JWV381"/>
    <mergeCell ref="JWW381:JXA381"/>
    <mergeCell ref="JXB381:JXF381"/>
    <mergeCell ref="JXG381:JXK381"/>
    <mergeCell ref="JVN381:JVR381"/>
    <mergeCell ref="JVS381:JVW381"/>
    <mergeCell ref="JVX381:JWB381"/>
    <mergeCell ref="JWC381:JWG381"/>
    <mergeCell ref="JWH381:JWL381"/>
    <mergeCell ref="JUO381:JUS381"/>
    <mergeCell ref="JUT381:JUX381"/>
    <mergeCell ref="JUY381:JVC381"/>
    <mergeCell ref="JVD381:JVH381"/>
    <mergeCell ref="JVI381:JVM381"/>
    <mergeCell ref="JTP381:JTT381"/>
    <mergeCell ref="JTU381:JTY381"/>
    <mergeCell ref="JTZ381:JUD381"/>
    <mergeCell ref="JUE381:JUI381"/>
    <mergeCell ref="JUJ381:JUN381"/>
    <mergeCell ref="JSQ381:JSU381"/>
    <mergeCell ref="JSV381:JSZ381"/>
    <mergeCell ref="JTA381:JTE381"/>
    <mergeCell ref="JTF381:JTJ381"/>
    <mergeCell ref="JTK381:JTO381"/>
    <mergeCell ref="JRR381:JRV381"/>
    <mergeCell ref="JRW381:JSA381"/>
    <mergeCell ref="JSB381:JSF381"/>
    <mergeCell ref="JSG381:JSK381"/>
    <mergeCell ref="JSL381:JSP381"/>
    <mergeCell ref="JQS381:JQW381"/>
    <mergeCell ref="JQX381:JRB381"/>
    <mergeCell ref="JRC381:JRG381"/>
    <mergeCell ref="JRH381:JRL381"/>
    <mergeCell ref="JRM381:JRQ381"/>
    <mergeCell ref="JPT381:JPX381"/>
    <mergeCell ref="JPY381:JQC381"/>
    <mergeCell ref="JQD381:JQH381"/>
    <mergeCell ref="JQI381:JQM381"/>
    <mergeCell ref="JQN381:JQR381"/>
    <mergeCell ref="JOU381:JOY381"/>
    <mergeCell ref="JOZ381:JPD381"/>
    <mergeCell ref="JPE381:JPI381"/>
    <mergeCell ref="JPJ381:JPN381"/>
    <mergeCell ref="JPO381:JPS381"/>
    <mergeCell ref="JNV381:JNZ381"/>
    <mergeCell ref="JOA381:JOE381"/>
    <mergeCell ref="JOF381:JOJ381"/>
    <mergeCell ref="JOK381:JOO381"/>
    <mergeCell ref="JOP381:JOT381"/>
    <mergeCell ref="JMW381:JNA381"/>
    <mergeCell ref="JNB381:JNF381"/>
    <mergeCell ref="JNG381:JNK381"/>
    <mergeCell ref="JNL381:JNP381"/>
    <mergeCell ref="JNQ381:JNU381"/>
    <mergeCell ref="JLX381:JMB381"/>
    <mergeCell ref="JMC381:JMG381"/>
    <mergeCell ref="JMH381:JML381"/>
    <mergeCell ref="JMM381:JMQ381"/>
    <mergeCell ref="JMR381:JMV381"/>
    <mergeCell ref="JKY381:JLC381"/>
    <mergeCell ref="JLD381:JLH381"/>
    <mergeCell ref="JLI381:JLM381"/>
    <mergeCell ref="JLN381:JLR381"/>
    <mergeCell ref="JLS381:JLW381"/>
    <mergeCell ref="JJZ381:JKD381"/>
    <mergeCell ref="JKE381:JKI381"/>
    <mergeCell ref="JKJ381:JKN381"/>
    <mergeCell ref="JKO381:JKS381"/>
    <mergeCell ref="JKT381:JKX381"/>
    <mergeCell ref="JJA381:JJE381"/>
    <mergeCell ref="JJF381:JJJ381"/>
    <mergeCell ref="JJK381:JJO381"/>
    <mergeCell ref="JJP381:JJT381"/>
    <mergeCell ref="JJU381:JJY381"/>
    <mergeCell ref="JIB381:JIF381"/>
    <mergeCell ref="JIG381:JIK381"/>
    <mergeCell ref="JIL381:JIP381"/>
    <mergeCell ref="JIQ381:JIU381"/>
    <mergeCell ref="JIV381:JIZ381"/>
    <mergeCell ref="JHC381:JHG381"/>
    <mergeCell ref="JHH381:JHL381"/>
    <mergeCell ref="JHM381:JHQ381"/>
    <mergeCell ref="JHR381:JHV381"/>
    <mergeCell ref="JHW381:JIA381"/>
    <mergeCell ref="JGD381:JGH381"/>
    <mergeCell ref="JGI381:JGM381"/>
    <mergeCell ref="JGN381:JGR381"/>
    <mergeCell ref="JGS381:JGW381"/>
    <mergeCell ref="JGX381:JHB381"/>
    <mergeCell ref="JFE381:JFI381"/>
    <mergeCell ref="JFJ381:JFN381"/>
    <mergeCell ref="JFO381:JFS381"/>
    <mergeCell ref="JFT381:JFX381"/>
    <mergeCell ref="JFY381:JGC381"/>
    <mergeCell ref="JEF381:JEJ381"/>
    <mergeCell ref="JEK381:JEO381"/>
    <mergeCell ref="JEP381:JET381"/>
    <mergeCell ref="JEU381:JEY381"/>
    <mergeCell ref="JEZ381:JFD381"/>
    <mergeCell ref="JDG381:JDK381"/>
    <mergeCell ref="JDL381:JDP381"/>
    <mergeCell ref="JDQ381:JDU381"/>
    <mergeCell ref="JDV381:JDZ381"/>
    <mergeCell ref="JEA381:JEE381"/>
    <mergeCell ref="JCH381:JCL381"/>
    <mergeCell ref="JCM381:JCQ381"/>
    <mergeCell ref="JCR381:JCV381"/>
    <mergeCell ref="JCW381:JDA381"/>
    <mergeCell ref="JDB381:JDF381"/>
    <mergeCell ref="JBI381:JBM381"/>
    <mergeCell ref="JBN381:JBR381"/>
    <mergeCell ref="JBS381:JBW381"/>
    <mergeCell ref="JBX381:JCB381"/>
    <mergeCell ref="JCC381:JCG381"/>
    <mergeCell ref="JAJ381:JAN381"/>
    <mergeCell ref="JAO381:JAS381"/>
    <mergeCell ref="JAT381:JAX381"/>
    <mergeCell ref="JAY381:JBC381"/>
    <mergeCell ref="JBD381:JBH381"/>
    <mergeCell ref="IZK381:IZO381"/>
    <mergeCell ref="IZP381:IZT381"/>
    <mergeCell ref="IZU381:IZY381"/>
    <mergeCell ref="IZZ381:JAD381"/>
    <mergeCell ref="JAE381:JAI381"/>
    <mergeCell ref="IYL381:IYP381"/>
    <mergeCell ref="IYQ381:IYU381"/>
    <mergeCell ref="IYV381:IYZ381"/>
    <mergeCell ref="IZA381:IZE381"/>
    <mergeCell ref="IZF381:IZJ381"/>
    <mergeCell ref="IXM381:IXQ381"/>
    <mergeCell ref="IXR381:IXV381"/>
    <mergeCell ref="IXW381:IYA381"/>
    <mergeCell ref="IYB381:IYF381"/>
    <mergeCell ref="IYG381:IYK381"/>
    <mergeCell ref="IWN381:IWR381"/>
    <mergeCell ref="IWS381:IWW381"/>
    <mergeCell ref="IWX381:IXB381"/>
    <mergeCell ref="IXC381:IXG381"/>
    <mergeCell ref="IXH381:IXL381"/>
    <mergeCell ref="IVO381:IVS381"/>
    <mergeCell ref="IVT381:IVX381"/>
    <mergeCell ref="IVY381:IWC381"/>
    <mergeCell ref="IWD381:IWH381"/>
    <mergeCell ref="IWI381:IWM381"/>
    <mergeCell ref="IUP381:IUT381"/>
    <mergeCell ref="IUU381:IUY381"/>
    <mergeCell ref="IUZ381:IVD381"/>
    <mergeCell ref="IVE381:IVI381"/>
    <mergeCell ref="IVJ381:IVN381"/>
    <mergeCell ref="ITQ381:ITU381"/>
    <mergeCell ref="ITV381:ITZ381"/>
    <mergeCell ref="IUA381:IUE381"/>
    <mergeCell ref="IUF381:IUJ381"/>
    <mergeCell ref="IUK381:IUO381"/>
    <mergeCell ref="ISR381:ISV381"/>
    <mergeCell ref="ISW381:ITA381"/>
    <mergeCell ref="ITB381:ITF381"/>
    <mergeCell ref="ITG381:ITK381"/>
    <mergeCell ref="ITL381:ITP381"/>
    <mergeCell ref="IRS381:IRW381"/>
    <mergeCell ref="IRX381:ISB381"/>
    <mergeCell ref="ISC381:ISG381"/>
    <mergeCell ref="ISH381:ISL381"/>
    <mergeCell ref="ISM381:ISQ381"/>
    <mergeCell ref="IQT381:IQX381"/>
    <mergeCell ref="IQY381:IRC381"/>
    <mergeCell ref="IRD381:IRH381"/>
    <mergeCell ref="IRI381:IRM381"/>
    <mergeCell ref="IRN381:IRR381"/>
    <mergeCell ref="IPU381:IPY381"/>
    <mergeCell ref="IPZ381:IQD381"/>
    <mergeCell ref="IQE381:IQI381"/>
    <mergeCell ref="IQJ381:IQN381"/>
    <mergeCell ref="IQO381:IQS381"/>
    <mergeCell ref="IOV381:IOZ381"/>
    <mergeCell ref="IPA381:IPE381"/>
    <mergeCell ref="IPF381:IPJ381"/>
    <mergeCell ref="IPK381:IPO381"/>
    <mergeCell ref="IPP381:IPT381"/>
    <mergeCell ref="INW381:IOA381"/>
    <mergeCell ref="IOB381:IOF381"/>
    <mergeCell ref="IOG381:IOK381"/>
    <mergeCell ref="IOL381:IOP381"/>
    <mergeCell ref="IOQ381:IOU381"/>
    <mergeCell ref="IMX381:INB381"/>
    <mergeCell ref="INC381:ING381"/>
    <mergeCell ref="INH381:INL381"/>
    <mergeCell ref="INM381:INQ381"/>
    <mergeCell ref="INR381:INV381"/>
    <mergeCell ref="ILY381:IMC381"/>
    <mergeCell ref="IMD381:IMH381"/>
    <mergeCell ref="IMI381:IMM381"/>
    <mergeCell ref="IMN381:IMR381"/>
    <mergeCell ref="IMS381:IMW381"/>
    <mergeCell ref="IKZ381:ILD381"/>
    <mergeCell ref="ILE381:ILI381"/>
    <mergeCell ref="ILJ381:ILN381"/>
    <mergeCell ref="ILO381:ILS381"/>
    <mergeCell ref="ILT381:ILX381"/>
    <mergeCell ref="IKA381:IKE381"/>
    <mergeCell ref="IKF381:IKJ381"/>
    <mergeCell ref="IKK381:IKO381"/>
    <mergeCell ref="IKP381:IKT381"/>
    <mergeCell ref="IKU381:IKY381"/>
    <mergeCell ref="IJB381:IJF381"/>
    <mergeCell ref="IJG381:IJK381"/>
    <mergeCell ref="IJL381:IJP381"/>
    <mergeCell ref="IJQ381:IJU381"/>
    <mergeCell ref="IJV381:IJZ381"/>
    <mergeCell ref="IIC381:IIG381"/>
    <mergeCell ref="IIH381:IIL381"/>
    <mergeCell ref="IIM381:IIQ381"/>
    <mergeCell ref="IIR381:IIV381"/>
    <mergeCell ref="IIW381:IJA381"/>
    <mergeCell ref="IHD381:IHH381"/>
    <mergeCell ref="IHI381:IHM381"/>
    <mergeCell ref="IHN381:IHR381"/>
    <mergeCell ref="IHS381:IHW381"/>
    <mergeCell ref="IHX381:IIB381"/>
    <mergeCell ref="IGE381:IGI381"/>
    <mergeCell ref="IGJ381:IGN381"/>
    <mergeCell ref="IGO381:IGS381"/>
    <mergeCell ref="IGT381:IGX381"/>
    <mergeCell ref="IGY381:IHC381"/>
    <mergeCell ref="IFF381:IFJ381"/>
    <mergeCell ref="IFK381:IFO381"/>
    <mergeCell ref="IFP381:IFT381"/>
    <mergeCell ref="IFU381:IFY381"/>
    <mergeCell ref="IFZ381:IGD381"/>
    <mergeCell ref="IEG381:IEK381"/>
    <mergeCell ref="IEL381:IEP381"/>
    <mergeCell ref="IEQ381:IEU381"/>
    <mergeCell ref="IEV381:IEZ381"/>
    <mergeCell ref="IFA381:IFE381"/>
    <mergeCell ref="IDH381:IDL381"/>
    <mergeCell ref="IDM381:IDQ381"/>
    <mergeCell ref="IDR381:IDV381"/>
    <mergeCell ref="IDW381:IEA381"/>
    <mergeCell ref="IEB381:IEF381"/>
    <mergeCell ref="ICI381:ICM381"/>
    <mergeCell ref="ICN381:ICR381"/>
    <mergeCell ref="ICS381:ICW381"/>
    <mergeCell ref="ICX381:IDB381"/>
    <mergeCell ref="IDC381:IDG381"/>
    <mergeCell ref="IBJ381:IBN381"/>
    <mergeCell ref="IBO381:IBS381"/>
    <mergeCell ref="IBT381:IBX381"/>
    <mergeCell ref="IBY381:ICC381"/>
    <mergeCell ref="ICD381:ICH381"/>
    <mergeCell ref="IAK381:IAO381"/>
    <mergeCell ref="IAP381:IAT381"/>
    <mergeCell ref="IAU381:IAY381"/>
    <mergeCell ref="IAZ381:IBD381"/>
    <mergeCell ref="IBE381:IBI381"/>
    <mergeCell ref="HZL381:HZP381"/>
    <mergeCell ref="HZQ381:HZU381"/>
    <mergeCell ref="HZV381:HZZ381"/>
    <mergeCell ref="IAA381:IAE381"/>
    <mergeCell ref="IAF381:IAJ381"/>
    <mergeCell ref="HYM381:HYQ381"/>
    <mergeCell ref="HYR381:HYV381"/>
    <mergeCell ref="HYW381:HZA381"/>
    <mergeCell ref="HZB381:HZF381"/>
    <mergeCell ref="HZG381:HZK381"/>
    <mergeCell ref="HXN381:HXR381"/>
    <mergeCell ref="HXS381:HXW381"/>
    <mergeCell ref="HXX381:HYB381"/>
    <mergeCell ref="HYC381:HYG381"/>
    <mergeCell ref="HYH381:HYL381"/>
    <mergeCell ref="HWO381:HWS381"/>
    <mergeCell ref="HWT381:HWX381"/>
    <mergeCell ref="HWY381:HXC381"/>
    <mergeCell ref="HXD381:HXH381"/>
    <mergeCell ref="HXI381:HXM381"/>
    <mergeCell ref="HVP381:HVT381"/>
    <mergeCell ref="HVU381:HVY381"/>
    <mergeCell ref="HVZ381:HWD381"/>
    <mergeCell ref="HWE381:HWI381"/>
    <mergeCell ref="HWJ381:HWN381"/>
    <mergeCell ref="HUQ381:HUU381"/>
    <mergeCell ref="HUV381:HUZ381"/>
    <mergeCell ref="HVA381:HVE381"/>
    <mergeCell ref="HVF381:HVJ381"/>
    <mergeCell ref="HVK381:HVO381"/>
    <mergeCell ref="HTR381:HTV381"/>
    <mergeCell ref="HTW381:HUA381"/>
    <mergeCell ref="HUB381:HUF381"/>
    <mergeCell ref="HUG381:HUK381"/>
    <mergeCell ref="HUL381:HUP381"/>
    <mergeCell ref="HSS381:HSW381"/>
    <mergeCell ref="HSX381:HTB381"/>
    <mergeCell ref="HTC381:HTG381"/>
    <mergeCell ref="HTH381:HTL381"/>
    <mergeCell ref="HTM381:HTQ381"/>
    <mergeCell ref="HRT381:HRX381"/>
    <mergeCell ref="HRY381:HSC381"/>
    <mergeCell ref="HSD381:HSH381"/>
    <mergeCell ref="HSI381:HSM381"/>
    <mergeCell ref="HSN381:HSR381"/>
    <mergeCell ref="HQU381:HQY381"/>
    <mergeCell ref="HQZ381:HRD381"/>
    <mergeCell ref="HRE381:HRI381"/>
    <mergeCell ref="HRJ381:HRN381"/>
    <mergeCell ref="HRO381:HRS381"/>
    <mergeCell ref="HPV381:HPZ381"/>
    <mergeCell ref="HQA381:HQE381"/>
    <mergeCell ref="HQF381:HQJ381"/>
    <mergeCell ref="HQK381:HQO381"/>
    <mergeCell ref="HQP381:HQT381"/>
    <mergeCell ref="HOW381:HPA381"/>
    <mergeCell ref="HPB381:HPF381"/>
    <mergeCell ref="HPG381:HPK381"/>
    <mergeCell ref="HPL381:HPP381"/>
    <mergeCell ref="HPQ381:HPU381"/>
    <mergeCell ref="HNX381:HOB381"/>
    <mergeCell ref="HOC381:HOG381"/>
    <mergeCell ref="HOH381:HOL381"/>
    <mergeCell ref="HOM381:HOQ381"/>
    <mergeCell ref="HOR381:HOV381"/>
    <mergeCell ref="HMY381:HNC381"/>
    <mergeCell ref="HND381:HNH381"/>
    <mergeCell ref="HNI381:HNM381"/>
    <mergeCell ref="HNN381:HNR381"/>
    <mergeCell ref="HNS381:HNW381"/>
    <mergeCell ref="HLZ381:HMD381"/>
    <mergeCell ref="HME381:HMI381"/>
    <mergeCell ref="HMJ381:HMN381"/>
    <mergeCell ref="HMO381:HMS381"/>
    <mergeCell ref="HMT381:HMX381"/>
    <mergeCell ref="HLA381:HLE381"/>
    <mergeCell ref="HLF381:HLJ381"/>
    <mergeCell ref="HLK381:HLO381"/>
    <mergeCell ref="HLP381:HLT381"/>
    <mergeCell ref="HLU381:HLY381"/>
    <mergeCell ref="HKB381:HKF381"/>
    <mergeCell ref="HKG381:HKK381"/>
    <mergeCell ref="HKL381:HKP381"/>
    <mergeCell ref="HKQ381:HKU381"/>
    <mergeCell ref="HKV381:HKZ381"/>
    <mergeCell ref="HJC381:HJG381"/>
    <mergeCell ref="HJH381:HJL381"/>
    <mergeCell ref="HJM381:HJQ381"/>
    <mergeCell ref="HJR381:HJV381"/>
    <mergeCell ref="HJW381:HKA381"/>
    <mergeCell ref="HID381:HIH381"/>
    <mergeCell ref="HII381:HIM381"/>
    <mergeCell ref="HIN381:HIR381"/>
    <mergeCell ref="HIS381:HIW381"/>
    <mergeCell ref="HIX381:HJB381"/>
    <mergeCell ref="HHE381:HHI381"/>
    <mergeCell ref="HHJ381:HHN381"/>
    <mergeCell ref="HHO381:HHS381"/>
    <mergeCell ref="HHT381:HHX381"/>
    <mergeCell ref="HHY381:HIC381"/>
    <mergeCell ref="HGF381:HGJ381"/>
    <mergeCell ref="HGK381:HGO381"/>
    <mergeCell ref="HGP381:HGT381"/>
    <mergeCell ref="HGU381:HGY381"/>
    <mergeCell ref="HGZ381:HHD381"/>
    <mergeCell ref="HFG381:HFK381"/>
    <mergeCell ref="HFL381:HFP381"/>
    <mergeCell ref="HFQ381:HFU381"/>
    <mergeCell ref="HFV381:HFZ381"/>
    <mergeCell ref="HGA381:HGE381"/>
    <mergeCell ref="HEH381:HEL381"/>
    <mergeCell ref="HEM381:HEQ381"/>
    <mergeCell ref="HER381:HEV381"/>
    <mergeCell ref="HEW381:HFA381"/>
    <mergeCell ref="HFB381:HFF381"/>
    <mergeCell ref="HDI381:HDM381"/>
    <mergeCell ref="HDN381:HDR381"/>
    <mergeCell ref="HDS381:HDW381"/>
    <mergeCell ref="HDX381:HEB381"/>
    <mergeCell ref="HEC381:HEG381"/>
    <mergeCell ref="HCJ381:HCN381"/>
    <mergeCell ref="HCO381:HCS381"/>
    <mergeCell ref="HCT381:HCX381"/>
    <mergeCell ref="HCY381:HDC381"/>
    <mergeCell ref="HDD381:HDH381"/>
    <mergeCell ref="HBK381:HBO381"/>
    <mergeCell ref="HBP381:HBT381"/>
    <mergeCell ref="HBU381:HBY381"/>
    <mergeCell ref="HBZ381:HCD381"/>
    <mergeCell ref="HCE381:HCI381"/>
    <mergeCell ref="HAL381:HAP381"/>
    <mergeCell ref="HAQ381:HAU381"/>
    <mergeCell ref="HAV381:HAZ381"/>
    <mergeCell ref="HBA381:HBE381"/>
    <mergeCell ref="HBF381:HBJ381"/>
    <mergeCell ref="GZM381:GZQ381"/>
    <mergeCell ref="GZR381:GZV381"/>
    <mergeCell ref="GZW381:HAA381"/>
    <mergeCell ref="HAB381:HAF381"/>
    <mergeCell ref="HAG381:HAK381"/>
    <mergeCell ref="GYN381:GYR381"/>
    <mergeCell ref="GYS381:GYW381"/>
    <mergeCell ref="GYX381:GZB381"/>
    <mergeCell ref="GZC381:GZG381"/>
    <mergeCell ref="GZH381:GZL381"/>
    <mergeCell ref="GXO381:GXS381"/>
    <mergeCell ref="GXT381:GXX381"/>
    <mergeCell ref="GXY381:GYC381"/>
    <mergeCell ref="GYD381:GYH381"/>
    <mergeCell ref="GYI381:GYM381"/>
    <mergeCell ref="GWP381:GWT381"/>
    <mergeCell ref="GWU381:GWY381"/>
    <mergeCell ref="GWZ381:GXD381"/>
    <mergeCell ref="GXE381:GXI381"/>
    <mergeCell ref="GXJ381:GXN381"/>
    <mergeCell ref="GVQ381:GVU381"/>
    <mergeCell ref="GVV381:GVZ381"/>
    <mergeCell ref="GWA381:GWE381"/>
    <mergeCell ref="GWF381:GWJ381"/>
    <mergeCell ref="GWK381:GWO381"/>
    <mergeCell ref="GUR381:GUV381"/>
    <mergeCell ref="GUW381:GVA381"/>
    <mergeCell ref="GVB381:GVF381"/>
    <mergeCell ref="GVG381:GVK381"/>
    <mergeCell ref="GVL381:GVP381"/>
    <mergeCell ref="GTS381:GTW381"/>
    <mergeCell ref="GTX381:GUB381"/>
    <mergeCell ref="GUC381:GUG381"/>
    <mergeCell ref="GUH381:GUL381"/>
    <mergeCell ref="GUM381:GUQ381"/>
    <mergeCell ref="GST381:GSX381"/>
    <mergeCell ref="GSY381:GTC381"/>
    <mergeCell ref="GTD381:GTH381"/>
    <mergeCell ref="GTI381:GTM381"/>
    <mergeCell ref="GTN381:GTR381"/>
    <mergeCell ref="GRU381:GRY381"/>
    <mergeCell ref="GRZ381:GSD381"/>
    <mergeCell ref="GSE381:GSI381"/>
    <mergeCell ref="GSJ381:GSN381"/>
    <mergeCell ref="GSO381:GSS381"/>
    <mergeCell ref="GQV381:GQZ381"/>
    <mergeCell ref="GRA381:GRE381"/>
    <mergeCell ref="GRF381:GRJ381"/>
    <mergeCell ref="GRK381:GRO381"/>
    <mergeCell ref="GRP381:GRT381"/>
    <mergeCell ref="GPW381:GQA381"/>
    <mergeCell ref="GQB381:GQF381"/>
    <mergeCell ref="GQG381:GQK381"/>
    <mergeCell ref="GQL381:GQP381"/>
    <mergeCell ref="GQQ381:GQU381"/>
    <mergeCell ref="GOX381:GPB381"/>
    <mergeCell ref="GPC381:GPG381"/>
    <mergeCell ref="GPH381:GPL381"/>
    <mergeCell ref="GPM381:GPQ381"/>
    <mergeCell ref="GPR381:GPV381"/>
    <mergeCell ref="GNY381:GOC381"/>
    <mergeCell ref="GOD381:GOH381"/>
    <mergeCell ref="GOI381:GOM381"/>
    <mergeCell ref="GON381:GOR381"/>
    <mergeCell ref="GOS381:GOW381"/>
    <mergeCell ref="GMZ381:GND381"/>
    <mergeCell ref="GNE381:GNI381"/>
    <mergeCell ref="GNJ381:GNN381"/>
    <mergeCell ref="GNO381:GNS381"/>
    <mergeCell ref="GNT381:GNX381"/>
    <mergeCell ref="GMA381:GME381"/>
    <mergeCell ref="GMF381:GMJ381"/>
    <mergeCell ref="GMK381:GMO381"/>
    <mergeCell ref="GMP381:GMT381"/>
    <mergeCell ref="GMU381:GMY381"/>
    <mergeCell ref="GLB381:GLF381"/>
    <mergeCell ref="GLG381:GLK381"/>
    <mergeCell ref="GLL381:GLP381"/>
    <mergeCell ref="GLQ381:GLU381"/>
    <mergeCell ref="GLV381:GLZ381"/>
    <mergeCell ref="GKC381:GKG381"/>
    <mergeCell ref="GKH381:GKL381"/>
    <mergeCell ref="GKM381:GKQ381"/>
    <mergeCell ref="GKR381:GKV381"/>
    <mergeCell ref="GKW381:GLA381"/>
    <mergeCell ref="GJD381:GJH381"/>
    <mergeCell ref="GJI381:GJM381"/>
    <mergeCell ref="GJN381:GJR381"/>
    <mergeCell ref="GJS381:GJW381"/>
    <mergeCell ref="GJX381:GKB381"/>
    <mergeCell ref="GIE381:GII381"/>
    <mergeCell ref="GIJ381:GIN381"/>
    <mergeCell ref="GIO381:GIS381"/>
    <mergeCell ref="GIT381:GIX381"/>
    <mergeCell ref="GIY381:GJC381"/>
    <mergeCell ref="GHF381:GHJ381"/>
    <mergeCell ref="GHK381:GHO381"/>
    <mergeCell ref="GHP381:GHT381"/>
    <mergeCell ref="GHU381:GHY381"/>
    <mergeCell ref="GHZ381:GID381"/>
    <mergeCell ref="GGG381:GGK381"/>
    <mergeCell ref="GGL381:GGP381"/>
    <mergeCell ref="GGQ381:GGU381"/>
    <mergeCell ref="GGV381:GGZ381"/>
    <mergeCell ref="GHA381:GHE381"/>
    <mergeCell ref="GFH381:GFL381"/>
    <mergeCell ref="GFM381:GFQ381"/>
    <mergeCell ref="GFR381:GFV381"/>
    <mergeCell ref="GFW381:GGA381"/>
    <mergeCell ref="GGB381:GGF381"/>
    <mergeCell ref="GEI381:GEM381"/>
    <mergeCell ref="GEN381:GER381"/>
    <mergeCell ref="GES381:GEW381"/>
    <mergeCell ref="GEX381:GFB381"/>
    <mergeCell ref="GFC381:GFG381"/>
    <mergeCell ref="GDJ381:GDN381"/>
    <mergeCell ref="GDO381:GDS381"/>
    <mergeCell ref="GDT381:GDX381"/>
    <mergeCell ref="GDY381:GEC381"/>
    <mergeCell ref="GED381:GEH381"/>
    <mergeCell ref="GCK381:GCO381"/>
    <mergeCell ref="GCP381:GCT381"/>
    <mergeCell ref="GCU381:GCY381"/>
    <mergeCell ref="GCZ381:GDD381"/>
    <mergeCell ref="GDE381:GDI381"/>
    <mergeCell ref="GBL381:GBP381"/>
    <mergeCell ref="GBQ381:GBU381"/>
    <mergeCell ref="GBV381:GBZ381"/>
    <mergeCell ref="GCA381:GCE381"/>
    <mergeCell ref="GCF381:GCJ381"/>
    <mergeCell ref="GAM381:GAQ381"/>
    <mergeCell ref="GAR381:GAV381"/>
    <mergeCell ref="GAW381:GBA381"/>
    <mergeCell ref="GBB381:GBF381"/>
    <mergeCell ref="GBG381:GBK381"/>
    <mergeCell ref="FZN381:FZR381"/>
    <mergeCell ref="FZS381:FZW381"/>
    <mergeCell ref="FZX381:GAB381"/>
    <mergeCell ref="GAC381:GAG381"/>
    <mergeCell ref="GAH381:GAL381"/>
    <mergeCell ref="FYO381:FYS381"/>
    <mergeCell ref="FYT381:FYX381"/>
    <mergeCell ref="FYY381:FZC381"/>
    <mergeCell ref="FZD381:FZH381"/>
    <mergeCell ref="FZI381:FZM381"/>
    <mergeCell ref="FXP381:FXT381"/>
    <mergeCell ref="FXU381:FXY381"/>
    <mergeCell ref="FXZ381:FYD381"/>
    <mergeCell ref="FYE381:FYI381"/>
    <mergeCell ref="FYJ381:FYN381"/>
    <mergeCell ref="FWQ381:FWU381"/>
    <mergeCell ref="FWV381:FWZ381"/>
    <mergeCell ref="FXA381:FXE381"/>
    <mergeCell ref="FXF381:FXJ381"/>
    <mergeCell ref="FXK381:FXO381"/>
    <mergeCell ref="FVR381:FVV381"/>
    <mergeCell ref="FVW381:FWA381"/>
    <mergeCell ref="FWB381:FWF381"/>
    <mergeCell ref="FWG381:FWK381"/>
    <mergeCell ref="FWL381:FWP381"/>
    <mergeCell ref="FUS381:FUW381"/>
    <mergeCell ref="FUX381:FVB381"/>
    <mergeCell ref="FVC381:FVG381"/>
    <mergeCell ref="FVH381:FVL381"/>
    <mergeCell ref="FVM381:FVQ381"/>
    <mergeCell ref="FTT381:FTX381"/>
    <mergeCell ref="FTY381:FUC381"/>
    <mergeCell ref="FUD381:FUH381"/>
    <mergeCell ref="FUI381:FUM381"/>
    <mergeCell ref="FUN381:FUR381"/>
    <mergeCell ref="FSU381:FSY381"/>
    <mergeCell ref="FSZ381:FTD381"/>
    <mergeCell ref="FTE381:FTI381"/>
    <mergeCell ref="FTJ381:FTN381"/>
    <mergeCell ref="FTO381:FTS381"/>
    <mergeCell ref="FRV381:FRZ381"/>
    <mergeCell ref="FSA381:FSE381"/>
    <mergeCell ref="FSF381:FSJ381"/>
    <mergeCell ref="FSK381:FSO381"/>
    <mergeCell ref="FSP381:FST381"/>
    <mergeCell ref="FQW381:FRA381"/>
    <mergeCell ref="FRB381:FRF381"/>
    <mergeCell ref="FRG381:FRK381"/>
    <mergeCell ref="FRL381:FRP381"/>
    <mergeCell ref="FRQ381:FRU381"/>
    <mergeCell ref="FPX381:FQB381"/>
    <mergeCell ref="FQC381:FQG381"/>
    <mergeCell ref="FQH381:FQL381"/>
    <mergeCell ref="FQM381:FQQ381"/>
    <mergeCell ref="FQR381:FQV381"/>
    <mergeCell ref="FOY381:FPC381"/>
    <mergeCell ref="FPD381:FPH381"/>
    <mergeCell ref="FPI381:FPM381"/>
    <mergeCell ref="FPN381:FPR381"/>
    <mergeCell ref="FPS381:FPW381"/>
    <mergeCell ref="FNZ381:FOD381"/>
    <mergeCell ref="FOE381:FOI381"/>
    <mergeCell ref="FOJ381:FON381"/>
    <mergeCell ref="FOO381:FOS381"/>
    <mergeCell ref="FOT381:FOX381"/>
    <mergeCell ref="FNA381:FNE381"/>
    <mergeCell ref="FNF381:FNJ381"/>
    <mergeCell ref="FNK381:FNO381"/>
    <mergeCell ref="FNP381:FNT381"/>
    <mergeCell ref="FNU381:FNY381"/>
    <mergeCell ref="FMB381:FMF381"/>
    <mergeCell ref="FMG381:FMK381"/>
    <mergeCell ref="FML381:FMP381"/>
    <mergeCell ref="FMQ381:FMU381"/>
    <mergeCell ref="FMV381:FMZ381"/>
    <mergeCell ref="FLC381:FLG381"/>
    <mergeCell ref="FLH381:FLL381"/>
    <mergeCell ref="FLM381:FLQ381"/>
    <mergeCell ref="FLR381:FLV381"/>
    <mergeCell ref="FLW381:FMA381"/>
    <mergeCell ref="FKD381:FKH381"/>
    <mergeCell ref="FKI381:FKM381"/>
    <mergeCell ref="FKN381:FKR381"/>
    <mergeCell ref="FKS381:FKW381"/>
    <mergeCell ref="FKX381:FLB381"/>
    <mergeCell ref="FJE381:FJI381"/>
    <mergeCell ref="FJJ381:FJN381"/>
    <mergeCell ref="FJO381:FJS381"/>
    <mergeCell ref="FJT381:FJX381"/>
    <mergeCell ref="FJY381:FKC381"/>
    <mergeCell ref="FIF381:FIJ381"/>
    <mergeCell ref="FIK381:FIO381"/>
    <mergeCell ref="FIP381:FIT381"/>
    <mergeCell ref="FIU381:FIY381"/>
    <mergeCell ref="FIZ381:FJD381"/>
    <mergeCell ref="FHG381:FHK381"/>
    <mergeCell ref="FHL381:FHP381"/>
    <mergeCell ref="FHQ381:FHU381"/>
    <mergeCell ref="FHV381:FHZ381"/>
    <mergeCell ref="FIA381:FIE381"/>
    <mergeCell ref="FGH381:FGL381"/>
    <mergeCell ref="FGM381:FGQ381"/>
    <mergeCell ref="FGR381:FGV381"/>
    <mergeCell ref="FGW381:FHA381"/>
    <mergeCell ref="FHB381:FHF381"/>
    <mergeCell ref="FFI381:FFM381"/>
    <mergeCell ref="FFN381:FFR381"/>
    <mergeCell ref="FFS381:FFW381"/>
    <mergeCell ref="FFX381:FGB381"/>
    <mergeCell ref="FGC381:FGG381"/>
    <mergeCell ref="FEJ381:FEN381"/>
    <mergeCell ref="FEO381:FES381"/>
    <mergeCell ref="FET381:FEX381"/>
    <mergeCell ref="FEY381:FFC381"/>
    <mergeCell ref="FFD381:FFH381"/>
    <mergeCell ref="FDK381:FDO381"/>
    <mergeCell ref="FDP381:FDT381"/>
    <mergeCell ref="FDU381:FDY381"/>
    <mergeCell ref="FDZ381:FED381"/>
    <mergeCell ref="FEE381:FEI381"/>
    <mergeCell ref="FCL381:FCP381"/>
    <mergeCell ref="FCQ381:FCU381"/>
    <mergeCell ref="FCV381:FCZ381"/>
    <mergeCell ref="FDA381:FDE381"/>
    <mergeCell ref="FDF381:FDJ381"/>
    <mergeCell ref="FBM381:FBQ381"/>
    <mergeCell ref="FBR381:FBV381"/>
    <mergeCell ref="FBW381:FCA381"/>
    <mergeCell ref="FCB381:FCF381"/>
    <mergeCell ref="FCG381:FCK381"/>
    <mergeCell ref="FAN381:FAR381"/>
    <mergeCell ref="FAS381:FAW381"/>
    <mergeCell ref="FAX381:FBB381"/>
    <mergeCell ref="FBC381:FBG381"/>
    <mergeCell ref="FBH381:FBL381"/>
    <mergeCell ref="EZO381:EZS381"/>
    <mergeCell ref="EZT381:EZX381"/>
    <mergeCell ref="EZY381:FAC381"/>
    <mergeCell ref="FAD381:FAH381"/>
    <mergeCell ref="FAI381:FAM381"/>
    <mergeCell ref="EYP381:EYT381"/>
    <mergeCell ref="EYU381:EYY381"/>
    <mergeCell ref="EYZ381:EZD381"/>
    <mergeCell ref="EZE381:EZI381"/>
    <mergeCell ref="EZJ381:EZN381"/>
    <mergeCell ref="EXQ381:EXU381"/>
    <mergeCell ref="EXV381:EXZ381"/>
    <mergeCell ref="EYA381:EYE381"/>
    <mergeCell ref="EYF381:EYJ381"/>
    <mergeCell ref="EYK381:EYO381"/>
    <mergeCell ref="EWR381:EWV381"/>
    <mergeCell ref="EWW381:EXA381"/>
    <mergeCell ref="EXB381:EXF381"/>
    <mergeCell ref="EXG381:EXK381"/>
    <mergeCell ref="EXL381:EXP381"/>
    <mergeCell ref="EVS381:EVW381"/>
    <mergeCell ref="EVX381:EWB381"/>
    <mergeCell ref="EWC381:EWG381"/>
    <mergeCell ref="EWH381:EWL381"/>
    <mergeCell ref="EWM381:EWQ381"/>
    <mergeCell ref="EUT381:EUX381"/>
    <mergeCell ref="EUY381:EVC381"/>
    <mergeCell ref="EVD381:EVH381"/>
    <mergeCell ref="EVI381:EVM381"/>
    <mergeCell ref="EVN381:EVR381"/>
    <mergeCell ref="ETU381:ETY381"/>
    <mergeCell ref="ETZ381:EUD381"/>
    <mergeCell ref="EUE381:EUI381"/>
    <mergeCell ref="EUJ381:EUN381"/>
    <mergeCell ref="EUO381:EUS381"/>
    <mergeCell ref="ESV381:ESZ381"/>
    <mergeCell ref="ETA381:ETE381"/>
    <mergeCell ref="ETF381:ETJ381"/>
    <mergeCell ref="ETK381:ETO381"/>
    <mergeCell ref="ETP381:ETT381"/>
    <mergeCell ref="ERW381:ESA381"/>
    <mergeCell ref="ESB381:ESF381"/>
    <mergeCell ref="ESG381:ESK381"/>
    <mergeCell ref="ESL381:ESP381"/>
    <mergeCell ref="ESQ381:ESU381"/>
    <mergeCell ref="EQX381:ERB381"/>
    <mergeCell ref="ERC381:ERG381"/>
    <mergeCell ref="ERH381:ERL381"/>
    <mergeCell ref="ERM381:ERQ381"/>
    <mergeCell ref="ERR381:ERV381"/>
    <mergeCell ref="EPY381:EQC381"/>
    <mergeCell ref="EQD381:EQH381"/>
    <mergeCell ref="EQI381:EQM381"/>
    <mergeCell ref="EQN381:EQR381"/>
    <mergeCell ref="EQS381:EQW381"/>
    <mergeCell ref="EOZ381:EPD381"/>
    <mergeCell ref="EPE381:EPI381"/>
    <mergeCell ref="EPJ381:EPN381"/>
    <mergeCell ref="EPO381:EPS381"/>
    <mergeCell ref="EPT381:EPX381"/>
    <mergeCell ref="EOA381:EOE381"/>
    <mergeCell ref="EOF381:EOJ381"/>
    <mergeCell ref="EOK381:EOO381"/>
    <mergeCell ref="EOP381:EOT381"/>
    <mergeCell ref="EOU381:EOY381"/>
    <mergeCell ref="ENB381:ENF381"/>
    <mergeCell ref="ENG381:ENK381"/>
    <mergeCell ref="ENL381:ENP381"/>
    <mergeCell ref="ENQ381:ENU381"/>
    <mergeCell ref="ENV381:ENZ381"/>
    <mergeCell ref="EMC381:EMG381"/>
    <mergeCell ref="EMH381:EML381"/>
    <mergeCell ref="EMM381:EMQ381"/>
    <mergeCell ref="EMR381:EMV381"/>
    <mergeCell ref="EMW381:ENA381"/>
    <mergeCell ref="ELD381:ELH381"/>
    <mergeCell ref="ELI381:ELM381"/>
    <mergeCell ref="ELN381:ELR381"/>
    <mergeCell ref="ELS381:ELW381"/>
    <mergeCell ref="ELX381:EMB381"/>
    <mergeCell ref="EKE381:EKI381"/>
    <mergeCell ref="EKJ381:EKN381"/>
    <mergeCell ref="EKO381:EKS381"/>
    <mergeCell ref="EKT381:EKX381"/>
    <mergeCell ref="EKY381:ELC381"/>
    <mergeCell ref="EJF381:EJJ381"/>
    <mergeCell ref="EJK381:EJO381"/>
    <mergeCell ref="EJP381:EJT381"/>
    <mergeCell ref="EJU381:EJY381"/>
    <mergeCell ref="EJZ381:EKD381"/>
    <mergeCell ref="EIG381:EIK381"/>
    <mergeCell ref="EIL381:EIP381"/>
    <mergeCell ref="EIQ381:EIU381"/>
    <mergeCell ref="EIV381:EIZ381"/>
    <mergeCell ref="EJA381:EJE381"/>
    <mergeCell ref="EHH381:EHL381"/>
    <mergeCell ref="EHM381:EHQ381"/>
    <mergeCell ref="EHR381:EHV381"/>
    <mergeCell ref="EHW381:EIA381"/>
    <mergeCell ref="EIB381:EIF381"/>
    <mergeCell ref="EGI381:EGM381"/>
    <mergeCell ref="EGN381:EGR381"/>
    <mergeCell ref="EGS381:EGW381"/>
    <mergeCell ref="EGX381:EHB381"/>
    <mergeCell ref="EHC381:EHG381"/>
    <mergeCell ref="EFJ381:EFN381"/>
    <mergeCell ref="EFO381:EFS381"/>
    <mergeCell ref="EFT381:EFX381"/>
    <mergeCell ref="EFY381:EGC381"/>
    <mergeCell ref="EGD381:EGH381"/>
    <mergeCell ref="EEK381:EEO381"/>
    <mergeCell ref="EEP381:EET381"/>
    <mergeCell ref="EEU381:EEY381"/>
    <mergeCell ref="EEZ381:EFD381"/>
    <mergeCell ref="EFE381:EFI381"/>
    <mergeCell ref="EDL381:EDP381"/>
    <mergeCell ref="EDQ381:EDU381"/>
    <mergeCell ref="EDV381:EDZ381"/>
    <mergeCell ref="EEA381:EEE381"/>
    <mergeCell ref="EEF381:EEJ381"/>
    <mergeCell ref="ECM381:ECQ381"/>
    <mergeCell ref="ECR381:ECV381"/>
    <mergeCell ref="ECW381:EDA381"/>
    <mergeCell ref="EDB381:EDF381"/>
    <mergeCell ref="EDG381:EDK381"/>
    <mergeCell ref="EBN381:EBR381"/>
    <mergeCell ref="EBS381:EBW381"/>
    <mergeCell ref="EBX381:ECB381"/>
    <mergeCell ref="ECC381:ECG381"/>
    <mergeCell ref="ECH381:ECL381"/>
    <mergeCell ref="EAO381:EAS381"/>
    <mergeCell ref="EAT381:EAX381"/>
    <mergeCell ref="EAY381:EBC381"/>
    <mergeCell ref="EBD381:EBH381"/>
    <mergeCell ref="EBI381:EBM381"/>
    <mergeCell ref="DZP381:DZT381"/>
    <mergeCell ref="DZU381:DZY381"/>
    <mergeCell ref="DZZ381:EAD381"/>
    <mergeCell ref="EAE381:EAI381"/>
    <mergeCell ref="EAJ381:EAN381"/>
    <mergeCell ref="DYQ381:DYU381"/>
    <mergeCell ref="DYV381:DYZ381"/>
    <mergeCell ref="DZA381:DZE381"/>
    <mergeCell ref="DZF381:DZJ381"/>
    <mergeCell ref="DZK381:DZO381"/>
    <mergeCell ref="DXR381:DXV381"/>
    <mergeCell ref="DXW381:DYA381"/>
    <mergeCell ref="DYB381:DYF381"/>
    <mergeCell ref="DYG381:DYK381"/>
    <mergeCell ref="DYL381:DYP381"/>
    <mergeCell ref="DWS381:DWW381"/>
    <mergeCell ref="DWX381:DXB381"/>
    <mergeCell ref="DXC381:DXG381"/>
    <mergeCell ref="DXH381:DXL381"/>
    <mergeCell ref="DXM381:DXQ381"/>
    <mergeCell ref="DVT381:DVX381"/>
    <mergeCell ref="DVY381:DWC381"/>
    <mergeCell ref="DWD381:DWH381"/>
    <mergeCell ref="DWI381:DWM381"/>
    <mergeCell ref="DWN381:DWR381"/>
    <mergeCell ref="DUU381:DUY381"/>
    <mergeCell ref="DUZ381:DVD381"/>
    <mergeCell ref="DVE381:DVI381"/>
    <mergeCell ref="DVJ381:DVN381"/>
    <mergeCell ref="DVO381:DVS381"/>
    <mergeCell ref="DTV381:DTZ381"/>
    <mergeCell ref="DUA381:DUE381"/>
    <mergeCell ref="DUF381:DUJ381"/>
    <mergeCell ref="DUK381:DUO381"/>
    <mergeCell ref="DUP381:DUT381"/>
    <mergeCell ref="DSW381:DTA381"/>
    <mergeCell ref="DTB381:DTF381"/>
    <mergeCell ref="DTG381:DTK381"/>
    <mergeCell ref="DTL381:DTP381"/>
    <mergeCell ref="DTQ381:DTU381"/>
    <mergeCell ref="DRX381:DSB381"/>
    <mergeCell ref="DSC381:DSG381"/>
    <mergeCell ref="DSH381:DSL381"/>
    <mergeCell ref="DSM381:DSQ381"/>
    <mergeCell ref="DSR381:DSV381"/>
    <mergeCell ref="DQY381:DRC381"/>
    <mergeCell ref="DRD381:DRH381"/>
    <mergeCell ref="DRI381:DRM381"/>
    <mergeCell ref="DRN381:DRR381"/>
    <mergeCell ref="DRS381:DRW381"/>
    <mergeCell ref="DPZ381:DQD381"/>
    <mergeCell ref="DQE381:DQI381"/>
    <mergeCell ref="DQJ381:DQN381"/>
    <mergeCell ref="DQO381:DQS381"/>
    <mergeCell ref="DQT381:DQX381"/>
    <mergeCell ref="DPA381:DPE381"/>
    <mergeCell ref="DPF381:DPJ381"/>
    <mergeCell ref="DPK381:DPO381"/>
    <mergeCell ref="DPP381:DPT381"/>
    <mergeCell ref="DPU381:DPY381"/>
    <mergeCell ref="DOB381:DOF381"/>
    <mergeCell ref="DOG381:DOK381"/>
    <mergeCell ref="DOL381:DOP381"/>
    <mergeCell ref="DOQ381:DOU381"/>
    <mergeCell ref="DOV381:DOZ381"/>
    <mergeCell ref="DNC381:DNG381"/>
    <mergeCell ref="DNH381:DNL381"/>
    <mergeCell ref="DNM381:DNQ381"/>
    <mergeCell ref="DNR381:DNV381"/>
    <mergeCell ref="DNW381:DOA381"/>
    <mergeCell ref="DMD381:DMH381"/>
    <mergeCell ref="DMI381:DMM381"/>
    <mergeCell ref="DMN381:DMR381"/>
    <mergeCell ref="DMS381:DMW381"/>
    <mergeCell ref="DMX381:DNB381"/>
    <mergeCell ref="DLE381:DLI381"/>
    <mergeCell ref="DLJ381:DLN381"/>
    <mergeCell ref="DLO381:DLS381"/>
    <mergeCell ref="DLT381:DLX381"/>
    <mergeCell ref="DLY381:DMC381"/>
    <mergeCell ref="DKF381:DKJ381"/>
    <mergeCell ref="DKK381:DKO381"/>
    <mergeCell ref="DKP381:DKT381"/>
    <mergeCell ref="DKU381:DKY381"/>
    <mergeCell ref="DKZ381:DLD381"/>
    <mergeCell ref="DJG381:DJK381"/>
    <mergeCell ref="DJL381:DJP381"/>
    <mergeCell ref="DJQ381:DJU381"/>
    <mergeCell ref="DJV381:DJZ381"/>
    <mergeCell ref="DKA381:DKE381"/>
    <mergeCell ref="DIH381:DIL381"/>
    <mergeCell ref="DIM381:DIQ381"/>
    <mergeCell ref="DIR381:DIV381"/>
    <mergeCell ref="DIW381:DJA381"/>
    <mergeCell ref="DJB381:DJF381"/>
    <mergeCell ref="DHI381:DHM381"/>
    <mergeCell ref="DHN381:DHR381"/>
    <mergeCell ref="DHS381:DHW381"/>
    <mergeCell ref="DHX381:DIB381"/>
    <mergeCell ref="DIC381:DIG381"/>
    <mergeCell ref="DGJ381:DGN381"/>
    <mergeCell ref="DGO381:DGS381"/>
    <mergeCell ref="DGT381:DGX381"/>
    <mergeCell ref="DGY381:DHC381"/>
    <mergeCell ref="DHD381:DHH381"/>
    <mergeCell ref="DFK381:DFO381"/>
    <mergeCell ref="DFP381:DFT381"/>
    <mergeCell ref="DFU381:DFY381"/>
    <mergeCell ref="DFZ381:DGD381"/>
    <mergeCell ref="DGE381:DGI381"/>
    <mergeCell ref="DEL381:DEP381"/>
    <mergeCell ref="DEQ381:DEU381"/>
    <mergeCell ref="DEV381:DEZ381"/>
    <mergeCell ref="DFA381:DFE381"/>
    <mergeCell ref="DFF381:DFJ381"/>
    <mergeCell ref="DDM381:DDQ381"/>
    <mergeCell ref="DDR381:DDV381"/>
    <mergeCell ref="DDW381:DEA381"/>
    <mergeCell ref="DEB381:DEF381"/>
    <mergeCell ref="DEG381:DEK381"/>
    <mergeCell ref="DCN381:DCR381"/>
    <mergeCell ref="DCS381:DCW381"/>
    <mergeCell ref="DCX381:DDB381"/>
    <mergeCell ref="DDC381:DDG381"/>
    <mergeCell ref="DDH381:DDL381"/>
    <mergeCell ref="DBO381:DBS381"/>
    <mergeCell ref="DBT381:DBX381"/>
    <mergeCell ref="DBY381:DCC381"/>
    <mergeCell ref="DCD381:DCH381"/>
    <mergeCell ref="DCI381:DCM381"/>
    <mergeCell ref="DAP381:DAT381"/>
    <mergeCell ref="DAU381:DAY381"/>
    <mergeCell ref="DAZ381:DBD381"/>
    <mergeCell ref="DBE381:DBI381"/>
    <mergeCell ref="DBJ381:DBN381"/>
    <mergeCell ref="CZQ381:CZU381"/>
    <mergeCell ref="CZV381:CZZ381"/>
    <mergeCell ref="DAA381:DAE381"/>
    <mergeCell ref="DAF381:DAJ381"/>
    <mergeCell ref="DAK381:DAO381"/>
    <mergeCell ref="CYR381:CYV381"/>
    <mergeCell ref="CYW381:CZA381"/>
    <mergeCell ref="CZB381:CZF381"/>
    <mergeCell ref="CZG381:CZK381"/>
    <mergeCell ref="CZL381:CZP381"/>
    <mergeCell ref="CXS381:CXW381"/>
    <mergeCell ref="CXX381:CYB381"/>
    <mergeCell ref="CYC381:CYG381"/>
    <mergeCell ref="CYH381:CYL381"/>
    <mergeCell ref="CYM381:CYQ381"/>
    <mergeCell ref="CWT381:CWX381"/>
    <mergeCell ref="CWY381:CXC381"/>
    <mergeCell ref="CXD381:CXH381"/>
    <mergeCell ref="CXI381:CXM381"/>
    <mergeCell ref="CXN381:CXR381"/>
    <mergeCell ref="CVU381:CVY381"/>
    <mergeCell ref="CVZ381:CWD381"/>
    <mergeCell ref="CWE381:CWI381"/>
    <mergeCell ref="CWJ381:CWN381"/>
    <mergeCell ref="CWO381:CWS381"/>
    <mergeCell ref="CUV381:CUZ381"/>
    <mergeCell ref="CVA381:CVE381"/>
    <mergeCell ref="CVF381:CVJ381"/>
    <mergeCell ref="CVK381:CVO381"/>
    <mergeCell ref="CVP381:CVT381"/>
    <mergeCell ref="CTW381:CUA381"/>
    <mergeCell ref="CUB381:CUF381"/>
    <mergeCell ref="CUG381:CUK381"/>
    <mergeCell ref="CUL381:CUP381"/>
    <mergeCell ref="CUQ381:CUU381"/>
    <mergeCell ref="CSX381:CTB381"/>
    <mergeCell ref="CTC381:CTG381"/>
    <mergeCell ref="CTH381:CTL381"/>
    <mergeCell ref="CTM381:CTQ381"/>
    <mergeCell ref="CTR381:CTV381"/>
    <mergeCell ref="CRY381:CSC381"/>
    <mergeCell ref="CSD381:CSH381"/>
    <mergeCell ref="CSI381:CSM381"/>
    <mergeCell ref="CSN381:CSR381"/>
    <mergeCell ref="CSS381:CSW381"/>
    <mergeCell ref="CQZ381:CRD381"/>
    <mergeCell ref="CRE381:CRI381"/>
    <mergeCell ref="CRJ381:CRN381"/>
    <mergeCell ref="CRO381:CRS381"/>
    <mergeCell ref="CRT381:CRX381"/>
    <mergeCell ref="CQA381:CQE381"/>
    <mergeCell ref="CQF381:CQJ381"/>
    <mergeCell ref="CQK381:CQO381"/>
    <mergeCell ref="CQP381:CQT381"/>
    <mergeCell ref="CQU381:CQY381"/>
    <mergeCell ref="CPB381:CPF381"/>
    <mergeCell ref="CPG381:CPK381"/>
    <mergeCell ref="CPL381:CPP381"/>
    <mergeCell ref="CPQ381:CPU381"/>
    <mergeCell ref="CPV381:CPZ381"/>
    <mergeCell ref="COC381:COG381"/>
    <mergeCell ref="COH381:COL381"/>
    <mergeCell ref="COM381:COQ381"/>
    <mergeCell ref="COR381:COV381"/>
    <mergeCell ref="COW381:CPA381"/>
    <mergeCell ref="CND381:CNH381"/>
    <mergeCell ref="CNI381:CNM381"/>
    <mergeCell ref="CNN381:CNR381"/>
    <mergeCell ref="CNS381:CNW381"/>
    <mergeCell ref="CNX381:COB381"/>
    <mergeCell ref="CME381:CMI381"/>
    <mergeCell ref="CMJ381:CMN381"/>
    <mergeCell ref="CMO381:CMS381"/>
    <mergeCell ref="CMT381:CMX381"/>
    <mergeCell ref="CMY381:CNC381"/>
    <mergeCell ref="CLF381:CLJ381"/>
    <mergeCell ref="CLK381:CLO381"/>
    <mergeCell ref="CLP381:CLT381"/>
    <mergeCell ref="CLU381:CLY381"/>
    <mergeCell ref="CLZ381:CMD381"/>
    <mergeCell ref="CKG381:CKK381"/>
    <mergeCell ref="CKL381:CKP381"/>
    <mergeCell ref="CKQ381:CKU381"/>
    <mergeCell ref="CKV381:CKZ381"/>
    <mergeCell ref="CLA381:CLE381"/>
    <mergeCell ref="CJH381:CJL381"/>
    <mergeCell ref="CJM381:CJQ381"/>
    <mergeCell ref="CJR381:CJV381"/>
    <mergeCell ref="CJW381:CKA381"/>
    <mergeCell ref="CKB381:CKF381"/>
    <mergeCell ref="CII381:CIM381"/>
    <mergeCell ref="CIN381:CIR381"/>
    <mergeCell ref="CIS381:CIW381"/>
    <mergeCell ref="CIX381:CJB381"/>
    <mergeCell ref="CJC381:CJG381"/>
    <mergeCell ref="CHJ381:CHN381"/>
    <mergeCell ref="CHO381:CHS381"/>
    <mergeCell ref="CHT381:CHX381"/>
    <mergeCell ref="CHY381:CIC381"/>
    <mergeCell ref="CID381:CIH381"/>
    <mergeCell ref="CGK381:CGO381"/>
    <mergeCell ref="CGP381:CGT381"/>
    <mergeCell ref="CGU381:CGY381"/>
    <mergeCell ref="CGZ381:CHD381"/>
    <mergeCell ref="CHE381:CHI381"/>
    <mergeCell ref="CFL381:CFP381"/>
    <mergeCell ref="CFQ381:CFU381"/>
    <mergeCell ref="CFV381:CFZ381"/>
    <mergeCell ref="CGA381:CGE381"/>
    <mergeCell ref="CGF381:CGJ381"/>
    <mergeCell ref="CEM381:CEQ381"/>
    <mergeCell ref="CER381:CEV381"/>
    <mergeCell ref="CEW381:CFA381"/>
    <mergeCell ref="CFB381:CFF381"/>
    <mergeCell ref="CFG381:CFK381"/>
    <mergeCell ref="CDN381:CDR381"/>
    <mergeCell ref="CDS381:CDW381"/>
    <mergeCell ref="CDX381:CEB381"/>
    <mergeCell ref="CEC381:CEG381"/>
    <mergeCell ref="CEH381:CEL381"/>
    <mergeCell ref="CCO381:CCS381"/>
    <mergeCell ref="CCT381:CCX381"/>
    <mergeCell ref="CCY381:CDC381"/>
    <mergeCell ref="CDD381:CDH381"/>
    <mergeCell ref="CDI381:CDM381"/>
    <mergeCell ref="CBP381:CBT381"/>
    <mergeCell ref="CBU381:CBY381"/>
    <mergeCell ref="CBZ381:CCD381"/>
    <mergeCell ref="CCE381:CCI381"/>
    <mergeCell ref="CCJ381:CCN381"/>
    <mergeCell ref="CAQ381:CAU381"/>
    <mergeCell ref="CAV381:CAZ381"/>
    <mergeCell ref="CBA381:CBE381"/>
    <mergeCell ref="CBF381:CBJ381"/>
    <mergeCell ref="CBK381:CBO381"/>
    <mergeCell ref="BZR381:BZV381"/>
    <mergeCell ref="BZW381:CAA381"/>
    <mergeCell ref="CAB381:CAF381"/>
    <mergeCell ref="CAG381:CAK381"/>
    <mergeCell ref="CAL381:CAP381"/>
    <mergeCell ref="BYS381:BYW381"/>
    <mergeCell ref="BYX381:BZB381"/>
    <mergeCell ref="BZC381:BZG381"/>
    <mergeCell ref="BZH381:BZL381"/>
    <mergeCell ref="BZM381:BZQ381"/>
    <mergeCell ref="BXT381:BXX381"/>
    <mergeCell ref="BXY381:BYC381"/>
    <mergeCell ref="BYD381:BYH381"/>
    <mergeCell ref="BYI381:BYM381"/>
    <mergeCell ref="BYN381:BYR381"/>
    <mergeCell ref="BWU381:BWY381"/>
    <mergeCell ref="BWZ381:BXD381"/>
    <mergeCell ref="BXE381:BXI381"/>
    <mergeCell ref="BXJ381:BXN381"/>
    <mergeCell ref="BXO381:BXS381"/>
    <mergeCell ref="BVV381:BVZ381"/>
    <mergeCell ref="BWA381:BWE381"/>
    <mergeCell ref="BWF381:BWJ381"/>
    <mergeCell ref="BWK381:BWO381"/>
    <mergeCell ref="BWP381:BWT381"/>
    <mergeCell ref="BUW381:BVA381"/>
    <mergeCell ref="BVB381:BVF381"/>
    <mergeCell ref="BVG381:BVK381"/>
    <mergeCell ref="BVL381:BVP381"/>
    <mergeCell ref="BVQ381:BVU381"/>
    <mergeCell ref="BTX381:BUB381"/>
    <mergeCell ref="BUC381:BUG381"/>
    <mergeCell ref="BUH381:BUL381"/>
    <mergeCell ref="BUM381:BUQ381"/>
    <mergeCell ref="BUR381:BUV381"/>
    <mergeCell ref="BSY381:BTC381"/>
    <mergeCell ref="BTD381:BTH381"/>
    <mergeCell ref="BTI381:BTM381"/>
    <mergeCell ref="BTN381:BTR381"/>
    <mergeCell ref="BTS381:BTW381"/>
    <mergeCell ref="BRZ381:BSD381"/>
    <mergeCell ref="BSE381:BSI381"/>
    <mergeCell ref="BSJ381:BSN381"/>
    <mergeCell ref="BSO381:BSS381"/>
    <mergeCell ref="BST381:BSX381"/>
    <mergeCell ref="BRA381:BRE381"/>
    <mergeCell ref="BRF381:BRJ381"/>
    <mergeCell ref="BRK381:BRO381"/>
    <mergeCell ref="BRP381:BRT381"/>
    <mergeCell ref="BRU381:BRY381"/>
    <mergeCell ref="BQB381:BQF381"/>
    <mergeCell ref="BQG381:BQK381"/>
    <mergeCell ref="BQL381:BQP381"/>
    <mergeCell ref="BQQ381:BQU381"/>
    <mergeCell ref="BQV381:BQZ381"/>
    <mergeCell ref="BPC381:BPG381"/>
    <mergeCell ref="BPH381:BPL381"/>
    <mergeCell ref="BPM381:BPQ381"/>
    <mergeCell ref="BPR381:BPV381"/>
    <mergeCell ref="BPW381:BQA381"/>
    <mergeCell ref="BOD381:BOH381"/>
    <mergeCell ref="BOI381:BOM381"/>
    <mergeCell ref="BON381:BOR381"/>
    <mergeCell ref="BOS381:BOW381"/>
    <mergeCell ref="BOX381:BPB381"/>
    <mergeCell ref="BNE381:BNI381"/>
    <mergeCell ref="BNJ381:BNN381"/>
    <mergeCell ref="BNO381:BNS381"/>
    <mergeCell ref="BNT381:BNX381"/>
    <mergeCell ref="BNY381:BOC381"/>
    <mergeCell ref="BMF381:BMJ381"/>
    <mergeCell ref="BMK381:BMO381"/>
    <mergeCell ref="BMP381:BMT381"/>
    <mergeCell ref="BMU381:BMY381"/>
    <mergeCell ref="BMZ381:BND381"/>
    <mergeCell ref="BLG381:BLK381"/>
    <mergeCell ref="BLL381:BLP381"/>
    <mergeCell ref="BLQ381:BLU381"/>
    <mergeCell ref="BLV381:BLZ381"/>
    <mergeCell ref="BMA381:BME381"/>
    <mergeCell ref="BKH381:BKL381"/>
    <mergeCell ref="BKM381:BKQ381"/>
    <mergeCell ref="BKR381:BKV381"/>
    <mergeCell ref="BKW381:BLA381"/>
    <mergeCell ref="BLB381:BLF381"/>
    <mergeCell ref="BJI381:BJM381"/>
    <mergeCell ref="BJN381:BJR381"/>
    <mergeCell ref="BJS381:BJW381"/>
    <mergeCell ref="BJX381:BKB381"/>
    <mergeCell ref="BKC381:BKG381"/>
    <mergeCell ref="BIJ381:BIN381"/>
    <mergeCell ref="BIO381:BIS381"/>
    <mergeCell ref="BIT381:BIX381"/>
    <mergeCell ref="BIY381:BJC381"/>
    <mergeCell ref="BJD381:BJH381"/>
    <mergeCell ref="BHK381:BHO381"/>
    <mergeCell ref="BHP381:BHT381"/>
    <mergeCell ref="BHU381:BHY381"/>
    <mergeCell ref="BHZ381:BID381"/>
    <mergeCell ref="BIE381:BII381"/>
    <mergeCell ref="BGL381:BGP381"/>
    <mergeCell ref="BGQ381:BGU381"/>
    <mergeCell ref="BGV381:BGZ381"/>
    <mergeCell ref="BHA381:BHE381"/>
    <mergeCell ref="BHF381:BHJ381"/>
    <mergeCell ref="BFM381:BFQ381"/>
    <mergeCell ref="BFR381:BFV381"/>
    <mergeCell ref="BFW381:BGA381"/>
    <mergeCell ref="BGB381:BGF381"/>
    <mergeCell ref="BGG381:BGK381"/>
    <mergeCell ref="BEN381:BER381"/>
    <mergeCell ref="BES381:BEW381"/>
    <mergeCell ref="BEX381:BFB381"/>
    <mergeCell ref="BFC381:BFG381"/>
    <mergeCell ref="BFH381:BFL381"/>
    <mergeCell ref="BDO381:BDS381"/>
    <mergeCell ref="BDT381:BDX381"/>
    <mergeCell ref="BDY381:BEC381"/>
    <mergeCell ref="BED381:BEH381"/>
    <mergeCell ref="BEI381:BEM381"/>
    <mergeCell ref="BCP381:BCT381"/>
    <mergeCell ref="BCU381:BCY381"/>
    <mergeCell ref="BCZ381:BDD381"/>
    <mergeCell ref="BDE381:BDI381"/>
    <mergeCell ref="BDJ381:BDN381"/>
    <mergeCell ref="BBQ381:BBU381"/>
    <mergeCell ref="BBV381:BBZ381"/>
    <mergeCell ref="BCA381:BCE381"/>
    <mergeCell ref="BCF381:BCJ381"/>
    <mergeCell ref="BCK381:BCO381"/>
    <mergeCell ref="BAR381:BAV381"/>
    <mergeCell ref="BAW381:BBA381"/>
    <mergeCell ref="BBB381:BBF381"/>
    <mergeCell ref="BBG381:BBK381"/>
    <mergeCell ref="BBL381:BBP381"/>
    <mergeCell ref="AZS381:AZW381"/>
    <mergeCell ref="AZX381:BAB381"/>
    <mergeCell ref="BAC381:BAG381"/>
    <mergeCell ref="BAH381:BAL381"/>
    <mergeCell ref="BAM381:BAQ381"/>
    <mergeCell ref="AYT381:AYX381"/>
    <mergeCell ref="AYY381:AZC381"/>
    <mergeCell ref="AZD381:AZH381"/>
    <mergeCell ref="AZI381:AZM381"/>
    <mergeCell ref="AZN381:AZR381"/>
    <mergeCell ref="AXU381:AXY381"/>
    <mergeCell ref="AXZ381:AYD381"/>
    <mergeCell ref="AYE381:AYI381"/>
    <mergeCell ref="AYJ381:AYN381"/>
    <mergeCell ref="AYO381:AYS381"/>
    <mergeCell ref="AWV381:AWZ381"/>
    <mergeCell ref="AXA381:AXE381"/>
    <mergeCell ref="AXF381:AXJ381"/>
    <mergeCell ref="AXK381:AXO381"/>
    <mergeCell ref="AXP381:AXT381"/>
    <mergeCell ref="AVW381:AWA381"/>
    <mergeCell ref="AWB381:AWF381"/>
    <mergeCell ref="AWG381:AWK381"/>
    <mergeCell ref="AWL381:AWP381"/>
    <mergeCell ref="AWQ381:AWU381"/>
    <mergeCell ref="AUX381:AVB381"/>
    <mergeCell ref="AVC381:AVG381"/>
    <mergeCell ref="AVH381:AVL381"/>
    <mergeCell ref="AVM381:AVQ381"/>
    <mergeCell ref="AVR381:AVV381"/>
    <mergeCell ref="ATY381:AUC381"/>
    <mergeCell ref="AUD381:AUH381"/>
    <mergeCell ref="AUI381:AUM381"/>
    <mergeCell ref="AUN381:AUR381"/>
    <mergeCell ref="AUS381:AUW381"/>
    <mergeCell ref="ASZ381:ATD381"/>
    <mergeCell ref="ATE381:ATI381"/>
    <mergeCell ref="ATJ381:ATN381"/>
    <mergeCell ref="ATO381:ATS381"/>
    <mergeCell ref="ATT381:ATX381"/>
    <mergeCell ref="ASA381:ASE381"/>
    <mergeCell ref="ASF381:ASJ381"/>
    <mergeCell ref="ASK381:ASO381"/>
    <mergeCell ref="ASP381:AST381"/>
    <mergeCell ref="ASU381:ASY381"/>
    <mergeCell ref="ARB381:ARF381"/>
    <mergeCell ref="ARG381:ARK381"/>
    <mergeCell ref="ARL381:ARP381"/>
    <mergeCell ref="ARQ381:ARU381"/>
    <mergeCell ref="ARV381:ARZ381"/>
    <mergeCell ref="AQC381:AQG381"/>
    <mergeCell ref="AQH381:AQL381"/>
    <mergeCell ref="AQM381:AQQ381"/>
    <mergeCell ref="AQR381:AQV381"/>
    <mergeCell ref="AQW381:ARA381"/>
    <mergeCell ref="APD381:APH381"/>
    <mergeCell ref="API381:APM381"/>
    <mergeCell ref="APN381:APR381"/>
    <mergeCell ref="APS381:APW381"/>
    <mergeCell ref="APX381:AQB381"/>
    <mergeCell ref="AOE381:AOI381"/>
    <mergeCell ref="AOJ381:AON381"/>
    <mergeCell ref="AOO381:AOS381"/>
    <mergeCell ref="AOT381:AOX381"/>
    <mergeCell ref="AOY381:APC381"/>
    <mergeCell ref="ANF381:ANJ381"/>
    <mergeCell ref="ANK381:ANO381"/>
    <mergeCell ref="ANP381:ANT381"/>
    <mergeCell ref="ANU381:ANY381"/>
    <mergeCell ref="ANZ381:AOD381"/>
    <mergeCell ref="AMG381:AMK381"/>
    <mergeCell ref="AML381:AMP381"/>
    <mergeCell ref="AMQ381:AMU381"/>
    <mergeCell ref="AMV381:AMZ381"/>
    <mergeCell ref="ANA381:ANE381"/>
    <mergeCell ref="ALH381:ALL381"/>
    <mergeCell ref="ALM381:ALQ381"/>
    <mergeCell ref="ALR381:ALV381"/>
    <mergeCell ref="ALW381:AMA381"/>
    <mergeCell ref="AMB381:AMF381"/>
    <mergeCell ref="AKI381:AKM381"/>
    <mergeCell ref="AKN381:AKR381"/>
    <mergeCell ref="AKS381:AKW381"/>
    <mergeCell ref="AKX381:ALB381"/>
    <mergeCell ref="ALC381:ALG381"/>
    <mergeCell ref="AJJ381:AJN381"/>
    <mergeCell ref="AJO381:AJS381"/>
    <mergeCell ref="AJT381:AJX381"/>
    <mergeCell ref="AJY381:AKC381"/>
    <mergeCell ref="AKD381:AKH381"/>
    <mergeCell ref="AIK381:AIO381"/>
    <mergeCell ref="AIP381:AIT381"/>
    <mergeCell ref="AIU381:AIY381"/>
    <mergeCell ref="AIZ381:AJD381"/>
    <mergeCell ref="AJE381:AJI381"/>
    <mergeCell ref="AHL381:AHP381"/>
    <mergeCell ref="AHQ381:AHU381"/>
    <mergeCell ref="AHV381:AHZ381"/>
    <mergeCell ref="AIA381:AIE381"/>
    <mergeCell ref="AIF381:AIJ381"/>
    <mergeCell ref="AGM381:AGQ381"/>
    <mergeCell ref="AGR381:AGV381"/>
    <mergeCell ref="AGW381:AHA381"/>
    <mergeCell ref="AHB381:AHF381"/>
    <mergeCell ref="AHG381:AHK381"/>
    <mergeCell ref="AFN381:AFR381"/>
    <mergeCell ref="AFS381:AFW381"/>
    <mergeCell ref="AFX381:AGB381"/>
    <mergeCell ref="AGC381:AGG381"/>
    <mergeCell ref="AGH381:AGL381"/>
    <mergeCell ref="AEO381:AES381"/>
    <mergeCell ref="AET381:AEX381"/>
    <mergeCell ref="AEY381:AFC381"/>
    <mergeCell ref="AFD381:AFH381"/>
    <mergeCell ref="AFI381:AFM381"/>
    <mergeCell ref="ADP381:ADT381"/>
    <mergeCell ref="ADU381:ADY381"/>
    <mergeCell ref="ADZ381:AED381"/>
    <mergeCell ref="AEE381:AEI381"/>
    <mergeCell ref="AEJ381:AEN381"/>
    <mergeCell ref="ACQ381:ACU381"/>
    <mergeCell ref="ACV381:ACZ381"/>
    <mergeCell ref="ADA381:ADE381"/>
    <mergeCell ref="ADF381:ADJ381"/>
    <mergeCell ref="ADK381:ADO381"/>
    <mergeCell ref="ABR381:ABV381"/>
    <mergeCell ref="ABW381:ACA381"/>
    <mergeCell ref="ACB381:ACF381"/>
    <mergeCell ref="ACG381:ACK381"/>
    <mergeCell ref="ACL381:ACP381"/>
    <mergeCell ref="AAS381:AAW381"/>
    <mergeCell ref="AAX381:ABB381"/>
    <mergeCell ref="ABC381:ABG381"/>
    <mergeCell ref="ABH381:ABL381"/>
    <mergeCell ref="ABM381:ABQ381"/>
    <mergeCell ref="ZT381:ZX381"/>
    <mergeCell ref="ZY381:AAC381"/>
    <mergeCell ref="AAD381:AAH381"/>
    <mergeCell ref="AAI381:AAM381"/>
    <mergeCell ref="AAN381:AAR381"/>
    <mergeCell ref="YU381:YY381"/>
    <mergeCell ref="YZ381:ZD381"/>
    <mergeCell ref="ZE381:ZI381"/>
    <mergeCell ref="ZJ381:ZN381"/>
    <mergeCell ref="ZO381:ZS381"/>
    <mergeCell ref="XV381:XZ381"/>
    <mergeCell ref="YA381:YE381"/>
    <mergeCell ref="YF381:YJ381"/>
    <mergeCell ref="YK381:YO381"/>
    <mergeCell ref="YP381:YT381"/>
    <mergeCell ref="WW381:XA381"/>
    <mergeCell ref="XB381:XF381"/>
    <mergeCell ref="XG381:XK381"/>
    <mergeCell ref="XL381:XP381"/>
    <mergeCell ref="XQ381:XU381"/>
    <mergeCell ref="VX381:WB381"/>
    <mergeCell ref="WC381:WG381"/>
    <mergeCell ref="WH381:WL381"/>
    <mergeCell ref="WM381:WQ381"/>
    <mergeCell ref="WR381:WV381"/>
    <mergeCell ref="UY381:VC381"/>
    <mergeCell ref="VD381:VH381"/>
    <mergeCell ref="VI381:VM381"/>
    <mergeCell ref="VN381:VR381"/>
    <mergeCell ref="VS381:VW381"/>
    <mergeCell ref="TZ381:UD381"/>
    <mergeCell ref="UE381:UI381"/>
    <mergeCell ref="UJ381:UN381"/>
    <mergeCell ref="UO381:US381"/>
    <mergeCell ref="UT381:UX381"/>
    <mergeCell ref="TA381:TE381"/>
    <mergeCell ref="TF381:TJ381"/>
    <mergeCell ref="TK381:TO381"/>
    <mergeCell ref="TP381:TT381"/>
    <mergeCell ref="TU381:TY381"/>
    <mergeCell ref="SB381:SF381"/>
    <mergeCell ref="SG381:SK381"/>
    <mergeCell ref="SL381:SP381"/>
    <mergeCell ref="SQ381:SU381"/>
    <mergeCell ref="SV381:SZ381"/>
    <mergeCell ref="RC381:RG381"/>
    <mergeCell ref="RH381:RL381"/>
    <mergeCell ref="RM381:RQ381"/>
    <mergeCell ref="RR381:RV381"/>
    <mergeCell ref="RW381:SA381"/>
    <mergeCell ref="QD381:QH381"/>
    <mergeCell ref="QI381:QM381"/>
    <mergeCell ref="QN381:QR381"/>
    <mergeCell ref="QS381:QW381"/>
    <mergeCell ref="QX381:RB381"/>
    <mergeCell ref="PE381:PI381"/>
    <mergeCell ref="PJ381:PN381"/>
    <mergeCell ref="PO381:PS381"/>
    <mergeCell ref="PT381:PX381"/>
    <mergeCell ref="PY381:QC381"/>
    <mergeCell ref="OF381:OJ381"/>
    <mergeCell ref="OK381:OO381"/>
    <mergeCell ref="OP381:OT381"/>
    <mergeCell ref="OU381:OY381"/>
    <mergeCell ref="OZ381:PD381"/>
    <mergeCell ref="NG381:NK381"/>
    <mergeCell ref="NL381:NP381"/>
    <mergeCell ref="NQ381:NU381"/>
    <mergeCell ref="NV381:NZ381"/>
    <mergeCell ref="OA381:OE381"/>
    <mergeCell ref="MH381:ML381"/>
    <mergeCell ref="MM381:MQ381"/>
    <mergeCell ref="MR381:MV381"/>
    <mergeCell ref="MW381:NA381"/>
    <mergeCell ref="NB381:NF381"/>
    <mergeCell ref="LI381:LM381"/>
    <mergeCell ref="LN381:LR381"/>
    <mergeCell ref="LS381:LW381"/>
    <mergeCell ref="LX381:MB381"/>
    <mergeCell ref="MC381:MG381"/>
    <mergeCell ref="KJ381:KN381"/>
    <mergeCell ref="KO381:KS381"/>
    <mergeCell ref="KT381:KX381"/>
    <mergeCell ref="KY381:LC381"/>
    <mergeCell ref="LD381:LH381"/>
    <mergeCell ref="JK381:JO381"/>
    <mergeCell ref="JP381:JT381"/>
    <mergeCell ref="JU381:JY381"/>
    <mergeCell ref="JZ381:KD381"/>
    <mergeCell ref="KE381:KI381"/>
    <mergeCell ref="IL381:IP381"/>
    <mergeCell ref="IQ381:IU381"/>
    <mergeCell ref="IV381:IZ381"/>
    <mergeCell ref="JA381:JE381"/>
    <mergeCell ref="JF381:JJ381"/>
    <mergeCell ref="HM381:HQ381"/>
    <mergeCell ref="HR381:HV381"/>
    <mergeCell ref="HW381:IA381"/>
    <mergeCell ref="IB381:IF381"/>
    <mergeCell ref="IG381:IK381"/>
    <mergeCell ref="GN381:GR381"/>
    <mergeCell ref="GS381:GW381"/>
    <mergeCell ref="GX381:HB381"/>
    <mergeCell ref="HC381:HG381"/>
    <mergeCell ref="HH381:HL381"/>
    <mergeCell ref="FO381:FS381"/>
    <mergeCell ref="FT381:FX381"/>
    <mergeCell ref="FY381:GC381"/>
    <mergeCell ref="GD381:GH381"/>
    <mergeCell ref="GI381:GM381"/>
    <mergeCell ref="EP381:ET381"/>
    <mergeCell ref="EU381:EY381"/>
    <mergeCell ref="EZ381:FD381"/>
    <mergeCell ref="FE381:FI381"/>
    <mergeCell ref="FJ381:FN381"/>
    <mergeCell ref="DQ381:DU381"/>
    <mergeCell ref="DV381:DZ381"/>
    <mergeCell ref="EA381:EE381"/>
    <mergeCell ref="EF381:EJ381"/>
    <mergeCell ref="EK381:EO381"/>
    <mergeCell ref="CR381:CV381"/>
    <mergeCell ref="CW381:DA381"/>
    <mergeCell ref="DB381:DF381"/>
    <mergeCell ref="DG381:DK381"/>
    <mergeCell ref="DL381:DP381"/>
    <mergeCell ref="BS381:BW381"/>
    <mergeCell ref="BX381:CB381"/>
    <mergeCell ref="CC381:CG381"/>
    <mergeCell ref="CH381:CL381"/>
    <mergeCell ref="CM381:CQ381"/>
    <mergeCell ref="XEQ380:XEU380"/>
    <mergeCell ref="XEV380:XEZ380"/>
    <mergeCell ref="XFA380:XFD380"/>
    <mergeCell ref="B381:E381"/>
    <mergeCell ref="F381:J381"/>
    <mergeCell ref="P381:T381"/>
    <mergeCell ref="U381:Y381"/>
    <mergeCell ref="Z381:AD381"/>
    <mergeCell ref="AE381:AI381"/>
    <mergeCell ref="AJ381:AN381"/>
    <mergeCell ref="AO381:AS381"/>
    <mergeCell ref="AT381:AX381"/>
    <mergeCell ref="AY381:BC381"/>
    <mergeCell ref="BD381:BH381"/>
    <mergeCell ref="BI381:BM381"/>
    <mergeCell ref="BN381:BR381"/>
    <mergeCell ref="XDR380:XDV380"/>
    <mergeCell ref="XDW380:XEA380"/>
    <mergeCell ref="XEB380:XEF380"/>
    <mergeCell ref="XEG380:XEK380"/>
    <mergeCell ref="XEL380:XEP380"/>
    <mergeCell ref="XCS380:XCW380"/>
    <mergeCell ref="XCX380:XDB380"/>
    <mergeCell ref="XDC380:XDG380"/>
    <mergeCell ref="XDH380:XDL380"/>
    <mergeCell ref="XDM380:XDQ380"/>
    <mergeCell ref="XBT380:XBX380"/>
    <mergeCell ref="XBY380:XCC380"/>
    <mergeCell ref="XCD380:XCH380"/>
    <mergeCell ref="XCI380:XCM380"/>
    <mergeCell ref="XCN380:XCR380"/>
    <mergeCell ref="XAU380:XAY380"/>
    <mergeCell ref="XAZ380:XBD380"/>
    <mergeCell ref="XBE380:XBI380"/>
    <mergeCell ref="XBJ380:XBN380"/>
    <mergeCell ref="XBO380:XBS380"/>
    <mergeCell ref="WZV380:WZZ380"/>
    <mergeCell ref="XAA380:XAE380"/>
    <mergeCell ref="XAF380:XAJ380"/>
    <mergeCell ref="XAK380:XAO380"/>
    <mergeCell ref="XAP380:XAT380"/>
    <mergeCell ref="WYW380:WZA380"/>
    <mergeCell ref="WZB380:WZF380"/>
    <mergeCell ref="WZG380:WZK380"/>
    <mergeCell ref="WZL380:WZP380"/>
    <mergeCell ref="WZQ380:WZU380"/>
    <mergeCell ref="WXX380:WYB380"/>
    <mergeCell ref="WYC380:WYG380"/>
    <mergeCell ref="WYH380:WYL380"/>
    <mergeCell ref="WYM380:WYQ380"/>
    <mergeCell ref="WYR380:WYV380"/>
    <mergeCell ref="WWY380:WXC380"/>
    <mergeCell ref="WXD380:WXH380"/>
    <mergeCell ref="WXI380:WXM380"/>
    <mergeCell ref="WXN380:WXR380"/>
    <mergeCell ref="WXS380:WXW380"/>
    <mergeCell ref="WVZ380:WWD380"/>
    <mergeCell ref="WWE380:WWI380"/>
    <mergeCell ref="WWJ380:WWN380"/>
    <mergeCell ref="WWO380:WWS380"/>
    <mergeCell ref="WWT380:WWX380"/>
    <mergeCell ref="WVA380:WVE380"/>
    <mergeCell ref="WVF380:WVJ380"/>
    <mergeCell ref="WVK380:WVO380"/>
    <mergeCell ref="WVP380:WVT380"/>
    <mergeCell ref="WVU380:WVY380"/>
    <mergeCell ref="WUB380:WUF380"/>
    <mergeCell ref="WUG380:WUK380"/>
    <mergeCell ref="WUL380:WUP380"/>
    <mergeCell ref="WUQ380:WUU380"/>
    <mergeCell ref="WUV380:WUZ380"/>
    <mergeCell ref="WTC380:WTG380"/>
    <mergeCell ref="WTH380:WTL380"/>
    <mergeCell ref="WTM380:WTQ380"/>
    <mergeCell ref="WTR380:WTV380"/>
    <mergeCell ref="WTW380:WUA380"/>
    <mergeCell ref="WSD380:WSH380"/>
    <mergeCell ref="WSI380:WSM380"/>
    <mergeCell ref="WSN380:WSR380"/>
    <mergeCell ref="WSS380:WSW380"/>
    <mergeCell ref="WSX380:WTB380"/>
    <mergeCell ref="WRE380:WRI380"/>
    <mergeCell ref="WRJ380:WRN380"/>
    <mergeCell ref="WRO380:WRS380"/>
    <mergeCell ref="WRT380:WRX380"/>
    <mergeCell ref="WRY380:WSC380"/>
    <mergeCell ref="WQF380:WQJ380"/>
    <mergeCell ref="WQK380:WQO380"/>
    <mergeCell ref="WQP380:WQT380"/>
    <mergeCell ref="WQU380:WQY380"/>
    <mergeCell ref="WQZ380:WRD380"/>
    <mergeCell ref="WPG380:WPK380"/>
    <mergeCell ref="WPL380:WPP380"/>
    <mergeCell ref="WPQ380:WPU380"/>
    <mergeCell ref="WPV380:WPZ380"/>
    <mergeCell ref="WQA380:WQE380"/>
    <mergeCell ref="WOH380:WOL380"/>
    <mergeCell ref="WOM380:WOQ380"/>
    <mergeCell ref="WOR380:WOV380"/>
    <mergeCell ref="WOW380:WPA380"/>
    <mergeCell ref="WPB380:WPF380"/>
    <mergeCell ref="WNI380:WNM380"/>
    <mergeCell ref="WNN380:WNR380"/>
    <mergeCell ref="WNS380:WNW380"/>
    <mergeCell ref="WNX380:WOB380"/>
    <mergeCell ref="WOC380:WOG380"/>
    <mergeCell ref="WMJ380:WMN380"/>
    <mergeCell ref="WMO380:WMS380"/>
    <mergeCell ref="WMT380:WMX380"/>
    <mergeCell ref="WMY380:WNC380"/>
    <mergeCell ref="WND380:WNH380"/>
    <mergeCell ref="WLK380:WLO380"/>
    <mergeCell ref="WLP380:WLT380"/>
    <mergeCell ref="WLU380:WLY380"/>
    <mergeCell ref="WLZ380:WMD380"/>
    <mergeCell ref="WME380:WMI380"/>
    <mergeCell ref="WKL380:WKP380"/>
    <mergeCell ref="WKQ380:WKU380"/>
    <mergeCell ref="WKV380:WKZ380"/>
    <mergeCell ref="WLA380:WLE380"/>
    <mergeCell ref="WLF380:WLJ380"/>
    <mergeCell ref="WJM380:WJQ380"/>
    <mergeCell ref="WJR380:WJV380"/>
    <mergeCell ref="WJW380:WKA380"/>
    <mergeCell ref="WKB380:WKF380"/>
    <mergeCell ref="WKG380:WKK380"/>
    <mergeCell ref="WIN380:WIR380"/>
    <mergeCell ref="WIS380:WIW380"/>
    <mergeCell ref="WIX380:WJB380"/>
    <mergeCell ref="WJC380:WJG380"/>
    <mergeCell ref="WJH380:WJL380"/>
    <mergeCell ref="WHO380:WHS380"/>
    <mergeCell ref="WHT380:WHX380"/>
    <mergeCell ref="WHY380:WIC380"/>
    <mergeCell ref="WID380:WIH380"/>
    <mergeCell ref="WII380:WIM380"/>
    <mergeCell ref="WGP380:WGT380"/>
    <mergeCell ref="WGU380:WGY380"/>
    <mergeCell ref="WGZ380:WHD380"/>
    <mergeCell ref="WHE380:WHI380"/>
    <mergeCell ref="WHJ380:WHN380"/>
    <mergeCell ref="WFQ380:WFU380"/>
    <mergeCell ref="WFV380:WFZ380"/>
    <mergeCell ref="WGA380:WGE380"/>
    <mergeCell ref="WGF380:WGJ380"/>
    <mergeCell ref="WGK380:WGO380"/>
    <mergeCell ref="WER380:WEV380"/>
    <mergeCell ref="WEW380:WFA380"/>
    <mergeCell ref="WFB380:WFF380"/>
    <mergeCell ref="WFG380:WFK380"/>
    <mergeCell ref="WFL380:WFP380"/>
    <mergeCell ref="WDS380:WDW380"/>
    <mergeCell ref="WDX380:WEB380"/>
    <mergeCell ref="WEC380:WEG380"/>
    <mergeCell ref="WEH380:WEL380"/>
    <mergeCell ref="WEM380:WEQ380"/>
    <mergeCell ref="WCT380:WCX380"/>
    <mergeCell ref="WCY380:WDC380"/>
    <mergeCell ref="WDD380:WDH380"/>
    <mergeCell ref="WDI380:WDM380"/>
    <mergeCell ref="WDN380:WDR380"/>
    <mergeCell ref="WBU380:WBY380"/>
    <mergeCell ref="WBZ380:WCD380"/>
    <mergeCell ref="WCE380:WCI380"/>
    <mergeCell ref="WCJ380:WCN380"/>
    <mergeCell ref="WCO380:WCS380"/>
    <mergeCell ref="WAV380:WAZ380"/>
    <mergeCell ref="WBA380:WBE380"/>
    <mergeCell ref="WBF380:WBJ380"/>
    <mergeCell ref="WBK380:WBO380"/>
    <mergeCell ref="WBP380:WBT380"/>
    <mergeCell ref="VZW380:WAA380"/>
    <mergeCell ref="WAB380:WAF380"/>
    <mergeCell ref="WAG380:WAK380"/>
    <mergeCell ref="WAL380:WAP380"/>
    <mergeCell ref="WAQ380:WAU380"/>
    <mergeCell ref="VYX380:VZB380"/>
    <mergeCell ref="VZC380:VZG380"/>
    <mergeCell ref="VZH380:VZL380"/>
    <mergeCell ref="VZM380:VZQ380"/>
    <mergeCell ref="VZR380:VZV380"/>
    <mergeCell ref="VXY380:VYC380"/>
    <mergeCell ref="VYD380:VYH380"/>
    <mergeCell ref="VYI380:VYM380"/>
    <mergeCell ref="VYN380:VYR380"/>
    <mergeCell ref="VYS380:VYW380"/>
    <mergeCell ref="VWZ380:VXD380"/>
    <mergeCell ref="VXE380:VXI380"/>
    <mergeCell ref="VXJ380:VXN380"/>
    <mergeCell ref="VXO380:VXS380"/>
    <mergeCell ref="VXT380:VXX380"/>
    <mergeCell ref="VWA380:VWE380"/>
    <mergeCell ref="VWF380:VWJ380"/>
    <mergeCell ref="VWK380:VWO380"/>
    <mergeCell ref="VWP380:VWT380"/>
    <mergeCell ref="VWU380:VWY380"/>
    <mergeCell ref="VVB380:VVF380"/>
    <mergeCell ref="VVG380:VVK380"/>
    <mergeCell ref="VVL380:VVP380"/>
    <mergeCell ref="VVQ380:VVU380"/>
    <mergeCell ref="VVV380:VVZ380"/>
    <mergeCell ref="VUC380:VUG380"/>
    <mergeCell ref="VUH380:VUL380"/>
    <mergeCell ref="VUM380:VUQ380"/>
    <mergeCell ref="VUR380:VUV380"/>
    <mergeCell ref="VUW380:VVA380"/>
    <mergeCell ref="VTD380:VTH380"/>
    <mergeCell ref="VTI380:VTM380"/>
    <mergeCell ref="VTN380:VTR380"/>
    <mergeCell ref="VTS380:VTW380"/>
    <mergeCell ref="VTX380:VUB380"/>
    <mergeCell ref="VSE380:VSI380"/>
    <mergeCell ref="VSJ380:VSN380"/>
    <mergeCell ref="VSO380:VSS380"/>
    <mergeCell ref="VST380:VSX380"/>
    <mergeCell ref="VSY380:VTC380"/>
    <mergeCell ref="VRF380:VRJ380"/>
    <mergeCell ref="VRK380:VRO380"/>
    <mergeCell ref="VRP380:VRT380"/>
    <mergeCell ref="VRU380:VRY380"/>
    <mergeCell ref="VRZ380:VSD380"/>
    <mergeCell ref="VQG380:VQK380"/>
    <mergeCell ref="VQL380:VQP380"/>
    <mergeCell ref="VQQ380:VQU380"/>
    <mergeCell ref="VQV380:VQZ380"/>
    <mergeCell ref="VRA380:VRE380"/>
    <mergeCell ref="VPH380:VPL380"/>
    <mergeCell ref="VPM380:VPQ380"/>
    <mergeCell ref="VPR380:VPV380"/>
    <mergeCell ref="VPW380:VQA380"/>
    <mergeCell ref="VQB380:VQF380"/>
    <mergeCell ref="VOI380:VOM380"/>
    <mergeCell ref="VON380:VOR380"/>
    <mergeCell ref="VOS380:VOW380"/>
    <mergeCell ref="VOX380:VPB380"/>
    <mergeCell ref="VPC380:VPG380"/>
    <mergeCell ref="VNJ380:VNN380"/>
    <mergeCell ref="VNO380:VNS380"/>
    <mergeCell ref="VNT380:VNX380"/>
    <mergeCell ref="VNY380:VOC380"/>
    <mergeCell ref="VOD380:VOH380"/>
    <mergeCell ref="VMK380:VMO380"/>
    <mergeCell ref="VMP380:VMT380"/>
    <mergeCell ref="VMU380:VMY380"/>
    <mergeCell ref="VMZ380:VND380"/>
    <mergeCell ref="VNE380:VNI380"/>
    <mergeCell ref="VLL380:VLP380"/>
    <mergeCell ref="VLQ380:VLU380"/>
    <mergeCell ref="VLV380:VLZ380"/>
    <mergeCell ref="VMA380:VME380"/>
    <mergeCell ref="VMF380:VMJ380"/>
    <mergeCell ref="VKM380:VKQ380"/>
    <mergeCell ref="VKR380:VKV380"/>
    <mergeCell ref="VKW380:VLA380"/>
    <mergeCell ref="VLB380:VLF380"/>
    <mergeCell ref="VLG380:VLK380"/>
    <mergeCell ref="VJN380:VJR380"/>
    <mergeCell ref="VJS380:VJW380"/>
    <mergeCell ref="VJX380:VKB380"/>
    <mergeCell ref="VKC380:VKG380"/>
    <mergeCell ref="VKH380:VKL380"/>
    <mergeCell ref="VIO380:VIS380"/>
    <mergeCell ref="VIT380:VIX380"/>
    <mergeCell ref="VIY380:VJC380"/>
    <mergeCell ref="VJD380:VJH380"/>
    <mergeCell ref="VJI380:VJM380"/>
    <mergeCell ref="VHP380:VHT380"/>
    <mergeCell ref="VHU380:VHY380"/>
    <mergeCell ref="VHZ380:VID380"/>
    <mergeCell ref="VIE380:VII380"/>
    <mergeCell ref="VIJ380:VIN380"/>
    <mergeCell ref="VGQ380:VGU380"/>
    <mergeCell ref="VGV380:VGZ380"/>
    <mergeCell ref="VHA380:VHE380"/>
    <mergeCell ref="VHF380:VHJ380"/>
    <mergeCell ref="VHK380:VHO380"/>
    <mergeCell ref="VFR380:VFV380"/>
    <mergeCell ref="VFW380:VGA380"/>
    <mergeCell ref="VGB380:VGF380"/>
    <mergeCell ref="VGG380:VGK380"/>
    <mergeCell ref="VGL380:VGP380"/>
    <mergeCell ref="VES380:VEW380"/>
    <mergeCell ref="VEX380:VFB380"/>
    <mergeCell ref="VFC380:VFG380"/>
    <mergeCell ref="VFH380:VFL380"/>
    <mergeCell ref="VFM380:VFQ380"/>
    <mergeCell ref="VDT380:VDX380"/>
    <mergeCell ref="VDY380:VEC380"/>
    <mergeCell ref="VED380:VEH380"/>
    <mergeCell ref="VEI380:VEM380"/>
    <mergeCell ref="VEN380:VER380"/>
    <mergeCell ref="VCU380:VCY380"/>
    <mergeCell ref="VCZ380:VDD380"/>
    <mergeCell ref="VDE380:VDI380"/>
    <mergeCell ref="VDJ380:VDN380"/>
    <mergeCell ref="VDO380:VDS380"/>
    <mergeCell ref="VBV380:VBZ380"/>
    <mergeCell ref="VCA380:VCE380"/>
    <mergeCell ref="VCF380:VCJ380"/>
    <mergeCell ref="VCK380:VCO380"/>
    <mergeCell ref="VCP380:VCT380"/>
    <mergeCell ref="VAW380:VBA380"/>
    <mergeCell ref="VBB380:VBF380"/>
    <mergeCell ref="VBG380:VBK380"/>
    <mergeCell ref="VBL380:VBP380"/>
    <mergeCell ref="VBQ380:VBU380"/>
    <mergeCell ref="UZX380:VAB380"/>
    <mergeCell ref="VAC380:VAG380"/>
    <mergeCell ref="VAH380:VAL380"/>
    <mergeCell ref="VAM380:VAQ380"/>
    <mergeCell ref="VAR380:VAV380"/>
    <mergeCell ref="UYY380:UZC380"/>
    <mergeCell ref="UZD380:UZH380"/>
    <mergeCell ref="UZI380:UZM380"/>
    <mergeCell ref="UZN380:UZR380"/>
    <mergeCell ref="UZS380:UZW380"/>
    <mergeCell ref="UXZ380:UYD380"/>
    <mergeCell ref="UYE380:UYI380"/>
    <mergeCell ref="UYJ380:UYN380"/>
    <mergeCell ref="UYO380:UYS380"/>
    <mergeCell ref="UYT380:UYX380"/>
    <mergeCell ref="UXA380:UXE380"/>
    <mergeCell ref="UXF380:UXJ380"/>
    <mergeCell ref="UXK380:UXO380"/>
    <mergeCell ref="UXP380:UXT380"/>
    <mergeCell ref="UXU380:UXY380"/>
    <mergeCell ref="UWB380:UWF380"/>
    <mergeCell ref="UWG380:UWK380"/>
    <mergeCell ref="UWL380:UWP380"/>
    <mergeCell ref="UWQ380:UWU380"/>
    <mergeCell ref="UWV380:UWZ380"/>
    <mergeCell ref="UVC380:UVG380"/>
    <mergeCell ref="UVH380:UVL380"/>
    <mergeCell ref="UVM380:UVQ380"/>
    <mergeCell ref="UVR380:UVV380"/>
    <mergeCell ref="UVW380:UWA380"/>
    <mergeCell ref="UUD380:UUH380"/>
    <mergeCell ref="UUI380:UUM380"/>
    <mergeCell ref="UUN380:UUR380"/>
    <mergeCell ref="UUS380:UUW380"/>
    <mergeCell ref="UUX380:UVB380"/>
    <mergeCell ref="UTE380:UTI380"/>
    <mergeCell ref="UTJ380:UTN380"/>
    <mergeCell ref="UTO380:UTS380"/>
    <mergeCell ref="UTT380:UTX380"/>
    <mergeCell ref="UTY380:UUC380"/>
    <mergeCell ref="USF380:USJ380"/>
    <mergeCell ref="USK380:USO380"/>
    <mergeCell ref="USP380:UST380"/>
    <mergeCell ref="USU380:USY380"/>
    <mergeCell ref="USZ380:UTD380"/>
    <mergeCell ref="URG380:URK380"/>
    <mergeCell ref="URL380:URP380"/>
    <mergeCell ref="URQ380:URU380"/>
    <mergeCell ref="URV380:URZ380"/>
    <mergeCell ref="USA380:USE380"/>
    <mergeCell ref="UQH380:UQL380"/>
    <mergeCell ref="UQM380:UQQ380"/>
    <mergeCell ref="UQR380:UQV380"/>
    <mergeCell ref="UQW380:URA380"/>
    <mergeCell ref="URB380:URF380"/>
    <mergeCell ref="UPI380:UPM380"/>
    <mergeCell ref="UPN380:UPR380"/>
    <mergeCell ref="UPS380:UPW380"/>
    <mergeCell ref="UPX380:UQB380"/>
    <mergeCell ref="UQC380:UQG380"/>
    <mergeCell ref="UOJ380:UON380"/>
    <mergeCell ref="UOO380:UOS380"/>
    <mergeCell ref="UOT380:UOX380"/>
    <mergeCell ref="UOY380:UPC380"/>
    <mergeCell ref="UPD380:UPH380"/>
    <mergeCell ref="UNK380:UNO380"/>
    <mergeCell ref="UNP380:UNT380"/>
    <mergeCell ref="UNU380:UNY380"/>
    <mergeCell ref="UNZ380:UOD380"/>
    <mergeCell ref="UOE380:UOI380"/>
    <mergeCell ref="UML380:UMP380"/>
    <mergeCell ref="UMQ380:UMU380"/>
    <mergeCell ref="UMV380:UMZ380"/>
    <mergeCell ref="UNA380:UNE380"/>
    <mergeCell ref="UNF380:UNJ380"/>
    <mergeCell ref="ULM380:ULQ380"/>
    <mergeCell ref="ULR380:ULV380"/>
    <mergeCell ref="ULW380:UMA380"/>
    <mergeCell ref="UMB380:UMF380"/>
    <mergeCell ref="UMG380:UMK380"/>
    <mergeCell ref="UKN380:UKR380"/>
    <mergeCell ref="UKS380:UKW380"/>
    <mergeCell ref="UKX380:ULB380"/>
    <mergeCell ref="ULC380:ULG380"/>
    <mergeCell ref="ULH380:ULL380"/>
    <mergeCell ref="UJO380:UJS380"/>
    <mergeCell ref="UJT380:UJX380"/>
    <mergeCell ref="UJY380:UKC380"/>
    <mergeCell ref="UKD380:UKH380"/>
    <mergeCell ref="UKI380:UKM380"/>
    <mergeCell ref="UIP380:UIT380"/>
    <mergeCell ref="UIU380:UIY380"/>
    <mergeCell ref="UIZ380:UJD380"/>
    <mergeCell ref="UJE380:UJI380"/>
    <mergeCell ref="UJJ380:UJN380"/>
    <mergeCell ref="UHQ380:UHU380"/>
    <mergeCell ref="UHV380:UHZ380"/>
    <mergeCell ref="UIA380:UIE380"/>
    <mergeCell ref="UIF380:UIJ380"/>
    <mergeCell ref="UIK380:UIO380"/>
    <mergeCell ref="UGR380:UGV380"/>
    <mergeCell ref="UGW380:UHA380"/>
    <mergeCell ref="UHB380:UHF380"/>
    <mergeCell ref="UHG380:UHK380"/>
    <mergeCell ref="UHL380:UHP380"/>
    <mergeCell ref="UFS380:UFW380"/>
    <mergeCell ref="UFX380:UGB380"/>
    <mergeCell ref="UGC380:UGG380"/>
    <mergeCell ref="UGH380:UGL380"/>
    <mergeCell ref="UGM380:UGQ380"/>
    <mergeCell ref="UET380:UEX380"/>
    <mergeCell ref="UEY380:UFC380"/>
    <mergeCell ref="UFD380:UFH380"/>
    <mergeCell ref="UFI380:UFM380"/>
    <mergeCell ref="UFN380:UFR380"/>
    <mergeCell ref="UDU380:UDY380"/>
    <mergeCell ref="UDZ380:UED380"/>
    <mergeCell ref="UEE380:UEI380"/>
    <mergeCell ref="UEJ380:UEN380"/>
    <mergeCell ref="UEO380:UES380"/>
    <mergeCell ref="UCV380:UCZ380"/>
    <mergeCell ref="UDA380:UDE380"/>
    <mergeCell ref="UDF380:UDJ380"/>
    <mergeCell ref="UDK380:UDO380"/>
    <mergeCell ref="UDP380:UDT380"/>
    <mergeCell ref="UBW380:UCA380"/>
    <mergeCell ref="UCB380:UCF380"/>
    <mergeCell ref="UCG380:UCK380"/>
    <mergeCell ref="UCL380:UCP380"/>
    <mergeCell ref="UCQ380:UCU380"/>
    <mergeCell ref="UAX380:UBB380"/>
    <mergeCell ref="UBC380:UBG380"/>
    <mergeCell ref="UBH380:UBL380"/>
    <mergeCell ref="UBM380:UBQ380"/>
    <mergeCell ref="UBR380:UBV380"/>
    <mergeCell ref="TZY380:UAC380"/>
    <mergeCell ref="UAD380:UAH380"/>
    <mergeCell ref="UAI380:UAM380"/>
    <mergeCell ref="UAN380:UAR380"/>
    <mergeCell ref="UAS380:UAW380"/>
    <mergeCell ref="TYZ380:TZD380"/>
    <mergeCell ref="TZE380:TZI380"/>
    <mergeCell ref="TZJ380:TZN380"/>
    <mergeCell ref="TZO380:TZS380"/>
    <mergeCell ref="TZT380:TZX380"/>
    <mergeCell ref="TYA380:TYE380"/>
    <mergeCell ref="TYF380:TYJ380"/>
    <mergeCell ref="TYK380:TYO380"/>
    <mergeCell ref="TYP380:TYT380"/>
    <mergeCell ref="TYU380:TYY380"/>
    <mergeCell ref="TXB380:TXF380"/>
    <mergeCell ref="TXG380:TXK380"/>
    <mergeCell ref="TXL380:TXP380"/>
    <mergeCell ref="TXQ380:TXU380"/>
    <mergeCell ref="TXV380:TXZ380"/>
    <mergeCell ref="TWC380:TWG380"/>
    <mergeCell ref="TWH380:TWL380"/>
    <mergeCell ref="TWM380:TWQ380"/>
    <mergeCell ref="TWR380:TWV380"/>
    <mergeCell ref="TWW380:TXA380"/>
    <mergeCell ref="TVD380:TVH380"/>
    <mergeCell ref="TVI380:TVM380"/>
    <mergeCell ref="TVN380:TVR380"/>
    <mergeCell ref="TVS380:TVW380"/>
    <mergeCell ref="TVX380:TWB380"/>
    <mergeCell ref="TUE380:TUI380"/>
    <mergeCell ref="TUJ380:TUN380"/>
    <mergeCell ref="TUO380:TUS380"/>
    <mergeCell ref="TUT380:TUX380"/>
    <mergeCell ref="TUY380:TVC380"/>
    <mergeCell ref="TTF380:TTJ380"/>
    <mergeCell ref="TTK380:TTO380"/>
    <mergeCell ref="TTP380:TTT380"/>
    <mergeCell ref="TTU380:TTY380"/>
    <mergeCell ref="TTZ380:TUD380"/>
    <mergeCell ref="TSG380:TSK380"/>
    <mergeCell ref="TSL380:TSP380"/>
    <mergeCell ref="TSQ380:TSU380"/>
    <mergeCell ref="TSV380:TSZ380"/>
    <mergeCell ref="TTA380:TTE380"/>
    <mergeCell ref="TRH380:TRL380"/>
    <mergeCell ref="TRM380:TRQ380"/>
    <mergeCell ref="TRR380:TRV380"/>
    <mergeCell ref="TRW380:TSA380"/>
    <mergeCell ref="TSB380:TSF380"/>
    <mergeCell ref="TQI380:TQM380"/>
    <mergeCell ref="TQN380:TQR380"/>
    <mergeCell ref="TQS380:TQW380"/>
    <mergeCell ref="TQX380:TRB380"/>
    <mergeCell ref="TRC380:TRG380"/>
    <mergeCell ref="TPJ380:TPN380"/>
    <mergeCell ref="TPO380:TPS380"/>
    <mergeCell ref="TPT380:TPX380"/>
    <mergeCell ref="TPY380:TQC380"/>
    <mergeCell ref="TQD380:TQH380"/>
    <mergeCell ref="TOK380:TOO380"/>
    <mergeCell ref="TOP380:TOT380"/>
    <mergeCell ref="TOU380:TOY380"/>
    <mergeCell ref="TOZ380:TPD380"/>
    <mergeCell ref="TPE380:TPI380"/>
    <mergeCell ref="TNL380:TNP380"/>
    <mergeCell ref="TNQ380:TNU380"/>
    <mergeCell ref="TNV380:TNZ380"/>
    <mergeCell ref="TOA380:TOE380"/>
    <mergeCell ref="TOF380:TOJ380"/>
    <mergeCell ref="TMM380:TMQ380"/>
    <mergeCell ref="TMR380:TMV380"/>
    <mergeCell ref="TMW380:TNA380"/>
    <mergeCell ref="TNB380:TNF380"/>
    <mergeCell ref="TNG380:TNK380"/>
    <mergeCell ref="TLN380:TLR380"/>
    <mergeCell ref="TLS380:TLW380"/>
    <mergeCell ref="TLX380:TMB380"/>
    <mergeCell ref="TMC380:TMG380"/>
    <mergeCell ref="TMH380:TML380"/>
    <mergeCell ref="TKO380:TKS380"/>
    <mergeCell ref="TKT380:TKX380"/>
    <mergeCell ref="TKY380:TLC380"/>
    <mergeCell ref="TLD380:TLH380"/>
    <mergeCell ref="TLI380:TLM380"/>
    <mergeCell ref="TJP380:TJT380"/>
    <mergeCell ref="TJU380:TJY380"/>
    <mergeCell ref="TJZ380:TKD380"/>
    <mergeCell ref="TKE380:TKI380"/>
    <mergeCell ref="TKJ380:TKN380"/>
    <mergeCell ref="TIQ380:TIU380"/>
    <mergeCell ref="TIV380:TIZ380"/>
    <mergeCell ref="TJA380:TJE380"/>
    <mergeCell ref="TJF380:TJJ380"/>
    <mergeCell ref="TJK380:TJO380"/>
    <mergeCell ref="THR380:THV380"/>
    <mergeCell ref="THW380:TIA380"/>
    <mergeCell ref="TIB380:TIF380"/>
    <mergeCell ref="TIG380:TIK380"/>
    <mergeCell ref="TIL380:TIP380"/>
    <mergeCell ref="TGS380:TGW380"/>
    <mergeCell ref="TGX380:THB380"/>
    <mergeCell ref="THC380:THG380"/>
    <mergeCell ref="THH380:THL380"/>
    <mergeCell ref="THM380:THQ380"/>
    <mergeCell ref="TFT380:TFX380"/>
    <mergeCell ref="TFY380:TGC380"/>
    <mergeCell ref="TGD380:TGH380"/>
    <mergeCell ref="TGI380:TGM380"/>
    <mergeCell ref="TGN380:TGR380"/>
    <mergeCell ref="TEU380:TEY380"/>
    <mergeCell ref="TEZ380:TFD380"/>
    <mergeCell ref="TFE380:TFI380"/>
    <mergeCell ref="TFJ380:TFN380"/>
    <mergeCell ref="TFO380:TFS380"/>
    <mergeCell ref="TDV380:TDZ380"/>
    <mergeCell ref="TEA380:TEE380"/>
    <mergeCell ref="TEF380:TEJ380"/>
    <mergeCell ref="TEK380:TEO380"/>
    <mergeCell ref="TEP380:TET380"/>
    <mergeCell ref="TCW380:TDA380"/>
    <mergeCell ref="TDB380:TDF380"/>
    <mergeCell ref="TDG380:TDK380"/>
    <mergeCell ref="TDL380:TDP380"/>
    <mergeCell ref="TDQ380:TDU380"/>
    <mergeCell ref="TBX380:TCB380"/>
    <mergeCell ref="TCC380:TCG380"/>
    <mergeCell ref="TCH380:TCL380"/>
    <mergeCell ref="TCM380:TCQ380"/>
    <mergeCell ref="TCR380:TCV380"/>
    <mergeCell ref="TAY380:TBC380"/>
    <mergeCell ref="TBD380:TBH380"/>
    <mergeCell ref="TBI380:TBM380"/>
    <mergeCell ref="TBN380:TBR380"/>
    <mergeCell ref="TBS380:TBW380"/>
    <mergeCell ref="SZZ380:TAD380"/>
    <mergeCell ref="TAE380:TAI380"/>
    <mergeCell ref="TAJ380:TAN380"/>
    <mergeCell ref="TAO380:TAS380"/>
    <mergeCell ref="TAT380:TAX380"/>
    <mergeCell ref="SZA380:SZE380"/>
    <mergeCell ref="SZF380:SZJ380"/>
    <mergeCell ref="SZK380:SZO380"/>
    <mergeCell ref="SZP380:SZT380"/>
    <mergeCell ref="SZU380:SZY380"/>
    <mergeCell ref="SYB380:SYF380"/>
    <mergeCell ref="SYG380:SYK380"/>
    <mergeCell ref="SYL380:SYP380"/>
    <mergeCell ref="SYQ380:SYU380"/>
    <mergeCell ref="SYV380:SYZ380"/>
    <mergeCell ref="SXC380:SXG380"/>
    <mergeCell ref="SXH380:SXL380"/>
    <mergeCell ref="SXM380:SXQ380"/>
    <mergeCell ref="SXR380:SXV380"/>
    <mergeCell ref="SXW380:SYA380"/>
    <mergeCell ref="SWD380:SWH380"/>
    <mergeCell ref="SWI380:SWM380"/>
    <mergeCell ref="SWN380:SWR380"/>
    <mergeCell ref="SWS380:SWW380"/>
    <mergeCell ref="SWX380:SXB380"/>
    <mergeCell ref="SVE380:SVI380"/>
    <mergeCell ref="SVJ380:SVN380"/>
    <mergeCell ref="SVO380:SVS380"/>
    <mergeCell ref="SVT380:SVX380"/>
    <mergeCell ref="SVY380:SWC380"/>
    <mergeCell ref="SUF380:SUJ380"/>
    <mergeCell ref="SUK380:SUO380"/>
    <mergeCell ref="SUP380:SUT380"/>
    <mergeCell ref="SUU380:SUY380"/>
    <mergeCell ref="SUZ380:SVD380"/>
    <mergeCell ref="STG380:STK380"/>
    <mergeCell ref="STL380:STP380"/>
    <mergeCell ref="STQ380:STU380"/>
    <mergeCell ref="STV380:STZ380"/>
    <mergeCell ref="SUA380:SUE380"/>
    <mergeCell ref="SSH380:SSL380"/>
    <mergeCell ref="SSM380:SSQ380"/>
    <mergeCell ref="SSR380:SSV380"/>
    <mergeCell ref="SSW380:STA380"/>
    <mergeCell ref="STB380:STF380"/>
    <mergeCell ref="SRI380:SRM380"/>
    <mergeCell ref="SRN380:SRR380"/>
    <mergeCell ref="SRS380:SRW380"/>
    <mergeCell ref="SRX380:SSB380"/>
    <mergeCell ref="SSC380:SSG380"/>
    <mergeCell ref="SQJ380:SQN380"/>
    <mergeCell ref="SQO380:SQS380"/>
    <mergeCell ref="SQT380:SQX380"/>
    <mergeCell ref="SQY380:SRC380"/>
    <mergeCell ref="SRD380:SRH380"/>
    <mergeCell ref="SPK380:SPO380"/>
    <mergeCell ref="SPP380:SPT380"/>
    <mergeCell ref="SPU380:SPY380"/>
    <mergeCell ref="SPZ380:SQD380"/>
    <mergeCell ref="SQE380:SQI380"/>
    <mergeCell ref="SOL380:SOP380"/>
    <mergeCell ref="SOQ380:SOU380"/>
    <mergeCell ref="SOV380:SOZ380"/>
    <mergeCell ref="SPA380:SPE380"/>
    <mergeCell ref="SPF380:SPJ380"/>
    <mergeCell ref="SNM380:SNQ380"/>
    <mergeCell ref="SNR380:SNV380"/>
    <mergeCell ref="SNW380:SOA380"/>
    <mergeCell ref="SOB380:SOF380"/>
    <mergeCell ref="SOG380:SOK380"/>
    <mergeCell ref="SMN380:SMR380"/>
    <mergeCell ref="SMS380:SMW380"/>
    <mergeCell ref="SMX380:SNB380"/>
    <mergeCell ref="SNC380:SNG380"/>
    <mergeCell ref="SNH380:SNL380"/>
    <mergeCell ref="SLO380:SLS380"/>
    <mergeCell ref="SLT380:SLX380"/>
    <mergeCell ref="SLY380:SMC380"/>
    <mergeCell ref="SMD380:SMH380"/>
    <mergeCell ref="SMI380:SMM380"/>
    <mergeCell ref="SKP380:SKT380"/>
    <mergeCell ref="SKU380:SKY380"/>
    <mergeCell ref="SKZ380:SLD380"/>
    <mergeCell ref="SLE380:SLI380"/>
    <mergeCell ref="SLJ380:SLN380"/>
    <mergeCell ref="SJQ380:SJU380"/>
    <mergeCell ref="SJV380:SJZ380"/>
    <mergeCell ref="SKA380:SKE380"/>
    <mergeCell ref="SKF380:SKJ380"/>
    <mergeCell ref="SKK380:SKO380"/>
    <mergeCell ref="SIR380:SIV380"/>
    <mergeCell ref="SIW380:SJA380"/>
    <mergeCell ref="SJB380:SJF380"/>
    <mergeCell ref="SJG380:SJK380"/>
    <mergeCell ref="SJL380:SJP380"/>
    <mergeCell ref="SHS380:SHW380"/>
    <mergeCell ref="SHX380:SIB380"/>
    <mergeCell ref="SIC380:SIG380"/>
    <mergeCell ref="SIH380:SIL380"/>
    <mergeCell ref="SIM380:SIQ380"/>
    <mergeCell ref="SGT380:SGX380"/>
    <mergeCell ref="SGY380:SHC380"/>
    <mergeCell ref="SHD380:SHH380"/>
    <mergeCell ref="SHI380:SHM380"/>
    <mergeCell ref="SHN380:SHR380"/>
    <mergeCell ref="SFU380:SFY380"/>
    <mergeCell ref="SFZ380:SGD380"/>
    <mergeCell ref="SGE380:SGI380"/>
    <mergeCell ref="SGJ380:SGN380"/>
    <mergeCell ref="SGO380:SGS380"/>
    <mergeCell ref="SEV380:SEZ380"/>
    <mergeCell ref="SFA380:SFE380"/>
    <mergeCell ref="SFF380:SFJ380"/>
    <mergeCell ref="SFK380:SFO380"/>
    <mergeCell ref="SFP380:SFT380"/>
    <mergeCell ref="SDW380:SEA380"/>
    <mergeCell ref="SEB380:SEF380"/>
    <mergeCell ref="SEG380:SEK380"/>
    <mergeCell ref="SEL380:SEP380"/>
    <mergeCell ref="SEQ380:SEU380"/>
    <mergeCell ref="SCX380:SDB380"/>
    <mergeCell ref="SDC380:SDG380"/>
    <mergeCell ref="SDH380:SDL380"/>
    <mergeCell ref="SDM380:SDQ380"/>
    <mergeCell ref="SDR380:SDV380"/>
    <mergeCell ref="SBY380:SCC380"/>
    <mergeCell ref="SCD380:SCH380"/>
    <mergeCell ref="SCI380:SCM380"/>
    <mergeCell ref="SCN380:SCR380"/>
    <mergeCell ref="SCS380:SCW380"/>
    <mergeCell ref="SAZ380:SBD380"/>
    <mergeCell ref="SBE380:SBI380"/>
    <mergeCell ref="SBJ380:SBN380"/>
    <mergeCell ref="SBO380:SBS380"/>
    <mergeCell ref="SBT380:SBX380"/>
    <mergeCell ref="SAA380:SAE380"/>
    <mergeCell ref="SAF380:SAJ380"/>
    <mergeCell ref="SAK380:SAO380"/>
    <mergeCell ref="SAP380:SAT380"/>
    <mergeCell ref="SAU380:SAY380"/>
    <mergeCell ref="RZB380:RZF380"/>
    <mergeCell ref="RZG380:RZK380"/>
    <mergeCell ref="RZL380:RZP380"/>
    <mergeCell ref="RZQ380:RZU380"/>
    <mergeCell ref="RZV380:RZZ380"/>
    <mergeCell ref="RYC380:RYG380"/>
    <mergeCell ref="RYH380:RYL380"/>
    <mergeCell ref="RYM380:RYQ380"/>
    <mergeCell ref="RYR380:RYV380"/>
    <mergeCell ref="RYW380:RZA380"/>
    <mergeCell ref="RXD380:RXH380"/>
    <mergeCell ref="RXI380:RXM380"/>
    <mergeCell ref="RXN380:RXR380"/>
    <mergeCell ref="RXS380:RXW380"/>
    <mergeCell ref="RXX380:RYB380"/>
    <mergeCell ref="RWE380:RWI380"/>
    <mergeCell ref="RWJ380:RWN380"/>
    <mergeCell ref="RWO380:RWS380"/>
    <mergeCell ref="RWT380:RWX380"/>
    <mergeCell ref="RWY380:RXC380"/>
    <mergeCell ref="RVF380:RVJ380"/>
    <mergeCell ref="RVK380:RVO380"/>
    <mergeCell ref="RVP380:RVT380"/>
    <mergeCell ref="RVU380:RVY380"/>
    <mergeCell ref="RVZ380:RWD380"/>
    <mergeCell ref="RUG380:RUK380"/>
    <mergeCell ref="RUL380:RUP380"/>
    <mergeCell ref="RUQ380:RUU380"/>
    <mergeCell ref="RUV380:RUZ380"/>
    <mergeCell ref="RVA380:RVE380"/>
    <mergeCell ref="RTH380:RTL380"/>
    <mergeCell ref="RTM380:RTQ380"/>
    <mergeCell ref="RTR380:RTV380"/>
    <mergeCell ref="RTW380:RUA380"/>
    <mergeCell ref="RUB380:RUF380"/>
    <mergeCell ref="RSI380:RSM380"/>
    <mergeCell ref="RSN380:RSR380"/>
    <mergeCell ref="RSS380:RSW380"/>
    <mergeCell ref="RSX380:RTB380"/>
    <mergeCell ref="RTC380:RTG380"/>
    <mergeCell ref="RRJ380:RRN380"/>
    <mergeCell ref="RRO380:RRS380"/>
    <mergeCell ref="RRT380:RRX380"/>
    <mergeCell ref="RRY380:RSC380"/>
    <mergeCell ref="RSD380:RSH380"/>
    <mergeCell ref="RQK380:RQO380"/>
    <mergeCell ref="RQP380:RQT380"/>
    <mergeCell ref="RQU380:RQY380"/>
    <mergeCell ref="RQZ380:RRD380"/>
    <mergeCell ref="RRE380:RRI380"/>
    <mergeCell ref="RPL380:RPP380"/>
    <mergeCell ref="RPQ380:RPU380"/>
    <mergeCell ref="RPV380:RPZ380"/>
    <mergeCell ref="RQA380:RQE380"/>
    <mergeCell ref="RQF380:RQJ380"/>
    <mergeCell ref="ROM380:ROQ380"/>
    <mergeCell ref="ROR380:ROV380"/>
    <mergeCell ref="ROW380:RPA380"/>
    <mergeCell ref="RPB380:RPF380"/>
    <mergeCell ref="RPG380:RPK380"/>
    <mergeCell ref="RNN380:RNR380"/>
    <mergeCell ref="RNS380:RNW380"/>
    <mergeCell ref="RNX380:ROB380"/>
    <mergeCell ref="ROC380:ROG380"/>
    <mergeCell ref="ROH380:ROL380"/>
    <mergeCell ref="RMO380:RMS380"/>
    <mergeCell ref="RMT380:RMX380"/>
    <mergeCell ref="RMY380:RNC380"/>
    <mergeCell ref="RND380:RNH380"/>
    <mergeCell ref="RNI380:RNM380"/>
    <mergeCell ref="RLP380:RLT380"/>
    <mergeCell ref="RLU380:RLY380"/>
    <mergeCell ref="RLZ380:RMD380"/>
    <mergeCell ref="RME380:RMI380"/>
    <mergeCell ref="RMJ380:RMN380"/>
    <mergeCell ref="RKQ380:RKU380"/>
    <mergeCell ref="RKV380:RKZ380"/>
    <mergeCell ref="RLA380:RLE380"/>
    <mergeCell ref="RLF380:RLJ380"/>
    <mergeCell ref="RLK380:RLO380"/>
    <mergeCell ref="RJR380:RJV380"/>
    <mergeCell ref="RJW380:RKA380"/>
    <mergeCell ref="RKB380:RKF380"/>
    <mergeCell ref="RKG380:RKK380"/>
    <mergeCell ref="RKL380:RKP380"/>
    <mergeCell ref="RIS380:RIW380"/>
    <mergeCell ref="RIX380:RJB380"/>
    <mergeCell ref="RJC380:RJG380"/>
    <mergeCell ref="RJH380:RJL380"/>
    <mergeCell ref="RJM380:RJQ380"/>
    <mergeCell ref="RHT380:RHX380"/>
    <mergeCell ref="RHY380:RIC380"/>
    <mergeCell ref="RID380:RIH380"/>
    <mergeCell ref="RII380:RIM380"/>
    <mergeCell ref="RIN380:RIR380"/>
    <mergeCell ref="RGU380:RGY380"/>
    <mergeCell ref="RGZ380:RHD380"/>
    <mergeCell ref="RHE380:RHI380"/>
    <mergeCell ref="RHJ380:RHN380"/>
    <mergeCell ref="RHO380:RHS380"/>
    <mergeCell ref="RFV380:RFZ380"/>
    <mergeCell ref="RGA380:RGE380"/>
    <mergeCell ref="RGF380:RGJ380"/>
    <mergeCell ref="RGK380:RGO380"/>
    <mergeCell ref="RGP380:RGT380"/>
    <mergeCell ref="REW380:RFA380"/>
    <mergeCell ref="RFB380:RFF380"/>
    <mergeCell ref="RFG380:RFK380"/>
    <mergeCell ref="RFL380:RFP380"/>
    <mergeCell ref="RFQ380:RFU380"/>
    <mergeCell ref="RDX380:REB380"/>
    <mergeCell ref="REC380:REG380"/>
    <mergeCell ref="REH380:REL380"/>
    <mergeCell ref="REM380:REQ380"/>
    <mergeCell ref="RER380:REV380"/>
    <mergeCell ref="RCY380:RDC380"/>
    <mergeCell ref="RDD380:RDH380"/>
    <mergeCell ref="RDI380:RDM380"/>
    <mergeCell ref="RDN380:RDR380"/>
    <mergeCell ref="RDS380:RDW380"/>
    <mergeCell ref="RBZ380:RCD380"/>
    <mergeCell ref="RCE380:RCI380"/>
    <mergeCell ref="RCJ380:RCN380"/>
    <mergeCell ref="RCO380:RCS380"/>
    <mergeCell ref="RCT380:RCX380"/>
    <mergeCell ref="RBA380:RBE380"/>
    <mergeCell ref="RBF380:RBJ380"/>
    <mergeCell ref="RBK380:RBO380"/>
    <mergeCell ref="RBP380:RBT380"/>
    <mergeCell ref="RBU380:RBY380"/>
    <mergeCell ref="RAB380:RAF380"/>
    <mergeCell ref="RAG380:RAK380"/>
    <mergeCell ref="RAL380:RAP380"/>
    <mergeCell ref="RAQ380:RAU380"/>
    <mergeCell ref="RAV380:RAZ380"/>
    <mergeCell ref="QZC380:QZG380"/>
    <mergeCell ref="QZH380:QZL380"/>
    <mergeCell ref="QZM380:QZQ380"/>
    <mergeCell ref="QZR380:QZV380"/>
    <mergeCell ref="QZW380:RAA380"/>
    <mergeCell ref="QYD380:QYH380"/>
    <mergeCell ref="QYI380:QYM380"/>
    <mergeCell ref="QYN380:QYR380"/>
    <mergeCell ref="QYS380:QYW380"/>
    <mergeCell ref="QYX380:QZB380"/>
    <mergeCell ref="QXE380:QXI380"/>
    <mergeCell ref="QXJ380:QXN380"/>
    <mergeCell ref="QXO380:QXS380"/>
    <mergeCell ref="QXT380:QXX380"/>
    <mergeCell ref="QXY380:QYC380"/>
    <mergeCell ref="QWF380:QWJ380"/>
    <mergeCell ref="QWK380:QWO380"/>
    <mergeCell ref="QWP380:QWT380"/>
    <mergeCell ref="QWU380:QWY380"/>
    <mergeCell ref="QWZ380:QXD380"/>
    <mergeCell ref="QVG380:QVK380"/>
    <mergeCell ref="QVL380:QVP380"/>
    <mergeCell ref="QVQ380:QVU380"/>
    <mergeCell ref="QVV380:QVZ380"/>
    <mergeCell ref="QWA380:QWE380"/>
    <mergeCell ref="QUH380:QUL380"/>
    <mergeCell ref="QUM380:QUQ380"/>
    <mergeCell ref="QUR380:QUV380"/>
    <mergeCell ref="QUW380:QVA380"/>
    <mergeCell ref="QVB380:QVF380"/>
    <mergeCell ref="QTI380:QTM380"/>
    <mergeCell ref="QTN380:QTR380"/>
    <mergeCell ref="QTS380:QTW380"/>
    <mergeCell ref="QTX380:QUB380"/>
    <mergeCell ref="QUC380:QUG380"/>
    <mergeCell ref="QSJ380:QSN380"/>
    <mergeCell ref="QSO380:QSS380"/>
    <mergeCell ref="QST380:QSX380"/>
    <mergeCell ref="QSY380:QTC380"/>
    <mergeCell ref="QTD380:QTH380"/>
    <mergeCell ref="QRK380:QRO380"/>
    <mergeCell ref="QRP380:QRT380"/>
    <mergeCell ref="QRU380:QRY380"/>
    <mergeCell ref="QRZ380:QSD380"/>
    <mergeCell ref="QSE380:QSI380"/>
    <mergeCell ref="QQL380:QQP380"/>
    <mergeCell ref="QQQ380:QQU380"/>
    <mergeCell ref="QQV380:QQZ380"/>
    <mergeCell ref="QRA380:QRE380"/>
    <mergeCell ref="QRF380:QRJ380"/>
    <mergeCell ref="QPM380:QPQ380"/>
    <mergeCell ref="QPR380:QPV380"/>
    <mergeCell ref="QPW380:QQA380"/>
    <mergeCell ref="QQB380:QQF380"/>
    <mergeCell ref="QQG380:QQK380"/>
    <mergeCell ref="QON380:QOR380"/>
    <mergeCell ref="QOS380:QOW380"/>
    <mergeCell ref="QOX380:QPB380"/>
    <mergeCell ref="QPC380:QPG380"/>
    <mergeCell ref="QPH380:QPL380"/>
    <mergeCell ref="QNO380:QNS380"/>
    <mergeCell ref="QNT380:QNX380"/>
    <mergeCell ref="QNY380:QOC380"/>
    <mergeCell ref="QOD380:QOH380"/>
    <mergeCell ref="QOI380:QOM380"/>
    <mergeCell ref="QMP380:QMT380"/>
    <mergeCell ref="QMU380:QMY380"/>
    <mergeCell ref="QMZ380:QND380"/>
    <mergeCell ref="QNE380:QNI380"/>
    <mergeCell ref="QNJ380:QNN380"/>
    <mergeCell ref="QLQ380:QLU380"/>
    <mergeCell ref="QLV380:QLZ380"/>
    <mergeCell ref="QMA380:QME380"/>
    <mergeCell ref="QMF380:QMJ380"/>
    <mergeCell ref="QMK380:QMO380"/>
    <mergeCell ref="QKR380:QKV380"/>
    <mergeCell ref="QKW380:QLA380"/>
    <mergeCell ref="QLB380:QLF380"/>
    <mergeCell ref="QLG380:QLK380"/>
    <mergeCell ref="QLL380:QLP380"/>
    <mergeCell ref="QJS380:QJW380"/>
    <mergeCell ref="QJX380:QKB380"/>
    <mergeCell ref="QKC380:QKG380"/>
    <mergeCell ref="QKH380:QKL380"/>
    <mergeCell ref="QKM380:QKQ380"/>
    <mergeCell ref="QIT380:QIX380"/>
    <mergeCell ref="QIY380:QJC380"/>
    <mergeCell ref="QJD380:QJH380"/>
    <mergeCell ref="QJI380:QJM380"/>
    <mergeCell ref="QJN380:QJR380"/>
    <mergeCell ref="QHU380:QHY380"/>
    <mergeCell ref="QHZ380:QID380"/>
    <mergeCell ref="QIE380:QII380"/>
    <mergeCell ref="QIJ380:QIN380"/>
    <mergeCell ref="QIO380:QIS380"/>
    <mergeCell ref="QGV380:QGZ380"/>
    <mergeCell ref="QHA380:QHE380"/>
    <mergeCell ref="QHF380:QHJ380"/>
    <mergeCell ref="QHK380:QHO380"/>
    <mergeCell ref="QHP380:QHT380"/>
    <mergeCell ref="QFW380:QGA380"/>
    <mergeCell ref="QGB380:QGF380"/>
    <mergeCell ref="QGG380:QGK380"/>
    <mergeCell ref="QGL380:QGP380"/>
    <mergeCell ref="QGQ380:QGU380"/>
    <mergeCell ref="QEX380:QFB380"/>
    <mergeCell ref="QFC380:QFG380"/>
    <mergeCell ref="QFH380:QFL380"/>
    <mergeCell ref="QFM380:QFQ380"/>
    <mergeCell ref="QFR380:QFV380"/>
    <mergeCell ref="QDY380:QEC380"/>
    <mergeCell ref="QED380:QEH380"/>
    <mergeCell ref="QEI380:QEM380"/>
    <mergeCell ref="QEN380:QER380"/>
    <mergeCell ref="QES380:QEW380"/>
    <mergeCell ref="QCZ380:QDD380"/>
    <mergeCell ref="QDE380:QDI380"/>
    <mergeCell ref="QDJ380:QDN380"/>
    <mergeCell ref="QDO380:QDS380"/>
    <mergeCell ref="QDT380:QDX380"/>
    <mergeCell ref="QCA380:QCE380"/>
    <mergeCell ref="QCF380:QCJ380"/>
    <mergeCell ref="QCK380:QCO380"/>
    <mergeCell ref="QCP380:QCT380"/>
    <mergeCell ref="QCU380:QCY380"/>
    <mergeCell ref="QBB380:QBF380"/>
    <mergeCell ref="QBG380:QBK380"/>
    <mergeCell ref="QBL380:QBP380"/>
    <mergeCell ref="QBQ380:QBU380"/>
    <mergeCell ref="QBV380:QBZ380"/>
    <mergeCell ref="QAC380:QAG380"/>
    <mergeCell ref="QAH380:QAL380"/>
    <mergeCell ref="QAM380:QAQ380"/>
    <mergeCell ref="QAR380:QAV380"/>
    <mergeCell ref="QAW380:QBA380"/>
    <mergeCell ref="PZD380:PZH380"/>
    <mergeCell ref="PZI380:PZM380"/>
    <mergeCell ref="PZN380:PZR380"/>
    <mergeCell ref="PZS380:PZW380"/>
    <mergeCell ref="PZX380:QAB380"/>
    <mergeCell ref="PYE380:PYI380"/>
    <mergeCell ref="PYJ380:PYN380"/>
    <mergeCell ref="PYO380:PYS380"/>
    <mergeCell ref="PYT380:PYX380"/>
    <mergeCell ref="PYY380:PZC380"/>
    <mergeCell ref="PXF380:PXJ380"/>
    <mergeCell ref="PXK380:PXO380"/>
    <mergeCell ref="PXP380:PXT380"/>
    <mergeCell ref="PXU380:PXY380"/>
    <mergeCell ref="PXZ380:PYD380"/>
    <mergeCell ref="PWG380:PWK380"/>
    <mergeCell ref="PWL380:PWP380"/>
    <mergeCell ref="PWQ380:PWU380"/>
    <mergeCell ref="PWV380:PWZ380"/>
    <mergeCell ref="PXA380:PXE380"/>
    <mergeCell ref="PVH380:PVL380"/>
    <mergeCell ref="PVM380:PVQ380"/>
    <mergeCell ref="PVR380:PVV380"/>
    <mergeCell ref="PVW380:PWA380"/>
    <mergeCell ref="PWB380:PWF380"/>
    <mergeCell ref="PUI380:PUM380"/>
    <mergeCell ref="PUN380:PUR380"/>
    <mergeCell ref="PUS380:PUW380"/>
    <mergeCell ref="PUX380:PVB380"/>
    <mergeCell ref="PVC380:PVG380"/>
    <mergeCell ref="PTJ380:PTN380"/>
    <mergeCell ref="PTO380:PTS380"/>
    <mergeCell ref="PTT380:PTX380"/>
    <mergeCell ref="PTY380:PUC380"/>
    <mergeCell ref="PUD380:PUH380"/>
    <mergeCell ref="PSK380:PSO380"/>
    <mergeCell ref="PSP380:PST380"/>
    <mergeCell ref="PSU380:PSY380"/>
    <mergeCell ref="PSZ380:PTD380"/>
    <mergeCell ref="PTE380:PTI380"/>
    <mergeCell ref="PRL380:PRP380"/>
    <mergeCell ref="PRQ380:PRU380"/>
    <mergeCell ref="PRV380:PRZ380"/>
    <mergeCell ref="PSA380:PSE380"/>
    <mergeCell ref="PSF380:PSJ380"/>
    <mergeCell ref="PQM380:PQQ380"/>
    <mergeCell ref="PQR380:PQV380"/>
    <mergeCell ref="PQW380:PRA380"/>
    <mergeCell ref="PRB380:PRF380"/>
    <mergeCell ref="PRG380:PRK380"/>
    <mergeCell ref="PPN380:PPR380"/>
    <mergeCell ref="PPS380:PPW380"/>
    <mergeCell ref="PPX380:PQB380"/>
    <mergeCell ref="PQC380:PQG380"/>
    <mergeCell ref="PQH380:PQL380"/>
    <mergeCell ref="POO380:POS380"/>
    <mergeCell ref="POT380:POX380"/>
    <mergeCell ref="POY380:PPC380"/>
    <mergeCell ref="PPD380:PPH380"/>
    <mergeCell ref="PPI380:PPM380"/>
    <mergeCell ref="PNP380:PNT380"/>
    <mergeCell ref="PNU380:PNY380"/>
    <mergeCell ref="PNZ380:POD380"/>
    <mergeCell ref="POE380:POI380"/>
    <mergeCell ref="POJ380:PON380"/>
    <mergeCell ref="PMQ380:PMU380"/>
    <mergeCell ref="PMV380:PMZ380"/>
    <mergeCell ref="PNA380:PNE380"/>
    <mergeCell ref="PNF380:PNJ380"/>
    <mergeCell ref="PNK380:PNO380"/>
    <mergeCell ref="PLR380:PLV380"/>
    <mergeCell ref="PLW380:PMA380"/>
    <mergeCell ref="PMB380:PMF380"/>
    <mergeCell ref="PMG380:PMK380"/>
    <mergeCell ref="PML380:PMP380"/>
    <mergeCell ref="PKS380:PKW380"/>
    <mergeCell ref="PKX380:PLB380"/>
    <mergeCell ref="PLC380:PLG380"/>
    <mergeCell ref="PLH380:PLL380"/>
    <mergeCell ref="PLM380:PLQ380"/>
    <mergeCell ref="PJT380:PJX380"/>
    <mergeCell ref="PJY380:PKC380"/>
    <mergeCell ref="PKD380:PKH380"/>
    <mergeCell ref="PKI380:PKM380"/>
    <mergeCell ref="PKN380:PKR380"/>
    <mergeCell ref="PIU380:PIY380"/>
    <mergeCell ref="PIZ380:PJD380"/>
    <mergeCell ref="PJE380:PJI380"/>
    <mergeCell ref="PJJ380:PJN380"/>
    <mergeCell ref="PJO380:PJS380"/>
    <mergeCell ref="PHV380:PHZ380"/>
    <mergeCell ref="PIA380:PIE380"/>
    <mergeCell ref="PIF380:PIJ380"/>
    <mergeCell ref="PIK380:PIO380"/>
    <mergeCell ref="PIP380:PIT380"/>
    <mergeCell ref="PGW380:PHA380"/>
    <mergeCell ref="PHB380:PHF380"/>
    <mergeCell ref="PHG380:PHK380"/>
    <mergeCell ref="PHL380:PHP380"/>
    <mergeCell ref="PHQ380:PHU380"/>
    <mergeCell ref="PFX380:PGB380"/>
    <mergeCell ref="PGC380:PGG380"/>
    <mergeCell ref="PGH380:PGL380"/>
    <mergeCell ref="PGM380:PGQ380"/>
    <mergeCell ref="PGR380:PGV380"/>
    <mergeCell ref="PEY380:PFC380"/>
    <mergeCell ref="PFD380:PFH380"/>
    <mergeCell ref="PFI380:PFM380"/>
    <mergeCell ref="PFN380:PFR380"/>
    <mergeCell ref="PFS380:PFW380"/>
    <mergeCell ref="PDZ380:PED380"/>
    <mergeCell ref="PEE380:PEI380"/>
    <mergeCell ref="PEJ380:PEN380"/>
    <mergeCell ref="PEO380:PES380"/>
    <mergeCell ref="PET380:PEX380"/>
    <mergeCell ref="PDA380:PDE380"/>
    <mergeCell ref="PDF380:PDJ380"/>
    <mergeCell ref="PDK380:PDO380"/>
    <mergeCell ref="PDP380:PDT380"/>
    <mergeCell ref="PDU380:PDY380"/>
    <mergeCell ref="PCB380:PCF380"/>
    <mergeCell ref="PCG380:PCK380"/>
    <mergeCell ref="PCL380:PCP380"/>
    <mergeCell ref="PCQ380:PCU380"/>
    <mergeCell ref="PCV380:PCZ380"/>
    <mergeCell ref="PBC380:PBG380"/>
    <mergeCell ref="PBH380:PBL380"/>
    <mergeCell ref="PBM380:PBQ380"/>
    <mergeCell ref="PBR380:PBV380"/>
    <mergeCell ref="PBW380:PCA380"/>
    <mergeCell ref="PAD380:PAH380"/>
    <mergeCell ref="PAI380:PAM380"/>
    <mergeCell ref="PAN380:PAR380"/>
    <mergeCell ref="PAS380:PAW380"/>
    <mergeCell ref="PAX380:PBB380"/>
    <mergeCell ref="OZE380:OZI380"/>
    <mergeCell ref="OZJ380:OZN380"/>
    <mergeCell ref="OZO380:OZS380"/>
    <mergeCell ref="OZT380:OZX380"/>
    <mergeCell ref="OZY380:PAC380"/>
    <mergeCell ref="OYF380:OYJ380"/>
    <mergeCell ref="OYK380:OYO380"/>
    <mergeCell ref="OYP380:OYT380"/>
    <mergeCell ref="OYU380:OYY380"/>
    <mergeCell ref="OYZ380:OZD380"/>
    <mergeCell ref="OXG380:OXK380"/>
    <mergeCell ref="OXL380:OXP380"/>
    <mergeCell ref="OXQ380:OXU380"/>
    <mergeCell ref="OXV380:OXZ380"/>
    <mergeCell ref="OYA380:OYE380"/>
    <mergeCell ref="OWH380:OWL380"/>
    <mergeCell ref="OWM380:OWQ380"/>
    <mergeCell ref="OWR380:OWV380"/>
    <mergeCell ref="OWW380:OXA380"/>
    <mergeCell ref="OXB380:OXF380"/>
    <mergeCell ref="OVI380:OVM380"/>
    <mergeCell ref="OVN380:OVR380"/>
    <mergeCell ref="OVS380:OVW380"/>
    <mergeCell ref="OVX380:OWB380"/>
    <mergeCell ref="OWC380:OWG380"/>
    <mergeCell ref="OUJ380:OUN380"/>
    <mergeCell ref="OUO380:OUS380"/>
    <mergeCell ref="OUT380:OUX380"/>
    <mergeCell ref="OUY380:OVC380"/>
    <mergeCell ref="OVD380:OVH380"/>
    <mergeCell ref="OTK380:OTO380"/>
    <mergeCell ref="OTP380:OTT380"/>
    <mergeCell ref="OTU380:OTY380"/>
    <mergeCell ref="OTZ380:OUD380"/>
    <mergeCell ref="OUE380:OUI380"/>
    <mergeCell ref="OSL380:OSP380"/>
    <mergeCell ref="OSQ380:OSU380"/>
    <mergeCell ref="OSV380:OSZ380"/>
    <mergeCell ref="OTA380:OTE380"/>
    <mergeCell ref="OTF380:OTJ380"/>
    <mergeCell ref="ORM380:ORQ380"/>
    <mergeCell ref="ORR380:ORV380"/>
    <mergeCell ref="ORW380:OSA380"/>
    <mergeCell ref="OSB380:OSF380"/>
    <mergeCell ref="OSG380:OSK380"/>
    <mergeCell ref="OQN380:OQR380"/>
    <mergeCell ref="OQS380:OQW380"/>
    <mergeCell ref="OQX380:ORB380"/>
    <mergeCell ref="ORC380:ORG380"/>
    <mergeCell ref="ORH380:ORL380"/>
    <mergeCell ref="OPO380:OPS380"/>
    <mergeCell ref="OPT380:OPX380"/>
    <mergeCell ref="OPY380:OQC380"/>
    <mergeCell ref="OQD380:OQH380"/>
    <mergeCell ref="OQI380:OQM380"/>
    <mergeCell ref="OOP380:OOT380"/>
    <mergeCell ref="OOU380:OOY380"/>
    <mergeCell ref="OOZ380:OPD380"/>
    <mergeCell ref="OPE380:OPI380"/>
    <mergeCell ref="OPJ380:OPN380"/>
    <mergeCell ref="ONQ380:ONU380"/>
    <mergeCell ref="ONV380:ONZ380"/>
    <mergeCell ref="OOA380:OOE380"/>
    <mergeCell ref="OOF380:OOJ380"/>
    <mergeCell ref="OOK380:OOO380"/>
    <mergeCell ref="OMR380:OMV380"/>
    <mergeCell ref="OMW380:ONA380"/>
    <mergeCell ref="ONB380:ONF380"/>
    <mergeCell ref="ONG380:ONK380"/>
    <mergeCell ref="ONL380:ONP380"/>
    <mergeCell ref="OLS380:OLW380"/>
    <mergeCell ref="OLX380:OMB380"/>
    <mergeCell ref="OMC380:OMG380"/>
    <mergeCell ref="OMH380:OML380"/>
    <mergeCell ref="OMM380:OMQ380"/>
    <mergeCell ref="OKT380:OKX380"/>
    <mergeCell ref="OKY380:OLC380"/>
    <mergeCell ref="OLD380:OLH380"/>
    <mergeCell ref="OLI380:OLM380"/>
    <mergeCell ref="OLN380:OLR380"/>
    <mergeCell ref="OJU380:OJY380"/>
    <mergeCell ref="OJZ380:OKD380"/>
    <mergeCell ref="OKE380:OKI380"/>
    <mergeCell ref="OKJ380:OKN380"/>
    <mergeCell ref="OKO380:OKS380"/>
    <mergeCell ref="OIV380:OIZ380"/>
    <mergeCell ref="OJA380:OJE380"/>
    <mergeCell ref="OJF380:OJJ380"/>
    <mergeCell ref="OJK380:OJO380"/>
    <mergeCell ref="OJP380:OJT380"/>
    <mergeCell ref="OHW380:OIA380"/>
    <mergeCell ref="OIB380:OIF380"/>
    <mergeCell ref="OIG380:OIK380"/>
    <mergeCell ref="OIL380:OIP380"/>
    <mergeCell ref="OIQ380:OIU380"/>
    <mergeCell ref="OGX380:OHB380"/>
    <mergeCell ref="OHC380:OHG380"/>
    <mergeCell ref="OHH380:OHL380"/>
    <mergeCell ref="OHM380:OHQ380"/>
    <mergeCell ref="OHR380:OHV380"/>
    <mergeCell ref="OFY380:OGC380"/>
    <mergeCell ref="OGD380:OGH380"/>
    <mergeCell ref="OGI380:OGM380"/>
    <mergeCell ref="OGN380:OGR380"/>
    <mergeCell ref="OGS380:OGW380"/>
    <mergeCell ref="OEZ380:OFD380"/>
    <mergeCell ref="OFE380:OFI380"/>
    <mergeCell ref="OFJ380:OFN380"/>
    <mergeCell ref="OFO380:OFS380"/>
    <mergeCell ref="OFT380:OFX380"/>
    <mergeCell ref="OEA380:OEE380"/>
    <mergeCell ref="OEF380:OEJ380"/>
    <mergeCell ref="OEK380:OEO380"/>
    <mergeCell ref="OEP380:OET380"/>
    <mergeCell ref="OEU380:OEY380"/>
    <mergeCell ref="ODB380:ODF380"/>
    <mergeCell ref="ODG380:ODK380"/>
    <mergeCell ref="ODL380:ODP380"/>
    <mergeCell ref="ODQ380:ODU380"/>
    <mergeCell ref="ODV380:ODZ380"/>
    <mergeCell ref="OCC380:OCG380"/>
    <mergeCell ref="OCH380:OCL380"/>
    <mergeCell ref="OCM380:OCQ380"/>
    <mergeCell ref="OCR380:OCV380"/>
    <mergeCell ref="OCW380:ODA380"/>
    <mergeCell ref="OBD380:OBH380"/>
    <mergeCell ref="OBI380:OBM380"/>
    <mergeCell ref="OBN380:OBR380"/>
    <mergeCell ref="OBS380:OBW380"/>
    <mergeCell ref="OBX380:OCB380"/>
    <mergeCell ref="OAE380:OAI380"/>
    <mergeCell ref="OAJ380:OAN380"/>
    <mergeCell ref="OAO380:OAS380"/>
    <mergeCell ref="OAT380:OAX380"/>
    <mergeCell ref="OAY380:OBC380"/>
    <mergeCell ref="NZF380:NZJ380"/>
    <mergeCell ref="NZK380:NZO380"/>
    <mergeCell ref="NZP380:NZT380"/>
    <mergeCell ref="NZU380:NZY380"/>
    <mergeCell ref="NZZ380:OAD380"/>
    <mergeCell ref="NYG380:NYK380"/>
    <mergeCell ref="NYL380:NYP380"/>
    <mergeCell ref="NYQ380:NYU380"/>
    <mergeCell ref="NYV380:NYZ380"/>
    <mergeCell ref="NZA380:NZE380"/>
    <mergeCell ref="NXH380:NXL380"/>
    <mergeCell ref="NXM380:NXQ380"/>
    <mergeCell ref="NXR380:NXV380"/>
    <mergeCell ref="NXW380:NYA380"/>
    <mergeCell ref="NYB380:NYF380"/>
    <mergeCell ref="NWI380:NWM380"/>
    <mergeCell ref="NWN380:NWR380"/>
    <mergeCell ref="NWS380:NWW380"/>
    <mergeCell ref="NWX380:NXB380"/>
    <mergeCell ref="NXC380:NXG380"/>
    <mergeCell ref="NVJ380:NVN380"/>
    <mergeCell ref="NVO380:NVS380"/>
    <mergeCell ref="NVT380:NVX380"/>
    <mergeCell ref="NVY380:NWC380"/>
    <mergeCell ref="NWD380:NWH380"/>
    <mergeCell ref="NUK380:NUO380"/>
    <mergeCell ref="NUP380:NUT380"/>
    <mergeCell ref="NUU380:NUY380"/>
    <mergeCell ref="NUZ380:NVD380"/>
    <mergeCell ref="NVE380:NVI380"/>
    <mergeCell ref="NTL380:NTP380"/>
    <mergeCell ref="NTQ380:NTU380"/>
    <mergeCell ref="NTV380:NTZ380"/>
    <mergeCell ref="NUA380:NUE380"/>
    <mergeCell ref="NUF380:NUJ380"/>
    <mergeCell ref="NSM380:NSQ380"/>
    <mergeCell ref="NSR380:NSV380"/>
    <mergeCell ref="NSW380:NTA380"/>
    <mergeCell ref="NTB380:NTF380"/>
    <mergeCell ref="NTG380:NTK380"/>
    <mergeCell ref="NRN380:NRR380"/>
    <mergeCell ref="NRS380:NRW380"/>
    <mergeCell ref="NRX380:NSB380"/>
    <mergeCell ref="NSC380:NSG380"/>
    <mergeCell ref="NSH380:NSL380"/>
    <mergeCell ref="NQO380:NQS380"/>
    <mergeCell ref="NQT380:NQX380"/>
    <mergeCell ref="NQY380:NRC380"/>
    <mergeCell ref="NRD380:NRH380"/>
    <mergeCell ref="NRI380:NRM380"/>
    <mergeCell ref="NPP380:NPT380"/>
    <mergeCell ref="NPU380:NPY380"/>
    <mergeCell ref="NPZ380:NQD380"/>
    <mergeCell ref="NQE380:NQI380"/>
    <mergeCell ref="NQJ380:NQN380"/>
    <mergeCell ref="NOQ380:NOU380"/>
    <mergeCell ref="NOV380:NOZ380"/>
    <mergeCell ref="NPA380:NPE380"/>
    <mergeCell ref="NPF380:NPJ380"/>
    <mergeCell ref="NPK380:NPO380"/>
    <mergeCell ref="NNR380:NNV380"/>
    <mergeCell ref="NNW380:NOA380"/>
    <mergeCell ref="NOB380:NOF380"/>
    <mergeCell ref="NOG380:NOK380"/>
    <mergeCell ref="NOL380:NOP380"/>
    <mergeCell ref="NMS380:NMW380"/>
    <mergeCell ref="NMX380:NNB380"/>
    <mergeCell ref="NNC380:NNG380"/>
    <mergeCell ref="NNH380:NNL380"/>
    <mergeCell ref="NNM380:NNQ380"/>
    <mergeCell ref="NLT380:NLX380"/>
    <mergeCell ref="NLY380:NMC380"/>
    <mergeCell ref="NMD380:NMH380"/>
    <mergeCell ref="NMI380:NMM380"/>
    <mergeCell ref="NMN380:NMR380"/>
    <mergeCell ref="NKU380:NKY380"/>
    <mergeCell ref="NKZ380:NLD380"/>
    <mergeCell ref="NLE380:NLI380"/>
    <mergeCell ref="NLJ380:NLN380"/>
    <mergeCell ref="NLO380:NLS380"/>
    <mergeCell ref="NJV380:NJZ380"/>
    <mergeCell ref="NKA380:NKE380"/>
    <mergeCell ref="NKF380:NKJ380"/>
    <mergeCell ref="NKK380:NKO380"/>
    <mergeCell ref="NKP380:NKT380"/>
    <mergeCell ref="NIW380:NJA380"/>
    <mergeCell ref="NJB380:NJF380"/>
    <mergeCell ref="NJG380:NJK380"/>
    <mergeCell ref="NJL380:NJP380"/>
    <mergeCell ref="NJQ380:NJU380"/>
    <mergeCell ref="NHX380:NIB380"/>
    <mergeCell ref="NIC380:NIG380"/>
    <mergeCell ref="NIH380:NIL380"/>
    <mergeCell ref="NIM380:NIQ380"/>
    <mergeCell ref="NIR380:NIV380"/>
    <mergeCell ref="NGY380:NHC380"/>
    <mergeCell ref="NHD380:NHH380"/>
    <mergeCell ref="NHI380:NHM380"/>
    <mergeCell ref="NHN380:NHR380"/>
    <mergeCell ref="NHS380:NHW380"/>
    <mergeCell ref="NFZ380:NGD380"/>
    <mergeCell ref="NGE380:NGI380"/>
    <mergeCell ref="NGJ380:NGN380"/>
    <mergeCell ref="NGO380:NGS380"/>
    <mergeCell ref="NGT380:NGX380"/>
    <mergeCell ref="NFA380:NFE380"/>
    <mergeCell ref="NFF380:NFJ380"/>
    <mergeCell ref="NFK380:NFO380"/>
    <mergeCell ref="NFP380:NFT380"/>
    <mergeCell ref="NFU380:NFY380"/>
    <mergeCell ref="NEB380:NEF380"/>
    <mergeCell ref="NEG380:NEK380"/>
    <mergeCell ref="NEL380:NEP380"/>
    <mergeCell ref="NEQ380:NEU380"/>
    <mergeCell ref="NEV380:NEZ380"/>
    <mergeCell ref="NDC380:NDG380"/>
    <mergeCell ref="NDH380:NDL380"/>
    <mergeCell ref="NDM380:NDQ380"/>
    <mergeCell ref="NDR380:NDV380"/>
    <mergeCell ref="NDW380:NEA380"/>
    <mergeCell ref="NCD380:NCH380"/>
    <mergeCell ref="NCI380:NCM380"/>
    <mergeCell ref="NCN380:NCR380"/>
    <mergeCell ref="NCS380:NCW380"/>
    <mergeCell ref="NCX380:NDB380"/>
    <mergeCell ref="NBE380:NBI380"/>
    <mergeCell ref="NBJ380:NBN380"/>
    <mergeCell ref="NBO380:NBS380"/>
    <mergeCell ref="NBT380:NBX380"/>
    <mergeCell ref="NBY380:NCC380"/>
    <mergeCell ref="NAF380:NAJ380"/>
    <mergeCell ref="NAK380:NAO380"/>
    <mergeCell ref="NAP380:NAT380"/>
    <mergeCell ref="NAU380:NAY380"/>
    <mergeCell ref="NAZ380:NBD380"/>
    <mergeCell ref="MZG380:MZK380"/>
    <mergeCell ref="MZL380:MZP380"/>
    <mergeCell ref="MZQ380:MZU380"/>
    <mergeCell ref="MZV380:MZZ380"/>
    <mergeCell ref="NAA380:NAE380"/>
    <mergeCell ref="MYH380:MYL380"/>
    <mergeCell ref="MYM380:MYQ380"/>
    <mergeCell ref="MYR380:MYV380"/>
    <mergeCell ref="MYW380:MZA380"/>
    <mergeCell ref="MZB380:MZF380"/>
    <mergeCell ref="MXI380:MXM380"/>
    <mergeCell ref="MXN380:MXR380"/>
    <mergeCell ref="MXS380:MXW380"/>
    <mergeCell ref="MXX380:MYB380"/>
    <mergeCell ref="MYC380:MYG380"/>
    <mergeCell ref="MWJ380:MWN380"/>
    <mergeCell ref="MWO380:MWS380"/>
    <mergeCell ref="MWT380:MWX380"/>
    <mergeCell ref="MWY380:MXC380"/>
    <mergeCell ref="MXD380:MXH380"/>
    <mergeCell ref="MVK380:MVO380"/>
    <mergeCell ref="MVP380:MVT380"/>
    <mergeCell ref="MVU380:MVY380"/>
    <mergeCell ref="MVZ380:MWD380"/>
    <mergeCell ref="MWE380:MWI380"/>
    <mergeCell ref="MUL380:MUP380"/>
    <mergeCell ref="MUQ380:MUU380"/>
    <mergeCell ref="MUV380:MUZ380"/>
    <mergeCell ref="MVA380:MVE380"/>
    <mergeCell ref="MVF380:MVJ380"/>
    <mergeCell ref="MTM380:MTQ380"/>
    <mergeCell ref="MTR380:MTV380"/>
    <mergeCell ref="MTW380:MUA380"/>
    <mergeCell ref="MUB380:MUF380"/>
    <mergeCell ref="MUG380:MUK380"/>
    <mergeCell ref="MSN380:MSR380"/>
    <mergeCell ref="MSS380:MSW380"/>
    <mergeCell ref="MSX380:MTB380"/>
    <mergeCell ref="MTC380:MTG380"/>
    <mergeCell ref="MTH380:MTL380"/>
    <mergeCell ref="MRO380:MRS380"/>
    <mergeCell ref="MRT380:MRX380"/>
    <mergeCell ref="MRY380:MSC380"/>
    <mergeCell ref="MSD380:MSH380"/>
    <mergeCell ref="MSI380:MSM380"/>
    <mergeCell ref="MQP380:MQT380"/>
    <mergeCell ref="MQU380:MQY380"/>
    <mergeCell ref="MQZ380:MRD380"/>
    <mergeCell ref="MRE380:MRI380"/>
    <mergeCell ref="MRJ380:MRN380"/>
    <mergeCell ref="MPQ380:MPU380"/>
    <mergeCell ref="MPV380:MPZ380"/>
    <mergeCell ref="MQA380:MQE380"/>
    <mergeCell ref="MQF380:MQJ380"/>
    <mergeCell ref="MQK380:MQO380"/>
    <mergeCell ref="MOR380:MOV380"/>
    <mergeCell ref="MOW380:MPA380"/>
    <mergeCell ref="MPB380:MPF380"/>
    <mergeCell ref="MPG380:MPK380"/>
    <mergeCell ref="MPL380:MPP380"/>
    <mergeCell ref="MNS380:MNW380"/>
    <mergeCell ref="MNX380:MOB380"/>
    <mergeCell ref="MOC380:MOG380"/>
    <mergeCell ref="MOH380:MOL380"/>
    <mergeCell ref="MOM380:MOQ380"/>
    <mergeCell ref="MMT380:MMX380"/>
    <mergeCell ref="MMY380:MNC380"/>
    <mergeCell ref="MND380:MNH380"/>
    <mergeCell ref="MNI380:MNM380"/>
    <mergeCell ref="MNN380:MNR380"/>
    <mergeCell ref="MLU380:MLY380"/>
    <mergeCell ref="MLZ380:MMD380"/>
    <mergeCell ref="MME380:MMI380"/>
    <mergeCell ref="MMJ380:MMN380"/>
    <mergeCell ref="MMO380:MMS380"/>
    <mergeCell ref="MKV380:MKZ380"/>
    <mergeCell ref="MLA380:MLE380"/>
    <mergeCell ref="MLF380:MLJ380"/>
    <mergeCell ref="MLK380:MLO380"/>
    <mergeCell ref="MLP380:MLT380"/>
    <mergeCell ref="MJW380:MKA380"/>
    <mergeCell ref="MKB380:MKF380"/>
    <mergeCell ref="MKG380:MKK380"/>
    <mergeCell ref="MKL380:MKP380"/>
    <mergeCell ref="MKQ380:MKU380"/>
    <mergeCell ref="MIX380:MJB380"/>
    <mergeCell ref="MJC380:MJG380"/>
    <mergeCell ref="MJH380:MJL380"/>
    <mergeCell ref="MJM380:MJQ380"/>
    <mergeCell ref="MJR380:MJV380"/>
    <mergeCell ref="MHY380:MIC380"/>
    <mergeCell ref="MID380:MIH380"/>
    <mergeCell ref="MII380:MIM380"/>
    <mergeCell ref="MIN380:MIR380"/>
    <mergeCell ref="MIS380:MIW380"/>
    <mergeCell ref="MGZ380:MHD380"/>
    <mergeCell ref="MHE380:MHI380"/>
    <mergeCell ref="MHJ380:MHN380"/>
    <mergeCell ref="MHO380:MHS380"/>
    <mergeCell ref="MHT380:MHX380"/>
    <mergeCell ref="MGA380:MGE380"/>
    <mergeCell ref="MGF380:MGJ380"/>
    <mergeCell ref="MGK380:MGO380"/>
    <mergeCell ref="MGP380:MGT380"/>
    <mergeCell ref="MGU380:MGY380"/>
    <mergeCell ref="MFB380:MFF380"/>
    <mergeCell ref="MFG380:MFK380"/>
    <mergeCell ref="MFL380:MFP380"/>
    <mergeCell ref="MFQ380:MFU380"/>
    <mergeCell ref="MFV380:MFZ380"/>
    <mergeCell ref="MEC380:MEG380"/>
    <mergeCell ref="MEH380:MEL380"/>
    <mergeCell ref="MEM380:MEQ380"/>
    <mergeCell ref="MER380:MEV380"/>
    <mergeCell ref="MEW380:MFA380"/>
    <mergeCell ref="MDD380:MDH380"/>
    <mergeCell ref="MDI380:MDM380"/>
    <mergeCell ref="MDN380:MDR380"/>
    <mergeCell ref="MDS380:MDW380"/>
    <mergeCell ref="MDX380:MEB380"/>
    <mergeCell ref="MCE380:MCI380"/>
    <mergeCell ref="MCJ380:MCN380"/>
    <mergeCell ref="MCO380:MCS380"/>
    <mergeCell ref="MCT380:MCX380"/>
    <mergeCell ref="MCY380:MDC380"/>
    <mergeCell ref="MBF380:MBJ380"/>
    <mergeCell ref="MBK380:MBO380"/>
    <mergeCell ref="MBP380:MBT380"/>
    <mergeCell ref="MBU380:MBY380"/>
    <mergeCell ref="MBZ380:MCD380"/>
    <mergeCell ref="MAG380:MAK380"/>
    <mergeCell ref="MAL380:MAP380"/>
    <mergeCell ref="MAQ380:MAU380"/>
    <mergeCell ref="MAV380:MAZ380"/>
    <mergeCell ref="MBA380:MBE380"/>
    <mergeCell ref="LZH380:LZL380"/>
    <mergeCell ref="LZM380:LZQ380"/>
    <mergeCell ref="LZR380:LZV380"/>
    <mergeCell ref="LZW380:MAA380"/>
    <mergeCell ref="MAB380:MAF380"/>
    <mergeCell ref="LYI380:LYM380"/>
    <mergeCell ref="LYN380:LYR380"/>
    <mergeCell ref="LYS380:LYW380"/>
    <mergeCell ref="LYX380:LZB380"/>
    <mergeCell ref="LZC380:LZG380"/>
    <mergeCell ref="LXJ380:LXN380"/>
    <mergeCell ref="LXO380:LXS380"/>
    <mergeCell ref="LXT380:LXX380"/>
    <mergeCell ref="LXY380:LYC380"/>
    <mergeCell ref="LYD380:LYH380"/>
    <mergeCell ref="LWK380:LWO380"/>
    <mergeCell ref="LWP380:LWT380"/>
    <mergeCell ref="LWU380:LWY380"/>
    <mergeCell ref="LWZ380:LXD380"/>
    <mergeCell ref="LXE380:LXI380"/>
    <mergeCell ref="LVL380:LVP380"/>
    <mergeCell ref="LVQ380:LVU380"/>
    <mergeCell ref="LVV380:LVZ380"/>
    <mergeCell ref="LWA380:LWE380"/>
    <mergeCell ref="LWF380:LWJ380"/>
    <mergeCell ref="LUM380:LUQ380"/>
    <mergeCell ref="LUR380:LUV380"/>
    <mergeCell ref="LUW380:LVA380"/>
    <mergeCell ref="LVB380:LVF380"/>
    <mergeCell ref="LVG380:LVK380"/>
    <mergeCell ref="LTN380:LTR380"/>
    <mergeCell ref="LTS380:LTW380"/>
    <mergeCell ref="LTX380:LUB380"/>
    <mergeCell ref="LUC380:LUG380"/>
    <mergeCell ref="LUH380:LUL380"/>
    <mergeCell ref="LSO380:LSS380"/>
    <mergeCell ref="LST380:LSX380"/>
    <mergeCell ref="LSY380:LTC380"/>
    <mergeCell ref="LTD380:LTH380"/>
    <mergeCell ref="LTI380:LTM380"/>
    <mergeCell ref="LRP380:LRT380"/>
    <mergeCell ref="LRU380:LRY380"/>
    <mergeCell ref="LRZ380:LSD380"/>
    <mergeCell ref="LSE380:LSI380"/>
    <mergeCell ref="LSJ380:LSN380"/>
    <mergeCell ref="LQQ380:LQU380"/>
    <mergeCell ref="LQV380:LQZ380"/>
    <mergeCell ref="LRA380:LRE380"/>
    <mergeCell ref="LRF380:LRJ380"/>
    <mergeCell ref="LRK380:LRO380"/>
    <mergeCell ref="LPR380:LPV380"/>
    <mergeCell ref="LPW380:LQA380"/>
    <mergeCell ref="LQB380:LQF380"/>
    <mergeCell ref="LQG380:LQK380"/>
    <mergeCell ref="LQL380:LQP380"/>
    <mergeCell ref="LOS380:LOW380"/>
    <mergeCell ref="LOX380:LPB380"/>
    <mergeCell ref="LPC380:LPG380"/>
    <mergeCell ref="LPH380:LPL380"/>
    <mergeCell ref="LPM380:LPQ380"/>
    <mergeCell ref="LNT380:LNX380"/>
    <mergeCell ref="LNY380:LOC380"/>
    <mergeCell ref="LOD380:LOH380"/>
    <mergeCell ref="LOI380:LOM380"/>
    <mergeCell ref="LON380:LOR380"/>
    <mergeCell ref="LMU380:LMY380"/>
    <mergeCell ref="LMZ380:LND380"/>
    <mergeCell ref="LNE380:LNI380"/>
    <mergeCell ref="LNJ380:LNN380"/>
    <mergeCell ref="LNO380:LNS380"/>
    <mergeCell ref="LLV380:LLZ380"/>
    <mergeCell ref="LMA380:LME380"/>
    <mergeCell ref="LMF380:LMJ380"/>
    <mergeCell ref="LMK380:LMO380"/>
    <mergeCell ref="LMP380:LMT380"/>
    <mergeCell ref="LKW380:LLA380"/>
    <mergeCell ref="LLB380:LLF380"/>
    <mergeCell ref="LLG380:LLK380"/>
    <mergeCell ref="LLL380:LLP380"/>
    <mergeCell ref="LLQ380:LLU380"/>
    <mergeCell ref="LJX380:LKB380"/>
    <mergeCell ref="LKC380:LKG380"/>
    <mergeCell ref="LKH380:LKL380"/>
    <mergeCell ref="LKM380:LKQ380"/>
    <mergeCell ref="LKR380:LKV380"/>
    <mergeCell ref="LIY380:LJC380"/>
    <mergeCell ref="LJD380:LJH380"/>
    <mergeCell ref="LJI380:LJM380"/>
    <mergeCell ref="LJN380:LJR380"/>
    <mergeCell ref="LJS380:LJW380"/>
    <mergeCell ref="LHZ380:LID380"/>
    <mergeCell ref="LIE380:LII380"/>
    <mergeCell ref="LIJ380:LIN380"/>
    <mergeCell ref="LIO380:LIS380"/>
    <mergeCell ref="LIT380:LIX380"/>
    <mergeCell ref="LHA380:LHE380"/>
    <mergeCell ref="LHF380:LHJ380"/>
    <mergeCell ref="LHK380:LHO380"/>
    <mergeCell ref="LHP380:LHT380"/>
    <mergeCell ref="LHU380:LHY380"/>
    <mergeCell ref="LGB380:LGF380"/>
    <mergeCell ref="LGG380:LGK380"/>
    <mergeCell ref="LGL380:LGP380"/>
    <mergeCell ref="LGQ380:LGU380"/>
    <mergeCell ref="LGV380:LGZ380"/>
    <mergeCell ref="LFC380:LFG380"/>
    <mergeCell ref="LFH380:LFL380"/>
    <mergeCell ref="LFM380:LFQ380"/>
    <mergeCell ref="LFR380:LFV380"/>
    <mergeCell ref="LFW380:LGA380"/>
    <mergeCell ref="LED380:LEH380"/>
    <mergeCell ref="LEI380:LEM380"/>
    <mergeCell ref="LEN380:LER380"/>
    <mergeCell ref="LES380:LEW380"/>
    <mergeCell ref="LEX380:LFB380"/>
    <mergeCell ref="LDE380:LDI380"/>
    <mergeCell ref="LDJ380:LDN380"/>
    <mergeCell ref="LDO380:LDS380"/>
    <mergeCell ref="LDT380:LDX380"/>
    <mergeCell ref="LDY380:LEC380"/>
    <mergeCell ref="LCF380:LCJ380"/>
    <mergeCell ref="LCK380:LCO380"/>
    <mergeCell ref="LCP380:LCT380"/>
    <mergeCell ref="LCU380:LCY380"/>
    <mergeCell ref="LCZ380:LDD380"/>
    <mergeCell ref="LBG380:LBK380"/>
    <mergeCell ref="LBL380:LBP380"/>
    <mergeCell ref="LBQ380:LBU380"/>
    <mergeCell ref="LBV380:LBZ380"/>
    <mergeCell ref="LCA380:LCE380"/>
    <mergeCell ref="LAH380:LAL380"/>
    <mergeCell ref="LAM380:LAQ380"/>
    <mergeCell ref="LAR380:LAV380"/>
    <mergeCell ref="LAW380:LBA380"/>
    <mergeCell ref="LBB380:LBF380"/>
    <mergeCell ref="KZI380:KZM380"/>
    <mergeCell ref="KZN380:KZR380"/>
    <mergeCell ref="KZS380:KZW380"/>
    <mergeCell ref="KZX380:LAB380"/>
    <mergeCell ref="LAC380:LAG380"/>
    <mergeCell ref="KYJ380:KYN380"/>
    <mergeCell ref="KYO380:KYS380"/>
    <mergeCell ref="KYT380:KYX380"/>
    <mergeCell ref="KYY380:KZC380"/>
    <mergeCell ref="KZD380:KZH380"/>
    <mergeCell ref="KXK380:KXO380"/>
    <mergeCell ref="KXP380:KXT380"/>
    <mergeCell ref="KXU380:KXY380"/>
    <mergeCell ref="KXZ380:KYD380"/>
    <mergeCell ref="KYE380:KYI380"/>
    <mergeCell ref="KWL380:KWP380"/>
    <mergeCell ref="KWQ380:KWU380"/>
    <mergeCell ref="KWV380:KWZ380"/>
    <mergeCell ref="KXA380:KXE380"/>
    <mergeCell ref="KXF380:KXJ380"/>
    <mergeCell ref="KVM380:KVQ380"/>
    <mergeCell ref="KVR380:KVV380"/>
    <mergeCell ref="KVW380:KWA380"/>
    <mergeCell ref="KWB380:KWF380"/>
    <mergeCell ref="KWG380:KWK380"/>
    <mergeCell ref="KUN380:KUR380"/>
    <mergeCell ref="KUS380:KUW380"/>
    <mergeCell ref="KUX380:KVB380"/>
    <mergeCell ref="KVC380:KVG380"/>
    <mergeCell ref="KVH380:KVL380"/>
    <mergeCell ref="KTO380:KTS380"/>
    <mergeCell ref="KTT380:KTX380"/>
    <mergeCell ref="KTY380:KUC380"/>
    <mergeCell ref="KUD380:KUH380"/>
    <mergeCell ref="KUI380:KUM380"/>
    <mergeCell ref="KSP380:KST380"/>
    <mergeCell ref="KSU380:KSY380"/>
    <mergeCell ref="KSZ380:KTD380"/>
    <mergeCell ref="KTE380:KTI380"/>
    <mergeCell ref="KTJ380:KTN380"/>
    <mergeCell ref="KRQ380:KRU380"/>
    <mergeCell ref="KRV380:KRZ380"/>
    <mergeCell ref="KSA380:KSE380"/>
    <mergeCell ref="KSF380:KSJ380"/>
    <mergeCell ref="KSK380:KSO380"/>
    <mergeCell ref="KQR380:KQV380"/>
    <mergeCell ref="KQW380:KRA380"/>
    <mergeCell ref="KRB380:KRF380"/>
    <mergeCell ref="KRG380:KRK380"/>
    <mergeCell ref="KRL380:KRP380"/>
    <mergeCell ref="KPS380:KPW380"/>
    <mergeCell ref="KPX380:KQB380"/>
    <mergeCell ref="KQC380:KQG380"/>
    <mergeCell ref="KQH380:KQL380"/>
    <mergeCell ref="KQM380:KQQ380"/>
    <mergeCell ref="KOT380:KOX380"/>
    <mergeCell ref="KOY380:KPC380"/>
    <mergeCell ref="KPD380:KPH380"/>
    <mergeCell ref="KPI380:KPM380"/>
    <mergeCell ref="KPN380:KPR380"/>
    <mergeCell ref="KNU380:KNY380"/>
    <mergeCell ref="KNZ380:KOD380"/>
    <mergeCell ref="KOE380:KOI380"/>
    <mergeCell ref="KOJ380:KON380"/>
    <mergeCell ref="KOO380:KOS380"/>
    <mergeCell ref="KMV380:KMZ380"/>
    <mergeCell ref="KNA380:KNE380"/>
    <mergeCell ref="KNF380:KNJ380"/>
    <mergeCell ref="KNK380:KNO380"/>
    <mergeCell ref="KNP380:KNT380"/>
    <mergeCell ref="KLW380:KMA380"/>
    <mergeCell ref="KMB380:KMF380"/>
    <mergeCell ref="KMG380:KMK380"/>
    <mergeCell ref="KML380:KMP380"/>
    <mergeCell ref="KMQ380:KMU380"/>
    <mergeCell ref="KKX380:KLB380"/>
    <mergeCell ref="KLC380:KLG380"/>
    <mergeCell ref="KLH380:KLL380"/>
    <mergeCell ref="KLM380:KLQ380"/>
    <mergeCell ref="KLR380:KLV380"/>
    <mergeCell ref="KJY380:KKC380"/>
    <mergeCell ref="KKD380:KKH380"/>
    <mergeCell ref="KKI380:KKM380"/>
    <mergeCell ref="KKN380:KKR380"/>
    <mergeCell ref="KKS380:KKW380"/>
    <mergeCell ref="KIZ380:KJD380"/>
    <mergeCell ref="KJE380:KJI380"/>
    <mergeCell ref="KJJ380:KJN380"/>
    <mergeCell ref="KJO380:KJS380"/>
    <mergeCell ref="KJT380:KJX380"/>
    <mergeCell ref="KIA380:KIE380"/>
    <mergeCell ref="KIF380:KIJ380"/>
    <mergeCell ref="KIK380:KIO380"/>
    <mergeCell ref="KIP380:KIT380"/>
    <mergeCell ref="KIU380:KIY380"/>
    <mergeCell ref="KHB380:KHF380"/>
    <mergeCell ref="KHG380:KHK380"/>
    <mergeCell ref="KHL380:KHP380"/>
    <mergeCell ref="KHQ380:KHU380"/>
    <mergeCell ref="KHV380:KHZ380"/>
    <mergeCell ref="KGC380:KGG380"/>
    <mergeCell ref="KGH380:KGL380"/>
    <mergeCell ref="KGM380:KGQ380"/>
    <mergeCell ref="KGR380:KGV380"/>
    <mergeCell ref="KGW380:KHA380"/>
    <mergeCell ref="KFD380:KFH380"/>
    <mergeCell ref="KFI380:KFM380"/>
    <mergeCell ref="KFN380:KFR380"/>
    <mergeCell ref="KFS380:KFW380"/>
    <mergeCell ref="KFX380:KGB380"/>
    <mergeCell ref="KEE380:KEI380"/>
    <mergeCell ref="KEJ380:KEN380"/>
    <mergeCell ref="KEO380:KES380"/>
    <mergeCell ref="KET380:KEX380"/>
    <mergeCell ref="KEY380:KFC380"/>
    <mergeCell ref="KDF380:KDJ380"/>
    <mergeCell ref="KDK380:KDO380"/>
    <mergeCell ref="KDP380:KDT380"/>
    <mergeCell ref="KDU380:KDY380"/>
    <mergeCell ref="KDZ380:KED380"/>
    <mergeCell ref="KCG380:KCK380"/>
    <mergeCell ref="KCL380:KCP380"/>
    <mergeCell ref="KCQ380:KCU380"/>
    <mergeCell ref="KCV380:KCZ380"/>
    <mergeCell ref="KDA380:KDE380"/>
    <mergeCell ref="KBH380:KBL380"/>
    <mergeCell ref="KBM380:KBQ380"/>
    <mergeCell ref="KBR380:KBV380"/>
    <mergeCell ref="KBW380:KCA380"/>
    <mergeCell ref="KCB380:KCF380"/>
    <mergeCell ref="KAI380:KAM380"/>
    <mergeCell ref="KAN380:KAR380"/>
    <mergeCell ref="KAS380:KAW380"/>
    <mergeCell ref="KAX380:KBB380"/>
    <mergeCell ref="KBC380:KBG380"/>
    <mergeCell ref="JZJ380:JZN380"/>
    <mergeCell ref="JZO380:JZS380"/>
    <mergeCell ref="JZT380:JZX380"/>
    <mergeCell ref="JZY380:KAC380"/>
    <mergeCell ref="KAD380:KAH380"/>
    <mergeCell ref="JYK380:JYO380"/>
    <mergeCell ref="JYP380:JYT380"/>
    <mergeCell ref="JYU380:JYY380"/>
    <mergeCell ref="JYZ380:JZD380"/>
    <mergeCell ref="JZE380:JZI380"/>
    <mergeCell ref="JXL380:JXP380"/>
    <mergeCell ref="JXQ380:JXU380"/>
    <mergeCell ref="JXV380:JXZ380"/>
    <mergeCell ref="JYA380:JYE380"/>
    <mergeCell ref="JYF380:JYJ380"/>
    <mergeCell ref="JWM380:JWQ380"/>
    <mergeCell ref="JWR380:JWV380"/>
    <mergeCell ref="JWW380:JXA380"/>
    <mergeCell ref="JXB380:JXF380"/>
    <mergeCell ref="JXG380:JXK380"/>
    <mergeCell ref="JVN380:JVR380"/>
    <mergeCell ref="JVS380:JVW380"/>
    <mergeCell ref="JVX380:JWB380"/>
    <mergeCell ref="JWC380:JWG380"/>
    <mergeCell ref="JWH380:JWL380"/>
    <mergeCell ref="JUO380:JUS380"/>
    <mergeCell ref="JUT380:JUX380"/>
    <mergeCell ref="JUY380:JVC380"/>
    <mergeCell ref="JVD380:JVH380"/>
    <mergeCell ref="JVI380:JVM380"/>
    <mergeCell ref="JTP380:JTT380"/>
    <mergeCell ref="JTU380:JTY380"/>
    <mergeCell ref="JTZ380:JUD380"/>
    <mergeCell ref="JUE380:JUI380"/>
    <mergeCell ref="JUJ380:JUN380"/>
    <mergeCell ref="JSQ380:JSU380"/>
    <mergeCell ref="JSV380:JSZ380"/>
    <mergeCell ref="JTA380:JTE380"/>
    <mergeCell ref="JTF380:JTJ380"/>
    <mergeCell ref="JTK380:JTO380"/>
    <mergeCell ref="JRR380:JRV380"/>
    <mergeCell ref="JRW380:JSA380"/>
    <mergeCell ref="JSB380:JSF380"/>
    <mergeCell ref="JSG380:JSK380"/>
    <mergeCell ref="JSL380:JSP380"/>
    <mergeCell ref="JQS380:JQW380"/>
    <mergeCell ref="JQX380:JRB380"/>
    <mergeCell ref="JRC380:JRG380"/>
    <mergeCell ref="JRH380:JRL380"/>
    <mergeCell ref="JRM380:JRQ380"/>
    <mergeCell ref="JPT380:JPX380"/>
    <mergeCell ref="JPY380:JQC380"/>
    <mergeCell ref="JQD380:JQH380"/>
    <mergeCell ref="JQI380:JQM380"/>
    <mergeCell ref="JQN380:JQR380"/>
    <mergeCell ref="JOU380:JOY380"/>
    <mergeCell ref="JOZ380:JPD380"/>
    <mergeCell ref="JPE380:JPI380"/>
    <mergeCell ref="JPJ380:JPN380"/>
    <mergeCell ref="JPO380:JPS380"/>
    <mergeCell ref="JNV380:JNZ380"/>
    <mergeCell ref="JOA380:JOE380"/>
    <mergeCell ref="JOF380:JOJ380"/>
    <mergeCell ref="JOK380:JOO380"/>
    <mergeCell ref="JOP380:JOT380"/>
    <mergeCell ref="JMW380:JNA380"/>
    <mergeCell ref="JNB380:JNF380"/>
    <mergeCell ref="JNG380:JNK380"/>
    <mergeCell ref="JNL380:JNP380"/>
    <mergeCell ref="JNQ380:JNU380"/>
    <mergeCell ref="JLX380:JMB380"/>
    <mergeCell ref="JMC380:JMG380"/>
    <mergeCell ref="JMH380:JML380"/>
    <mergeCell ref="JMM380:JMQ380"/>
    <mergeCell ref="JMR380:JMV380"/>
    <mergeCell ref="JKY380:JLC380"/>
    <mergeCell ref="JLD380:JLH380"/>
    <mergeCell ref="JLI380:JLM380"/>
    <mergeCell ref="JLN380:JLR380"/>
    <mergeCell ref="JLS380:JLW380"/>
    <mergeCell ref="JJZ380:JKD380"/>
    <mergeCell ref="JKE380:JKI380"/>
    <mergeCell ref="JKJ380:JKN380"/>
    <mergeCell ref="JKO380:JKS380"/>
    <mergeCell ref="JKT380:JKX380"/>
    <mergeCell ref="JJA380:JJE380"/>
    <mergeCell ref="JJF380:JJJ380"/>
    <mergeCell ref="JJK380:JJO380"/>
    <mergeCell ref="JJP380:JJT380"/>
    <mergeCell ref="JJU380:JJY380"/>
    <mergeCell ref="JIB380:JIF380"/>
    <mergeCell ref="JIG380:JIK380"/>
    <mergeCell ref="JIL380:JIP380"/>
    <mergeCell ref="JIQ380:JIU380"/>
    <mergeCell ref="JIV380:JIZ380"/>
    <mergeCell ref="JHC380:JHG380"/>
    <mergeCell ref="JHH380:JHL380"/>
    <mergeCell ref="JHM380:JHQ380"/>
    <mergeCell ref="JHR380:JHV380"/>
    <mergeCell ref="JHW380:JIA380"/>
    <mergeCell ref="JGD380:JGH380"/>
    <mergeCell ref="JGI380:JGM380"/>
    <mergeCell ref="JGN380:JGR380"/>
    <mergeCell ref="JGS380:JGW380"/>
    <mergeCell ref="JGX380:JHB380"/>
    <mergeCell ref="JFE380:JFI380"/>
    <mergeCell ref="JFJ380:JFN380"/>
    <mergeCell ref="JFO380:JFS380"/>
    <mergeCell ref="JFT380:JFX380"/>
    <mergeCell ref="JFY380:JGC380"/>
    <mergeCell ref="JEF380:JEJ380"/>
    <mergeCell ref="JEK380:JEO380"/>
    <mergeCell ref="JEP380:JET380"/>
    <mergeCell ref="JEU380:JEY380"/>
    <mergeCell ref="JEZ380:JFD380"/>
    <mergeCell ref="JDG380:JDK380"/>
    <mergeCell ref="JDL380:JDP380"/>
    <mergeCell ref="JDQ380:JDU380"/>
    <mergeCell ref="JDV380:JDZ380"/>
    <mergeCell ref="JEA380:JEE380"/>
    <mergeCell ref="JCH380:JCL380"/>
    <mergeCell ref="JCM380:JCQ380"/>
    <mergeCell ref="JCR380:JCV380"/>
    <mergeCell ref="JCW380:JDA380"/>
    <mergeCell ref="JDB380:JDF380"/>
    <mergeCell ref="JBI380:JBM380"/>
    <mergeCell ref="JBN380:JBR380"/>
    <mergeCell ref="JBS380:JBW380"/>
    <mergeCell ref="JBX380:JCB380"/>
    <mergeCell ref="JCC380:JCG380"/>
    <mergeCell ref="JAJ380:JAN380"/>
    <mergeCell ref="JAO380:JAS380"/>
    <mergeCell ref="JAT380:JAX380"/>
    <mergeCell ref="JAY380:JBC380"/>
    <mergeCell ref="JBD380:JBH380"/>
    <mergeCell ref="IZK380:IZO380"/>
    <mergeCell ref="IZP380:IZT380"/>
    <mergeCell ref="IZU380:IZY380"/>
    <mergeCell ref="IZZ380:JAD380"/>
    <mergeCell ref="JAE380:JAI380"/>
    <mergeCell ref="IYL380:IYP380"/>
    <mergeCell ref="IYQ380:IYU380"/>
    <mergeCell ref="IYV380:IYZ380"/>
    <mergeCell ref="IZA380:IZE380"/>
    <mergeCell ref="IZF380:IZJ380"/>
    <mergeCell ref="IXM380:IXQ380"/>
    <mergeCell ref="IXR380:IXV380"/>
    <mergeCell ref="IXW380:IYA380"/>
    <mergeCell ref="IYB380:IYF380"/>
    <mergeCell ref="IYG380:IYK380"/>
    <mergeCell ref="IWN380:IWR380"/>
    <mergeCell ref="IWS380:IWW380"/>
    <mergeCell ref="IWX380:IXB380"/>
    <mergeCell ref="IXC380:IXG380"/>
    <mergeCell ref="IXH380:IXL380"/>
    <mergeCell ref="IVO380:IVS380"/>
    <mergeCell ref="IVT380:IVX380"/>
    <mergeCell ref="IVY380:IWC380"/>
    <mergeCell ref="IWD380:IWH380"/>
    <mergeCell ref="IWI380:IWM380"/>
    <mergeCell ref="IUP380:IUT380"/>
    <mergeCell ref="IUU380:IUY380"/>
    <mergeCell ref="IUZ380:IVD380"/>
    <mergeCell ref="IVE380:IVI380"/>
    <mergeCell ref="IVJ380:IVN380"/>
    <mergeCell ref="ITQ380:ITU380"/>
    <mergeCell ref="ITV380:ITZ380"/>
    <mergeCell ref="IUA380:IUE380"/>
    <mergeCell ref="IUF380:IUJ380"/>
    <mergeCell ref="IUK380:IUO380"/>
    <mergeCell ref="ISR380:ISV380"/>
    <mergeCell ref="ISW380:ITA380"/>
    <mergeCell ref="ITB380:ITF380"/>
    <mergeCell ref="ITG380:ITK380"/>
    <mergeCell ref="ITL380:ITP380"/>
    <mergeCell ref="IRS380:IRW380"/>
    <mergeCell ref="IRX380:ISB380"/>
    <mergeCell ref="ISC380:ISG380"/>
    <mergeCell ref="ISH380:ISL380"/>
    <mergeCell ref="ISM380:ISQ380"/>
    <mergeCell ref="IQT380:IQX380"/>
    <mergeCell ref="IQY380:IRC380"/>
    <mergeCell ref="IRD380:IRH380"/>
    <mergeCell ref="IRI380:IRM380"/>
    <mergeCell ref="IRN380:IRR380"/>
    <mergeCell ref="IPU380:IPY380"/>
    <mergeCell ref="IPZ380:IQD380"/>
    <mergeCell ref="IQE380:IQI380"/>
    <mergeCell ref="IQJ380:IQN380"/>
    <mergeCell ref="IQO380:IQS380"/>
    <mergeCell ref="IOV380:IOZ380"/>
    <mergeCell ref="IPA380:IPE380"/>
    <mergeCell ref="IPF380:IPJ380"/>
    <mergeCell ref="IPK380:IPO380"/>
    <mergeCell ref="IPP380:IPT380"/>
    <mergeCell ref="INW380:IOA380"/>
    <mergeCell ref="IOB380:IOF380"/>
    <mergeCell ref="IOG380:IOK380"/>
    <mergeCell ref="IOL380:IOP380"/>
    <mergeCell ref="IOQ380:IOU380"/>
    <mergeCell ref="IMX380:INB380"/>
    <mergeCell ref="INC380:ING380"/>
    <mergeCell ref="INH380:INL380"/>
    <mergeCell ref="INM380:INQ380"/>
    <mergeCell ref="INR380:INV380"/>
    <mergeCell ref="ILY380:IMC380"/>
    <mergeCell ref="IMD380:IMH380"/>
    <mergeCell ref="IMI380:IMM380"/>
    <mergeCell ref="IMN380:IMR380"/>
    <mergeCell ref="IMS380:IMW380"/>
    <mergeCell ref="IKZ380:ILD380"/>
    <mergeCell ref="ILE380:ILI380"/>
    <mergeCell ref="ILJ380:ILN380"/>
    <mergeCell ref="ILO380:ILS380"/>
    <mergeCell ref="ILT380:ILX380"/>
    <mergeCell ref="IKA380:IKE380"/>
    <mergeCell ref="IKF380:IKJ380"/>
    <mergeCell ref="IKK380:IKO380"/>
    <mergeCell ref="IKP380:IKT380"/>
    <mergeCell ref="IKU380:IKY380"/>
    <mergeCell ref="IJB380:IJF380"/>
    <mergeCell ref="IJG380:IJK380"/>
    <mergeCell ref="IJL380:IJP380"/>
    <mergeCell ref="IJQ380:IJU380"/>
    <mergeCell ref="IJV380:IJZ380"/>
    <mergeCell ref="IIC380:IIG380"/>
    <mergeCell ref="IIH380:IIL380"/>
    <mergeCell ref="IIM380:IIQ380"/>
    <mergeCell ref="IIR380:IIV380"/>
    <mergeCell ref="IIW380:IJA380"/>
    <mergeCell ref="IHD380:IHH380"/>
    <mergeCell ref="IHI380:IHM380"/>
    <mergeCell ref="IHN380:IHR380"/>
    <mergeCell ref="IHS380:IHW380"/>
    <mergeCell ref="IHX380:IIB380"/>
    <mergeCell ref="IGE380:IGI380"/>
    <mergeCell ref="IGJ380:IGN380"/>
    <mergeCell ref="IGO380:IGS380"/>
    <mergeCell ref="IGT380:IGX380"/>
    <mergeCell ref="IGY380:IHC380"/>
    <mergeCell ref="IFF380:IFJ380"/>
    <mergeCell ref="IFK380:IFO380"/>
    <mergeCell ref="IFP380:IFT380"/>
    <mergeCell ref="IFU380:IFY380"/>
    <mergeCell ref="IFZ380:IGD380"/>
    <mergeCell ref="IEG380:IEK380"/>
    <mergeCell ref="IEL380:IEP380"/>
    <mergeCell ref="IEQ380:IEU380"/>
    <mergeCell ref="IEV380:IEZ380"/>
    <mergeCell ref="IFA380:IFE380"/>
    <mergeCell ref="IDH380:IDL380"/>
    <mergeCell ref="IDM380:IDQ380"/>
    <mergeCell ref="IDR380:IDV380"/>
    <mergeCell ref="IDW380:IEA380"/>
    <mergeCell ref="IEB380:IEF380"/>
    <mergeCell ref="ICI380:ICM380"/>
    <mergeCell ref="ICN380:ICR380"/>
    <mergeCell ref="ICS380:ICW380"/>
    <mergeCell ref="ICX380:IDB380"/>
    <mergeCell ref="IDC380:IDG380"/>
    <mergeCell ref="IBJ380:IBN380"/>
    <mergeCell ref="IBO380:IBS380"/>
    <mergeCell ref="IBT380:IBX380"/>
    <mergeCell ref="IBY380:ICC380"/>
    <mergeCell ref="ICD380:ICH380"/>
    <mergeCell ref="IAK380:IAO380"/>
    <mergeCell ref="IAP380:IAT380"/>
    <mergeCell ref="IAU380:IAY380"/>
    <mergeCell ref="IAZ380:IBD380"/>
    <mergeCell ref="IBE380:IBI380"/>
    <mergeCell ref="HZL380:HZP380"/>
    <mergeCell ref="HZQ380:HZU380"/>
    <mergeCell ref="HZV380:HZZ380"/>
    <mergeCell ref="IAA380:IAE380"/>
    <mergeCell ref="IAF380:IAJ380"/>
    <mergeCell ref="HYM380:HYQ380"/>
    <mergeCell ref="HYR380:HYV380"/>
    <mergeCell ref="HYW380:HZA380"/>
    <mergeCell ref="HZB380:HZF380"/>
    <mergeCell ref="HZG380:HZK380"/>
    <mergeCell ref="HXN380:HXR380"/>
    <mergeCell ref="HXS380:HXW380"/>
    <mergeCell ref="HXX380:HYB380"/>
    <mergeCell ref="HYC380:HYG380"/>
    <mergeCell ref="HYH380:HYL380"/>
    <mergeCell ref="HWO380:HWS380"/>
    <mergeCell ref="HWT380:HWX380"/>
    <mergeCell ref="HWY380:HXC380"/>
    <mergeCell ref="HXD380:HXH380"/>
    <mergeCell ref="HXI380:HXM380"/>
    <mergeCell ref="HVP380:HVT380"/>
    <mergeCell ref="HVU380:HVY380"/>
    <mergeCell ref="HVZ380:HWD380"/>
    <mergeCell ref="HWE380:HWI380"/>
    <mergeCell ref="HWJ380:HWN380"/>
    <mergeCell ref="HUQ380:HUU380"/>
    <mergeCell ref="HUV380:HUZ380"/>
    <mergeCell ref="HVA380:HVE380"/>
    <mergeCell ref="HVF380:HVJ380"/>
    <mergeCell ref="HVK380:HVO380"/>
    <mergeCell ref="HTR380:HTV380"/>
    <mergeCell ref="HTW380:HUA380"/>
    <mergeCell ref="HUB380:HUF380"/>
    <mergeCell ref="HUG380:HUK380"/>
    <mergeCell ref="HUL380:HUP380"/>
    <mergeCell ref="HSS380:HSW380"/>
    <mergeCell ref="HSX380:HTB380"/>
    <mergeCell ref="HTC380:HTG380"/>
    <mergeCell ref="HTH380:HTL380"/>
    <mergeCell ref="HTM380:HTQ380"/>
    <mergeCell ref="HRT380:HRX380"/>
    <mergeCell ref="HRY380:HSC380"/>
    <mergeCell ref="HSD380:HSH380"/>
    <mergeCell ref="HSI380:HSM380"/>
    <mergeCell ref="HSN380:HSR380"/>
    <mergeCell ref="HQU380:HQY380"/>
    <mergeCell ref="HQZ380:HRD380"/>
    <mergeCell ref="HRE380:HRI380"/>
    <mergeCell ref="HRJ380:HRN380"/>
    <mergeCell ref="HRO380:HRS380"/>
    <mergeCell ref="HPV380:HPZ380"/>
    <mergeCell ref="HQA380:HQE380"/>
    <mergeCell ref="HQF380:HQJ380"/>
    <mergeCell ref="HQK380:HQO380"/>
    <mergeCell ref="HQP380:HQT380"/>
    <mergeCell ref="HOW380:HPA380"/>
    <mergeCell ref="HPB380:HPF380"/>
    <mergeCell ref="HPG380:HPK380"/>
    <mergeCell ref="HPL380:HPP380"/>
    <mergeCell ref="HPQ380:HPU380"/>
    <mergeCell ref="HNX380:HOB380"/>
    <mergeCell ref="HOC380:HOG380"/>
    <mergeCell ref="HOH380:HOL380"/>
    <mergeCell ref="HOM380:HOQ380"/>
    <mergeCell ref="HOR380:HOV380"/>
    <mergeCell ref="HMY380:HNC380"/>
    <mergeCell ref="HND380:HNH380"/>
    <mergeCell ref="HNI380:HNM380"/>
    <mergeCell ref="HNN380:HNR380"/>
    <mergeCell ref="HNS380:HNW380"/>
    <mergeCell ref="HLZ380:HMD380"/>
    <mergeCell ref="HME380:HMI380"/>
    <mergeCell ref="HMJ380:HMN380"/>
    <mergeCell ref="HMO380:HMS380"/>
    <mergeCell ref="HMT380:HMX380"/>
    <mergeCell ref="HLA380:HLE380"/>
    <mergeCell ref="HLF380:HLJ380"/>
    <mergeCell ref="HLK380:HLO380"/>
    <mergeCell ref="HLP380:HLT380"/>
    <mergeCell ref="HLU380:HLY380"/>
    <mergeCell ref="HKB380:HKF380"/>
    <mergeCell ref="HKG380:HKK380"/>
    <mergeCell ref="HKL380:HKP380"/>
    <mergeCell ref="HKQ380:HKU380"/>
    <mergeCell ref="HKV380:HKZ380"/>
    <mergeCell ref="HJC380:HJG380"/>
    <mergeCell ref="HJH380:HJL380"/>
    <mergeCell ref="HJM380:HJQ380"/>
    <mergeCell ref="HJR380:HJV380"/>
    <mergeCell ref="HJW380:HKA380"/>
    <mergeCell ref="HID380:HIH380"/>
    <mergeCell ref="HII380:HIM380"/>
    <mergeCell ref="HIN380:HIR380"/>
    <mergeCell ref="HIS380:HIW380"/>
    <mergeCell ref="HIX380:HJB380"/>
    <mergeCell ref="HHE380:HHI380"/>
    <mergeCell ref="HHJ380:HHN380"/>
    <mergeCell ref="HHO380:HHS380"/>
    <mergeCell ref="HHT380:HHX380"/>
    <mergeCell ref="HHY380:HIC380"/>
    <mergeCell ref="HGF380:HGJ380"/>
    <mergeCell ref="HGK380:HGO380"/>
    <mergeCell ref="HGP380:HGT380"/>
    <mergeCell ref="HGU380:HGY380"/>
    <mergeCell ref="HGZ380:HHD380"/>
    <mergeCell ref="HFG380:HFK380"/>
    <mergeCell ref="HFL380:HFP380"/>
    <mergeCell ref="HFQ380:HFU380"/>
    <mergeCell ref="HFV380:HFZ380"/>
    <mergeCell ref="HGA380:HGE380"/>
    <mergeCell ref="HEH380:HEL380"/>
    <mergeCell ref="HEM380:HEQ380"/>
    <mergeCell ref="HER380:HEV380"/>
    <mergeCell ref="HEW380:HFA380"/>
    <mergeCell ref="HFB380:HFF380"/>
    <mergeCell ref="HDI380:HDM380"/>
    <mergeCell ref="HDN380:HDR380"/>
    <mergeCell ref="HDS380:HDW380"/>
    <mergeCell ref="HDX380:HEB380"/>
    <mergeCell ref="HEC380:HEG380"/>
    <mergeCell ref="HCJ380:HCN380"/>
    <mergeCell ref="HCO380:HCS380"/>
    <mergeCell ref="HCT380:HCX380"/>
    <mergeCell ref="HCY380:HDC380"/>
    <mergeCell ref="HDD380:HDH380"/>
    <mergeCell ref="HBK380:HBO380"/>
    <mergeCell ref="HBP380:HBT380"/>
    <mergeCell ref="HBU380:HBY380"/>
    <mergeCell ref="HBZ380:HCD380"/>
    <mergeCell ref="HCE380:HCI380"/>
    <mergeCell ref="HAL380:HAP380"/>
    <mergeCell ref="HAQ380:HAU380"/>
    <mergeCell ref="HAV380:HAZ380"/>
    <mergeCell ref="HBA380:HBE380"/>
    <mergeCell ref="HBF380:HBJ380"/>
    <mergeCell ref="GZM380:GZQ380"/>
    <mergeCell ref="GZR380:GZV380"/>
    <mergeCell ref="GZW380:HAA380"/>
    <mergeCell ref="HAB380:HAF380"/>
    <mergeCell ref="HAG380:HAK380"/>
    <mergeCell ref="GYN380:GYR380"/>
    <mergeCell ref="GYS380:GYW380"/>
    <mergeCell ref="GYX380:GZB380"/>
    <mergeCell ref="GZC380:GZG380"/>
    <mergeCell ref="GZH380:GZL380"/>
    <mergeCell ref="GXO380:GXS380"/>
    <mergeCell ref="GXT380:GXX380"/>
    <mergeCell ref="GXY380:GYC380"/>
    <mergeCell ref="GYD380:GYH380"/>
    <mergeCell ref="GYI380:GYM380"/>
    <mergeCell ref="GWP380:GWT380"/>
    <mergeCell ref="GWU380:GWY380"/>
    <mergeCell ref="GWZ380:GXD380"/>
    <mergeCell ref="GXE380:GXI380"/>
    <mergeCell ref="GXJ380:GXN380"/>
    <mergeCell ref="GVQ380:GVU380"/>
    <mergeCell ref="GVV380:GVZ380"/>
    <mergeCell ref="GWA380:GWE380"/>
    <mergeCell ref="GWF380:GWJ380"/>
    <mergeCell ref="GWK380:GWO380"/>
    <mergeCell ref="GUR380:GUV380"/>
    <mergeCell ref="GUW380:GVA380"/>
    <mergeCell ref="GVB380:GVF380"/>
    <mergeCell ref="GVG380:GVK380"/>
    <mergeCell ref="GVL380:GVP380"/>
    <mergeCell ref="GTS380:GTW380"/>
    <mergeCell ref="GTX380:GUB380"/>
    <mergeCell ref="GUC380:GUG380"/>
    <mergeCell ref="GUH380:GUL380"/>
    <mergeCell ref="GUM380:GUQ380"/>
    <mergeCell ref="GST380:GSX380"/>
    <mergeCell ref="GSY380:GTC380"/>
    <mergeCell ref="GTD380:GTH380"/>
    <mergeCell ref="GTI380:GTM380"/>
    <mergeCell ref="GTN380:GTR380"/>
    <mergeCell ref="GRU380:GRY380"/>
    <mergeCell ref="GRZ380:GSD380"/>
    <mergeCell ref="GSE380:GSI380"/>
    <mergeCell ref="GSJ380:GSN380"/>
    <mergeCell ref="GSO380:GSS380"/>
    <mergeCell ref="GQV380:GQZ380"/>
    <mergeCell ref="GRA380:GRE380"/>
    <mergeCell ref="GRF380:GRJ380"/>
    <mergeCell ref="GRK380:GRO380"/>
    <mergeCell ref="GRP380:GRT380"/>
    <mergeCell ref="GPW380:GQA380"/>
    <mergeCell ref="GQB380:GQF380"/>
    <mergeCell ref="GQG380:GQK380"/>
    <mergeCell ref="GQL380:GQP380"/>
    <mergeCell ref="GQQ380:GQU380"/>
    <mergeCell ref="GOX380:GPB380"/>
    <mergeCell ref="GPC380:GPG380"/>
    <mergeCell ref="GPH380:GPL380"/>
    <mergeCell ref="GPM380:GPQ380"/>
    <mergeCell ref="GPR380:GPV380"/>
    <mergeCell ref="GNY380:GOC380"/>
    <mergeCell ref="GOD380:GOH380"/>
    <mergeCell ref="GOI380:GOM380"/>
    <mergeCell ref="GON380:GOR380"/>
    <mergeCell ref="GOS380:GOW380"/>
    <mergeCell ref="GMZ380:GND380"/>
    <mergeCell ref="GNE380:GNI380"/>
    <mergeCell ref="GNJ380:GNN380"/>
    <mergeCell ref="GNO380:GNS380"/>
    <mergeCell ref="GNT380:GNX380"/>
    <mergeCell ref="GMA380:GME380"/>
    <mergeCell ref="GMF380:GMJ380"/>
    <mergeCell ref="GMK380:GMO380"/>
    <mergeCell ref="GMP380:GMT380"/>
    <mergeCell ref="GMU380:GMY380"/>
    <mergeCell ref="GLB380:GLF380"/>
    <mergeCell ref="GLG380:GLK380"/>
    <mergeCell ref="GLL380:GLP380"/>
    <mergeCell ref="GLQ380:GLU380"/>
    <mergeCell ref="GLV380:GLZ380"/>
    <mergeCell ref="GKC380:GKG380"/>
    <mergeCell ref="GKH380:GKL380"/>
    <mergeCell ref="GKM380:GKQ380"/>
    <mergeCell ref="GKR380:GKV380"/>
    <mergeCell ref="GKW380:GLA380"/>
    <mergeCell ref="GJD380:GJH380"/>
    <mergeCell ref="GJI380:GJM380"/>
    <mergeCell ref="GJN380:GJR380"/>
    <mergeCell ref="GJS380:GJW380"/>
    <mergeCell ref="GJX380:GKB380"/>
    <mergeCell ref="GIE380:GII380"/>
    <mergeCell ref="GIJ380:GIN380"/>
    <mergeCell ref="GIO380:GIS380"/>
    <mergeCell ref="GIT380:GIX380"/>
    <mergeCell ref="GIY380:GJC380"/>
    <mergeCell ref="GHF380:GHJ380"/>
    <mergeCell ref="GHK380:GHO380"/>
    <mergeCell ref="GHP380:GHT380"/>
    <mergeCell ref="GHU380:GHY380"/>
    <mergeCell ref="GHZ380:GID380"/>
    <mergeCell ref="GGG380:GGK380"/>
    <mergeCell ref="GGL380:GGP380"/>
    <mergeCell ref="GGQ380:GGU380"/>
    <mergeCell ref="GGV380:GGZ380"/>
    <mergeCell ref="GHA380:GHE380"/>
    <mergeCell ref="GFH380:GFL380"/>
    <mergeCell ref="GFM380:GFQ380"/>
    <mergeCell ref="GFR380:GFV380"/>
    <mergeCell ref="GFW380:GGA380"/>
    <mergeCell ref="GGB380:GGF380"/>
    <mergeCell ref="GEI380:GEM380"/>
    <mergeCell ref="GEN380:GER380"/>
    <mergeCell ref="GES380:GEW380"/>
    <mergeCell ref="GEX380:GFB380"/>
    <mergeCell ref="GFC380:GFG380"/>
    <mergeCell ref="GDJ380:GDN380"/>
    <mergeCell ref="GDO380:GDS380"/>
    <mergeCell ref="GDT380:GDX380"/>
    <mergeCell ref="GDY380:GEC380"/>
    <mergeCell ref="GED380:GEH380"/>
    <mergeCell ref="GCK380:GCO380"/>
    <mergeCell ref="GCP380:GCT380"/>
    <mergeCell ref="GCU380:GCY380"/>
    <mergeCell ref="GCZ380:GDD380"/>
    <mergeCell ref="GDE380:GDI380"/>
    <mergeCell ref="GBL380:GBP380"/>
    <mergeCell ref="GBQ380:GBU380"/>
    <mergeCell ref="GBV380:GBZ380"/>
    <mergeCell ref="GCA380:GCE380"/>
    <mergeCell ref="GCF380:GCJ380"/>
    <mergeCell ref="GAM380:GAQ380"/>
    <mergeCell ref="GAR380:GAV380"/>
    <mergeCell ref="GAW380:GBA380"/>
    <mergeCell ref="GBB380:GBF380"/>
    <mergeCell ref="GBG380:GBK380"/>
    <mergeCell ref="FZN380:FZR380"/>
    <mergeCell ref="FZS380:FZW380"/>
    <mergeCell ref="FZX380:GAB380"/>
    <mergeCell ref="GAC380:GAG380"/>
    <mergeCell ref="GAH380:GAL380"/>
    <mergeCell ref="FYO380:FYS380"/>
    <mergeCell ref="FYT380:FYX380"/>
    <mergeCell ref="FYY380:FZC380"/>
    <mergeCell ref="FZD380:FZH380"/>
    <mergeCell ref="FZI380:FZM380"/>
    <mergeCell ref="FXP380:FXT380"/>
    <mergeCell ref="FXU380:FXY380"/>
    <mergeCell ref="FXZ380:FYD380"/>
    <mergeCell ref="FYE380:FYI380"/>
    <mergeCell ref="FYJ380:FYN380"/>
    <mergeCell ref="FWQ380:FWU380"/>
    <mergeCell ref="FWV380:FWZ380"/>
    <mergeCell ref="FXA380:FXE380"/>
    <mergeCell ref="FXF380:FXJ380"/>
    <mergeCell ref="FXK380:FXO380"/>
    <mergeCell ref="FVR380:FVV380"/>
    <mergeCell ref="FVW380:FWA380"/>
    <mergeCell ref="FWB380:FWF380"/>
    <mergeCell ref="FWG380:FWK380"/>
    <mergeCell ref="FWL380:FWP380"/>
    <mergeCell ref="FUS380:FUW380"/>
    <mergeCell ref="FUX380:FVB380"/>
    <mergeCell ref="FVC380:FVG380"/>
    <mergeCell ref="FVH380:FVL380"/>
    <mergeCell ref="FVM380:FVQ380"/>
    <mergeCell ref="FTT380:FTX380"/>
    <mergeCell ref="FTY380:FUC380"/>
    <mergeCell ref="FUD380:FUH380"/>
    <mergeCell ref="FUI380:FUM380"/>
    <mergeCell ref="FUN380:FUR380"/>
    <mergeCell ref="FSU380:FSY380"/>
    <mergeCell ref="FSZ380:FTD380"/>
    <mergeCell ref="FTE380:FTI380"/>
    <mergeCell ref="FTJ380:FTN380"/>
    <mergeCell ref="FTO380:FTS380"/>
    <mergeCell ref="FRV380:FRZ380"/>
    <mergeCell ref="FSA380:FSE380"/>
    <mergeCell ref="FSF380:FSJ380"/>
    <mergeCell ref="FSK380:FSO380"/>
    <mergeCell ref="FSP380:FST380"/>
    <mergeCell ref="FQW380:FRA380"/>
    <mergeCell ref="FRB380:FRF380"/>
    <mergeCell ref="FRG380:FRK380"/>
    <mergeCell ref="FRL380:FRP380"/>
    <mergeCell ref="FRQ380:FRU380"/>
    <mergeCell ref="FPX380:FQB380"/>
    <mergeCell ref="FQC380:FQG380"/>
    <mergeCell ref="FQH380:FQL380"/>
    <mergeCell ref="FQM380:FQQ380"/>
    <mergeCell ref="FQR380:FQV380"/>
    <mergeCell ref="FOY380:FPC380"/>
    <mergeCell ref="FPD380:FPH380"/>
    <mergeCell ref="FPI380:FPM380"/>
    <mergeCell ref="FPN380:FPR380"/>
    <mergeCell ref="FPS380:FPW380"/>
    <mergeCell ref="FNZ380:FOD380"/>
    <mergeCell ref="FOE380:FOI380"/>
    <mergeCell ref="FOJ380:FON380"/>
    <mergeCell ref="FOO380:FOS380"/>
    <mergeCell ref="FOT380:FOX380"/>
    <mergeCell ref="FNA380:FNE380"/>
    <mergeCell ref="FNF380:FNJ380"/>
    <mergeCell ref="FNK380:FNO380"/>
    <mergeCell ref="FNP380:FNT380"/>
    <mergeCell ref="FNU380:FNY380"/>
    <mergeCell ref="FMB380:FMF380"/>
    <mergeCell ref="FMG380:FMK380"/>
    <mergeCell ref="FML380:FMP380"/>
    <mergeCell ref="FMQ380:FMU380"/>
    <mergeCell ref="FMV380:FMZ380"/>
    <mergeCell ref="FLC380:FLG380"/>
    <mergeCell ref="FLH380:FLL380"/>
    <mergeCell ref="FLM380:FLQ380"/>
    <mergeCell ref="FLR380:FLV380"/>
    <mergeCell ref="FLW380:FMA380"/>
    <mergeCell ref="FKD380:FKH380"/>
    <mergeCell ref="FKI380:FKM380"/>
    <mergeCell ref="FKN380:FKR380"/>
    <mergeCell ref="FKS380:FKW380"/>
    <mergeCell ref="FKX380:FLB380"/>
    <mergeCell ref="FJE380:FJI380"/>
    <mergeCell ref="FJJ380:FJN380"/>
    <mergeCell ref="FJO380:FJS380"/>
    <mergeCell ref="FJT380:FJX380"/>
    <mergeCell ref="FJY380:FKC380"/>
    <mergeCell ref="FIF380:FIJ380"/>
    <mergeCell ref="FIK380:FIO380"/>
    <mergeCell ref="FIP380:FIT380"/>
    <mergeCell ref="FIU380:FIY380"/>
    <mergeCell ref="FIZ380:FJD380"/>
    <mergeCell ref="FHG380:FHK380"/>
    <mergeCell ref="FHL380:FHP380"/>
    <mergeCell ref="FHQ380:FHU380"/>
    <mergeCell ref="FHV380:FHZ380"/>
    <mergeCell ref="FIA380:FIE380"/>
    <mergeCell ref="FGH380:FGL380"/>
    <mergeCell ref="FGM380:FGQ380"/>
    <mergeCell ref="FGR380:FGV380"/>
    <mergeCell ref="FGW380:FHA380"/>
    <mergeCell ref="FHB380:FHF380"/>
    <mergeCell ref="FFI380:FFM380"/>
    <mergeCell ref="FFN380:FFR380"/>
    <mergeCell ref="FFS380:FFW380"/>
    <mergeCell ref="FFX380:FGB380"/>
    <mergeCell ref="FGC380:FGG380"/>
    <mergeCell ref="FEJ380:FEN380"/>
    <mergeCell ref="FEO380:FES380"/>
    <mergeCell ref="FET380:FEX380"/>
    <mergeCell ref="FEY380:FFC380"/>
    <mergeCell ref="FFD380:FFH380"/>
    <mergeCell ref="FDK380:FDO380"/>
    <mergeCell ref="FDP380:FDT380"/>
    <mergeCell ref="FDU380:FDY380"/>
    <mergeCell ref="FDZ380:FED380"/>
    <mergeCell ref="FEE380:FEI380"/>
    <mergeCell ref="FCL380:FCP380"/>
    <mergeCell ref="FCQ380:FCU380"/>
    <mergeCell ref="FCV380:FCZ380"/>
    <mergeCell ref="FDA380:FDE380"/>
    <mergeCell ref="FDF380:FDJ380"/>
    <mergeCell ref="FBM380:FBQ380"/>
    <mergeCell ref="FBR380:FBV380"/>
    <mergeCell ref="FBW380:FCA380"/>
    <mergeCell ref="FCB380:FCF380"/>
    <mergeCell ref="FCG380:FCK380"/>
    <mergeCell ref="FAN380:FAR380"/>
    <mergeCell ref="FAS380:FAW380"/>
    <mergeCell ref="FAX380:FBB380"/>
    <mergeCell ref="FBC380:FBG380"/>
    <mergeCell ref="FBH380:FBL380"/>
    <mergeCell ref="EZO380:EZS380"/>
    <mergeCell ref="EZT380:EZX380"/>
    <mergeCell ref="EZY380:FAC380"/>
    <mergeCell ref="FAD380:FAH380"/>
    <mergeCell ref="FAI380:FAM380"/>
    <mergeCell ref="EYP380:EYT380"/>
    <mergeCell ref="EYU380:EYY380"/>
    <mergeCell ref="EYZ380:EZD380"/>
    <mergeCell ref="EZE380:EZI380"/>
    <mergeCell ref="EZJ380:EZN380"/>
    <mergeCell ref="EXQ380:EXU380"/>
    <mergeCell ref="EXV380:EXZ380"/>
    <mergeCell ref="EYA380:EYE380"/>
    <mergeCell ref="EYF380:EYJ380"/>
    <mergeCell ref="EYK380:EYO380"/>
    <mergeCell ref="EWR380:EWV380"/>
    <mergeCell ref="EWW380:EXA380"/>
    <mergeCell ref="EXB380:EXF380"/>
    <mergeCell ref="EXG380:EXK380"/>
    <mergeCell ref="EXL380:EXP380"/>
    <mergeCell ref="EVS380:EVW380"/>
    <mergeCell ref="EVX380:EWB380"/>
    <mergeCell ref="EWC380:EWG380"/>
    <mergeCell ref="EWH380:EWL380"/>
    <mergeCell ref="EWM380:EWQ380"/>
    <mergeCell ref="EUT380:EUX380"/>
    <mergeCell ref="EUY380:EVC380"/>
    <mergeCell ref="EVD380:EVH380"/>
    <mergeCell ref="EVI380:EVM380"/>
    <mergeCell ref="EVN380:EVR380"/>
    <mergeCell ref="ETU380:ETY380"/>
    <mergeCell ref="ETZ380:EUD380"/>
    <mergeCell ref="EUE380:EUI380"/>
    <mergeCell ref="EUJ380:EUN380"/>
    <mergeCell ref="EUO380:EUS380"/>
    <mergeCell ref="ESV380:ESZ380"/>
    <mergeCell ref="ETA380:ETE380"/>
    <mergeCell ref="ETF380:ETJ380"/>
    <mergeCell ref="ETK380:ETO380"/>
    <mergeCell ref="ETP380:ETT380"/>
    <mergeCell ref="ERW380:ESA380"/>
    <mergeCell ref="ESB380:ESF380"/>
    <mergeCell ref="ESG380:ESK380"/>
    <mergeCell ref="ESL380:ESP380"/>
    <mergeCell ref="ESQ380:ESU380"/>
    <mergeCell ref="EQX380:ERB380"/>
    <mergeCell ref="ERC380:ERG380"/>
    <mergeCell ref="ERH380:ERL380"/>
    <mergeCell ref="ERM380:ERQ380"/>
    <mergeCell ref="ERR380:ERV380"/>
    <mergeCell ref="EPY380:EQC380"/>
    <mergeCell ref="EQD380:EQH380"/>
    <mergeCell ref="EQI380:EQM380"/>
    <mergeCell ref="EQN380:EQR380"/>
    <mergeCell ref="EQS380:EQW380"/>
    <mergeCell ref="EOZ380:EPD380"/>
    <mergeCell ref="EPE380:EPI380"/>
    <mergeCell ref="EPJ380:EPN380"/>
    <mergeCell ref="EPO380:EPS380"/>
    <mergeCell ref="EPT380:EPX380"/>
    <mergeCell ref="EOA380:EOE380"/>
    <mergeCell ref="EOF380:EOJ380"/>
    <mergeCell ref="EOK380:EOO380"/>
    <mergeCell ref="EOP380:EOT380"/>
    <mergeCell ref="EOU380:EOY380"/>
    <mergeCell ref="ENB380:ENF380"/>
    <mergeCell ref="ENG380:ENK380"/>
    <mergeCell ref="ENL380:ENP380"/>
    <mergeCell ref="ENQ380:ENU380"/>
    <mergeCell ref="ENV380:ENZ380"/>
    <mergeCell ref="EMC380:EMG380"/>
    <mergeCell ref="EMH380:EML380"/>
    <mergeCell ref="EMM380:EMQ380"/>
    <mergeCell ref="EMR380:EMV380"/>
    <mergeCell ref="EMW380:ENA380"/>
    <mergeCell ref="ELD380:ELH380"/>
    <mergeCell ref="ELI380:ELM380"/>
    <mergeCell ref="ELN380:ELR380"/>
    <mergeCell ref="ELS380:ELW380"/>
    <mergeCell ref="ELX380:EMB380"/>
    <mergeCell ref="EKE380:EKI380"/>
    <mergeCell ref="EKJ380:EKN380"/>
    <mergeCell ref="EKO380:EKS380"/>
    <mergeCell ref="EKT380:EKX380"/>
    <mergeCell ref="EKY380:ELC380"/>
    <mergeCell ref="EJF380:EJJ380"/>
    <mergeCell ref="EJK380:EJO380"/>
    <mergeCell ref="EJP380:EJT380"/>
    <mergeCell ref="EJU380:EJY380"/>
    <mergeCell ref="EJZ380:EKD380"/>
    <mergeCell ref="EIG380:EIK380"/>
    <mergeCell ref="EIL380:EIP380"/>
    <mergeCell ref="EIQ380:EIU380"/>
    <mergeCell ref="EIV380:EIZ380"/>
    <mergeCell ref="EJA380:EJE380"/>
    <mergeCell ref="EHH380:EHL380"/>
    <mergeCell ref="EHM380:EHQ380"/>
    <mergeCell ref="EHR380:EHV380"/>
    <mergeCell ref="EHW380:EIA380"/>
    <mergeCell ref="EIB380:EIF380"/>
    <mergeCell ref="EGI380:EGM380"/>
    <mergeCell ref="EGN380:EGR380"/>
    <mergeCell ref="EGS380:EGW380"/>
    <mergeCell ref="EGX380:EHB380"/>
    <mergeCell ref="EHC380:EHG380"/>
    <mergeCell ref="EFJ380:EFN380"/>
    <mergeCell ref="EFO380:EFS380"/>
    <mergeCell ref="EFT380:EFX380"/>
    <mergeCell ref="EFY380:EGC380"/>
    <mergeCell ref="EGD380:EGH380"/>
    <mergeCell ref="EEK380:EEO380"/>
    <mergeCell ref="EEP380:EET380"/>
    <mergeCell ref="EEU380:EEY380"/>
    <mergeCell ref="EEZ380:EFD380"/>
    <mergeCell ref="EFE380:EFI380"/>
    <mergeCell ref="EDL380:EDP380"/>
    <mergeCell ref="EDQ380:EDU380"/>
    <mergeCell ref="EDV380:EDZ380"/>
    <mergeCell ref="EEA380:EEE380"/>
    <mergeCell ref="EEF380:EEJ380"/>
    <mergeCell ref="ECM380:ECQ380"/>
    <mergeCell ref="ECR380:ECV380"/>
    <mergeCell ref="ECW380:EDA380"/>
    <mergeCell ref="EDB380:EDF380"/>
    <mergeCell ref="EDG380:EDK380"/>
    <mergeCell ref="EBN380:EBR380"/>
    <mergeCell ref="EBS380:EBW380"/>
    <mergeCell ref="EBX380:ECB380"/>
    <mergeCell ref="ECC380:ECG380"/>
    <mergeCell ref="ECH380:ECL380"/>
    <mergeCell ref="EAO380:EAS380"/>
    <mergeCell ref="EAT380:EAX380"/>
    <mergeCell ref="EAY380:EBC380"/>
    <mergeCell ref="EBD380:EBH380"/>
    <mergeCell ref="EBI380:EBM380"/>
    <mergeCell ref="DZP380:DZT380"/>
    <mergeCell ref="DZU380:DZY380"/>
    <mergeCell ref="DZZ380:EAD380"/>
    <mergeCell ref="EAE380:EAI380"/>
    <mergeCell ref="EAJ380:EAN380"/>
    <mergeCell ref="DYQ380:DYU380"/>
    <mergeCell ref="DYV380:DYZ380"/>
    <mergeCell ref="DZA380:DZE380"/>
    <mergeCell ref="DZF380:DZJ380"/>
    <mergeCell ref="DZK380:DZO380"/>
    <mergeCell ref="DXR380:DXV380"/>
    <mergeCell ref="DXW380:DYA380"/>
    <mergeCell ref="DYB380:DYF380"/>
    <mergeCell ref="DYG380:DYK380"/>
    <mergeCell ref="DYL380:DYP380"/>
    <mergeCell ref="DWS380:DWW380"/>
    <mergeCell ref="DWX380:DXB380"/>
    <mergeCell ref="DXC380:DXG380"/>
    <mergeCell ref="DXH380:DXL380"/>
    <mergeCell ref="DXM380:DXQ380"/>
    <mergeCell ref="DVT380:DVX380"/>
    <mergeCell ref="DVY380:DWC380"/>
    <mergeCell ref="DWD380:DWH380"/>
    <mergeCell ref="DWI380:DWM380"/>
    <mergeCell ref="DWN380:DWR380"/>
    <mergeCell ref="DUU380:DUY380"/>
    <mergeCell ref="DUZ380:DVD380"/>
    <mergeCell ref="DVE380:DVI380"/>
    <mergeCell ref="DVJ380:DVN380"/>
    <mergeCell ref="DVO380:DVS380"/>
    <mergeCell ref="DTV380:DTZ380"/>
    <mergeCell ref="DUA380:DUE380"/>
    <mergeCell ref="DUF380:DUJ380"/>
    <mergeCell ref="DUK380:DUO380"/>
    <mergeCell ref="DUP380:DUT380"/>
    <mergeCell ref="DSW380:DTA380"/>
    <mergeCell ref="DTB380:DTF380"/>
    <mergeCell ref="DTG380:DTK380"/>
    <mergeCell ref="DTL380:DTP380"/>
    <mergeCell ref="DTQ380:DTU380"/>
    <mergeCell ref="DRX380:DSB380"/>
    <mergeCell ref="DSC380:DSG380"/>
    <mergeCell ref="DSH380:DSL380"/>
    <mergeCell ref="DSM380:DSQ380"/>
    <mergeCell ref="DSR380:DSV380"/>
    <mergeCell ref="DQY380:DRC380"/>
    <mergeCell ref="DRD380:DRH380"/>
    <mergeCell ref="DRI380:DRM380"/>
    <mergeCell ref="DRN380:DRR380"/>
    <mergeCell ref="DRS380:DRW380"/>
    <mergeCell ref="DPZ380:DQD380"/>
    <mergeCell ref="DQE380:DQI380"/>
    <mergeCell ref="DQJ380:DQN380"/>
    <mergeCell ref="DQO380:DQS380"/>
    <mergeCell ref="DQT380:DQX380"/>
    <mergeCell ref="DPA380:DPE380"/>
    <mergeCell ref="DPF380:DPJ380"/>
    <mergeCell ref="DPK380:DPO380"/>
    <mergeCell ref="DPP380:DPT380"/>
    <mergeCell ref="DPU380:DPY380"/>
    <mergeCell ref="DOB380:DOF380"/>
    <mergeCell ref="DOG380:DOK380"/>
    <mergeCell ref="DOL380:DOP380"/>
    <mergeCell ref="DOQ380:DOU380"/>
    <mergeCell ref="DOV380:DOZ380"/>
    <mergeCell ref="DNC380:DNG380"/>
    <mergeCell ref="DNH380:DNL380"/>
    <mergeCell ref="DNM380:DNQ380"/>
    <mergeCell ref="DNR380:DNV380"/>
    <mergeCell ref="DNW380:DOA380"/>
    <mergeCell ref="DMD380:DMH380"/>
    <mergeCell ref="DMI380:DMM380"/>
    <mergeCell ref="DMN380:DMR380"/>
    <mergeCell ref="DMS380:DMW380"/>
    <mergeCell ref="DMX380:DNB380"/>
    <mergeCell ref="DLE380:DLI380"/>
    <mergeCell ref="DLJ380:DLN380"/>
    <mergeCell ref="DLO380:DLS380"/>
    <mergeCell ref="DLT380:DLX380"/>
    <mergeCell ref="DLY380:DMC380"/>
    <mergeCell ref="DKF380:DKJ380"/>
    <mergeCell ref="DKK380:DKO380"/>
    <mergeCell ref="DKP380:DKT380"/>
    <mergeCell ref="DKU380:DKY380"/>
    <mergeCell ref="DKZ380:DLD380"/>
    <mergeCell ref="DJG380:DJK380"/>
    <mergeCell ref="DJL380:DJP380"/>
    <mergeCell ref="DJQ380:DJU380"/>
    <mergeCell ref="DJV380:DJZ380"/>
    <mergeCell ref="DKA380:DKE380"/>
    <mergeCell ref="DIH380:DIL380"/>
    <mergeCell ref="DIM380:DIQ380"/>
    <mergeCell ref="DIR380:DIV380"/>
    <mergeCell ref="DIW380:DJA380"/>
    <mergeCell ref="DJB380:DJF380"/>
    <mergeCell ref="DHI380:DHM380"/>
    <mergeCell ref="DHN380:DHR380"/>
    <mergeCell ref="DHS380:DHW380"/>
    <mergeCell ref="DHX380:DIB380"/>
    <mergeCell ref="DIC380:DIG380"/>
    <mergeCell ref="DGJ380:DGN380"/>
    <mergeCell ref="DGO380:DGS380"/>
    <mergeCell ref="DGT380:DGX380"/>
    <mergeCell ref="DGY380:DHC380"/>
    <mergeCell ref="DHD380:DHH380"/>
    <mergeCell ref="DFK380:DFO380"/>
    <mergeCell ref="DFP380:DFT380"/>
    <mergeCell ref="DFU380:DFY380"/>
    <mergeCell ref="DFZ380:DGD380"/>
    <mergeCell ref="DGE380:DGI380"/>
    <mergeCell ref="DEL380:DEP380"/>
    <mergeCell ref="DEQ380:DEU380"/>
    <mergeCell ref="DEV380:DEZ380"/>
    <mergeCell ref="DFA380:DFE380"/>
    <mergeCell ref="DFF380:DFJ380"/>
    <mergeCell ref="DDM380:DDQ380"/>
    <mergeCell ref="DDR380:DDV380"/>
    <mergeCell ref="DDW380:DEA380"/>
    <mergeCell ref="DEB380:DEF380"/>
    <mergeCell ref="DEG380:DEK380"/>
    <mergeCell ref="DCN380:DCR380"/>
    <mergeCell ref="DCS380:DCW380"/>
    <mergeCell ref="DCX380:DDB380"/>
    <mergeCell ref="DDC380:DDG380"/>
    <mergeCell ref="DDH380:DDL380"/>
    <mergeCell ref="DBO380:DBS380"/>
    <mergeCell ref="DBT380:DBX380"/>
    <mergeCell ref="DBY380:DCC380"/>
    <mergeCell ref="DCD380:DCH380"/>
    <mergeCell ref="DCI380:DCM380"/>
    <mergeCell ref="DAP380:DAT380"/>
    <mergeCell ref="DAU380:DAY380"/>
    <mergeCell ref="DAZ380:DBD380"/>
    <mergeCell ref="DBE380:DBI380"/>
    <mergeCell ref="DBJ380:DBN380"/>
    <mergeCell ref="CZQ380:CZU380"/>
    <mergeCell ref="CZV380:CZZ380"/>
    <mergeCell ref="DAA380:DAE380"/>
    <mergeCell ref="DAF380:DAJ380"/>
    <mergeCell ref="DAK380:DAO380"/>
    <mergeCell ref="CYR380:CYV380"/>
    <mergeCell ref="CYW380:CZA380"/>
    <mergeCell ref="CZB380:CZF380"/>
    <mergeCell ref="CZG380:CZK380"/>
    <mergeCell ref="CZL380:CZP380"/>
    <mergeCell ref="CXS380:CXW380"/>
    <mergeCell ref="CXX380:CYB380"/>
    <mergeCell ref="CYC380:CYG380"/>
    <mergeCell ref="CYH380:CYL380"/>
    <mergeCell ref="CYM380:CYQ380"/>
    <mergeCell ref="CWT380:CWX380"/>
    <mergeCell ref="CWY380:CXC380"/>
    <mergeCell ref="CXD380:CXH380"/>
    <mergeCell ref="CXI380:CXM380"/>
    <mergeCell ref="CXN380:CXR380"/>
    <mergeCell ref="CVU380:CVY380"/>
    <mergeCell ref="CVZ380:CWD380"/>
    <mergeCell ref="CWE380:CWI380"/>
    <mergeCell ref="CWJ380:CWN380"/>
    <mergeCell ref="CWO380:CWS380"/>
    <mergeCell ref="CUV380:CUZ380"/>
    <mergeCell ref="CVA380:CVE380"/>
    <mergeCell ref="CVF380:CVJ380"/>
    <mergeCell ref="CVK380:CVO380"/>
    <mergeCell ref="CVP380:CVT380"/>
    <mergeCell ref="CTW380:CUA380"/>
    <mergeCell ref="CUB380:CUF380"/>
    <mergeCell ref="CUG380:CUK380"/>
    <mergeCell ref="CUL380:CUP380"/>
    <mergeCell ref="CUQ380:CUU380"/>
    <mergeCell ref="CSX380:CTB380"/>
    <mergeCell ref="CTC380:CTG380"/>
    <mergeCell ref="CTH380:CTL380"/>
    <mergeCell ref="CTM380:CTQ380"/>
    <mergeCell ref="CTR380:CTV380"/>
    <mergeCell ref="CRY380:CSC380"/>
    <mergeCell ref="CSD380:CSH380"/>
    <mergeCell ref="CSI380:CSM380"/>
    <mergeCell ref="CSN380:CSR380"/>
    <mergeCell ref="CSS380:CSW380"/>
    <mergeCell ref="CQZ380:CRD380"/>
    <mergeCell ref="CRE380:CRI380"/>
    <mergeCell ref="CRJ380:CRN380"/>
    <mergeCell ref="CRO380:CRS380"/>
    <mergeCell ref="CRT380:CRX380"/>
    <mergeCell ref="CQA380:CQE380"/>
    <mergeCell ref="CQF380:CQJ380"/>
    <mergeCell ref="CQK380:CQO380"/>
    <mergeCell ref="CQP380:CQT380"/>
    <mergeCell ref="CQU380:CQY380"/>
    <mergeCell ref="CPB380:CPF380"/>
    <mergeCell ref="CPG380:CPK380"/>
    <mergeCell ref="CPL380:CPP380"/>
    <mergeCell ref="CPQ380:CPU380"/>
    <mergeCell ref="CPV380:CPZ380"/>
    <mergeCell ref="COC380:COG380"/>
    <mergeCell ref="COH380:COL380"/>
    <mergeCell ref="COM380:COQ380"/>
    <mergeCell ref="COR380:COV380"/>
    <mergeCell ref="COW380:CPA380"/>
    <mergeCell ref="CND380:CNH380"/>
    <mergeCell ref="CNI380:CNM380"/>
    <mergeCell ref="CNN380:CNR380"/>
    <mergeCell ref="CNS380:CNW380"/>
    <mergeCell ref="CNX380:COB380"/>
    <mergeCell ref="CME380:CMI380"/>
    <mergeCell ref="CMJ380:CMN380"/>
    <mergeCell ref="CMO380:CMS380"/>
    <mergeCell ref="CMT380:CMX380"/>
    <mergeCell ref="CMY380:CNC380"/>
    <mergeCell ref="CLF380:CLJ380"/>
    <mergeCell ref="CLK380:CLO380"/>
    <mergeCell ref="CLP380:CLT380"/>
    <mergeCell ref="CLU380:CLY380"/>
    <mergeCell ref="CLZ380:CMD380"/>
    <mergeCell ref="CKG380:CKK380"/>
    <mergeCell ref="CKL380:CKP380"/>
    <mergeCell ref="CKQ380:CKU380"/>
    <mergeCell ref="CKV380:CKZ380"/>
    <mergeCell ref="CLA380:CLE380"/>
    <mergeCell ref="CJH380:CJL380"/>
    <mergeCell ref="CJM380:CJQ380"/>
    <mergeCell ref="CJR380:CJV380"/>
    <mergeCell ref="CJW380:CKA380"/>
    <mergeCell ref="CKB380:CKF380"/>
    <mergeCell ref="CII380:CIM380"/>
    <mergeCell ref="CIN380:CIR380"/>
    <mergeCell ref="CIS380:CIW380"/>
    <mergeCell ref="CIX380:CJB380"/>
    <mergeCell ref="CJC380:CJG380"/>
    <mergeCell ref="CHJ380:CHN380"/>
    <mergeCell ref="CHO380:CHS380"/>
    <mergeCell ref="CHT380:CHX380"/>
    <mergeCell ref="CHY380:CIC380"/>
    <mergeCell ref="CID380:CIH380"/>
    <mergeCell ref="CGK380:CGO380"/>
    <mergeCell ref="CGP380:CGT380"/>
    <mergeCell ref="CGU380:CGY380"/>
    <mergeCell ref="CGZ380:CHD380"/>
    <mergeCell ref="CHE380:CHI380"/>
    <mergeCell ref="CFL380:CFP380"/>
    <mergeCell ref="CFQ380:CFU380"/>
    <mergeCell ref="CFV380:CFZ380"/>
    <mergeCell ref="CGA380:CGE380"/>
    <mergeCell ref="CGF380:CGJ380"/>
    <mergeCell ref="CEM380:CEQ380"/>
    <mergeCell ref="CER380:CEV380"/>
    <mergeCell ref="CEW380:CFA380"/>
    <mergeCell ref="CFB380:CFF380"/>
    <mergeCell ref="CFG380:CFK380"/>
    <mergeCell ref="CDN380:CDR380"/>
    <mergeCell ref="CDS380:CDW380"/>
    <mergeCell ref="CDX380:CEB380"/>
    <mergeCell ref="CEC380:CEG380"/>
    <mergeCell ref="CEH380:CEL380"/>
    <mergeCell ref="CCO380:CCS380"/>
    <mergeCell ref="CCT380:CCX380"/>
    <mergeCell ref="CCY380:CDC380"/>
    <mergeCell ref="CDD380:CDH380"/>
    <mergeCell ref="CDI380:CDM380"/>
    <mergeCell ref="CBP380:CBT380"/>
    <mergeCell ref="CBU380:CBY380"/>
    <mergeCell ref="CBZ380:CCD380"/>
    <mergeCell ref="CCE380:CCI380"/>
    <mergeCell ref="CCJ380:CCN380"/>
    <mergeCell ref="CAQ380:CAU380"/>
    <mergeCell ref="CAV380:CAZ380"/>
    <mergeCell ref="CBA380:CBE380"/>
    <mergeCell ref="CBF380:CBJ380"/>
    <mergeCell ref="CBK380:CBO380"/>
    <mergeCell ref="BZR380:BZV380"/>
    <mergeCell ref="BZW380:CAA380"/>
    <mergeCell ref="CAB380:CAF380"/>
    <mergeCell ref="CAG380:CAK380"/>
    <mergeCell ref="CAL380:CAP380"/>
    <mergeCell ref="BYS380:BYW380"/>
    <mergeCell ref="BYX380:BZB380"/>
    <mergeCell ref="BZC380:BZG380"/>
    <mergeCell ref="BZH380:BZL380"/>
    <mergeCell ref="BZM380:BZQ380"/>
    <mergeCell ref="BXT380:BXX380"/>
    <mergeCell ref="BXY380:BYC380"/>
    <mergeCell ref="BYD380:BYH380"/>
    <mergeCell ref="BYI380:BYM380"/>
    <mergeCell ref="BYN380:BYR380"/>
    <mergeCell ref="BWU380:BWY380"/>
    <mergeCell ref="BWZ380:BXD380"/>
    <mergeCell ref="BXE380:BXI380"/>
    <mergeCell ref="BXJ380:BXN380"/>
    <mergeCell ref="BXO380:BXS380"/>
    <mergeCell ref="BVV380:BVZ380"/>
    <mergeCell ref="BWA380:BWE380"/>
    <mergeCell ref="BWF380:BWJ380"/>
    <mergeCell ref="BWK380:BWO380"/>
    <mergeCell ref="BWP380:BWT380"/>
    <mergeCell ref="BUW380:BVA380"/>
    <mergeCell ref="BVB380:BVF380"/>
    <mergeCell ref="BVG380:BVK380"/>
    <mergeCell ref="BVL380:BVP380"/>
    <mergeCell ref="BVQ380:BVU380"/>
    <mergeCell ref="BTX380:BUB380"/>
    <mergeCell ref="BUC380:BUG380"/>
    <mergeCell ref="BUH380:BUL380"/>
    <mergeCell ref="BUM380:BUQ380"/>
    <mergeCell ref="BUR380:BUV380"/>
    <mergeCell ref="BSY380:BTC380"/>
    <mergeCell ref="BTD380:BTH380"/>
    <mergeCell ref="BTI380:BTM380"/>
    <mergeCell ref="BTN380:BTR380"/>
    <mergeCell ref="BTS380:BTW380"/>
    <mergeCell ref="BRZ380:BSD380"/>
    <mergeCell ref="BSE380:BSI380"/>
    <mergeCell ref="BSJ380:BSN380"/>
    <mergeCell ref="BSO380:BSS380"/>
    <mergeCell ref="BST380:BSX380"/>
    <mergeCell ref="BRA380:BRE380"/>
    <mergeCell ref="BRF380:BRJ380"/>
    <mergeCell ref="BRK380:BRO380"/>
    <mergeCell ref="BRP380:BRT380"/>
    <mergeCell ref="BRU380:BRY380"/>
    <mergeCell ref="BQB380:BQF380"/>
    <mergeCell ref="BQG380:BQK380"/>
    <mergeCell ref="BQL380:BQP380"/>
    <mergeCell ref="BQQ380:BQU380"/>
    <mergeCell ref="BQV380:BQZ380"/>
    <mergeCell ref="BPC380:BPG380"/>
    <mergeCell ref="BPH380:BPL380"/>
    <mergeCell ref="BPM380:BPQ380"/>
    <mergeCell ref="BPR380:BPV380"/>
    <mergeCell ref="BPW380:BQA380"/>
    <mergeCell ref="BOD380:BOH380"/>
    <mergeCell ref="BOI380:BOM380"/>
    <mergeCell ref="BON380:BOR380"/>
    <mergeCell ref="BOS380:BOW380"/>
    <mergeCell ref="BOX380:BPB380"/>
    <mergeCell ref="BNE380:BNI380"/>
    <mergeCell ref="BNJ380:BNN380"/>
    <mergeCell ref="BNO380:BNS380"/>
    <mergeCell ref="BNT380:BNX380"/>
    <mergeCell ref="BNY380:BOC380"/>
    <mergeCell ref="BMF380:BMJ380"/>
    <mergeCell ref="BMK380:BMO380"/>
    <mergeCell ref="BMP380:BMT380"/>
    <mergeCell ref="BMU380:BMY380"/>
    <mergeCell ref="BMZ380:BND380"/>
    <mergeCell ref="BLG380:BLK380"/>
    <mergeCell ref="BLL380:BLP380"/>
    <mergeCell ref="BLQ380:BLU380"/>
    <mergeCell ref="BLV380:BLZ380"/>
    <mergeCell ref="BMA380:BME380"/>
    <mergeCell ref="BKH380:BKL380"/>
    <mergeCell ref="BKM380:BKQ380"/>
    <mergeCell ref="BKR380:BKV380"/>
    <mergeCell ref="BKW380:BLA380"/>
    <mergeCell ref="BLB380:BLF380"/>
    <mergeCell ref="BJI380:BJM380"/>
    <mergeCell ref="BJN380:BJR380"/>
    <mergeCell ref="BJS380:BJW380"/>
    <mergeCell ref="BJX380:BKB380"/>
    <mergeCell ref="BKC380:BKG380"/>
    <mergeCell ref="BIJ380:BIN380"/>
    <mergeCell ref="BIO380:BIS380"/>
    <mergeCell ref="BIT380:BIX380"/>
    <mergeCell ref="BIY380:BJC380"/>
    <mergeCell ref="BJD380:BJH380"/>
    <mergeCell ref="BHK380:BHO380"/>
    <mergeCell ref="BHP380:BHT380"/>
    <mergeCell ref="BHU380:BHY380"/>
    <mergeCell ref="BHZ380:BID380"/>
    <mergeCell ref="BIE380:BII380"/>
    <mergeCell ref="BGL380:BGP380"/>
    <mergeCell ref="BGQ380:BGU380"/>
    <mergeCell ref="BGV380:BGZ380"/>
    <mergeCell ref="BHA380:BHE380"/>
    <mergeCell ref="BHF380:BHJ380"/>
    <mergeCell ref="BFM380:BFQ380"/>
    <mergeCell ref="BFR380:BFV380"/>
    <mergeCell ref="BFW380:BGA380"/>
    <mergeCell ref="BGB380:BGF380"/>
    <mergeCell ref="BGG380:BGK380"/>
    <mergeCell ref="BEN380:BER380"/>
    <mergeCell ref="BES380:BEW380"/>
    <mergeCell ref="BEX380:BFB380"/>
    <mergeCell ref="BFC380:BFG380"/>
    <mergeCell ref="BFH380:BFL380"/>
    <mergeCell ref="BDO380:BDS380"/>
    <mergeCell ref="BDT380:BDX380"/>
    <mergeCell ref="BDY380:BEC380"/>
    <mergeCell ref="BED380:BEH380"/>
    <mergeCell ref="BEI380:BEM380"/>
    <mergeCell ref="BCP380:BCT380"/>
    <mergeCell ref="BCU380:BCY380"/>
    <mergeCell ref="BCZ380:BDD380"/>
    <mergeCell ref="BDE380:BDI380"/>
    <mergeCell ref="BDJ380:BDN380"/>
    <mergeCell ref="BBQ380:BBU380"/>
    <mergeCell ref="BBV380:BBZ380"/>
    <mergeCell ref="BCA380:BCE380"/>
    <mergeCell ref="BCF380:BCJ380"/>
    <mergeCell ref="BCK380:BCO380"/>
    <mergeCell ref="BAR380:BAV380"/>
    <mergeCell ref="BAW380:BBA380"/>
    <mergeCell ref="BBB380:BBF380"/>
    <mergeCell ref="BBG380:BBK380"/>
    <mergeCell ref="BBL380:BBP380"/>
    <mergeCell ref="AZS380:AZW380"/>
    <mergeCell ref="AZX380:BAB380"/>
    <mergeCell ref="BAC380:BAG380"/>
    <mergeCell ref="BAH380:BAL380"/>
    <mergeCell ref="BAM380:BAQ380"/>
    <mergeCell ref="AYT380:AYX380"/>
    <mergeCell ref="AYY380:AZC380"/>
    <mergeCell ref="AZD380:AZH380"/>
    <mergeCell ref="AZI380:AZM380"/>
    <mergeCell ref="AZN380:AZR380"/>
    <mergeCell ref="AXU380:AXY380"/>
    <mergeCell ref="AXZ380:AYD380"/>
    <mergeCell ref="AYE380:AYI380"/>
    <mergeCell ref="AYJ380:AYN380"/>
    <mergeCell ref="AYO380:AYS380"/>
    <mergeCell ref="AWV380:AWZ380"/>
    <mergeCell ref="AXA380:AXE380"/>
    <mergeCell ref="AXF380:AXJ380"/>
    <mergeCell ref="AXK380:AXO380"/>
    <mergeCell ref="AXP380:AXT380"/>
    <mergeCell ref="AVW380:AWA380"/>
    <mergeCell ref="AWB380:AWF380"/>
    <mergeCell ref="AWG380:AWK380"/>
    <mergeCell ref="AWL380:AWP380"/>
    <mergeCell ref="AWQ380:AWU380"/>
    <mergeCell ref="AUX380:AVB380"/>
    <mergeCell ref="AVC380:AVG380"/>
    <mergeCell ref="AVH380:AVL380"/>
    <mergeCell ref="AVM380:AVQ380"/>
    <mergeCell ref="AVR380:AVV380"/>
    <mergeCell ref="ATY380:AUC380"/>
    <mergeCell ref="AUD380:AUH380"/>
    <mergeCell ref="AUI380:AUM380"/>
    <mergeCell ref="AUN380:AUR380"/>
    <mergeCell ref="AUS380:AUW380"/>
    <mergeCell ref="ASZ380:ATD380"/>
    <mergeCell ref="ATE380:ATI380"/>
    <mergeCell ref="ATJ380:ATN380"/>
    <mergeCell ref="ATO380:ATS380"/>
    <mergeCell ref="ATT380:ATX380"/>
    <mergeCell ref="ASA380:ASE380"/>
    <mergeCell ref="ASF380:ASJ380"/>
    <mergeCell ref="ASK380:ASO380"/>
    <mergeCell ref="ASP380:AST380"/>
    <mergeCell ref="ASU380:ASY380"/>
    <mergeCell ref="ARB380:ARF380"/>
    <mergeCell ref="ARG380:ARK380"/>
    <mergeCell ref="ARL380:ARP380"/>
    <mergeCell ref="ARQ380:ARU380"/>
    <mergeCell ref="ARV380:ARZ380"/>
    <mergeCell ref="AQC380:AQG380"/>
    <mergeCell ref="AQH380:AQL380"/>
    <mergeCell ref="AQM380:AQQ380"/>
    <mergeCell ref="AQR380:AQV380"/>
    <mergeCell ref="AQW380:ARA380"/>
    <mergeCell ref="APD380:APH380"/>
    <mergeCell ref="API380:APM380"/>
    <mergeCell ref="APN380:APR380"/>
    <mergeCell ref="APS380:APW380"/>
    <mergeCell ref="APX380:AQB380"/>
    <mergeCell ref="AOE380:AOI380"/>
    <mergeCell ref="AOJ380:AON380"/>
    <mergeCell ref="AOO380:AOS380"/>
    <mergeCell ref="AOT380:AOX380"/>
    <mergeCell ref="AOY380:APC380"/>
    <mergeCell ref="ANF380:ANJ380"/>
    <mergeCell ref="ANK380:ANO380"/>
    <mergeCell ref="ANP380:ANT380"/>
    <mergeCell ref="ANU380:ANY380"/>
    <mergeCell ref="ANZ380:AOD380"/>
    <mergeCell ref="AMG380:AMK380"/>
    <mergeCell ref="AML380:AMP380"/>
    <mergeCell ref="AMQ380:AMU380"/>
    <mergeCell ref="AMV380:AMZ380"/>
    <mergeCell ref="ANA380:ANE380"/>
    <mergeCell ref="ALH380:ALL380"/>
    <mergeCell ref="ALM380:ALQ380"/>
    <mergeCell ref="ALR380:ALV380"/>
    <mergeCell ref="ALW380:AMA380"/>
    <mergeCell ref="AMB380:AMF380"/>
    <mergeCell ref="AKI380:AKM380"/>
    <mergeCell ref="AKN380:AKR380"/>
    <mergeCell ref="AKS380:AKW380"/>
    <mergeCell ref="AKX380:ALB380"/>
    <mergeCell ref="ALC380:ALG380"/>
    <mergeCell ref="AJJ380:AJN380"/>
    <mergeCell ref="AJO380:AJS380"/>
    <mergeCell ref="AJT380:AJX380"/>
    <mergeCell ref="AJY380:AKC380"/>
    <mergeCell ref="AKD380:AKH380"/>
    <mergeCell ref="AIK380:AIO380"/>
    <mergeCell ref="AIP380:AIT380"/>
    <mergeCell ref="AIU380:AIY380"/>
    <mergeCell ref="AIZ380:AJD380"/>
    <mergeCell ref="AJE380:AJI380"/>
    <mergeCell ref="AHL380:AHP380"/>
    <mergeCell ref="AHQ380:AHU380"/>
    <mergeCell ref="AHV380:AHZ380"/>
    <mergeCell ref="AIA380:AIE380"/>
    <mergeCell ref="AIF380:AIJ380"/>
    <mergeCell ref="AGM380:AGQ380"/>
    <mergeCell ref="AGR380:AGV380"/>
    <mergeCell ref="AGW380:AHA380"/>
    <mergeCell ref="AHB380:AHF380"/>
    <mergeCell ref="AHG380:AHK380"/>
    <mergeCell ref="AFN380:AFR380"/>
    <mergeCell ref="AFS380:AFW380"/>
    <mergeCell ref="AFX380:AGB380"/>
    <mergeCell ref="AGC380:AGG380"/>
    <mergeCell ref="AGH380:AGL380"/>
    <mergeCell ref="AEO380:AES380"/>
    <mergeCell ref="AET380:AEX380"/>
    <mergeCell ref="AEY380:AFC380"/>
    <mergeCell ref="AFD380:AFH380"/>
    <mergeCell ref="AFI380:AFM380"/>
    <mergeCell ref="ADP380:ADT380"/>
    <mergeCell ref="ADU380:ADY380"/>
    <mergeCell ref="ADZ380:AED380"/>
    <mergeCell ref="AEE380:AEI380"/>
    <mergeCell ref="AEJ380:AEN380"/>
    <mergeCell ref="ACQ380:ACU380"/>
    <mergeCell ref="ACV380:ACZ380"/>
    <mergeCell ref="ADA380:ADE380"/>
    <mergeCell ref="ADF380:ADJ380"/>
    <mergeCell ref="ADK380:ADO380"/>
    <mergeCell ref="ABR380:ABV380"/>
    <mergeCell ref="ABW380:ACA380"/>
    <mergeCell ref="ACB380:ACF380"/>
    <mergeCell ref="ACG380:ACK380"/>
    <mergeCell ref="ACL380:ACP380"/>
    <mergeCell ref="AAS380:AAW380"/>
    <mergeCell ref="AAX380:ABB380"/>
    <mergeCell ref="ABC380:ABG380"/>
    <mergeCell ref="ABH380:ABL380"/>
    <mergeCell ref="ABM380:ABQ380"/>
    <mergeCell ref="ZT380:ZX380"/>
    <mergeCell ref="ZY380:AAC380"/>
    <mergeCell ref="AAD380:AAH380"/>
    <mergeCell ref="AAI380:AAM380"/>
    <mergeCell ref="AAN380:AAR380"/>
    <mergeCell ref="YU380:YY380"/>
    <mergeCell ref="YZ380:ZD380"/>
    <mergeCell ref="ZE380:ZI380"/>
    <mergeCell ref="ZJ380:ZN380"/>
    <mergeCell ref="ZO380:ZS380"/>
    <mergeCell ref="XV380:XZ380"/>
    <mergeCell ref="YA380:YE380"/>
    <mergeCell ref="YF380:YJ380"/>
    <mergeCell ref="YK380:YO380"/>
    <mergeCell ref="YP380:YT380"/>
    <mergeCell ref="WW380:XA380"/>
    <mergeCell ref="XB380:XF380"/>
    <mergeCell ref="XG380:XK380"/>
    <mergeCell ref="XL380:XP380"/>
    <mergeCell ref="XQ380:XU380"/>
    <mergeCell ref="VX380:WB380"/>
    <mergeCell ref="WC380:WG380"/>
    <mergeCell ref="WH380:WL380"/>
    <mergeCell ref="WM380:WQ380"/>
    <mergeCell ref="WR380:WV380"/>
    <mergeCell ref="UY380:VC380"/>
    <mergeCell ref="VD380:VH380"/>
    <mergeCell ref="VI380:VM380"/>
    <mergeCell ref="VN380:VR380"/>
    <mergeCell ref="VS380:VW380"/>
    <mergeCell ref="TZ380:UD380"/>
    <mergeCell ref="UE380:UI380"/>
    <mergeCell ref="UJ380:UN380"/>
    <mergeCell ref="UO380:US380"/>
    <mergeCell ref="UT380:UX380"/>
    <mergeCell ref="TA380:TE380"/>
    <mergeCell ref="TF380:TJ380"/>
    <mergeCell ref="TK380:TO380"/>
    <mergeCell ref="TP380:TT380"/>
    <mergeCell ref="TU380:TY380"/>
    <mergeCell ref="SB380:SF380"/>
    <mergeCell ref="SG380:SK380"/>
    <mergeCell ref="SL380:SP380"/>
    <mergeCell ref="SQ380:SU380"/>
    <mergeCell ref="SV380:SZ380"/>
    <mergeCell ref="RC380:RG380"/>
    <mergeCell ref="RH380:RL380"/>
    <mergeCell ref="RM380:RQ380"/>
    <mergeCell ref="RR380:RV380"/>
    <mergeCell ref="RW380:SA380"/>
    <mergeCell ref="QD380:QH380"/>
    <mergeCell ref="QI380:QM380"/>
    <mergeCell ref="QN380:QR380"/>
    <mergeCell ref="QS380:QW380"/>
    <mergeCell ref="QX380:RB380"/>
    <mergeCell ref="PE380:PI380"/>
    <mergeCell ref="PJ380:PN380"/>
    <mergeCell ref="PO380:PS380"/>
    <mergeCell ref="PT380:PX380"/>
    <mergeCell ref="PY380:QC380"/>
    <mergeCell ref="OF380:OJ380"/>
    <mergeCell ref="OK380:OO380"/>
    <mergeCell ref="OP380:OT380"/>
    <mergeCell ref="OU380:OY380"/>
    <mergeCell ref="OZ380:PD380"/>
    <mergeCell ref="NG380:NK380"/>
    <mergeCell ref="NL380:NP380"/>
    <mergeCell ref="NQ380:NU380"/>
    <mergeCell ref="NV380:NZ380"/>
    <mergeCell ref="OA380:OE380"/>
    <mergeCell ref="MH380:ML380"/>
    <mergeCell ref="MM380:MQ380"/>
    <mergeCell ref="MR380:MV380"/>
    <mergeCell ref="MW380:NA380"/>
    <mergeCell ref="NB380:NF380"/>
    <mergeCell ref="LI380:LM380"/>
    <mergeCell ref="LN380:LR380"/>
    <mergeCell ref="LS380:LW380"/>
    <mergeCell ref="LX380:MB380"/>
    <mergeCell ref="MC380:MG380"/>
    <mergeCell ref="KJ380:KN380"/>
    <mergeCell ref="KO380:KS380"/>
    <mergeCell ref="KT380:KX380"/>
    <mergeCell ref="KY380:LC380"/>
    <mergeCell ref="LD380:LH380"/>
    <mergeCell ref="JK380:JO380"/>
    <mergeCell ref="JP380:JT380"/>
    <mergeCell ref="JU380:JY380"/>
    <mergeCell ref="JZ380:KD380"/>
    <mergeCell ref="KE380:KI380"/>
    <mergeCell ref="IL380:IP380"/>
    <mergeCell ref="IQ380:IU380"/>
    <mergeCell ref="IV380:IZ380"/>
    <mergeCell ref="JA380:JE380"/>
    <mergeCell ref="JF380:JJ380"/>
    <mergeCell ref="HM380:HQ380"/>
    <mergeCell ref="HR380:HV380"/>
    <mergeCell ref="HW380:IA380"/>
    <mergeCell ref="IB380:IF380"/>
    <mergeCell ref="IG380:IK380"/>
    <mergeCell ref="GS380:GW380"/>
    <mergeCell ref="GX380:HB380"/>
    <mergeCell ref="HC380:HG380"/>
    <mergeCell ref="HH380:HL380"/>
    <mergeCell ref="FO380:FS380"/>
    <mergeCell ref="FT380:FX380"/>
    <mergeCell ref="FY380:GC380"/>
    <mergeCell ref="GD380:GH380"/>
    <mergeCell ref="GI380:GM380"/>
    <mergeCell ref="EP380:ET380"/>
    <mergeCell ref="EU380:EY380"/>
    <mergeCell ref="EZ380:FD380"/>
    <mergeCell ref="FE380:FI380"/>
    <mergeCell ref="FJ380:FN380"/>
    <mergeCell ref="DQ380:DU380"/>
    <mergeCell ref="DV380:DZ380"/>
    <mergeCell ref="EA380:EE380"/>
    <mergeCell ref="EF380:EJ380"/>
    <mergeCell ref="EK380:EO380"/>
    <mergeCell ref="DL380:DP380"/>
    <mergeCell ref="BS380:BW380"/>
    <mergeCell ref="BX380:CB380"/>
    <mergeCell ref="CC380:CG380"/>
    <mergeCell ref="CH380:CL380"/>
    <mergeCell ref="CM380:CQ380"/>
    <mergeCell ref="AT380:AX380"/>
    <mergeCell ref="AY380:BC380"/>
    <mergeCell ref="BD380:BH380"/>
    <mergeCell ref="BI380:BM380"/>
    <mergeCell ref="BN380:BR380"/>
    <mergeCell ref="U380:Y380"/>
    <mergeCell ref="Z380:AD380"/>
    <mergeCell ref="AE380:AI380"/>
    <mergeCell ref="AJ380:AN380"/>
    <mergeCell ref="AO380:AS380"/>
    <mergeCell ref="GN380:GR380"/>
    <mergeCell ref="B378:E378"/>
    <mergeCell ref="B379:E379"/>
    <mergeCell ref="B380:E380"/>
    <mergeCell ref="F380:J380"/>
    <mergeCell ref="P380:T380"/>
    <mergeCell ref="I375:J375"/>
    <mergeCell ref="E1:G1"/>
    <mergeCell ref="K1:L1"/>
    <mergeCell ref="B2:D8"/>
    <mergeCell ref="E2:G8"/>
    <mergeCell ref="A10:L11"/>
    <mergeCell ref="I373:J373"/>
    <mergeCell ref="I374:J374"/>
    <mergeCell ref="CR380:CV380"/>
    <mergeCell ref="CW380:DA380"/>
    <mergeCell ref="DB380:DF380"/>
    <mergeCell ref="DG380:DK380"/>
  </mergeCells>
  <phoneticPr fontId="10" type="noConversion"/>
  <hyperlinks>
    <hyperlink ref="G255" r:id="rId1" display="http://orse.cehop.se.gov.br/composicao.asp?font_sg_fonte=ORSE&amp;serv_nr_codigo=4538&amp;peri_nr_ano=2025&amp;peri_nr_mes=7&amp;peri_nr_ordem=1" xr:uid="{EA3E585F-A485-4523-8859-F327AB03CFBA}"/>
  </hyperlinks>
  <pageMargins left="0.51181102362204722" right="0.51181102362204722" top="0.78740157480314965" bottom="0.39370078740157483" header="0.31496062992125984" footer="0.31496062992125984"/>
  <pageSetup paperSize="9" scale="65" fitToHeight="0" orientation="landscape" horizontalDpi="4294967293"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5BAB0-30CF-4654-BBFA-410BFA47DCB1}">
  <sheetPr codeName="Planilha2">
    <pageSetUpPr fitToPage="1"/>
  </sheetPr>
  <dimension ref="A1:XFD295"/>
  <sheetViews>
    <sheetView view="pageBreakPreview" topLeftCell="A16" zoomScale="90" zoomScaleNormal="90" zoomScaleSheetLayoutView="90" workbookViewId="0">
      <selection activeCell="I16" sqref="I16"/>
    </sheetView>
  </sheetViews>
  <sheetFormatPr defaultRowHeight="15" x14ac:dyDescent="0.25"/>
  <cols>
    <col min="1" max="1" width="16" customWidth="1"/>
    <col min="2" max="2" width="9" customWidth="1"/>
    <col min="3" max="3" width="13.140625" customWidth="1"/>
    <col min="4" max="4" width="11.28515625" customWidth="1"/>
    <col min="5" max="5" width="75.85546875" customWidth="1"/>
    <col min="6" max="6" width="27.28515625" customWidth="1"/>
    <col min="7" max="7" width="15.85546875" bestFit="1" customWidth="1"/>
    <col min="8" max="8" width="11.28515625" customWidth="1"/>
    <col min="9" max="9" width="13" customWidth="1"/>
    <col min="10" max="10" width="17" customWidth="1"/>
  </cols>
  <sheetData>
    <row r="1" spans="1:10" ht="14.45" customHeight="1" x14ac:dyDescent="0.25">
      <c r="A1" s="14"/>
      <c r="B1" s="15"/>
      <c r="C1" s="15"/>
      <c r="D1" s="15"/>
      <c r="E1" s="15"/>
      <c r="F1" s="15"/>
      <c r="G1" s="15"/>
      <c r="H1" s="15"/>
      <c r="I1" s="15"/>
      <c r="J1" s="16"/>
    </row>
    <row r="2" spans="1:10" ht="14.45" customHeight="1" x14ac:dyDescent="0.3">
      <c r="A2" s="17"/>
      <c r="B2" s="18" t="s">
        <v>272</v>
      </c>
      <c r="C2" s="506"/>
      <c r="D2" s="507"/>
      <c r="E2" s="508"/>
      <c r="F2" s="506" t="s">
        <v>273</v>
      </c>
      <c r="G2" s="509" t="s">
        <v>274</v>
      </c>
      <c r="H2" s="510"/>
      <c r="I2" s="509" t="s">
        <v>275</v>
      </c>
      <c r="J2" s="19"/>
    </row>
    <row r="3" spans="1:10" ht="14.45" customHeight="1" x14ac:dyDescent="0.25">
      <c r="A3" s="17"/>
      <c r="B3" s="665" t="s">
        <v>732</v>
      </c>
      <c r="C3" s="665"/>
      <c r="D3" s="665"/>
      <c r="E3" s="665"/>
      <c r="F3" s="675" t="s">
        <v>1792</v>
      </c>
      <c r="G3" t="s">
        <v>277</v>
      </c>
      <c r="H3" s="465">
        <v>0.2223</v>
      </c>
      <c r="I3" s="194" t="s">
        <v>278</v>
      </c>
      <c r="J3" s="20"/>
    </row>
    <row r="4" spans="1:10" ht="14.45" customHeight="1" x14ac:dyDescent="0.25">
      <c r="A4" s="17"/>
      <c r="B4" s="665"/>
      <c r="C4" s="665"/>
      <c r="D4" s="665"/>
      <c r="E4" s="665"/>
      <c r="F4" s="675"/>
      <c r="G4" s="7" t="s">
        <v>279</v>
      </c>
      <c r="H4" s="465">
        <v>0.1623</v>
      </c>
      <c r="I4" s="580" t="s">
        <v>280</v>
      </c>
      <c r="J4" s="579">
        <f>RESUMO!H3</f>
        <v>1.1679000000000002</v>
      </c>
    </row>
    <row r="5" spans="1:10" ht="14.45" customHeight="1" x14ac:dyDescent="0.25">
      <c r="A5" s="17"/>
      <c r="B5" s="665"/>
      <c r="C5" s="665"/>
      <c r="D5" s="665"/>
      <c r="E5" s="665"/>
      <c r="F5" s="675"/>
      <c r="G5" s="7"/>
      <c r="H5" s="6"/>
      <c r="I5" s="580" t="s">
        <v>281</v>
      </c>
      <c r="J5" s="579">
        <f>RESUMO!H4</f>
        <v>0.73930000000000007</v>
      </c>
    </row>
    <row r="6" spans="1:10" ht="14.45" customHeight="1" x14ac:dyDescent="0.25">
      <c r="A6" s="17"/>
      <c r="B6" s="665"/>
      <c r="C6" s="665"/>
      <c r="D6" s="665"/>
      <c r="E6" s="665"/>
      <c r="F6" s="675"/>
      <c r="G6" s="7"/>
      <c r="H6" s="6"/>
      <c r="I6" s="7"/>
      <c r="J6" s="21"/>
    </row>
    <row r="7" spans="1:10" ht="14.45" customHeight="1" x14ac:dyDescent="0.25">
      <c r="A7" s="22"/>
      <c r="B7" s="665"/>
      <c r="C7" s="665"/>
      <c r="D7" s="665"/>
      <c r="E7" s="665"/>
      <c r="F7" s="675"/>
      <c r="G7" s="12"/>
      <c r="H7" s="12"/>
      <c r="I7" s="511"/>
      <c r="J7" s="23"/>
    </row>
    <row r="8" spans="1:10" ht="14.45" customHeight="1" x14ac:dyDescent="0.25">
      <c r="A8" s="22"/>
      <c r="B8" s="665"/>
      <c r="C8" s="665"/>
      <c r="D8" s="665"/>
      <c r="E8" s="665"/>
      <c r="F8" s="675"/>
      <c r="H8" s="12"/>
      <c r="I8" s="511"/>
      <c r="J8" s="23"/>
    </row>
    <row r="9" spans="1:10" ht="14.45" customHeight="1" x14ac:dyDescent="0.25">
      <c r="A9" s="24"/>
      <c r="B9" s="665"/>
      <c r="C9" s="665"/>
      <c r="D9" s="665"/>
      <c r="E9" s="665"/>
      <c r="F9" s="675"/>
      <c r="G9" s="12"/>
      <c r="H9" s="12"/>
      <c r="I9" s="512"/>
      <c r="J9" s="25"/>
    </row>
    <row r="10" spans="1:10" ht="14.45" customHeight="1" x14ac:dyDescent="0.25">
      <c r="A10" s="24"/>
      <c r="B10" s="513"/>
      <c r="C10" s="514"/>
      <c r="D10" s="515"/>
      <c r="E10" s="513"/>
      <c r="F10" s="676"/>
      <c r="G10" s="516"/>
      <c r="H10" s="517"/>
      <c r="I10" s="512"/>
      <c r="J10" s="25"/>
    </row>
    <row r="11" spans="1:10" ht="24.75" customHeight="1" x14ac:dyDescent="0.25">
      <c r="A11" s="677" t="s">
        <v>733</v>
      </c>
      <c r="B11" s="678"/>
      <c r="C11" s="678"/>
      <c r="D11" s="678"/>
      <c r="E11" s="678"/>
      <c r="F11" s="678"/>
      <c r="G11" s="678"/>
      <c r="H11" s="678"/>
      <c r="I11" s="678"/>
      <c r="J11" s="679"/>
    </row>
    <row r="12" spans="1:10" ht="15.75" thickBot="1" x14ac:dyDescent="0.3">
      <c r="A12" s="26"/>
      <c r="B12" s="27"/>
      <c r="C12" s="28"/>
      <c r="D12" s="29"/>
      <c r="E12" s="27"/>
      <c r="F12" s="27"/>
      <c r="G12" s="30"/>
      <c r="H12" s="31"/>
      <c r="I12" s="32"/>
      <c r="J12" s="33"/>
    </row>
    <row r="13" spans="1:10" ht="24.75" customHeight="1" x14ac:dyDescent="0.25">
      <c r="A13" s="344">
        <v>1</v>
      </c>
      <c r="B13" s="345"/>
      <c r="C13" s="346"/>
      <c r="D13" s="347"/>
      <c r="E13" s="345" t="s">
        <v>319</v>
      </c>
      <c r="F13" s="345"/>
      <c r="G13" s="348"/>
      <c r="H13" s="349"/>
      <c r="I13" s="345"/>
      <c r="J13" s="350"/>
    </row>
    <row r="14" spans="1:10" ht="24.75" customHeight="1" x14ac:dyDescent="0.25">
      <c r="A14" s="351" t="s">
        <v>320</v>
      </c>
      <c r="B14" s="352" t="s">
        <v>283</v>
      </c>
      <c r="C14" s="353" t="s">
        <v>310</v>
      </c>
      <c r="D14" s="354" t="s">
        <v>311</v>
      </c>
      <c r="E14" s="352" t="s">
        <v>284</v>
      </c>
      <c r="F14" s="352" t="s">
        <v>734</v>
      </c>
      <c r="G14" s="355" t="s">
        <v>735</v>
      </c>
      <c r="H14" s="356" t="s">
        <v>736</v>
      </c>
      <c r="I14" s="353" t="s">
        <v>737</v>
      </c>
      <c r="J14" s="357" t="s">
        <v>285</v>
      </c>
    </row>
    <row r="15" spans="1:10" ht="24.75" customHeight="1" x14ac:dyDescent="0.25">
      <c r="A15" s="34" t="s">
        <v>738</v>
      </c>
      <c r="B15" s="35" t="s">
        <v>320</v>
      </c>
      <c r="C15" s="520" t="s">
        <v>1789</v>
      </c>
      <c r="D15" s="37" t="s">
        <v>738</v>
      </c>
      <c r="E15" s="35" t="s">
        <v>1788</v>
      </c>
      <c r="F15" s="35"/>
      <c r="G15" s="38" t="s">
        <v>735</v>
      </c>
      <c r="H15" s="41">
        <v>1</v>
      </c>
      <c r="I15" s="40">
        <v>747768.41</v>
      </c>
      <c r="J15" s="39">
        <f>SUM(J16:J20)</f>
        <v>747768.41</v>
      </c>
    </row>
    <row r="16" spans="1:10" ht="24.75" customHeight="1" x14ac:dyDescent="0.25">
      <c r="A16" s="528" t="s">
        <v>738</v>
      </c>
      <c r="B16" s="525"/>
      <c r="C16" s="556">
        <v>93567</v>
      </c>
      <c r="D16" s="541" t="s">
        <v>321</v>
      </c>
      <c r="E16" s="524" t="s">
        <v>148</v>
      </c>
      <c r="F16" s="523" t="s">
        <v>740</v>
      </c>
      <c r="G16" s="530" t="s">
        <v>150</v>
      </c>
      <c r="H16" s="531">
        <v>15</v>
      </c>
      <c r="I16" s="532">
        <v>23908.02</v>
      </c>
      <c r="J16" s="533">
        <f>H16*I16</f>
        <v>358620.3</v>
      </c>
    </row>
    <row r="17" spans="1:10" ht="24.75" customHeight="1" x14ac:dyDescent="0.25">
      <c r="A17" s="528" t="s">
        <v>738</v>
      </c>
      <c r="B17" s="525"/>
      <c r="C17" s="556">
        <v>93572</v>
      </c>
      <c r="D17" s="541" t="s">
        <v>321</v>
      </c>
      <c r="E17" s="524" t="s">
        <v>151</v>
      </c>
      <c r="F17" s="523" t="s">
        <v>740</v>
      </c>
      <c r="G17" s="530" t="s">
        <v>150</v>
      </c>
      <c r="H17" s="531">
        <v>15</v>
      </c>
      <c r="I17" s="532">
        <v>11968.97</v>
      </c>
      <c r="J17" s="533">
        <f t="shared" ref="J17:J20" si="0">H17*I17</f>
        <v>179534.55</v>
      </c>
    </row>
    <row r="18" spans="1:10" ht="24.75" customHeight="1" x14ac:dyDescent="0.25">
      <c r="A18" s="528" t="s">
        <v>738</v>
      </c>
      <c r="B18" s="525"/>
      <c r="C18" s="556">
        <v>93564</v>
      </c>
      <c r="D18" s="541" t="s">
        <v>321</v>
      </c>
      <c r="E18" s="524" t="s">
        <v>147</v>
      </c>
      <c r="F18" s="523" t="s">
        <v>740</v>
      </c>
      <c r="G18" s="530" t="s">
        <v>150</v>
      </c>
      <c r="H18" s="531">
        <v>15</v>
      </c>
      <c r="I18" s="532">
        <v>4211.95</v>
      </c>
      <c r="J18" s="533">
        <f t="shared" si="0"/>
        <v>63179.25</v>
      </c>
    </row>
    <row r="19" spans="1:10" ht="24.75" customHeight="1" x14ac:dyDescent="0.25">
      <c r="A19" s="528" t="s">
        <v>738</v>
      </c>
      <c r="B19" s="525"/>
      <c r="C19" s="556">
        <v>94296</v>
      </c>
      <c r="D19" s="541" t="s">
        <v>321</v>
      </c>
      <c r="E19" s="524" t="s">
        <v>149</v>
      </c>
      <c r="F19" s="523" t="s">
        <v>740</v>
      </c>
      <c r="G19" s="530" t="s">
        <v>150</v>
      </c>
      <c r="H19" s="531">
        <v>4</v>
      </c>
      <c r="I19" s="532">
        <v>8424.44</v>
      </c>
      <c r="J19" s="533">
        <f t="shared" ref="J19" si="1">H19*I19</f>
        <v>33697.760000000002</v>
      </c>
    </row>
    <row r="20" spans="1:10" ht="24.75" customHeight="1" x14ac:dyDescent="0.25">
      <c r="A20" s="528" t="s">
        <v>738</v>
      </c>
      <c r="B20" s="525"/>
      <c r="C20" s="556">
        <v>100321</v>
      </c>
      <c r="D20" s="541" t="s">
        <v>321</v>
      </c>
      <c r="E20" s="524" t="s">
        <v>152</v>
      </c>
      <c r="F20" s="523" t="s">
        <v>740</v>
      </c>
      <c r="G20" s="530" t="s">
        <v>150</v>
      </c>
      <c r="H20" s="531">
        <v>15</v>
      </c>
      <c r="I20" s="532">
        <v>7515.77</v>
      </c>
      <c r="J20" s="533">
        <f t="shared" si="0"/>
        <v>112736.55</v>
      </c>
    </row>
    <row r="21" spans="1:10" ht="15.75" thickBot="1" x14ac:dyDescent="0.3">
      <c r="A21" s="559"/>
      <c r="B21" s="560"/>
      <c r="C21" s="561"/>
      <c r="D21" s="562"/>
      <c r="E21" s="560"/>
      <c r="F21" s="560"/>
      <c r="G21" s="563"/>
      <c r="H21" s="564"/>
      <c r="I21" s="565"/>
      <c r="J21" s="566"/>
    </row>
    <row r="22" spans="1:10" ht="24.75" customHeight="1" x14ac:dyDescent="0.25">
      <c r="A22" s="344">
        <v>2</v>
      </c>
      <c r="B22" s="345"/>
      <c r="C22" s="346"/>
      <c r="D22" s="347"/>
      <c r="E22" s="345" t="s">
        <v>155</v>
      </c>
      <c r="F22" s="345"/>
      <c r="G22" s="348"/>
      <c r="H22" s="349"/>
      <c r="I22" s="345"/>
      <c r="J22" s="350"/>
    </row>
    <row r="23" spans="1:10" ht="24.75" customHeight="1" x14ac:dyDescent="0.25">
      <c r="A23" s="351" t="s">
        <v>1707</v>
      </c>
      <c r="B23" s="352" t="s">
        <v>283</v>
      </c>
      <c r="C23" s="353" t="s">
        <v>310</v>
      </c>
      <c r="D23" s="354" t="s">
        <v>311</v>
      </c>
      <c r="E23" s="352" t="s">
        <v>284</v>
      </c>
      <c r="F23" s="352" t="s">
        <v>734</v>
      </c>
      <c r="G23" s="355" t="s">
        <v>735</v>
      </c>
      <c r="H23" s="356" t="s">
        <v>736</v>
      </c>
      <c r="I23" s="353" t="s">
        <v>737</v>
      </c>
      <c r="J23" s="357" t="s">
        <v>285</v>
      </c>
    </row>
    <row r="24" spans="1:10" ht="70.150000000000006" customHeight="1" x14ac:dyDescent="0.25">
      <c r="A24" s="34" t="s">
        <v>738</v>
      </c>
      <c r="B24" s="35" t="s">
        <v>1707</v>
      </c>
      <c r="C24" s="520" t="s">
        <v>1708</v>
      </c>
      <c r="D24" s="37" t="s">
        <v>738</v>
      </c>
      <c r="E24" s="35" t="s">
        <v>1716</v>
      </c>
      <c r="F24" s="35"/>
      <c r="G24" s="38" t="s">
        <v>540</v>
      </c>
      <c r="H24" s="41">
        <v>1</v>
      </c>
      <c r="I24" s="40">
        <v>859.83308799999998</v>
      </c>
      <c r="J24" s="39">
        <f>SUM(J25:J32)</f>
        <v>859.83308799999998</v>
      </c>
    </row>
    <row r="25" spans="1:10" ht="24.75" customHeight="1" x14ac:dyDescent="0.25">
      <c r="A25" s="528" t="s">
        <v>738</v>
      </c>
      <c r="B25" s="525"/>
      <c r="C25" s="556">
        <v>88251</v>
      </c>
      <c r="D25" s="541" t="s">
        <v>321</v>
      </c>
      <c r="E25" s="524" t="s">
        <v>142</v>
      </c>
      <c r="F25" s="523" t="s">
        <v>740</v>
      </c>
      <c r="G25" s="530" t="s">
        <v>9</v>
      </c>
      <c r="H25" s="531">
        <v>8</v>
      </c>
      <c r="I25" s="532">
        <v>25.02</v>
      </c>
      <c r="J25" s="533">
        <f>H25*I25</f>
        <v>200.16</v>
      </c>
    </row>
    <row r="26" spans="1:10" ht="24.75" customHeight="1" x14ac:dyDescent="0.25">
      <c r="A26" s="528" t="s">
        <v>738</v>
      </c>
      <c r="B26" s="525"/>
      <c r="C26" s="556" t="s">
        <v>1709</v>
      </c>
      <c r="D26" s="541" t="s">
        <v>1710</v>
      </c>
      <c r="E26" s="524" t="s">
        <v>1969</v>
      </c>
      <c r="F26" s="523" t="s">
        <v>740</v>
      </c>
      <c r="G26" s="530" t="s">
        <v>1</v>
      </c>
      <c r="H26" s="531">
        <v>10</v>
      </c>
      <c r="I26" s="532">
        <v>5.16</v>
      </c>
      <c r="J26" s="533">
        <f>H26*I26</f>
        <v>51.6</v>
      </c>
    </row>
    <row r="27" spans="1:10" ht="24.75" customHeight="1" x14ac:dyDescent="0.25">
      <c r="A27" s="528" t="s">
        <v>738</v>
      </c>
      <c r="B27" s="525"/>
      <c r="C27" s="556">
        <v>88315</v>
      </c>
      <c r="D27" s="541" t="s">
        <v>321</v>
      </c>
      <c r="E27" s="524" t="s">
        <v>145</v>
      </c>
      <c r="F27" s="523" t="s">
        <v>740</v>
      </c>
      <c r="G27" s="530" t="s">
        <v>9</v>
      </c>
      <c r="H27" s="531">
        <v>4</v>
      </c>
      <c r="I27" s="532">
        <v>30.97</v>
      </c>
      <c r="J27" s="533">
        <f t="shared" ref="J27:J28" si="2">H27*I27</f>
        <v>123.88</v>
      </c>
    </row>
    <row r="28" spans="1:10" ht="24.75" customHeight="1" x14ac:dyDescent="0.25">
      <c r="A28" s="528" t="s">
        <v>738</v>
      </c>
      <c r="B28" s="525"/>
      <c r="C28" s="556" t="s">
        <v>1711</v>
      </c>
      <c r="D28" s="541" t="s">
        <v>1712</v>
      </c>
      <c r="E28" s="524" t="s">
        <v>1970</v>
      </c>
      <c r="F28" s="523" t="s">
        <v>740</v>
      </c>
      <c r="G28" s="530" t="s">
        <v>0</v>
      </c>
      <c r="H28" s="531">
        <v>0.54623999999999995</v>
      </c>
      <c r="I28" s="532">
        <v>51.2</v>
      </c>
      <c r="J28" s="533">
        <f t="shared" si="2"/>
        <v>27.967487999999999</v>
      </c>
    </row>
    <row r="29" spans="1:10" ht="24.75" customHeight="1" x14ac:dyDescent="0.25">
      <c r="A29" s="528" t="s">
        <v>741</v>
      </c>
      <c r="B29" s="525"/>
      <c r="C29" s="556" t="s">
        <v>1713</v>
      </c>
      <c r="D29" s="541" t="s">
        <v>1712</v>
      </c>
      <c r="E29" s="524" t="s">
        <v>1971</v>
      </c>
      <c r="F29" s="523" t="s">
        <v>744</v>
      </c>
      <c r="G29" s="530" t="s">
        <v>680</v>
      </c>
      <c r="H29" s="531">
        <v>2.88</v>
      </c>
      <c r="I29" s="532">
        <v>115.53</v>
      </c>
      <c r="J29" s="533">
        <f>H29*I29</f>
        <v>332.72640000000001</v>
      </c>
    </row>
    <row r="30" spans="1:10" ht="24.75" customHeight="1" x14ac:dyDescent="0.25">
      <c r="A30" s="528" t="s">
        <v>741</v>
      </c>
      <c r="B30" s="525"/>
      <c r="C30" s="556">
        <v>2771</v>
      </c>
      <c r="D30" s="541" t="s">
        <v>1787</v>
      </c>
      <c r="E30" s="524" t="s">
        <v>1972</v>
      </c>
      <c r="F30" s="523" t="s">
        <v>744</v>
      </c>
      <c r="G30" s="530" t="s">
        <v>199</v>
      </c>
      <c r="H30" s="531">
        <v>4.6100000000000003</v>
      </c>
      <c r="I30" s="532">
        <v>10.72</v>
      </c>
      <c r="J30" s="533">
        <f t="shared" ref="J30:J32" si="3">H30*I30</f>
        <v>49.419200000000004</v>
      </c>
    </row>
    <row r="31" spans="1:10" ht="40.15" customHeight="1" x14ac:dyDescent="0.25">
      <c r="A31" s="528" t="s">
        <v>741</v>
      </c>
      <c r="B31" s="525"/>
      <c r="C31" s="556">
        <v>40552</v>
      </c>
      <c r="D31" s="541" t="s">
        <v>321</v>
      </c>
      <c r="E31" s="524" t="s">
        <v>1765</v>
      </c>
      <c r="F31" s="523" t="s">
        <v>744</v>
      </c>
      <c r="G31" s="530" t="s">
        <v>1715</v>
      </c>
      <c r="H31" s="531">
        <v>1</v>
      </c>
      <c r="I31" s="532">
        <v>61.68</v>
      </c>
      <c r="J31" s="533">
        <f t="shared" si="3"/>
        <v>61.68</v>
      </c>
    </row>
    <row r="32" spans="1:10" ht="40.15" customHeight="1" x14ac:dyDescent="0.25">
      <c r="A32" s="528" t="s">
        <v>741</v>
      </c>
      <c r="B32" s="525"/>
      <c r="C32" s="556" t="s">
        <v>1714</v>
      </c>
      <c r="D32" s="541" t="s">
        <v>1712</v>
      </c>
      <c r="E32" s="524" t="s">
        <v>1973</v>
      </c>
      <c r="F32" s="523" t="s">
        <v>744</v>
      </c>
      <c r="G32" s="530" t="s">
        <v>1</v>
      </c>
      <c r="H32" s="531">
        <v>40</v>
      </c>
      <c r="I32" s="532">
        <v>0.31</v>
      </c>
      <c r="J32" s="533">
        <f t="shared" si="3"/>
        <v>12.4</v>
      </c>
    </row>
    <row r="33" spans="1:10" ht="15.75" thickBot="1" x14ac:dyDescent="0.3">
      <c r="A33" s="559"/>
      <c r="B33" s="560"/>
      <c r="C33" s="561"/>
      <c r="D33" s="562"/>
      <c r="E33" s="560"/>
      <c r="F33" s="560"/>
      <c r="G33" s="563"/>
      <c r="H33" s="564"/>
      <c r="I33" s="565"/>
      <c r="J33" s="566"/>
    </row>
    <row r="34" spans="1:10" ht="24.75" customHeight="1" x14ac:dyDescent="0.25">
      <c r="A34" s="344">
        <v>3</v>
      </c>
      <c r="B34" s="345"/>
      <c r="C34" s="346"/>
      <c r="D34" s="347"/>
      <c r="E34" s="345" t="s">
        <v>644</v>
      </c>
      <c r="F34" s="345"/>
      <c r="G34" s="348"/>
      <c r="H34" s="349"/>
      <c r="I34" s="345"/>
      <c r="J34" s="350"/>
    </row>
    <row r="35" spans="1:10" ht="24.75" customHeight="1" x14ac:dyDescent="0.25">
      <c r="A35" s="351" t="s">
        <v>356</v>
      </c>
      <c r="B35" s="352" t="s">
        <v>283</v>
      </c>
      <c r="C35" s="353" t="s">
        <v>310</v>
      </c>
      <c r="D35" s="354" t="s">
        <v>311</v>
      </c>
      <c r="E35" s="352" t="s">
        <v>284</v>
      </c>
      <c r="F35" s="352" t="s">
        <v>734</v>
      </c>
      <c r="G35" s="355" t="s">
        <v>735</v>
      </c>
      <c r="H35" s="356" t="s">
        <v>736</v>
      </c>
      <c r="I35" s="353" t="s">
        <v>737</v>
      </c>
      <c r="J35" s="357" t="s">
        <v>285</v>
      </c>
    </row>
    <row r="36" spans="1:10" ht="24.75" customHeight="1" x14ac:dyDescent="0.25">
      <c r="A36" s="34" t="s">
        <v>738</v>
      </c>
      <c r="B36" s="35" t="s">
        <v>356</v>
      </c>
      <c r="C36" s="520" t="s">
        <v>357</v>
      </c>
      <c r="D36" s="37" t="s">
        <v>738</v>
      </c>
      <c r="E36" s="35" t="s">
        <v>359</v>
      </c>
      <c r="F36" s="35"/>
      <c r="G36" s="38" t="s">
        <v>523</v>
      </c>
      <c r="H36" s="41">
        <v>1</v>
      </c>
      <c r="I36" s="40">
        <v>54.313360000000003</v>
      </c>
      <c r="J36" s="39">
        <f>SUM(J37:J37)</f>
        <v>54.313360000000003</v>
      </c>
    </row>
    <row r="37" spans="1:10" ht="24.75" customHeight="1" x14ac:dyDescent="0.25">
      <c r="A37" s="528" t="s">
        <v>738</v>
      </c>
      <c r="B37" s="525"/>
      <c r="C37" s="556">
        <v>88316</v>
      </c>
      <c r="D37" s="541" t="s">
        <v>321</v>
      </c>
      <c r="E37" s="524" t="s">
        <v>146</v>
      </c>
      <c r="F37" s="523" t="s">
        <v>740</v>
      </c>
      <c r="G37" s="530" t="s">
        <v>9</v>
      </c>
      <c r="H37" s="531">
        <v>2.399</v>
      </c>
      <c r="I37" s="532">
        <v>22.64</v>
      </c>
      <c r="J37" s="533">
        <f t="shared" ref="J37" si="4">H37*I37</f>
        <v>54.313360000000003</v>
      </c>
    </row>
    <row r="38" spans="1:10" x14ac:dyDescent="0.25">
      <c r="A38" s="518"/>
      <c r="J38" s="519"/>
    </row>
    <row r="39" spans="1:10" ht="24.75" customHeight="1" x14ac:dyDescent="0.25">
      <c r="A39" s="351" t="s">
        <v>370</v>
      </c>
      <c r="B39" s="352" t="s">
        <v>283</v>
      </c>
      <c r="C39" s="353" t="s">
        <v>310</v>
      </c>
      <c r="D39" s="354" t="s">
        <v>311</v>
      </c>
      <c r="E39" s="352" t="s">
        <v>284</v>
      </c>
      <c r="F39" s="352" t="s">
        <v>734</v>
      </c>
      <c r="G39" s="355" t="s">
        <v>735</v>
      </c>
      <c r="H39" s="356" t="s">
        <v>736</v>
      </c>
      <c r="I39" s="353" t="s">
        <v>737</v>
      </c>
      <c r="J39" s="357" t="s">
        <v>285</v>
      </c>
    </row>
    <row r="40" spans="1:10" ht="24.75" customHeight="1" x14ac:dyDescent="0.25">
      <c r="A40" s="34" t="s">
        <v>738</v>
      </c>
      <c r="B40" s="35" t="s">
        <v>370</v>
      </c>
      <c r="C40" s="520" t="s">
        <v>365</v>
      </c>
      <c r="D40" s="37" t="s">
        <v>738</v>
      </c>
      <c r="E40" s="35" t="s">
        <v>739</v>
      </c>
      <c r="F40" s="35"/>
      <c r="G40" s="38" t="s">
        <v>540</v>
      </c>
      <c r="H40" s="41">
        <v>1</v>
      </c>
      <c r="I40" s="40">
        <v>1631.02</v>
      </c>
      <c r="J40" s="39">
        <f>SUM(J41:J44)</f>
        <v>1631.02</v>
      </c>
    </row>
    <row r="41" spans="1:10" ht="24.75" customHeight="1" x14ac:dyDescent="0.25">
      <c r="A41" s="528" t="s">
        <v>738</v>
      </c>
      <c r="B41" s="525"/>
      <c r="C41" s="556" t="s">
        <v>259</v>
      </c>
      <c r="D41" s="541" t="s">
        <v>323</v>
      </c>
      <c r="E41" s="524" t="s">
        <v>144</v>
      </c>
      <c r="F41" s="523" t="s">
        <v>740</v>
      </c>
      <c r="G41" s="530" t="s">
        <v>258</v>
      </c>
      <c r="H41" s="531">
        <v>0.5</v>
      </c>
      <c r="I41" s="532">
        <v>31.22</v>
      </c>
      <c r="J41" s="533">
        <f>H41*I41</f>
        <v>15.61</v>
      </c>
    </row>
    <row r="42" spans="1:10" ht="24.75" customHeight="1" x14ac:dyDescent="0.25">
      <c r="A42" s="528" t="s">
        <v>738</v>
      </c>
      <c r="B42" s="525"/>
      <c r="C42" s="556" t="s">
        <v>260</v>
      </c>
      <c r="D42" s="541" t="s">
        <v>323</v>
      </c>
      <c r="E42" s="524" t="s">
        <v>146</v>
      </c>
      <c r="F42" s="523" t="s">
        <v>740</v>
      </c>
      <c r="G42" s="530" t="s">
        <v>258</v>
      </c>
      <c r="H42" s="531">
        <v>0.5</v>
      </c>
      <c r="I42" s="532">
        <v>22.66</v>
      </c>
      <c r="J42" s="533">
        <f t="shared" ref="J42:J44" si="5">H42*I42</f>
        <v>11.33</v>
      </c>
    </row>
    <row r="43" spans="1:10" ht="24.75" customHeight="1" x14ac:dyDescent="0.25">
      <c r="A43" s="528" t="s">
        <v>741</v>
      </c>
      <c r="B43" s="525"/>
      <c r="C43" s="556" t="s">
        <v>742</v>
      </c>
      <c r="D43" s="541" t="s">
        <v>323</v>
      </c>
      <c r="E43" s="524" t="s">
        <v>743</v>
      </c>
      <c r="F43" s="523" t="s">
        <v>744</v>
      </c>
      <c r="G43" s="530" t="s">
        <v>735</v>
      </c>
      <c r="H43" s="531">
        <v>1</v>
      </c>
      <c r="I43" s="532">
        <v>409.49</v>
      </c>
      <c r="J43" s="533">
        <f t="shared" si="5"/>
        <v>409.49</v>
      </c>
    </row>
    <row r="44" spans="1:10" ht="24.75" customHeight="1" x14ac:dyDescent="0.25">
      <c r="A44" s="528" t="s">
        <v>741</v>
      </c>
      <c r="B44" s="525"/>
      <c r="C44" s="556" t="s">
        <v>745</v>
      </c>
      <c r="D44" s="541" t="s">
        <v>323</v>
      </c>
      <c r="E44" s="524" t="s">
        <v>746</v>
      </c>
      <c r="F44" s="523" t="s">
        <v>744</v>
      </c>
      <c r="G44" s="530" t="s">
        <v>735</v>
      </c>
      <c r="H44" s="531">
        <v>1</v>
      </c>
      <c r="I44" s="532">
        <v>1194.5899999999999</v>
      </c>
      <c r="J44" s="533">
        <f t="shared" si="5"/>
        <v>1194.5899999999999</v>
      </c>
    </row>
    <row r="45" spans="1:10" x14ac:dyDescent="0.25">
      <c r="A45" s="646"/>
      <c r="B45" s="647"/>
      <c r="C45" s="647"/>
      <c r="D45" s="647"/>
      <c r="E45" s="647"/>
      <c r="F45" s="647"/>
      <c r="G45" s="647"/>
      <c r="H45" s="647"/>
      <c r="I45" s="647"/>
      <c r="J45" s="648"/>
    </row>
    <row r="46" spans="1:10" ht="24.75" customHeight="1" x14ac:dyDescent="0.25">
      <c r="A46" s="351" t="s">
        <v>1814</v>
      </c>
      <c r="B46" s="352" t="s">
        <v>283</v>
      </c>
      <c r="C46" s="353" t="s">
        <v>310</v>
      </c>
      <c r="D46" s="354" t="s">
        <v>311</v>
      </c>
      <c r="E46" s="352" t="s">
        <v>284</v>
      </c>
      <c r="F46" s="352" t="s">
        <v>734</v>
      </c>
      <c r="G46" s="355" t="s">
        <v>735</v>
      </c>
      <c r="H46" s="356" t="s">
        <v>736</v>
      </c>
      <c r="I46" s="353" t="s">
        <v>737</v>
      </c>
      <c r="J46" s="357" t="s">
        <v>285</v>
      </c>
    </row>
    <row r="47" spans="1:10" ht="40.15" customHeight="1" x14ac:dyDescent="0.25">
      <c r="A47" s="34" t="s">
        <v>738</v>
      </c>
      <c r="B47" s="35" t="s">
        <v>1814</v>
      </c>
      <c r="C47" s="520" t="s">
        <v>1817</v>
      </c>
      <c r="D47" s="37" t="s">
        <v>738</v>
      </c>
      <c r="E47" s="35" t="s">
        <v>1816</v>
      </c>
      <c r="F47" s="35"/>
      <c r="G47" s="38" t="s">
        <v>540</v>
      </c>
      <c r="H47" s="41">
        <v>1</v>
      </c>
      <c r="I47" s="40">
        <v>60.045872000000003</v>
      </c>
      <c r="J47" s="39">
        <f>SUM(J48:J53)</f>
        <v>60.045872000000003</v>
      </c>
    </row>
    <row r="48" spans="1:10" ht="40.15" customHeight="1" x14ac:dyDescent="0.25">
      <c r="A48" s="528" t="s">
        <v>738</v>
      </c>
      <c r="B48" s="525"/>
      <c r="C48" s="556">
        <v>88628</v>
      </c>
      <c r="D48" s="541" t="s">
        <v>321</v>
      </c>
      <c r="E48" s="524" t="s">
        <v>127</v>
      </c>
      <c r="F48" s="523" t="s">
        <v>740</v>
      </c>
      <c r="G48" s="530" t="s">
        <v>3</v>
      </c>
      <c r="H48" s="531">
        <v>2.0400000000000001E-2</v>
      </c>
      <c r="I48" s="532">
        <v>640.65</v>
      </c>
      <c r="J48" s="533">
        <f>H48*I48</f>
        <v>13.06926</v>
      </c>
    </row>
    <row r="49" spans="1:10" ht="24.75" customHeight="1" x14ac:dyDescent="0.25">
      <c r="A49" s="528" t="s">
        <v>738</v>
      </c>
      <c r="B49" s="525"/>
      <c r="C49" s="556">
        <v>88316</v>
      </c>
      <c r="D49" s="541" t="s">
        <v>321</v>
      </c>
      <c r="E49" s="524" t="s">
        <v>146</v>
      </c>
      <c r="F49" s="523"/>
      <c r="G49" s="530" t="s">
        <v>9</v>
      </c>
      <c r="H49" s="531">
        <v>0.40210000000000001</v>
      </c>
      <c r="I49" s="532">
        <v>22.64</v>
      </c>
      <c r="J49" s="533">
        <f t="shared" ref="J49:J53" si="6">H49*I49</f>
        <v>9.1035440000000012</v>
      </c>
    </row>
    <row r="50" spans="1:10" ht="24.75" customHeight="1" x14ac:dyDescent="0.25">
      <c r="A50" s="528" t="s">
        <v>738</v>
      </c>
      <c r="B50" s="525"/>
      <c r="C50" s="556">
        <v>88260</v>
      </c>
      <c r="D50" s="541" t="s">
        <v>321</v>
      </c>
      <c r="E50" s="524" t="s">
        <v>143</v>
      </c>
      <c r="F50" s="523"/>
      <c r="G50" s="530" t="s">
        <v>9</v>
      </c>
      <c r="H50" s="531">
        <v>0.40210000000000001</v>
      </c>
      <c r="I50" s="532">
        <v>23.98</v>
      </c>
      <c r="J50" s="533">
        <f t="shared" si="6"/>
        <v>9.6423579999999998</v>
      </c>
    </row>
    <row r="51" spans="1:10" ht="40.15" customHeight="1" x14ac:dyDescent="0.25">
      <c r="A51" s="528" t="s">
        <v>738</v>
      </c>
      <c r="B51" s="525"/>
      <c r="C51" s="556">
        <v>5685</v>
      </c>
      <c r="D51" s="541" t="s">
        <v>321</v>
      </c>
      <c r="E51" s="524" t="s">
        <v>8</v>
      </c>
      <c r="F51" s="523"/>
      <c r="G51" s="530" t="s">
        <v>7</v>
      </c>
      <c r="H51" s="531">
        <v>0.13089999999999999</v>
      </c>
      <c r="I51" s="532">
        <v>66.27</v>
      </c>
      <c r="J51" s="533">
        <f t="shared" si="6"/>
        <v>8.6747429999999994</v>
      </c>
    </row>
    <row r="52" spans="1:10" ht="40.15" customHeight="1" x14ac:dyDescent="0.25">
      <c r="A52" s="528" t="s">
        <v>738</v>
      </c>
      <c r="B52" s="525"/>
      <c r="C52" s="556">
        <v>5684</v>
      </c>
      <c r="D52" s="541" t="s">
        <v>321</v>
      </c>
      <c r="E52" s="524" t="s">
        <v>5</v>
      </c>
      <c r="F52" s="523"/>
      <c r="G52" s="530" t="s">
        <v>4</v>
      </c>
      <c r="H52" s="531">
        <v>3.0999999999999999E-3</v>
      </c>
      <c r="I52" s="532">
        <v>161.57</v>
      </c>
      <c r="J52" s="533">
        <f t="shared" si="6"/>
        <v>0.50086699999999995</v>
      </c>
    </row>
    <row r="53" spans="1:10" ht="24.75" customHeight="1" x14ac:dyDescent="0.25">
      <c r="A53" s="528" t="s">
        <v>741</v>
      </c>
      <c r="B53" s="525"/>
      <c r="C53" s="556">
        <v>367</v>
      </c>
      <c r="D53" s="541" t="s">
        <v>321</v>
      </c>
      <c r="E53" s="524" t="s">
        <v>1755</v>
      </c>
      <c r="F53" s="523" t="s">
        <v>740</v>
      </c>
      <c r="G53" s="530" t="s">
        <v>3</v>
      </c>
      <c r="H53" s="531">
        <v>0.114</v>
      </c>
      <c r="I53" s="532">
        <v>167.15</v>
      </c>
      <c r="J53" s="533">
        <f t="shared" si="6"/>
        <v>19.055100000000003</v>
      </c>
    </row>
    <row r="54" spans="1:10" ht="15.75" thickBot="1" x14ac:dyDescent="0.3">
      <c r="A54" s="559"/>
      <c r="B54" s="560"/>
      <c r="C54" s="561"/>
      <c r="D54" s="562"/>
      <c r="E54" s="560"/>
      <c r="F54" s="560"/>
      <c r="G54" s="563"/>
      <c r="H54" s="564"/>
      <c r="I54" s="565"/>
      <c r="J54" s="566"/>
    </row>
    <row r="55" spans="1:10" ht="24.75" customHeight="1" x14ac:dyDescent="0.25">
      <c r="A55" s="344">
        <v>9</v>
      </c>
      <c r="B55" s="345"/>
      <c r="C55" s="346"/>
      <c r="D55" s="347"/>
      <c r="E55" s="345" t="s">
        <v>644</v>
      </c>
      <c r="F55" s="345"/>
      <c r="G55" s="348"/>
      <c r="H55" s="349"/>
      <c r="I55" s="345"/>
      <c r="J55" s="350"/>
    </row>
    <row r="56" spans="1:10" ht="24.75" customHeight="1" x14ac:dyDescent="0.25">
      <c r="A56" s="351" t="s">
        <v>656</v>
      </c>
      <c r="B56" s="352" t="s">
        <v>283</v>
      </c>
      <c r="C56" s="353" t="s">
        <v>310</v>
      </c>
      <c r="D56" s="354" t="s">
        <v>311</v>
      </c>
      <c r="E56" s="352" t="s">
        <v>284</v>
      </c>
      <c r="F56" s="352" t="s">
        <v>734</v>
      </c>
      <c r="G56" s="355" t="s">
        <v>735</v>
      </c>
      <c r="H56" s="356" t="s">
        <v>736</v>
      </c>
      <c r="I56" s="353" t="s">
        <v>737</v>
      </c>
      <c r="J56" s="357" t="s">
        <v>285</v>
      </c>
    </row>
    <row r="57" spans="1:10" ht="24.75" customHeight="1" x14ac:dyDescent="0.25">
      <c r="A57" s="34" t="s">
        <v>738</v>
      </c>
      <c r="B57" s="35" t="s">
        <v>656</v>
      </c>
      <c r="C57" s="520" t="s">
        <v>657</v>
      </c>
      <c r="D57" s="37" t="s">
        <v>748</v>
      </c>
      <c r="E57" s="35" t="s">
        <v>749</v>
      </c>
      <c r="F57" s="35"/>
      <c r="G57" s="38" t="s">
        <v>540</v>
      </c>
      <c r="H57" s="41">
        <v>1</v>
      </c>
      <c r="I57" s="40">
        <v>585.02162999999996</v>
      </c>
      <c r="J57" s="39">
        <f>SUM(J58:J61)</f>
        <v>585.02162999999996</v>
      </c>
    </row>
    <row r="58" spans="1:10" ht="24.75" customHeight="1" x14ac:dyDescent="0.25">
      <c r="A58" s="528" t="s">
        <v>738</v>
      </c>
      <c r="B58" s="525"/>
      <c r="C58" s="556">
        <v>88261</v>
      </c>
      <c r="D58" s="541" t="s">
        <v>321</v>
      </c>
      <c r="E58" s="524" t="s">
        <v>153</v>
      </c>
      <c r="F58" s="523" t="s">
        <v>740</v>
      </c>
      <c r="G58" s="530" t="s">
        <v>9</v>
      </c>
      <c r="H58" s="531">
        <v>2.2810000000000001</v>
      </c>
      <c r="I58" s="532">
        <v>34.729999999999997</v>
      </c>
      <c r="J58" s="533">
        <f>H58*I58</f>
        <v>79.219129999999993</v>
      </c>
    </row>
    <row r="59" spans="1:10" ht="24.75" customHeight="1" x14ac:dyDescent="0.25">
      <c r="A59" s="528" t="s">
        <v>738</v>
      </c>
      <c r="B59" s="525"/>
      <c r="C59" s="556">
        <v>88239</v>
      </c>
      <c r="D59" s="541" t="s">
        <v>321</v>
      </c>
      <c r="E59" s="524" t="s">
        <v>141</v>
      </c>
      <c r="F59" s="523" t="s">
        <v>740</v>
      </c>
      <c r="G59" s="530" t="s">
        <v>9</v>
      </c>
      <c r="H59" s="531">
        <v>2.85</v>
      </c>
      <c r="I59" s="532">
        <v>24.85</v>
      </c>
      <c r="J59" s="533">
        <f t="shared" ref="J59:J61" si="7">H59*I59</f>
        <v>70.822500000000005</v>
      </c>
    </row>
    <row r="60" spans="1:10" ht="24.75" customHeight="1" x14ac:dyDescent="0.25">
      <c r="A60" s="528" t="s">
        <v>741</v>
      </c>
      <c r="B60" s="525"/>
      <c r="C60" s="585">
        <v>8538</v>
      </c>
      <c r="D60" s="541" t="s">
        <v>448</v>
      </c>
      <c r="E60" s="524" t="s">
        <v>1786</v>
      </c>
      <c r="F60" s="523" t="s">
        <v>744</v>
      </c>
      <c r="G60" s="530" t="s">
        <v>735</v>
      </c>
      <c r="H60" s="531">
        <v>8</v>
      </c>
      <c r="I60" s="540">
        <v>0.16</v>
      </c>
      <c r="J60" s="533">
        <f t="shared" si="7"/>
        <v>1.28</v>
      </c>
    </row>
    <row r="61" spans="1:10" ht="24.75" customHeight="1" x14ac:dyDescent="0.25">
      <c r="A61" s="528" t="s">
        <v>741</v>
      </c>
      <c r="B61" s="525"/>
      <c r="C61" s="521" t="s">
        <v>750</v>
      </c>
      <c r="D61" s="541" t="s">
        <v>335</v>
      </c>
      <c r="E61" s="524" t="s">
        <v>751</v>
      </c>
      <c r="F61" s="523" t="s">
        <v>744</v>
      </c>
      <c r="G61" s="530" t="s">
        <v>540</v>
      </c>
      <c r="H61" s="531">
        <v>1</v>
      </c>
      <c r="I61" s="540">
        <v>433.7</v>
      </c>
      <c r="J61" s="533">
        <f t="shared" si="7"/>
        <v>433.7</v>
      </c>
    </row>
    <row r="62" spans="1:10" ht="15.75" thickBot="1" x14ac:dyDescent="0.3">
      <c r="A62" s="518"/>
      <c r="J62" s="519"/>
    </row>
    <row r="63" spans="1:10" ht="24.75" customHeight="1" x14ac:dyDescent="0.25">
      <c r="A63" s="344">
        <v>11</v>
      </c>
      <c r="B63" s="345"/>
      <c r="C63" s="346"/>
      <c r="D63" s="347"/>
      <c r="E63" s="345" t="s">
        <v>676</v>
      </c>
      <c r="F63" s="345"/>
      <c r="G63" s="348"/>
      <c r="H63" s="349"/>
      <c r="I63" s="345"/>
      <c r="J63" s="350"/>
    </row>
    <row r="64" spans="1:10" ht="24.75" customHeight="1" x14ac:dyDescent="0.25">
      <c r="A64" s="351" t="s">
        <v>691</v>
      </c>
      <c r="B64" s="352" t="s">
        <v>283</v>
      </c>
      <c r="C64" s="353" t="s">
        <v>310</v>
      </c>
      <c r="D64" s="354" t="s">
        <v>311</v>
      </c>
      <c r="E64" s="352" t="s">
        <v>284</v>
      </c>
      <c r="F64" s="352" t="s">
        <v>734</v>
      </c>
      <c r="G64" s="355" t="s">
        <v>735</v>
      </c>
      <c r="H64" s="356" t="s">
        <v>736</v>
      </c>
      <c r="I64" s="353" t="s">
        <v>737</v>
      </c>
      <c r="J64" s="357" t="s">
        <v>285</v>
      </c>
    </row>
    <row r="65" spans="1:10" ht="24.75" customHeight="1" x14ac:dyDescent="0.25">
      <c r="A65" s="34" t="s">
        <v>738</v>
      </c>
      <c r="B65" s="35" t="s">
        <v>691</v>
      </c>
      <c r="C65" s="36" t="s">
        <v>692</v>
      </c>
      <c r="D65" s="37" t="s">
        <v>748</v>
      </c>
      <c r="E65" s="35" t="s">
        <v>752</v>
      </c>
      <c r="F65" s="35"/>
      <c r="G65" s="38" t="s">
        <v>735</v>
      </c>
      <c r="H65" s="41">
        <v>1</v>
      </c>
      <c r="I65" s="40">
        <v>409.22899999999998</v>
      </c>
      <c r="J65" s="39">
        <f>SUM(J66:J67)</f>
        <v>409.22899999999998</v>
      </c>
    </row>
    <row r="66" spans="1:10" ht="24.75" customHeight="1" x14ac:dyDescent="0.25">
      <c r="A66" s="528" t="s">
        <v>738</v>
      </c>
      <c r="B66" s="529"/>
      <c r="C66" s="521">
        <v>88261</v>
      </c>
      <c r="D66" s="523" t="s">
        <v>321</v>
      </c>
      <c r="E66" s="524" t="s">
        <v>153</v>
      </c>
      <c r="F66" s="523" t="s">
        <v>740</v>
      </c>
      <c r="G66" s="530" t="s">
        <v>9</v>
      </c>
      <c r="H66" s="531">
        <v>0.3</v>
      </c>
      <c r="I66" s="532">
        <v>34.729999999999997</v>
      </c>
      <c r="J66" s="533">
        <f>H66*I66</f>
        <v>10.418999999999999</v>
      </c>
    </row>
    <row r="67" spans="1:10" ht="40.15" customHeight="1" x14ac:dyDescent="0.25">
      <c r="A67" s="528" t="s">
        <v>741</v>
      </c>
      <c r="B67" s="529"/>
      <c r="C67" s="521" t="s">
        <v>692</v>
      </c>
      <c r="D67" s="523" t="s">
        <v>335</v>
      </c>
      <c r="E67" s="524" t="s">
        <v>797</v>
      </c>
      <c r="F67" s="523" t="s">
        <v>744</v>
      </c>
      <c r="G67" s="530" t="s">
        <v>735</v>
      </c>
      <c r="H67" s="531">
        <v>1</v>
      </c>
      <c r="I67" s="540">
        <v>398.81</v>
      </c>
      <c r="J67" s="533">
        <f>H67*I67</f>
        <v>398.81</v>
      </c>
    </row>
    <row r="68" spans="1:10" ht="15.75" thickBot="1" x14ac:dyDescent="0.3">
      <c r="A68" s="518"/>
      <c r="J68" s="519"/>
    </row>
    <row r="69" spans="1:10" ht="24.75" customHeight="1" x14ac:dyDescent="0.25">
      <c r="A69" s="344">
        <v>13</v>
      </c>
      <c r="B69" s="345"/>
      <c r="C69" s="346"/>
      <c r="D69" s="347"/>
      <c r="E69" s="345" t="s">
        <v>753</v>
      </c>
      <c r="F69" s="345"/>
      <c r="G69" s="348"/>
      <c r="H69" s="349"/>
      <c r="I69" s="345"/>
      <c r="J69" s="350"/>
    </row>
    <row r="70" spans="1:10" ht="24.75" customHeight="1" x14ac:dyDescent="0.25">
      <c r="A70" s="351" t="s">
        <v>701</v>
      </c>
      <c r="B70" s="352" t="s">
        <v>283</v>
      </c>
      <c r="C70" s="353" t="s">
        <v>310</v>
      </c>
      <c r="D70" s="354" t="s">
        <v>311</v>
      </c>
      <c r="E70" s="352" t="s">
        <v>284</v>
      </c>
      <c r="F70" s="352" t="s">
        <v>734</v>
      </c>
      <c r="G70" s="355" t="s">
        <v>735</v>
      </c>
      <c r="H70" s="356" t="s">
        <v>736</v>
      </c>
      <c r="I70" s="353" t="s">
        <v>737</v>
      </c>
      <c r="J70" s="357" t="s">
        <v>285</v>
      </c>
    </row>
    <row r="71" spans="1:10" ht="40.15" customHeight="1" x14ac:dyDescent="0.25">
      <c r="A71" s="34" t="s">
        <v>738</v>
      </c>
      <c r="B71" s="35" t="s">
        <v>701</v>
      </c>
      <c r="C71" s="36" t="s">
        <v>702</v>
      </c>
      <c r="D71" s="37" t="s">
        <v>748</v>
      </c>
      <c r="E71" s="35" t="s">
        <v>1828</v>
      </c>
      <c r="F71" s="35"/>
      <c r="G71" s="38" t="s">
        <v>540</v>
      </c>
      <c r="H71" s="41">
        <v>1</v>
      </c>
      <c r="I71" s="40">
        <v>781.95175240100002</v>
      </c>
      <c r="J71" s="39">
        <f>SUM(J72:J80)</f>
        <v>781.95175240100002</v>
      </c>
    </row>
    <row r="72" spans="1:10" ht="24.75" customHeight="1" x14ac:dyDescent="0.25">
      <c r="A72" s="528" t="s">
        <v>738</v>
      </c>
      <c r="B72" s="529"/>
      <c r="C72" s="521" t="s">
        <v>259</v>
      </c>
      <c r="D72" s="523" t="s">
        <v>323</v>
      </c>
      <c r="E72" s="524" t="s">
        <v>144</v>
      </c>
      <c r="F72" s="523" t="s">
        <v>740</v>
      </c>
      <c r="G72" s="530" t="s">
        <v>258</v>
      </c>
      <c r="H72" s="531">
        <v>2.4</v>
      </c>
      <c r="I72" s="540">
        <v>31.22</v>
      </c>
      <c r="J72" s="533">
        <f>H72*I72</f>
        <v>74.927999999999997</v>
      </c>
    </row>
    <row r="73" spans="1:10" ht="24.75" customHeight="1" x14ac:dyDescent="0.25">
      <c r="A73" s="528" t="s">
        <v>738</v>
      </c>
      <c r="B73" s="529"/>
      <c r="C73" s="521" t="s">
        <v>260</v>
      </c>
      <c r="D73" s="523" t="s">
        <v>323</v>
      </c>
      <c r="E73" s="524" t="s">
        <v>146</v>
      </c>
      <c r="F73" s="523" t="s">
        <v>740</v>
      </c>
      <c r="G73" s="530" t="s">
        <v>258</v>
      </c>
      <c r="H73" s="531">
        <v>4.8</v>
      </c>
      <c r="I73" s="540">
        <v>22.66</v>
      </c>
      <c r="J73" s="533">
        <f>H73*I73</f>
        <v>108.768</v>
      </c>
    </row>
    <row r="74" spans="1:10" ht="24.75" customHeight="1" x14ac:dyDescent="0.25">
      <c r="A74" s="528" t="s">
        <v>741</v>
      </c>
      <c r="B74" s="529"/>
      <c r="C74" s="521" t="s">
        <v>754</v>
      </c>
      <c r="D74" s="523" t="s">
        <v>323</v>
      </c>
      <c r="E74" s="524" t="s">
        <v>755</v>
      </c>
      <c r="F74" s="523" t="s">
        <v>744</v>
      </c>
      <c r="G74" s="530" t="s">
        <v>1</v>
      </c>
      <c r="H74" s="531">
        <v>3.72</v>
      </c>
      <c r="I74" s="540">
        <v>45.8</v>
      </c>
      <c r="J74" s="533">
        <f>H74*I74</f>
        <v>170.376</v>
      </c>
    </row>
    <row r="75" spans="1:10" ht="40.15" customHeight="1" x14ac:dyDescent="0.25">
      <c r="A75" s="528" t="s">
        <v>741</v>
      </c>
      <c r="B75" s="529"/>
      <c r="C75" s="521" t="s">
        <v>756</v>
      </c>
      <c r="D75" s="523" t="s">
        <v>323</v>
      </c>
      <c r="E75" s="524" t="s">
        <v>757</v>
      </c>
      <c r="F75" s="523" t="s">
        <v>744</v>
      </c>
      <c r="G75" s="530" t="s">
        <v>1</v>
      </c>
      <c r="H75" s="531">
        <v>1.53</v>
      </c>
      <c r="I75" s="540">
        <v>21.69</v>
      </c>
      <c r="J75" s="533">
        <f>H75*I75</f>
        <v>33.185700000000004</v>
      </c>
    </row>
    <row r="76" spans="1:10" ht="24.75" customHeight="1" x14ac:dyDescent="0.25">
      <c r="A76" s="528" t="s">
        <v>741</v>
      </c>
      <c r="B76" s="529"/>
      <c r="C76" s="585">
        <v>10461</v>
      </c>
      <c r="D76" s="523" t="s">
        <v>448</v>
      </c>
      <c r="E76" s="524" t="s">
        <v>758</v>
      </c>
      <c r="F76" s="523" t="s">
        <v>744</v>
      </c>
      <c r="G76" s="530" t="s">
        <v>540</v>
      </c>
      <c r="H76" s="531">
        <v>1</v>
      </c>
      <c r="I76" s="540">
        <v>350</v>
      </c>
      <c r="J76" s="533">
        <f t="shared" ref="J76:J77" si="8">H76*I76</f>
        <v>350</v>
      </c>
    </row>
    <row r="77" spans="1:10" ht="40.15" customHeight="1" x14ac:dyDescent="0.25">
      <c r="A77" s="528" t="s">
        <v>741</v>
      </c>
      <c r="B77" s="529"/>
      <c r="C77" s="521" t="s">
        <v>759</v>
      </c>
      <c r="D77" s="523" t="s">
        <v>323</v>
      </c>
      <c r="E77" s="524" t="s">
        <v>760</v>
      </c>
      <c r="F77" s="523" t="s">
        <v>744</v>
      </c>
      <c r="G77" s="530" t="s">
        <v>10</v>
      </c>
      <c r="H77" s="531">
        <v>2.5667300000000001E-2</v>
      </c>
      <c r="I77" s="540">
        <v>35.369999999999997</v>
      </c>
      <c r="J77" s="533">
        <f t="shared" si="8"/>
        <v>0.90785240099999998</v>
      </c>
    </row>
    <row r="78" spans="1:10" ht="40.15" customHeight="1" x14ac:dyDescent="0.25">
      <c r="A78" s="528" t="s">
        <v>741</v>
      </c>
      <c r="B78" s="529"/>
      <c r="C78" s="521" t="s">
        <v>761</v>
      </c>
      <c r="D78" s="523" t="s">
        <v>323</v>
      </c>
      <c r="E78" s="524" t="s">
        <v>762</v>
      </c>
      <c r="F78" s="523" t="s">
        <v>744</v>
      </c>
      <c r="G78" s="530" t="s">
        <v>1</v>
      </c>
      <c r="H78" s="531">
        <v>2.67</v>
      </c>
      <c r="I78" s="540">
        <v>8.68</v>
      </c>
      <c r="J78" s="533">
        <f>H78*I78</f>
        <v>23.175599999999999</v>
      </c>
    </row>
    <row r="79" spans="1:10" ht="40.15" customHeight="1" x14ac:dyDescent="0.25">
      <c r="A79" s="528" t="s">
        <v>741</v>
      </c>
      <c r="B79" s="529"/>
      <c r="C79" s="521" t="s">
        <v>1851</v>
      </c>
      <c r="D79" s="523" t="s">
        <v>323</v>
      </c>
      <c r="E79" s="524" t="s">
        <v>763</v>
      </c>
      <c r="F79" s="523" t="s">
        <v>744</v>
      </c>
      <c r="G79" s="530" t="s">
        <v>1</v>
      </c>
      <c r="H79" s="531">
        <v>2.5499999999999998</v>
      </c>
      <c r="I79" s="540">
        <v>3.5</v>
      </c>
      <c r="J79" s="533">
        <f>H79*I79</f>
        <v>8.9249999999999989</v>
      </c>
    </row>
    <row r="80" spans="1:10" ht="24.75" customHeight="1" x14ac:dyDescent="0.25">
      <c r="A80" s="528" t="s">
        <v>741</v>
      </c>
      <c r="B80" s="529"/>
      <c r="C80" s="521" t="s">
        <v>764</v>
      </c>
      <c r="D80" s="523" t="s">
        <v>323</v>
      </c>
      <c r="E80" s="524" t="s">
        <v>765</v>
      </c>
      <c r="F80" s="523" t="s">
        <v>744</v>
      </c>
      <c r="G80" s="530" t="s">
        <v>1</v>
      </c>
      <c r="H80" s="531">
        <v>0.27</v>
      </c>
      <c r="I80" s="540">
        <v>43.28</v>
      </c>
      <c r="J80" s="533">
        <f>H80*I80</f>
        <v>11.685600000000001</v>
      </c>
    </row>
    <row r="81" spans="1:10" x14ac:dyDescent="0.25">
      <c r="A81" s="518"/>
      <c r="J81" s="519"/>
    </row>
    <row r="82" spans="1:10" ht="24.75" customHeight="1" x14ac:dyDescent="0.25">
      <c r="A82" s="351" t="s">
        <v>703</v>
      </c>
      <c r="B82" s="352" t="s">
        <v>283</v>
      </c>
      <c r="C82" s="353" t="s">
        <v>310</v>
      </c>
      <c r="D82" s="354" t="s">
        <v>311</v>
      </c>
      <c r="E82" s="352" t="s">
        <v>284</v>
      </c>
      <c r="F82" s="352" t="s">
        <v>734</v>
      </c>
      <c r="G82" s="355" t="s">
        <v>735</v>
      </c>
      <c r="H82" s="356" t="s">
        <v>736</v>
      </c>
      <c r="I82" s="353" t="s">
        <v>737</v>
      </c>
      <c r="J82" s="357" t="s">
        <v>285</v>
      </c>
    </row>
    <row r="83" spans="1:10" ht="24.75" customHeight="1" x14ac:dyDescent="0.25">
      <c r="A83" s="34" t="s">
        <v>738</v>
      </c>
      <c r="B83" s="35" t="s">
        <v>703</v>
      </c>
      <c r="C83" s="36" t="s">
        <v>704</v>
      </c>
      <c r="D83" s="37" t="s">
        <v>748</v>
      </c>
      <c r="E83" s="35" t="s">
        <v>766</v>
      </c>
      <c r="F83" s="35"/>
      <c r="G83" s="38" t="s">
        <v>540</v>
      </c>
      <c r="H83" s="41">
        <v>1</v>
      </c>
      <c r="I83" s="40">
        <v>433.79</v>
      </c>
      <c r="J83" s="39">
        <f>SUM(J84:J88)</f>
        <v>433.79</v>
      </c>
    </row>
    <row r="84" spans="1:10" ht="24.75" customHeight="1" x14ac:dyDescent="0.25">
      <c r="A84" s="528" t="s">
        <v>738</v>
      </c>
      <c r="B84" s="529"/>
      <c r="C84" s="521" t="s">
        <v>259</v>
      </c>
      <c r="D84" s="523" t="s">
        <v>323</v>
      </c>
      <c r="E84" s="524" t="s">
        <v>144</v>
      </c>
      <c r="F84" s="523" t="s">
        <v>740</v>
      </c>
      <c r="G84" s="530" t="s">
        <v>258</v>
      </c>
      <c r="H84" s="531">
        <v>1</v>
      </c>
      <c r="I84" s="540">
        <v>31.22</v>
      </c>
      <c r="J84" s="533">
        <f>H84*I84</f>
        <v>31.22</v>
      </c>
    </row>
    <row r="85" spans="1:10" ht="24.75" customHeight="1" x14ac:dyDescent="0.25">
      <c r="A85" s="528" t="s">
        <v>738</v>
      </c>
      <c r="B85" s="529"/>
      <c r="C85" s="521" t="s">
        <v>260</v>
      </c>
      <c r="D85" s="523" t="s">
        <v>323</v>
      </c>
      <c r="E85" s="524" t="s">
        <v>146</v>
      </c>
      <c r="F85" s="523" t="s">
        <v>740</v>
      </c>
      <c r="G85" s="530" t="s">
        <v>258</v>
      </c>
      <c r="H85" s="531">
        <v>1.5</v>
      </c>
      <c r="I85" s="540">
        <v>22.66</v>
      </c>
      <c r="J85" s="533">
        <f>H85*I85</f>
        <v>33.99</v>
      </c>
    </row>
    <row r="86" spans="1:10" ht="40.15" customHeight="1" x14ac:dyDescent="0.25">
      <c r="A86" s="528" t="s">
        <v>738</v>
      </c>
      <c r="B86" s="529"/>
      <c r="C86" s="521" t="s">
        <v>206</v>
      </c>
      <c r="D86" s="523" t="s">
        <v>323</v>
      </c>
      <c r="E86" s="524" t="s">
        <v>207</v>
      </c>
      <c r="F86" s="523" t="s">
        <v>740</v>
      </c>
      <c r="G86" s="530" t="s">
        <v>156</v>
      </c>
      <c r="H86" s="531">
        <v>1</v>
      </c>
      <c r="I86" s="540">
        <v>7.83</v>
      </c>
      <c r="J86" s="533">
        <f>H86*I86</f>
        <v>7.83</v>
      </c>
    </row>
    <row r="87" spans="1:10" ht="24.75" customHeight="1" x14ac:dyDescent="0.25">
      <c r="A87" s="528" t="s">
        <v>741</v>
      </c>
      <c r="B87" s="529"/>
      <c r="C87" s="585">
        <v>37595</v>
      </c>
      <c r="D87" s="523" t="s">
        <v>321</v>
      </c>
      <c r="E87" s="524" t="s">
        <v>767</v>
      </c>
      <c r="F87" s="523" t="s">
        <v>744</v>
      </c>
      <c r="G87" s="530" t="s">
        <v>10</v>
      </c>
      <c r="H87" s="531">
        <v>5</v>
      </c>
      <c r="I87" s="540">
        <v>2.15</v>
      </c>
      <c r="J87" s="533">
        <f>H87*I87</f>
        <v>10.75</v>
      </c>
    </row>
    <row r="88" spans="1:10" ht="24.75" customHeight="1" x14ac:dyDescent="0.25">
      <c r="A88" s="528" t="s">
        <v>741</v>
      </c>
      <c r="B88" s="529"/>
      <c r="C88" s="585">
        <v>10461</v>
      </c>
      <c r="D88" s="523" t="s">
        <v>448</v>
      </c>
      <c r="E88" s="524" t="s">
        <v>758</v>
      </c>
      <c r="F88" s="523" t="s">
        <v>744</v>
      </c>
      <c r="G88" s="530" t="s">
        <v>540</v>
      </c>
      <c r="H88" s="531">
        <v>1</v>
      </c>
      <c r="I88" s="540">
        <v>350</v>
      </c>
      <c r="J88" s="533">
        <f>H88*I88</f>
        <v>350</v>
      </c>
    </row>
    <row r="89" spans="1:10" ht="15.75" thickBot="1" x14ac:dyDescent="0.3">
      <c r="A89" s="518"/>
      <c r="J89" s="519"/>
    </row>
    <row r="90" spans="1:10" ht="24.75" customHeight="1" x14ac:dyDescent="0.25">
      <c r="A90" s="344">
        <v>19</v>
      </c>
      <c r="B90" s="345"/>
      <c r="C90" s="346"/>
      <c r="D90" s="347"/>
      <c r="E90" s="345" t="s">
        <v>720</v>
      </c>
      <c r="F90" s="345"/>
      <c r="G90" s="348"/>
      <c r="H90" s="349"/>
      <c r="I90" s="345"/>
      <c r="J90" s="350"/>
    </row>
    <row r="91" spans="1:10" ht="24.75" customHeight="1" x14ac:dyDescent="0.25">
      <c r="A91" s="351" t="s">
        <v>721</v>
      </c>
      <c r="B91" s="352" t="s">
        <v>283</v>
      </c>
      <c r="C91" s="353" t="s">
        <v>310</v>
      </c>
      <c r="D91" s="354" t="s">
        <v>311</v>
      </c>
      <c r="E91" s="352" t="s">
        <v>284</v>
      </c>
      <c r="F91" s="352" t="s">
        <v>734</v>
      </c>
      <c r="G91" s="355" t="s">
        <v>735</v>
      </c>
      <c r="H91" s="356" t="s">
        <v>736</v>
      </c>
      <c r="I91" s="353" t="s">
        <v>737</v>
      </c>
      <c r="J91" s="357" t="s">
        <v>285</v>
      </c>
    </row>
    <row r="92" spans="1:10" ht="24.75" customHeight="1" x14ac:dyDescent="0.25">
      <c r="A92" s="34" t="s">
        <v>738</v>
      </c>
      <c r="B92" s="35" t="s">
        <v>721</v>
      </c>
      <c r="C92" s="36" t="s">
        <v>722</v>
      </c>
      <c r="D92" s="37" t="s">
        <v>748</v>
      </c>
      <c r="E92" s="35" t="s">
        <v>723</v>
      </c>
      <c r="F92" s="35"/>
      <c r="G92" s="38" t="s">
        <v>0</v>
      </c>
      <c r="H92" s="41">
        <v>1</v>
      </c>
      <c r="I92" s="40">
        <v>282.3075</v>
      </c>
      <c r="J92" s="39">
        <f>SUM(J93:J95)</f>
        <v>282.3075</v>
      </c>
    </row>
    <row r="93" spans="1:10" ht="40.15" customHeight="1" x14ac:dyDescent="0.25">
      <c r="A93" s="528"/>
      <c r="B93" s="529"/>
      <c r="C93" s="585">
        <v>94963</v>
      </c>
      <c r="D93" s="523" t="s">
        <v>321</v>
      </c>
      <c r="E93" s="524" t="s">
        <v>53</v>
      </c>
      <c r="F93" s="523" t="s">
        <v>740</v>
      </c>
      <c r="G93" s="530" t="s">
        <v>3</v>
      </c>
      <c r="H93" s="531">
        <v>0.25</v>
      </c>
      <c r="I93" s="540">
        <v>508.67</v>
      </c>
      <c r="J93" s="533">
        <f>H93*I93</f>
        <v>127.1675</v>
      </c>
    </row>
    <row r="94" spans="1:10" ht="40.15" customHeight="1" x14ac:dyDescent="0.25">
      <c r="A94" s="528"/>
      <c r="B94" s="529"/>
      <c r="C94" s="585">
        <v>103670</v>
      </c>
      <c r="D94" s="523" t="s">
        <v>321</v>
      </c>
      <c r="E94" s="524" t="s">
        <v>55</v>
      </c>
      <c r="F94" s="523" t="s">
        <v>740</v>
      </c>
      <c r="G94" s="530" t="s">
        <v>3</v>
      </c>
      <c r="H94" s="531">
        <v>0.25</v>
      </c>
      <c r="I94" s="540">
        <v>321.64</v>
      </c>
      <c r="J94" s="533">
        <f>H94*I94</f>
        <v>80.41</v>
      </c>
    </row>
    <row r="95" spans="1:10" ht="40.15" customHeight="1" thickBot="1" x14ac:dyDescent="0.3">
      <c r="A95" s="534"/>
      <c r="B95" s="535"/>
      <c r="C95" s="522" t="s">
        <v>200</v>
      </c>
      <c r="D95" s="526" t="s">
        <v>323</v>
      </c>
      <c r="E95" s="527" t="s">
        <v>201</v>
      </c>
      <c r="F95" s="526"/>
      <c r="G95" s="536" t="s">
        <v>156</v>
      </c>
      <c r="H95" s="537">
        <v>1</v>
      </c>
      <c r="I95" s="538">
        <v>74.73</v>
      </c>
      <c r="J95" s="539">
        <f>H95*I95</f>
        <v>74.73</v>
      </c>
    </row>
    <row r="96" spans="1:10" x14ac:dyDescent="0.25">
      <c r="A96" s="65"/>
      <c r="B96" s="65"/>
      <c r="C96" s="65"/>
      <c r="D96" s="65"/>
      <c r="E96" s="65"/>
      <c r="F96" s="65"/>
      <c r="G96" s="65"/>
      <c r="H96" s="65"/>
      <c r="I96" s="65"/>
      <c r="J96" s="65"/>
    </row>
    <row r="97" spans="1:16384" customFormat="1" x14ac:dyDescent="0.25">
      <c r="A97" s="65"/>
      <c r="B97" s="65"/>
      <c r="C97" s="65"/>
      <c r="D97" s="65"/>
      <c r="E97" s="65"/>
      <c r="F97" s="65"/>
      <c r="G97" s="65"/>
      <c r="H97" s="65"/>
      <c r="I97" s="65"/>
      <c r="J97" s="65"/>
    </row>
    <row r="98" spans="1:16384" customFormat="1" x14ac:dyDescent="0.25">
      <c r="A98" s="65"/>
      <c r="B98" s="65"/>
      <c r="C98" s="65"/>
      <c r="D98" s="65"/>
      <c r="E98" s="65"/>
      <c r="F98" s="65"/>
      <c r="G98" s="65"/>
      <c r="H98" s="65"/>
      <c r="I98" s="65"/>
      <c r="J98" s="65"/>
    </row>
    <row r="99" spans="1:16384" customFormat="1" x14ac:dyDescent="0.25">
      <c r="A99" s="65"/>
      <c r="B99" s="65"/>
      <c r="C99" s="65"/>
      <c r="D99" s="65"/>
      <c r="E99" s="65"/>
      <c r="F99" s="65"/>
      <c r="G99" s="65"/>
      <c r="H99" s="65"/>
      <c r="I99" s="65"/>
      <c r="J99" s="65"/>
    </row>
    <row r="100" spans="1:16384" customFormat="1" x14ac:dyDescent="0.25">
      <c r="A100" s="65"/>
      <c r="B100" s="65"/>
      <c r="C100" s="65"/>
      <c r="D100" s="65"/>
      <c r="E100" s="65"/>
      <c r="F100" s="65"/>
      <c r="G100" s="65"/>
      <c r="H100" s="65"/>
      <c r="I100" s="65"/>
      <c r="J100" s="65"/>
    </row>
    <row r="101" spans="1:16384" customFormat="1" x14ac:dyDescent="0.25">
      <c r="A101" s="65"/>
      <c r="B101" s="65"/>
      <c r="C101" s="65"/>
      <c r="D101" s="65"/>
      <c r="E101" s="65"/>
      <c r="F101" s="65"/>
      <c r="G101" s="65"/>
      <c r="H101" s="65"/>
      <c r="I101" s="65"/>
      <c r="J101" s="65"/>
    </row>
    <row r="102" spans="1:16384" customFormat="1" x14ac:dyDescent="0.25">
      <c r="A102" s="65"/>
      <c r="B102" s="65"/>
      <c r="C102" s="65"/>
      <c r="D102" s="65"/>
      <c r="E102" s="65"/>
      <c r="F102" s="65"/>
      <c r="G102" s="65"/>
      <c r="H102" s="65"/>
      <c r="I102" s="65"/>
      <c r="J102" s="65"/>
    </row>
    <row r="103" spans="1:16384" customFormat="1" x14ac:dyDescent="0.25">
      <c r="A103" s="65"/>
      <c r="B103" s="65"/>
      <c r="C103" s="65"/>
      <c r="D103" s="65"/>
      <c r="E103" s="65"/>
      <c r="F103" s="65"/>
      <c r="G103" s="65"/>
      <c r="H103" s="65"/>
      <c r="I103" s="65"/>
      <c r="J103" s="65"/>
    </row>
    <row r="104" spans="1:16384" customFormat="1" ht="14.45" customHeight="1" x14ac:dyDescent="0.25">
      <c r="A104" s="118"/>
      <c r="B104" s="668" t="s">
        <v>1818</v>
      </c>
      <c r="C104" s="668"/>
      <c r="D104" s="668"/>
      <c r="E104" s="668"/>
      <c r="F104" s="116"/>
      <c r="G104" s="65"/>
      <c r="H104" s="466"/>
      <c r="I104" s="466"/>
      <c r="J104" s="466"/>
      <c r="K104" s="116"/>
      <c r="L104" s="108"/>
      <c r="M104" s="602"/>
      <c r="T104" s="600"/>
    </row>
    <row r="105" spans="1:16384" customFormat="1" ht="14.45" customHeight="1" x14ac:dyDescent="0.25">
      <c r="A105" s="601"/>
      <c r="B105" s="668" t="s">
        <v>1819</v>
      </c>
      <c r="C105" s="668"/>
      <c r="D105" s="668"/>
      <c r="E105" s="668"/>
      <c r="F105" s="115"/>
      <c r="G105" s="65"/>
      <c r="H105" s="466"/>
      <c r="I105" s="466"/>
      <c r="J105" s="466"/>
      <c r="K105" s="115"/>
      <c r="L105" s="108"/>
      <c r="M105" s="602"/>
      <c r="T105" s="600"/>
    </row>
    <row r="106" spans="1:16384" customFormat="1" ht="14.45" customHeight="1" x14ac:dyDescent="0.25">
      <c r="A106" s="601"/>
      <c r="B106" s="668" t="s">
        <v>1820</v>
      </c>
      <c r="C106" s="668"/>
      <c r="D106" s="668"/>
      <c r="E106" s="668"/>
      <c r="F106" s="669"/>
      <c r="G106" s="669"/>
      <c r="H106" s="669"/>
      <c r="I106" s="669"/>
      <c r="J106" s="669"/>
      <c r="K106" s="601"/>
      <c r="L106" s="601"/>
      <c r="M106" s="603"/>
      <c r="N106" s="601"/>
      <c r="O106" s="601"/>
      <c r="P106" s="669"/>
      <c r="Q106" s="669"/>
      <c r="R106" s="669"/>
      <c r="S106" s="669"/>
      <c r="T106" s="670"/>
      <c r="U106" s="669"/>
      <c r="V106" s="669"/>
      <c r="W106" s="669"/>
      <c r="X106" s="669"/>
      <c r="Y106" s="669"/>
      <c r="Z106" s="669"/>
      <c r="AA106" s="669"/>
      <c r="AB106" s="669"/>
      <c r="AC106" s="669"/>
      <c r="AD106" s="669"/>
      <c r="AE106" s="669"/>
      <c r="AF106" s="669"/>
      <c r="AG106" s="669"/>
      <c r="AH106" s="669"/>
      <c r="AI106" s="669"/>
      <c r="AJ106" s="669"/>
      <c r="AK106" s="669"/>
      <c r="AL106" s="669"/>
      <c r="AM106" s="669"/>
      <c r="AN106" s="669"/>
      <c r="AO106" s="669"/>
      <c r="AP106" s="669"/>
      <c r="AQ106" s="669"/>
      <c r="AR106" s="669"/>
      <c r="AS106" s="669"/>
      <c r="AT106" s="669"/>
      <c r="AU106" s="669"/>
      <c r="AV106" s="669"/>
      <c r="AW106" s="669"/>
      <c r="AX106" s="669"/>
      <c r="AY106" s="669"/>
      <c r="AZ106" s="669"/>
      <c r="BA106" s="669"/>
      <c r="BB106" s="669"/>
      <c r="BC106" s="669"/>
      <c r="BD106" s="669"/>
      <c r="BE106" s="669"/>
      <c r="BF106" s="669"/>
      <c r="BG106" s="669"/>
      <c r="BH106" s="669"/>
      <c r="BI106" s="669"/>
      <c r="BJ106" s="669"/>
      <c r="BK106" s="669"/>
      <c r="BL106" s="669"/>
      <c r="BM106" s="669"/>
      <c r="BN106" s="669"/>
      <c r="BO106" s="669"/>
      <c r="BP106" s="669"/>
      <c r="BQ106" s="669"/>
      <c r="BR106" s="669"/>
      <c r="BS106" s="669"/>
      <c r="BT106" s="669"/>
      <c r="BU106" s="669"/>
      <c r="BV106" s="669"/>
      <c r="BW106" s="669"/>
      <c r="BX106" s="669"/>
      <c r="BY106" s="669"/>
      <c r="BZ106" s="669"/>
      <c r="CA106" s="669"/>
      <c r="CB106" s="669"/>
      <c r="CC106" s="669"/>
      <c r="CD106" s="669"/>
      <c r="CE106" s="669"/>
      <c r="CF106" s="669"/>
      <c r="CG106" s="669"/>
      <c r="CH106" s="669"/>
      <c r="CI106" s="669"/>
      <c r="CJ106" s="669"/>
      <c r="CK106" s="669"/>
      <c r="CL106" s="669"/>
      <c r="CM106" s="669"/>
      <c r="CN106" s="669"/>
      <c r="CO106" s="669"/>
      <c r="CP106" s="669"/>
      <c r="CQ106" s="669"/>
      <c r="CR106" s="669"/>
      <c r="CS106" s="669"/>
      <c r="CT106" s="669"/>
      <c r="CU106" s="669"/>
      <c r="CV106" s="669"/>
      <c r="CW106" s="669"/>
      <c r="CX106" s="669"/>
      <c r="CY106" s="669"/>
      <c r="CZ106" s="669"/>
      <c r="DA106" s="669"/>
      <c r="DB106" s="669"/>
      <c r="DC106" s="669"/>
      <c r="DD106" s="669"/>
      <c r="DE106" s="669"/>
      <c r="DF106" s="669"/>
      <c r="DG106" s="669"/>
      <c r="DH106" s="669"/>
      <c r="DI106" s="669"/>
      <c r="DJ106" s="669"/>
      <c r="DK106" s="669"/>
      <c r="DL106" s="669"/>
      <c r="DM106" s="669"/>
      <c r="DN106" s="669"/>
      <c r="DO106" s="669"/>
      <c r="DP106" s="669"/>
      <c r="DQ106" s="669"/>
      <c r="DR106" s="669"/>
      <c r="DS106" s="669"/>
      <c r="DT106" s="669"/>
      <c r="DU106" s="669"/>
      <c r="DV106" s="669"/>
      <c r="DW106" s="669"/>
      <c r="DX106" s="669"/>
      <c r="DY106" s="669"/>
      <c r="DZ106" s="669"/>
      <c r="EA106" s="669"/>
      <c r="EB106" s="669"/>
      <c r="EC106" s="669"/>
      <c r="ED106" s="669"/>
      <c r="EE106" s="669"/>
      <c r="EF106" s="669"/>
      <c r="EG106" s="669"/>
      <c r="EH106" s="669"/>
      <c r="EI106" s="669"/>
      <c r="EJ106" s="669"/>
      <c r="EK106" s="669"/>
      <c r="EL106" s="669"/>
      <c r="EM106" s="669"/>
      <c r="EN106" s="669"/>
      <c r="EO106" s="669"/>
      <c r="EP106" s="669"/>
      <c r="EQ106" s="669"/>
      <c r="ER106" s="669"/>
      <c r="ES106" s="669"/>
      <c r="ET106" s="669"/>
      <c r="EU106" s="669"/>
      <c r="EV106" s="669"/>
      <c r="EW106" s="669"/>
      <c r="EX106" s="669"/>
      <c r="EY106" s="669"/>
      <c r="EZ106" s="669"/>
      <c r="FA106" s="669"/>
      <c r="FB106" s="669"/>
      <c r="FC106" s="669"/>
      <c r="FD106" s="669"/>
      <c r="FE106" s="669"/>
      <c r="FF106" s="669"/>
      <c r="FG106" s="669"/>
      <c r="FH106" s="669"/>
      <c r="FI106" s="669"/>
      <c r="FJ106" s="669"/>
      <c r="FK106" s="669"/>
      <c r="FL106" s="669"/>
      <c r="FM106" s="669"/>
      <c r="FN106" s="669"/>
      <c r="FO106" s="669"/>
      <c r="FP106" s="669"/>
      <c r="FQ106" s="669"/>
      <c r="FR106" s="669"/>
      <c r="FS106" s="669"/>
      <c r="FT106" s="669"/>
      <c r="FU106" s="669"/>
      <c r="FV106" s="669"/>
      <c r="FW106" s="669"/>
      <c r="FX106" s="669"/>
      <c r="FY106" s="669"/>
      <c r="FZ106" s="669"/>
      <c r="GA106" s="669"/>
      <c r="GB106" s="669"/>
      <c r="GC106" s="669"/>
      <c r="GD106" s="669"/>
      <c r="GE106" s="669"/>
      <c r="GF106" s="669"/>
      <c r="GG106" s="669"/>
      <c r="GH106" s="669"/>
      <c r="GI106" s="669"/>
      <c r="GJ106" s="669"/>
      <c r="GK106" s="669"/>
      <c r="GL106" s="669"/>
      <c r="GM106" s="669"/>
      <c r="GN106" s="669"/>
      <c r="GO106" s="669"/>
      <c r="GP106" s="669"/>
      <c r="GQ106" s="669"/>
      <c r="GR106" s="669"/>
      <c r="GS106" s="669"/>
      <c r="GT106" s="669"/>
      <c r="GU106" s="669"/>
      <c r="GV106" s="669"/>
      <c r="GW106" s="669"/>
      <c r="GX106" s="669"/>
      <c r="GY106" s="669"/>
      <c r="GZ106" s="669"/>
      <c r="HA106" s="669"/>
      <c r="HB106" s="669"/>
      <c r="HC106" s="669"/>
      <c r="HD106" s="669"/>
      <c r="HE106" s="669"/>
      <c r="HF106" s="669"/>
      <c r="HG106" s="669"/>
      <c r="HH106" s="669"/>
      <c r="HI106" s="669"/>
      <c r="HJ106" s="669"/>
      <c r="HK106" s="669"/>
      <c r="HL106" s="669"/>
      <c r="HM106" s="669"/>
      <c r="HN106" s="669"/>
      <c r="HO106" s="669"/>
      <c r="HP106" s="669"/>
      <c r="HQ106" s="669"/>
      <c r="HR106" s="669"/>
      <c r="HS106" s="669"/>
      <c r="HT106" s="669"/>
      <c r="HU106" s="669"/>
      <c r="HV106" s="669"/>
      <c r="HW106" s="669"/>
      <c r="HX106" s="669"/>
      <c r="HY106" s="669"/>
      <c r="HZ106" s="669"/>
      <c r="IA106" s="669"/>
      <c r="IB106" s="669"/>
      <c r="IC106" s="669"/>
      <c r="ID106" s="669"/>
      <c r="IE106" s="669"/>
      <c r="IF106" s="669"/>
      <c r="IG106" s="669"/>
      <c r="IH106" s="669"/>
      <c r="II106" s="669"/>
      <c r="IJ106" s="669"/>
      <c r="IK106" s="669"/>
      <c r="IL106" s="669"/>
      <c r="IM106" s="669"/>
      <c r="IN106" s="669"/>
      <c r="IO106" s="669"/>
      <c r="IP106" s="669"/>
      <c r="IQ106" s="669"/>
      <c r="IR106" s="669"/>
      <c r="IS106" s="669"/>
      <c r="IT106" s="669"/>
      <c r="IU106" s="669"/>
      <c r="IV106" s="669"/>
      <c r="IW106" s="669"/>
      <c r="IX106" s="669"/>
      <c r="IY106" s="669"/>
      <c r="IZ106" s="669"/>
      <c r="JA106" s="669"/>
      <c r="JB106" s="669"/>
      <c r="JC106" s="669"/>
      <c r="JD106" s="669"/>
      <c r="JE106" s="669"/>
      <c r="JF106" s="669"/>
      <c r="JG106" s="669"/>
      <c r="JH106" s="669"/>
      <c r="JI106" s="669"/>
      <c r="JJ106" s="669"/>
      <c r="JK106" s="669"/>
      <c r="JL106" s="669"/>
      <c r="JM106" s="669"/>
      <c r="JN106" s="669"/>
      <c r="JO106" s="669"/>
      <c r="JP106" s="669"/>
      <c r="JQ106" s="669"/>
      <c r="JR106" s="669"/>
      <c r="JS106" s="669"/>
      <c r="JT106" s="669"/>
      <c r="JU106" s="669"/>
      <c r="JV106" s="669"/>
      <c r="JW106" s="669"/>
      <c r="JX106" s="669"/>
      <c r="JY106" s="669"/>
      <c r="JZ106" s="669"/>
      <c r="KA106" s="669"/>
      <c r="KB106" s="669"/>
      <c r="KC106" s="669"/>
      <c r="KD106" s="669"/>
      <c r="KE106" s="669"/>
      <c r="KF106" s="669"/>
      <c r="KG106" s="669"/>
      <c r="KH106" s="669"/>
      <c r="KI106" s="669"/>
      <c r="KJ106" s="669"/>
      <c r="KK106" s="669"/>
      <c r="KL106" s="669"/>
      <c r="KM106" s="669"/>
      <c r="KN106" s="669"/>
      <c r="KO106" s="669"/>
      <c r="KP106" s="669"/>
      <c r="KQ106" s="669"/>
      <c r="KR106" s="669"/>
      <c r="KS106" s="669"/>
      <c r="KT106" s="669"/>
      <c r="KU106" s="669"/>
      <c r="KV106" s="669"/>
      <c r="KW106" s="669"/>
      <c r="KX106" s="669"/>
      <c r="KY106" s="669"/>
      <c r="KZ106" s="669"/>
      <c r="LA106" s="669"/>
      <c r="LB106" s="669"/>
      <c r="LC106" s="669"/>
      <c r="LD106" s="669"/>
      <c r="LE106" s="669"/>
      <c r="LF106" s="669"/>
      <c r="LG106" s="669"/>
      <c r="LH106" s="669"/>
      <c r="LI106" s="669"/>
      <c r="LJ106" s="669"/>
      <c r="LK106" s="669"/>
      <c r="LL106" s="669"/>
      <c r="LM106" s="669"/>
      <c r="LN106" s="669"/>
      <c r="LO106" s="669"/>
      <c r="LP106" s="669"/>
      <c r="LQ106" s="669"/>
      <c r="LR106" s="669"/>
      <c r="LS106" s="669"/>
      <c r="LT106" s="669"/>
      <c r="LU106" s="669"/>
      <c r="LV106" s="669"/>
      <c r="LW106" s="669"/>
      <c r="LX106" s="669"/>
      <c r="LY106" s="669"/>
      <c r="LZ106" s="669"/>
      <c r="MA106" s="669"/>
      <c r="MB106" s="669"/>
      <c r="MC106" s="669"/>
      <c r="MD106" s="669"/>
      <c r="ME106" s="669"/>
      <c r="MF106" s="669"/>
      <c r="MG106" s="669"/>
      <c r="MH106" s="669"/>
      <c r="MI106" s="669"/>
      <c r="MJ106" s="669"/>
      <c r="MK106" s="669"/>
      <c r="ML106" s="669"/>
      <c r="MM106" s="669"/>
      <c r="MN106" s="669"/>
      <c r="MO106" s="669"/>
      <c r="MP106" s="669"/>
      <c r="MQ106" s="669"/>
      <c r="MR106" s="669"/>
      <c r="MS106" s="669"/>
      <c r="MT106" s="669"/>
      <c r="MU106" s="669"/>
      <c r="MV106" s="669"/>
      <c r="MW106" s="669"/>
      <c r="MX106" s="669"/>
      <c r="MY106" s="669"/>
      <c r="MZ106" s="669"/>
      <c r="NA106" s="669"/>
      <c r="NB106" s="669"/>
      <c r="NC106" s="669"/>
      <c r="ND106" s="669"/>
      <c r="NE106" s="669"/>
      <c r="NF106" s="669"/>
      <c r="NG106" s="669"/>
      <c r="NH106" s="669"/>
      <c r="NI106" s="669"/>
      <c r="NJ106" s="669"/>
      <c r="NK106" s="669"/>
      <c r="NL106" s="669"/>
      <c r="NM106" s="669"/>
      <c r="NN106" s="669"/>
      <c r="NO106" s="669"/>
      <c r="NP106" s="669"/>
      <c r="NQ106" s="669"/>
      <c r="NR106" s="669"/>
      <c r="NS106" s="669"/>
      <c r="NT106" s="669"/>
      <c r="NU106" s="669"/>
      <c r="NV106" s="669"/>
      <c r="NW106" s="669"/>
      <c r="NX106" s="669"/>
      <c r="NY106" s="669"/>
      <c r="NZ106" s="669"/>
      <c r="OA106" s="669"/>
      <c r="OB106" s="669"/>
      <c r="OC106" s="669"/>
      <c r="OD106" s="669"/>
      <c r="OE106" s="669"/>
      <c r="OF106" s="669"/>
      <c r="OG106" s="669"/>
      <c r="OH106" s="669"/>
      <c r="OI106" s="669"/>
      <c r="OJ106" s="669"/>
      <c r="OK106" s="669"/>
      <c r="OL106" s="669"/>
      <c r="OM106" s="669"/>
      <c r="ON106" s="669"/>
      <c r="OO106" s="669"/>
      <c r="OP106" s="669"/>
      <c r="OQ106" s="669"/>
      <c r="OR106" s="669"/>
      <c r="OS106" s="669"/>
      <c r="OT106" s="669"/>
      <c r="OU106" s="669"/>
      <c r="OV106" s="669"/>
      <c r="OW106" s="669"/>
      <c r="OX106" s="669"/>
      <c r="OY106" s="669"/>
      <c r="OZ106" s="669"/>
      <c r="PA106" s="669"/>
      <c r="PB106" s="669"/>
      <c r="PC106" s="669"/>
      <c r="PD106" s="669"/>
      <c r="PE106" s="669"/>
      <c r="PF106" s="669"/>
      <c r="PG106" s="669"/>
      <c r="PH106" s="669"/>
      <c r="PI106" s="669"/>
      <c r="PJ106" s="669"/>
      <c r="PK106" s="669"/>
      <c r="PL106" s="669"/>
      <c r="PM106" s="669"/>
      <c r="PN106" s="669"/>
      <c r="PO106" s="669"/>
      <c r="PP106" s="669"/>
      <c r="PQ106" s="669"/>
      <c r="PR106" s="669"/>
      <c r="PS106" s="669"/>
      <c r="PT106" s="669"/>
      <c r="PU106" s="669"/>
      <c r="PV106" s="669"/>
      <c r="PW106" s="669"/>
      <c r="PX106" s="669"/>
      <c r="PY106" s="669"/>
      <c r="PZ106" s="669"/>
      <c r="QA106" s="669"/>
      <c r="QB106" s="669"/>
      <c r="QC106" s="669"/>
      <c r="QD106" s="669"/>
      <c r="QE106" s="669"/>
      <c r="QF106" s="669"/>
      <c r="QG106" s="669"/>
      <c r="QH106" s="669"/>
      <c r="QI106" s="669"/>
      <c r="QJ106" s="669"/>
      <c r="QK106" s="669"/>
      <c r="QL106" s="669"/>
      <c r="QM106" s="669"/>
      <c r="QN106" s="669"/>
      <c r="QO106" s="669"/>
      <c r="QP106" s="669"/>
      <c r="QQ106" s="669"/>
      <c r="QR106" s="669"/>
      <c r="QS106" s="669"/>
      <c r="QT106" s="669"/>
      <c r="QU106" s="669"/>
      <c r="QV106" s="669"/>
      <c r="QW106" s="669"/>
      <c r="QX106" s="669"/>
      <c r="QY106" s="669"/>
      <c r="QZ106" s="669"/>
      <c r="RA106" s="669"/>
      <c r="RB106" s="669"/>
      <c r="RC106" s="669"/>
      <c r="RD106" s="669"/>
      <c r="RE106" s="669"/>
      <c r="RF106" s="669"/>
      <c r="RG106" s="669"/>
      <c r="RH106" s="669"/>
      <c r="RI106" s="669"/>
      <c r="RJ106" s="669"/>
      <c r="RK106" s="669"/>
      <c r="RL106" s="669"/>
      <c r="RM106" s="669"/>
      <c r="RN106" s="669"/>
      <c r="RO106" s="669"/>
      <c r="RP106" s="669"/>
      <c r="RQ106" s="669"/>
      <c r="RR106" s="669"/>
      <c r="RS106" s="669"/>
      <c r="RT106" s="669"/>
      <c r="RU106" s="669"/>
      <c r="RV106" s="669"/>
      <c r="RW106" s="669"/>
      <c r="RX106" s="669"/>
      <c r="RY106" s="669"/>
      <c r="RZ106" s="669"/>
      <c r="SA106" s="669"/>
      <c r="SB106" s="669"/>
      <c r="SC106" s="669"/>
      <c r="SD106" s="669"/>
      <c r="SE106" s="669"/>
      <c r="SF106" s="669"/>
      <c r="SG106" s="669"/>
      <c r="SH106" s="669"/>
      <c r="SI106" s="669"/>
      <c r="SJ106" s="669"/>
      <c r="SK106" s="669"/>
      <c r="SL106" s="669"/>
      <c r="SM106" s="669"/>
      <c r="SN106" s="669"/>
      <c r="SO106" s="669"/>
      <c r="SP106" s="669"/>
      <c r="SQ106" s="669"/>
      <c r="SR106" s="669"/>
      <c r="SS106" s="669"/>
      <c r="ST106" s="669"/>
      <c r="SU106" s="669"/>
      <c r="SV106" s="669"/>
      <c r="SW106" s="669"/>
      <c r="SX106" s="669"/>
      <c r="SY106" s="669"/>
      <c r="SZ106" s="669"/>
      <c r="TA106" s="669"/>
      <c r="TB106" s="669"/>
      <c r="TC106" s="669"/>
      <c r="TD106" s="669"/>
      <c r="TE106" s="669"/>
      <c r="TF106" s="669"/>
      <c r="TG106" s="669"/>
      <c r="TH106" s="669"/>
      <c r="TI106" s="669"/>
      <c r="TJ106" s="669"/>
      <c r="TK106" s="669"/>
      <c r="TL106" s="669"/>
      <c r="TM106" s="669"/>
      <c r="TN106" s="669"/>
      <c r="TO106" s="669"/>
      <c r="TP106" s="669"/>
      <c r="TQ106" s="669"/>
      <c r="TR106" s="669"/>
      <c r="TS106" s="669"/>
      <c r="TT106" s="669"/>
      <c r="TU106" s="669"/>
      <c r="TV106" s="669"/>
      <c r="TW106" s="669"/>
      <c r="TX106" s="669"/>
      <c r="TY106" s="669"/>
      <c r="TZ106" s="669"/>
      <c r="UA106" s="669"/>
      <c r="UB106" s="669"/>
      <c r="UC106" s="669"/>
      <c r="UD106" s="669"/>
      <c r="UE106" s="669"/>
      <c r="UF106" s="669"/>
      <c r="UG106" s="669"/>
      <c r="UH106" s="669"/>
      <c r="UI106" s="669"/>
      <c r="UJ106" s="669"/>
      <c r="UK106" s="669"/>
      <c r="UL106" s="669"/>
      <c r="UM106" s="669"/>
      <c r="UN106" s="669"/>
      <c r="UO106" s="669"/>
      <c r="UP106" s="669"/>
      <c r="UQ106" s="669"/>
      <c r="UR106" s="669"/>
      <c r="US106" s="669"/>
      <c r="UT106" s="669"/>
      <c r="UU106" s="669"/>
      <c r="UV106" s="669"/>
      <c r="UW106" s="669"/>
      <c r="UX106" s="669"/>
      <c r="UY106" s="669"/>
      <c r="UZ106" s="669"/>
      <c r="VA106" s="669"/>
      <c r="VB106" s="669"/>
      <c r="VC106" s="669"/>
      <c r="VD106" s="669"/>
      <c r="VE106" s="669"/>
      <c r="VF106" s="669"/>
      <c r="VG106" s="669"/>
      <c r="VH106" s="669"/>
      <c r="VI106" s="669"/>
      <c r="VJ106" s="669"/>
      <c r="VK106" s="669"/>
      <c r="VL106" s="669"/>
      <c r="VM106" s="669"/>
      <c r="VN106" s="669"/>
      <c r="VO106" s="669"/>
      <c r="VP106" s="669"/>
      <c r="VQ106" s="669"/>
      <c r="VR106" s="669"/>
      <c r="VS106" s="669"/>
      <c r="VT106" s="669"/>
      <c r="VU106" s="669"/>
      <c r="VV106" s="669"/>
      <c r="VW106" s="669"/>
      <c r="VX106" s="669"/>
      <c r="VY106" s="669"/>
      <c r="VZ106" s="669"/>
      <c r="WA106" s="669"/>
      <c r="WB106" s="669"/>
      <c r="WC106" s="669"/>
      <c r="WD106" s="669"/>
      <c r="WE106" s="669"/>
      <c r="WF106" s="669"/>
      <c r="WG106" s="669"/>
      <c r="WH106" s="669"/>
      <c r="WI106" s="669"/>
      <c r="WJ106" s="669"/>
      <c r="WK106" s="669"/>
      <c r="WL106" s="669"/>
      <c r="WM106" s="669"/>
      <c r="WN106" s="669"/>
      <c r="WO106" s="669"/>
      <c r="WP106" s="669"/>
      <c r="WQ106" s="669"/>
      <c r="WR106" s="669"/>
      <c r="WS106" s="669"/>
      <c r="WT106" s="669"/>
      <c r="WU106" s="669"/>
      <c r="WV106" s="669"/>
      <c r="WW106" s="669"/>
      <c r="WX106" s="669"/>
      <c r="WY106" s="669"/>
      <c r="WZ106" s="669"/>
      <c r="XA106" s="669"/>
      <c r="XB106" s="669"/>
      <c r="XC106" s="669"/>
      <c r="XD106" s="669"/>
      <c r="XE106" s="669"/>
      <c r="XF106" s="669"/>
      <c r="XG106" s="669"/>
      <c r="XH106" s="669"/>
      <c r="XI106" s="669"/>
      <c r="XJ106" s="669"/>
      <c r="XK106" s="669"/>
      <c r="XL106" s="669"/>
      <c r="XM106" s="669"/>
      <c r="XN106" s="669"/>
      <c r="XO106" s="669"/>
      <c r="XP106" s="669"/>
      <c r="XQ106" s="669"/>
      <c r="XR106" s="669"/>
      <c r="XS106" s="669"/>
      <c r="XT106" s="669"/>
      <c r="XU106" s="669"/>
      <c r="XV106" s="669"/>
      <c r="XW106" s="669"/>
      <c r="XX106" s="669"/>
      <c r="XY106" s="669"/>
      <c r="XZ106" s="669"/>
      <c r="YA106" s="669"/>
      <c r="YB106" s="669"/>
      <c r="YC106" s="669"/>
      <c r="YD106" s="669"/>
      <c r="YE106" s="669"/>
      <c r="YF106" s="669"/>
      <c r="YG106" s="669"/>
      <c r="YH106" s="669"/>
      <c r="YI106" s="669"/>
      <c r="YJ106" s="669"/>
      <c r="YK106" s="669"/>
      <c r="YL106" s="669"/>
      <c r="YM106" s="669"/>
      <c r="YN106" s="669"/>
      <c r="YO106" s="669"/>
      <c r="YP106" s="669"/>
      <c r="YQ106" s="669"/>
      <c r="YR106" s="669"/>
      <c r="YS106" s="669"/>
      <c r="YT106" s="669"/>
      <c r="YU106" s="669"/>
      <c r="YV106" s="669"/>
      <c r="YW106" s="669"/>
      <c r="YX106" s="669"/>
      <c r="YY106" s="669"/>
      <c r="YZ106" s="669"/>
      <c r="ZA106" s="669"/>
      <c r="ZB106" s="669"/>
      <c r="ZC106" s="669"/>
      <c r="ZD106" s="669"/>
      <c r="ZE106" s="669"/>
      <c r="ZF106" s="669"/>
      <c r="ZG106" s="669"/>
      <c r="ZH106" s="669"/>
      <c r="ZI106" s="669"/>
      <c r="ZJ106" s="669"/>
      <c r="ZK106" s="669"/>
      <c r="ZL106" s="669"/>
      <c r="ZM106" s="669"/>
      <c r="ZN106" s="669"/>
      <c r="ZO106" s="669"/>
      <c r="ZP106" s="669"/>
      <c r="ZQ106" s="669"/>
      <c r="ZR106" s="669"/>
      <c r="ZS106" s="669"/>
      <c r="ZT106" s="669"/>
      <c r="ZU106" s="669"/>
      <c r="ZV106" s="669"/>
      <c r="ZW106" s="669"/>
      <c r="ZX106" s="669"/>
      <c r="ZY106" s="669"/>
      <c r="ZZ106" s="669"/>
      <c r="AAA106" s="669"/>
      <c r="AAB106" s="669"/>
      <c r="AAC106" s="669"/>
      <c r="AAD106" s="669"/>
      <c r="AAE106" s="669"/>
      <c r="AAF106" s="669"/>
      <c r="AAG106" s="669"/>
      <c r="AAH106" s="669"/>
      <c r="AAI106" s="669"/>
      <c r="AAJ106" s="669"/>
      <c r="AAK106" s="669"/>
      <c r="AAL106" s="669"/>
      <c r="AAM106" s="669"/>
      <c r="AAN106" s="669"/>
      <c r="AAO106" s="669"/>
      <c r="AAP106" s="669"/>
      <c r="AAQ106" s="669"/>
      <c r="AAR106" s="669"/>
      <c r="AAS106" s="669"/>
      <c r="AAT106" s="669"/>
      <c r="AAU106" s="669"/>
      <c r="AAV106" s="669"/>
      <c r="AAW106" s="669"/>
      <c r="AAX106" s="669"/>
      <c r="AAY106" s="669"/>
      <c r="AAZ106" s="669"/>
      <c r="ABA106" s="669"/>
      <c r="ABB106" s="669"/>
      <c r="ABC106" s="669"/>
      <c r="ABD106" s="669"/>
      <c r="ABE106" s="669"/>
      <c r="ABF106" s="669"/>
      <c r="ABG106" s="669"/>
      <c r="ABH106" s="669"/>
      <c r="ABI106" s="669"/>
      <c r="ABJ106" s="669"/>
      <c r="ABK106" s="669"/>
      <c r="ABL106" s="669"/>
      <c r="ABM106" s="669"/>
      <c r="ABN106" s="669"/>
      <c r="ABO106" s="669"/>
      <c r="ABP106" s="669"/>
      <c r="ABQ106" s="669"/>
      <c r="ABR106" s="669"/>
      <c r="ABS106" s="669"/>
      <c r="ABT106" s="669"/>
      <c r="ABU106" s="669"/>
      <c r="ABV106" s="669"/>
      <c r="ABW106" s="669"/>
      <c r="ABX106" s="669"/>
      <c r="ABY106" s="669"/>
      <c r="ABZ106" s="669"/>
      <c r="ACA106" s="669"/>
      <c r="ACB106" s="669"/>
      <c r="ACC106" s="669"/>
      <c r="ACD106" s="669"/>
      <c r="ACE106" s="669"/>
      <c r="ACF106" s="669"/>
      <c r="ACG106" s="669"/>
      <c r="ACH106" s="669"/>
      <c r="ACI106" s="669"/>
      <c r="ACJ106" s="669"/>
      <c r="ACK106" s="669"/>
      <c r="ACL106" s="669"/>
      <c r="ACM106" s="669"/>
      <c r="ACN106" s="669"/>
      <c r="ACO106" s="669"/>
      <c r="ACP106" s="669"/>
      <c r="ACQ106" s="669"/>
      <c r="ACR106" s="669"/>
      <c r="ACS106" s="669"/>
      <c r="ACT106" s="669"/>
      <c r="ACU106" s="669"/>
      <c r="ACV106" s="669"/>
      <c r="ACW106" s="669"/>
      <c r="ACX106" s="669"/>
      <c r="ACY106" s="669"/>
      <c r="ACZ106" s="669"/>
      <c r="ADA106" s="669"/>
      <c r="ADB106" s="669"/>
      <c r="ADC106" s="669"/>
      <c r="ADD106" s="669"/>
      <c r="ADE106" s="669"/>
      <c r="ADF106" s="669"/>
      <c r="ADG106" s="669"/>
      <c r="ADH106" s="669"/>
      <c r="ADI106" s="669"/>
      <c r="ADJ106" s="669"/>
      <c r="ADK106" s="669"/>
      <c r="ADL106" s="669"/>
      <c r="ADM106" s="669"/>
      <c r="ADN106" s="669"/>
      <c r="ADO106" s="669"/>
      <c r="ADP106" s="669"/>
      <c r="ADQ106" s="669"/>
      <c r="ADR106" s="669"/>
      <c r="ADS106" s="669"/>
      <c r="ADT106" s="669"/>
      <c r="ADU106" s="669"/>
      <c r="ADV106" s="669"/>
      <c r="ADW106" s="669"/>
      <c r="ADX106" s="669"/>
      <c r="ADY106" s="669"/>
      <c r="ADZ106" s="669"/>
      <c r="AEA106" s="669"/>
      <c r="AEB106" s="669"/>
      <c r="AEC106" s="669"/>
      <c r="AED106" s="669"/>
      <c r="AEE106" s="669"/>
      <c r="AEF106" s="669"/>
      <c r="AEG106" s="669"/>
      <c r="AEH106" s="669"/>
      <c r="AEI106" s="669"/>
      <c r="AEJ106" s="669"/>
      <c r="AEK106" s="669"/>
      <c r="AEL106" s="669"/>
      <c r="AEM106" s="669"/>
      <c r="AEN106" s="669"/>
      <c r="AEO106" s="669"/>
      <c r="AEP106" s="669"/>
      <c r="AEQ106" s="669"/>
      <c r="AER106" s="669"/>
      <c r="AES106" s="669"/>
      <c r="AET106" s="669"/>
      <c r="AEU106" s="669"/>
      <c r="AEV106" s="669"/>
      <c r="AEW106" s="669"/>
      <c r="AEX106" s="669"/>
      <c r="AEY106" s="669"/>
      <c r="AEZ106" s="669"/>
      <c r="AFA106" s="669"/>
      <c r="AFB106" s="669"/>
      <c r="AFC106" s="669"/>
      <c r="AFD106" s="669"/>
      <c r="AFE106" s="669"/>
      <c r="AFF106" s="669"/>
      <c r="AFG106" s="669"/>
      <c r="AFH106" s="669"/>
      <c r="AFI106" s="669"/>
      <c r="AFJ106" s="669"/>
      <c r="AFK106" s="669"/>
      <c r="AFL106" s="669"/>
      <c r="AFM106" s="669"/>
      <c r="AFN106" s="669"/>
      <c r="AFO106" s="669"/>
      <c r="AFP106" s="669"/>
      <c r="AFQ106" s="669"/>
      <c r="AFR106" s="669"/>
      <c r="AFS106" s="669"/>
      <c r="AFT106" s="669"/>
      <c r="AFU106" s="669"/>
      <c r="AFV106" s="669"/>
      <c r="AFW106" s="669"/>
      <c r="AFX106" s="669"/>
      <c r="AFY106" s="669"/>
      <c r="AFZ106" s="669"/>
      <c r="AGA106" s="669"/>
      <c r="AGB106" s="669"/>
      <c r="AGC106" s="669"/>
      <c r="AGD106" s="669"/>
      <c r="AGE106" s="669"/>
      <c r="AGF106" s="669"/>
      <c r="AGG106" s="669"/>
      <c r="AGH106" s="669"/>
      <c r="AGI106" s="669"/>
      <c r="AGJ106" s="669"/>
      <c r="AGK106" s="669"/>
      <c r="AGL106" s="669"/>
      <c r="AGM106" s="669"/>
      <c r="AGN106" s="669"/>
      <c r="AGO106" s="669"/>
      <c r="AGP106" s="669"/>
      <c r="AGQ106" s="669"/>
      <c r="AGR106" s="669"/>
      <c r="AGS106" s="669"/>
      <c r="AGT106" s="669"/>
      <c r="AGU106" s="669"/>
      <c r="AGV106" s="669"/>
      <c r="AGW106" s="669"/>
      <c r="AGX106" s="669"/>
      <c r="AGY106" s="669"/>
      <c r="AGZ106" s="669"/>
      <c r="AHA106" s="669"/>
      <c r="AHB106" s="669"/>
      <c r="AHC106" s="669"/>
      <c r="AHD106" s="669"/>
      <c r="AHE106" s="669"/>
      <c r="AHF106" s="669"/>
      <c r="AHG106" s="669"/>
      <c r="AHH106" s="669"/>
      <c r="AHI106" s="669"/>
      <c r="AHJ106" s="669"/>
      <c r="AHK106" s="669"/>
      <c r="AHL106" s="669"/>
      <c r="AHM106" s="669"/>
      <c r="AHN106" s="669"/>
      <c r="AHO106" s="669"/>
      <c r="AHP106" s="669"/>
      <c r="AHQ106" s="669"/>
      <c r="AHR106" s="669"/>
      <c r="AHS106" s="669"/>
      <c r="AHT106" s="669"/>
      <c r="AHU106" s="669"/>
      <c r="AHV106" s="669"/>
      <c r="AHW106" s="669"/>
      <c r="AHX106" s="669"/>
      <c r="AHY106" s="669"/>
      <c r="AHZ106" s="669"/>
      <c r="AIA106" s="669"/>
      <c r="AIB106" s="669"/>
      <c r="AIC106" s="669"/>
      <c r="AID106" s="669"/>
      <c r="AIE106" s="669"/>
      <c r="AIF106" s="669"/>
      <c r="AIG106" s="669"/>
      <c r="AIH106" s="669"/>
      <c r="AII106" s="669"/>
      <c r="AIJ106" s="669"/>
      <c r="AIK106" s="669"/>
      <c r="AIL106" s="669"/>
      <c r="AIM106" s="669"/>
      <c r="AIN106" s="669"/>
      <c r="AIO106" s="669"/>
      <c r="AIP106" s="669"/>
      <c r="AIQ106" s="669"/>
      <c r="AIR106" s="669"/>
      <c r="AIS106" s="669"/>
      <c r="AIT106" s="669"/>
      <c r="AIU106" s="669"/>
      <c r="AIV106" s="669"/>
      <c r="AIW106" s="669"/>
      <c r="AIX106" s="669"/>
      <c r="AIY106" s="669"/>
      <c r="AIZ106" s="669"/>
      <c r="AJA106" s="669"/>
      <c r="AJB106" s="669"/>
      <c r="AJC106" s="669"/>
      <c r="AJD106" s="669"/>
      <c r="AJE106" s="669"/>
      <c r="AJF106" s="669"/>
      <c r="AJG106" s="669"/>
      <c r="AJH106" s="669"/>
      <c r="AJI106" s="669"/>
      <c r="AJJ106" s="669"/>
      <c r="AJK106" s="669"/>
      <c r="AJL106" s="669"/>
      <c r="AJM106" s="669"/>
      <c r="AJN106" s="669"/>
      <c r="AJO106" s="669"/>
      <c r="AJP106" s="669"/>
      <c r="AJQ106" s="669"/>
      <c r="AJR106" s="669"/>
      <c r="AJS106" s="669"/>
      <c r="AJT106" s="669"/>
      <c r="AJU106" s="669"/>
      <c r="AJV106" s="669"/>
      <c r="AJW106" s="669"/>
      <c r="AJX106" s="669"/>
      <c r="AJY106" s="669"/>
      <c r="AJZ106" s="669"/>
      <c r="AKA106" s="669"/>
      <c r="AKB106" s="669"/>
      <c r="AKC106" s="669"/>
      <c r="AKD106" s="669"/>
      <c r="AKE106" s="669"/>
      <c r="AKF106" s="669"/>
      <c r="AKG106" s="669"/>
      <c r="AKH106" s="669"/>
      <c r="AKI106" s="669"/>
      <c r="AKJ106" s="669"/>
      <c r="AKK106" s="669"/>
      <c r="AKL106" s="669"/>
      <c r="AKM106" s="669"/>
      <c r="AKN106" s="669"/>
      <c r="AKO106" s="669"/>
      <c r="AKP106" s="669"/>
      <c r="AKQ106" s="669"/>
      <c r="AKR106" s="669"/>
      <c r="AKS106" s="669"/>
      <c r="AKT106" s="669"/>
      <c r="AKU106" s="669"/>
      <c r="AKV106" s="669"/>
      <c r="AKW106" s="669"/>
      <c r="AKX106" s="669"/>
      <c r="AKY106" s="669"/>
      <c r="AKZ106" s="669"/>
      <c r="ALA106" s="669"/>
      <c r="ALB106" s="669"/>
      <c r="ALC106" s="669"/>
      <c r="ALD106" s="669"/>
      <c r="ALE106" s="669"/>
      <c r="ALF106" s="669"/>
      <c r="ALG106" s="669"/>
      <c r="ALH106" s="669"/>
      <c r="ALI106" s="669"/>
      <c r="ALJ106" s="669"/>
      <c r="ALK106" s="669"/>
      <c r="ALL106" s="669"/>
      <c r="ALM106" s="669"/>
      <c r="ALN106" s="669"/>
      <c r="ALO106" s="669"/>
      <c r="ALP106" s="669"/>
      <c r="ALQ106" s="669"/>
      <c r="ALR106" s="669"/>
      <c r="ALS106" s="669"/>
      <c r="ALT106" s="669"/>
      <c r="ALU106" s="669"/>
      <c r="ALV106" s="669"/>
      <c r="ALW106" s="669"/>
      <c r="ALX106" s="669"/>
      <c r="ALY106" s="669"/>
      <c r="ALZ106" s="669"/>
      <c r="AMA106" s="669"/>
      <c r="AMB106" s="669"/>
      <c r="AMC106" s="669"/>
      <c r="AMD106" s="669"/>
      <c r="AME106" s="669"/>
      <c r="AMF106" s="669"/>
      <c r="AMG106" s="669"/>
      <c r="AMH106" s="669"/>
      <c r="AMI106" s="669"/>
      <c r="AMJ106" s="669"/>
      <c r="AMK106" s="669"/>
      <c r="AML106" s="669"/>
      <c r="AMM106" s="669"/>
      <c r="AMN106" s="669"/>
      <c r="AMO106" s="669"/>
      <c r="AMP106" s="669"/>
      <c r="AMQ106" s="669"/>
      <c r="AMR106" s="669"/>
      <c r="AMS106" s="669"/>
      <c r="AMT106" s="669"/>
      <c r="AMU106" s="669"/>
      <c r="AMV106" s="669"/>
      <c r="AMW106" s="669"/>
      <c r="AMX106" s="669"/>
      <c r="AMY106" s="669"/>
      <c r="AMZ106" s="669"/>
      <c r="ANA106" s="669"/>
      <c r="ANB106" s="669"/>
      <c r="ANC106" s="669"/>
      <c r="AND106" s="669"/>
      <c r="ANE106" s="669"/>
      <c r="ANF106" s="669"/>
      <c r="ANG106" s="669"/>
      <c r="ANH106" s="669"/>
      <c r="ANI106" s="669"/>
      <c r="ANJ106" s="669"/>
      <c r="ANK106" s="669"/>
      <c r="ANL106" s="669"/>
      <c r="ANM106" s="669"/>
      <c r="ANN106" s="669"/>
      <c r="ANO106" s="669"/>
      <c r="ANP106" s="669"/>
      <c r="ANQ106" s="669"/>
      <c r="ANR106" s="669"/>
      <c r="ANS106" s="669"/>
      <c r="ANT106" s="669"/>
      <c r="ANU106" s="669"/>
      <c r="ANV106" s="669"/>
      <c r="ANW106" s="669"/>
      <c r="ANX106" s="669"/>
      <c r="ANY106" s="669"/>
      <c r="ANZ106" s="669"/>
      <c r="AOA106" s="669"/>
      <c r="AOB106" s="669"/>
      <c r="AOC106" s="669"/>
      <c r="AOD106" s="669"/>
      <c r="AOE106" s="669"/>
      <c r="AOF106" s="669"/>
      <c r="AOG106" s="669"/>
      <c r="AOH106" s="669"/>
      <c r="AOI106" s="669"/>
      <c r="AOJ106" s="669"/>
      <c r="AOK106" s="669"/>
      <c r="AOL106" s="669"/>
      <c r="AOM106" s="669"/>
      <c r="AON106" s="669"/>
      <c r="AOO106" s="669"/>
      <c r="AOP106" s="669"/>
      <c r="AOQ106" s="669"/>
      <c r="AOR106" s="669"/>
      <c r="AOS106" s="669"/>
      <c r="AOT106" s="669"/>
      <c r="AOU106" s="669"/>
      <c r="AOV106" s="669"/>
      <c r="AOW106" s="669"/>
      <c r="AOX106" s="669"/>
      <c r="AOY106" s="669"/>
      <c r="AOZ106" s="669"/>
      <c r="APA106" s="669"/>
      <c r="APB106" s="669"/>
      <c r="APC106" s="669"/>
      <c r="APD106" s="669"/>
      <c r="APE106" s="669"/>
      <c r="APF106" s="669"/>
      <c r="APG106" s="669"/>
      <c r="APH106" s="669"/>
      <c r="API106" s="669"/>
      <c r="APJ106" s="669"/>
      <c r="APK106" s="669"/>
      <c r="APL106" s="669"/>
      <c r="APM106" s="669"/>
      <c r="APN106" s="669"/>
      <c r="APO106" s="669"/>
      <c r="APP106" s="669"/>
      <c r="APQ106" s="669"/>
      <c r="APR106" s="669"/>
      <c r="APS106" s="669"/>
      <c r="APT106" s="669"/>
      <c r="APU106" s="669"/>
      <c r="APV106" s="669"/>
      <c r="APW106" s="669"/>
      <c r="APX106" s="669"/>
      <c r="APY106" s="669"/>
      <c r="APZ106" s="669"/>
      <c r="AQA106" s="669"/>
      <c r="AQB106" s="669"/>
      <c r="AQC106" s="669"/>
      <c r="AQD106" s="669"/>
      <c r="AQE106" s="669"/>
      <c r="AQF106" s="669"/>
      <c r="AQG106" s="669"/>
      <c r="AQH106" s="669"/>
      <c r="AQI106" s="669"/>
      <c r="AQJ106" s="669"/>
      <c r="AQK106" s="669"/>
      <c r="AQL106" s="669"/>
      <c r="AQM106" s="669"/>
      <c r="AQN106" s="669"/>
      <c r="AQO106" s="669"/>
      <c r="AQP106" s="669"/>
      <c r="AQQ106" s="669"/>
      <c r="AQR106" s="669"/>
      <c r="AQS106" s="669"/>
      <c r="AQT106" s="669"/>
      <c r="AQU106" s="669"/>
      <c r="AQV106" s="669"/>
      <c r="AQW106" s="669"/>
      <c r="AQX106" s="669"/>
      <c r="AQY106" s="669"/>
      <c r="AQZ106" s="669"/>
      <c r="ARA106" s="669"/>
      <c r="ARB106" s="669"/>
      <c r="ARC106" s="669"/>
      <c r="ARD106" s="669"/>
      <c r="ARE106" s="669"/>
      <c r="ARF106" s="669"/>
      <c r="ARG106" s="669"/>
      <c r="ARH106" s="669"/>
      <c r="ARI106" s="669"/>
      <c r="ARJ106" s="669"/>
      <c r="ARK106" s="669"/>
      <c r="ARL106" s="669"/>
      <c r="ARM106" s="669"/>
      <c r="ARN106" s="669"/>
      <c r="ARO106" s="669"/>
      <c r="ARP106" s="669"/>
      <c r="ARQ106" s="669"/>
      <c r="ARR106" s="669"/>
      <c r="ARS106" s="669"/>
      <c r="ART106" s="669"/>
      <c r="ARU106" s="669"/>
      <c r="ARV106" s="669"/>
      <c r="ARW106" s="669"/>
      <c r="ARX106" s="669"/>
      <c r="ARY106" s="669"/>
      <c r="ARZ106" s="669"/>
      <c r="ASA106" s="669"/>
      <c r="ASB106" s="669"/>
      <c r="ASC106" s="669"/>
      <c r="ASD106" s="669"/>
      <c r="ASE106" s="669"/>
      <c r="ASF106" s="669"/>
      <c r="ASG106" s="669"/>
      <c r="ASH106" s="669"/>
      <c r="ASI106" s="669"/>
      <c r="ASJ106" s="669"/>
      <c r="ASK106" s="669"/>
      <c r="ASL106" s="669"/>
      <c r="ASM106" s="669"/>
      <c r="ASN106" s="669"/>
      <c r="ASO106" s="669"/>
      <c r="ASP106" s="669"/>
      <c r="ASQ106" s="669"/>
      <c r="ASR106" s="669"/>
      <c r="ASS106" s="669"/>
      <c r="AST106" s="669"/>
      <c r="ASU106" s="669"/>
      <c r="ASV106" s="669"/>
      <c r="ASW106" s="669"/>
      <c r="ASX106" s="669"/>
      <c r="ASY106" s="669"/>
      <c r="ASZ106" s="669"/>
      <c r="ATA106" s="669"/>
      <c r="ATB106" s="669"/>
      <c r="ATC106" s="669"/>
      <c r="ATD106" s="669"/>
      <c r="ATE106" s="669"/>
      <c r="ATF106" s="669"/>
      <c r="ATG106" s="669"/>
      <c r="ATH106" s="669"/>
      <c r="ATI106" s="669"/>
      <c r="ATJ106" s="669"/>
      <c r="ATK106" s="669"/>
      <c r="ATL106" s="669"/>
      <c r="ATM106" s="669"/>
      <c r="ATN106" s="669"/>
      <c r="ATO106" s="669"/>
      <c r="ATP106" s="669"/>
      <c r="ATQ106" s="669"/>
      <c r="ATR106" s="669"/>
      <c r="ATS106" s="669"/>
      <c r="ATT106" s="669"/>
      <c r="ATU106" s="669"/>
      <c r="ATV106" s="669"/>
      <c r="ATW106" s="669"/>
      <c r="ATX106" s="669"/>
      <c r="ATY106" s="669"/>
      <c r="ATZ106" s="669"/>
      <c r="AUA106" s="669"/>
      <c r="AUB106" s="669"/>
      <c r="AUC106" s="669"/>
      <c r="AUD106" s="669"/>
      <c r="AUE106" s="669"/>
      <c r="AUF106" s="669"/>
      <c r="AUG106" s="669"/>
      <c r="AUH106" s="669"/>
      <c r="AUI106" s="669"/>
      <c r="AUJ106" s="669"/>
      <c r="AUK106" s="669"/>
      <c r="AUL106" s="669"/>
      <c r="AUM106" s="669"/>
      <c r="AUN106" s="669"/>
      <c r="AUO106" s="669"/>
      <c r="AUP106" s="669"/>
      <c r="AUQ106" s="669"/>
      <c r="AUR106" s="669"/>
      <c r="AUS106" s="669"/>
      <c r="AUT106" s="669"/>
      <c r="AUU106" s="669"/>
      <c r="AUV106" s="669"/>
      <c r="AUW106" s="669"/>
      <c r="AUX106" s="669"/>
      <c r="AUY106" s="669"/>
      <c r="AUZ106" s="669"/>
      <c r="AVA106" s="669"/>
      <c r="AVB106" s="669"/>
      <c r="AVC106" s="669"/>
      <c r="AVD106" s="669"/>
      <c r="AVE106" s="669"/>
      <c r="AVF106" s="669"/>
      <c r="AVG106" s="669"/>
      <c r="AVH106" s="669"/>
      <c r="AVI106" s="669"/>
      <c r="AVJ106" s="669"/>
      <c r="AVK106" s="669"/>
      <c r="AVL106" s="669"/>
      <c r="AVM106" s="669"/>
      <c r="AVN106" s="669"/>
      <c r="AVO106" s="669"/>
      <c r="AVP106" s="669"/>
      <c r="AVQ106" s="669"/>
      <c r="AVR106" s="669"/>
      <c r="AVS106" s="669"/>
      <c r="AVT106" s="669"/>
      <c r="AVU106" s="669"/>
      <c r="AVV106" s="669"/>
      <c r="AVW106" s="669"/>
      <c r="AVX106" s="669"/>
      <c r="AVY106" s="669"/>
      <c r="AVZ106" s="669"/>
      <c r="AWA106" s="669"/>
      <c r="AWB106" s="669"/>
      <c r="AWC106" s="669"/>
      <c r="AWD106" s="669"/>
      <c r="AWE106" s="669"/>
      <c r="AWF106" s="669"/>
      <c r="AWG106" s="669"/>
      <c r="AWH106" s="669"/>
      <c r="AWI106" s="669"/>
      <c r="AWJ106" s="669"/>
      <c r="AWK106" s="669"/>
      <c r="AWL106" s="669"/>
      <c r="AWM106" s="669"/>
      <c r="AWN106" s="669"/>
      <c r="AWO106" s="669"/>
      <c r="AWP106" s="669"/>
      <c r="AWQ106" s="669"/>
      <c r="AWR106" s="669"/>
      <c r="AWS106" s="669"/>
      <c r="AWT106" s="669"/>
      <c r="AWU106" s="669"/>
      <c r="AWV106" s="669"/>
      <c r="AWW106" s="669"/>
      <c r="AWX106" s="669"/>
      <c r="AWY106" s="669"/>
      <c r="AWZ106" s="669"/>
      <c r="AXA106" s="669"/>
      <c r="AXB106" s="669"/>
      <c r="AXC106" s="669"/>
      <c r="AXD106" s="669"/>
      <c r="AXE106" s="669"/>
      <c r="AXF106" s="669"/>
      <c r="AXG106" s="669"/>
      <c r="AXH106" s="669"/>
      <c r="AXI106" s="669"/>
      <c r="AXJ106" s="669"/>
      <c r="AXK106" s="669"/>
      <c r="AXL106" s="669"/>
      <c r="AXM106" s="669"/>
      <c r="AXN106" s="669"/>
      <c r="AXO106" s="669"/>
      <c r="AXP106" s="669"/>
      <c r="AXQ106" s="669"/>
      <c r="AXR106" s="669"/>
      <c r="AXS106" s="669"/>
      <c r="AXT106" s="669"/>
      <c r="AXU106" s="669"/>
      <c r="AXV106" s="669"/>
      <c r="AXW106" s="669"/>
      <c r="AXX106" s="669"/>
      <c r="AXY106" s="669"/>
      <c r="AXZ106" s="669"/>
      <c r="AYA106" s="669"/>
      <c r="AYB106" s="669"/>
      <c r="AYC106" s="669"/>
      <c r="AYD106" s="669"/>
      <c r="AYE106" s="669"/>
      <c r="AYF106" s="669"/>
      <c r="AYG106" s="669"/>
      <c r="AYH106" s="669"/>
      <c r="AYI106" s="669"/>
      <c r="AYJ106" s="669"/>
      <c r="AYK106" s="669"/>
      <c r="AYL106" s="669"/>
      <c r="AYM106" s="669"/>
      <c r="AYN106" s="669"/>
      <c r="AYO106" s="669"/>
      <c r="AYP106" s="669"/>
      <c r="AYQ106" s="669"/>
      <c r="AYR106" s="669"/>
      <c r="AYS106" s="669"/>
      <c r="AYT106" s="669"/>
      <c r="AYU106" s="669"/>
      <c r="AYV106" s="669"/>
      <c r="AYW106" s="669"/>
      <c r="AYX106" s="669"/>
      <c r="AYY106" s="669"/>
      <c r="AYZ106" s="669"/>
      <c r="AZA106" s="669"/>
      <c r="AZB106" s="669"/>
      <c r="AZC106" s="669"/>
      <c r="AZD106" s="669"/>
      <c r="AZE106" s="669"/>
      <c r="AZF106" s="669"/>
      <c r="AZG106" s="669"/>
      <c r="AZH106" s="669"/>
      <c r="AZI106" s="669"/>
      <c r="AZJ106" s="669"/>
      <c r="AZK106" s="669"/>
      <c r="AZL106" s="669"/>
      <c r="AZM106" s="669"/>
      <c r="AZN106" s="669"/>
      <c r="AZO106" s="669"/>
      <c r="AZP106" s="669"/>
      <c r="AZQ106" s="669"/>
      <c r="AZR106" s="669"/>
      <c r="AZS106" s="669"/>
      <c r="AZT106" s="669"/>
      <c r="AZU106" s="669"/>
      <c r="AZV106" s="669"/>
      <c r="AZW106" s="669"/>
      <c r="AZX106" s="669"/>
      <c r="AZY106" s="669"/>
      <c r="AZZ106" s="669"/>
      <c r="BAA106" s="669"/>
      <c r="BAB106" s="669"/>
      <c r="BAC106" s="669"/>
      <c r="BAD106" s="669"/>
      <c r="BAE106" s="669"/>
      <c r="BAF106" s="669"/>
      <c r="BAG106" s="669"/>
      <c r="BAH106" s="669"/>
      <c r="BAI106" s="669"/>
      <c r="BAJ106" s="669"/>
      <c r="BAK106" s="669"/>
      <c r="BAL106" s="669"/>
      <c r="BAM106" s="669"/>
      <c r="BAN106" s="669"/>
      <c r="BAO106" s="669"/>
      <c r="BAP106" s="669"/>
      <c r="BAQ106" s="669"/>
      <c r="BAR106" s="669"/>
      <c r="BAS106" s="669"/>
      <c r="BAT106" s="669"/>
      <c r="BAU106" s="669"/>
      <c r="BAV106" s="669"/>
      <c r="BAW106" s="669"/>
      <c r="BAX106" s="669"/>
      <c r="BAY106" s="669"/>
      <c r="BAZ106" s="669"/>
      <c r="BBA106" s="669"/>
      <c r="BBB106" s="669"/>
      <c r="BBC106" s="669"/>
      <c r="BBD106" s="669"/>
      <c r="BBE106" s="669"/>
      <c r="BBF106" s="669"/>
      <c r="BBG106" s="669"/>
      <c r="BBH106" s="669"/>
      <c r="BBI106" s="669"/>
      <c r="BBJ106" s="669"/>
      <c r="BBK106" s="669"/>
      <c r="BBL106" s="669"/>
      <c r="BBM106" s="669"/>
      <c r="BBN106" s="669"/>
      <c r="BBO106" s="669"/>
      <c r="BBP106" s="669"/>
      <c r="BBQ106" s="669"/>
      <c r="BBR106" s="669"/>
      <c r="BBS106" s="669"/>
      <c r="BBT106" s="669"/>
      <c r="BBU106" s="669"/>
      <c r="BBV106" s="669"/>
      <c r="BBW106" s="669"/>
      <c r="BBX106" s="669"/>
      <c r="BBY106" s="669"/>
      <c r="BBZ106" s="669"/>
      <c r="BCA106" s="669"/>
      <c r="BCB106" s="669"/>
      <c r="BCC106" s="669"/>
      <c r="BCD106" s="669"/>
      <c r="BCE106" s="669"/>
      <c r="BCF106" s="669"/>
      <c r="BCG106" s="669"/>
      <c r="BCH106" s="669"/>
      <c r="BCI106" s="669"/>
      <c r="BCJ106" s="669"/>
      <c r="BCK106" s="669"/>
      <c r="BCL106" s="669"/>
      <c r="BCM106" s="669"/>
      <c r="BCN106" s="669"/>
      <c r="BCO106" s="669"/>
      <c r="BCP106" s="669"/>
      <c r="BCQ106" s="669"/>
      <c r="BCR106" s="669"/>
      <c r="BCS106" s="669"/>
      <c r="BCT106" s="669"/>
      <c r="BCU106" s="669"/>
      <c r="BCV106" s="669"/>
      <c r="BCW106" s="669"/>
      <c r="BCX106" s="669"/>
      <c r="BCY106" s="669"/>
      <c r="BCZ106" s="669"/>
      <c r="BDA106" s="669"/>
      <c r="BDB106" s="669"/>
      <c r="BDC106" s="669"/>
      <c r="BDD106" s="669"/>
      <c r="BDE106" s="669"/>
      <c r="BDF106" s="669"/>
      <c r="BDG106" s="669"/>
      <c r="BDH106" s="669"/>
      <c r="BDI106" s="669"/>
      <c r="BDJ106" s="669"/>
      <c r="BDK106" s="669"/>
      <c r="BDL106" s="669"/>
      <c r="BDM106" s="669"/>
      <c r="BDN106" s="669"/>
      <c r="BDO106" s="669"/>
      <c r="BDP106" s="669"/>
      <c r="BDQ106" s="669"/>
      <c r="BDR106" s="669"/>
      <c r="BDS106" s="669"/>
      <c r="BDT106" s="669"/>
      <c r="BDU106" s="669"/>
      <c r="BDV106" s="669"/>
      <c r="BDW106" s="669"/>
      <c r="BDX106" s="669"/>
      <c r="BDY106" s="669"/>
      <c r="BDZ106" s="669"/>
      <c r="BEA106" s="669"/>
      <c r="BEB106" s="669"/>
      <c r="BEC106" s="669"/>
      <c r="BED106" s="669"/>
      <c r="BEE106" s="669"/>
      <c r="BEF106" s="669"/>
      <c r="BEG106" s="669"/>
      <c r="BEH106" s="669"/>
      <c r="BEI106" s="669"/>
      <c r="BEJ106" s="669"/>
      <c r="BEK106" s="669"/>
      <c r="BEL106" s="669"/>
      <c r="BEM106" s="669"/>
      <c r="BEN106" s="669"/>
      <c r="BEO106" s="669"/>
      <c r="BEP106" s="669"/>
      <c r="BEQ106" s="669"/>
      <c r="BER106" s="669"/>
      <c r="BES106" s="669"/>
      <c r="BET106" s="669"/>
      <c r="BEU106" s="669"/>
      <c r="BEV106" s="669"/>
      <c r="BEW106" s="669"/>
      <c r="BEX106" s="669"/>
      <c r="BEY106" s="669"/>
      <c r="BEZ106" s="669"/>
      <c r="BFA106" s="669"/>
      <c r="BFB106" s="669"/>
      <c r="BFC106" s="669"/>
      <c r="BFD106" s="669"/>
      <c r="BFE106" s="669"/>
      <c r="BFF106" s="669"/>
      <c r="BFG106" s="669"/>
      <c r="BFH106" s="669"/>
      <c r="BFI106" s="669"/>
      <c r="BFJ106" s="669"/>
      <c r="BFK106" s="669"/>
      <c r="BFL106" s="669"/>
      <c r="BFM106" s="669"/>
      <c r="BFN106" s="669"/>
      <c r="BFO106" s="669"/>
      <c r="BFP106" s="669"/>
      <c r="BFQ106" s="669"/>
      <c r="BFR106" s="669"/>
      <c r="BFS106" s="669"/>
      <c r="BFT106" s="669"/>
      <c r="BFU106" s="669"/>
      <c r="BFV106" s="669"/>
      <c r="BFW106" s="669"/>
      <c r="BFX106" s="669"/>
      <c r="BFY106" s="669"/>
      <c r="BFZ106" s="669"/>
      <c r="BGA106" s="669"/>
      <c r="BGB106" s="669"/>
      <c r="BGC106" s="669"/>
      <c r="BGD106" s="669"/>
      <c r="BGE106" s="669"/>
      <c r="BGF106" s="669"/>
      <c r="BGG106" s="669"/>
      <c r="BGH106" s="669"/>
      <c r="BGI106" s="669"/>
      <c r="BGJ106" s="669"/>
      <c r="BGK106" s="669"/>
      <c r="BGL106" s="669"/>
      <c r="BGM106" s="669"/>
      <c r="BGN106" s="669"/>
      <c r="BGO106" s="669"/>
      <c r="BGP106" s="669"/>
      <c r="BGQ106" s="669"/>
      <c r="BGR106" s="669"/>
      <c r="BGS106" s="669"/>
      <c r="BGT106" s="669"/>
      <c r="BGU106" s="669"/>
      <c r="BGV106" s="669"/>
      <c r="BGW106" s="669"/>
      <c r="BGX106" s="669"/>
      <c r="BGY106" s="669"/>
      <c r="BGZ106" s="669"/>
      <c r="BHA106" s="669"/>
      <c r="BHB106" s="669"/>
      <c r="BHC106" s="669"/>
      <c r="BHD106" s="669"/>
      <c r="BHE106" s="669"/>
      <c r="BHF106" s="669"/>
      <c r="BHG106" s="669"/>
      <c r="BHH106" s="669"/>
      <c r="BHI106" s="669"/>
      <c r="BHJ106" s="669"/>
      <c r="BHK106" s="669"/>
      <c r="BHL106" s="669"/>
      <c r="BHM106" s="669"/>
      <c r="BHN106" s="669"/>
      <c r="BHO106" s="669"/>
      <c r="BHP106" s="669"/>
      <c r="BHQ106" s="669"/>
      <c r="BHR106" s="669"/>
      <c r="BHS106" s="669"/>
      <c r="BHT106" s="669"/>
      <c r="BHU106" s="669"/>
      <c r="BHV106" s="669"/>
      <c r="BHW106" s="669"/>
      <c r="BHX106" s="669"/>
      <c r="BHY106" s="669"/>
      <c r="BHZ106" s="669"/>
      <c r="BIA106" s="669"/>
      <c r="BIB106" s="669"/>
      <c r="BIC106" s="669"/>
      <c r="BID106" s="669"/>
      <c r="BIE106" s="669"/>
      <c r="BIF106" s="669"/>
      <c r="BIG106" s="669"/>
      <c r="BIH106" s="669"/>
      <c r="BII106" s="669"/>
      <c r="BIJ106" s="669"/>
      <c r="BIK106" s="669"/>
      <c r="BIL106" s="669"/>
      <c r="BIM106" s="669"/>
      <c r="BIN106" s="669"/>
      <c r="BIO106" s="669"/>
      <c r="BIP106" s="669"/>
      <c r="BIQ106" s="669"/>
      <c r="BIR106" s="669"/>
      <c r="BIS106" s="669"/>
      <c r="BIT106" s="669"/>
      <c r="BIU106" s="669"/>
      <c r="BIV106" s="669"/>
      <c r="BIW106" s="669"/>
      <c r="BIX106" s="669"/>
      <c r="BIY106" s="669"/>
      <c r="BIZ106" s="669"/>
      <c r="BJA106" s="669"/>
      <c r="BJB106" s="669"/>
      <c r="BJC106" s="669"/>
      <c r="BJD106" s="669"/>
      <c r="BJE106" s="669"/>
      <c r="BJF106" s="669"/>
      <c r="BJG106" s="669"/>
      <c r="BJH106" s="669"/>
      <c r="BJI106" s="669"/>
      <c r="BJJ106" s="669"/>
      <c r="BJK106" s="669"/>
      <c r="BJL106" s="669"/>
      <c r="BJM106" s="669"/>
      <c r="BJN106" s="669"/>
      <c r="BJO106" s="669"/>
      <c r="BJP106" s="669"/>
      <c r="BJQ106" s="669"/>
      <c r="BJR106" s="669"/>
      <c r="BJS106" s="669"/>
      <c r="BJT106" s="669"/>
      <c r="BJU106" s="669"/>
      <c r="BJV106" s="669"/>
      <c r="BJW106" s="669"/>
      <c r="BJX106" s="669"/>
      <c r="BJY106" s="669"/>
      <c r="BJZ106" s="669"/>
      <c r="BKA106" s="669"/>
      <c r="BKB106" s="669"/>
      <c r="BKC106" s="669"/>
      <c r="BKD106" s="669"/>
      <c r="BKE106" s="669"/>
      <c r="BKF106" s="669"/>
      <c r="BKG106" s="669"/>
      <c r="BKH106" s="669"/>
      <c r="BKI106" s="669"/>
      <c r="BKJ106" s="669"/>
      <c r="BKK106" s="669"/>
      <c r="BKL106" s="669"/>
      <c r="BKM106" s="669"/>
      <c r="BKN106" s="669"/>
      <c r="BKO106" s="669"/>
      <c r="BKP106" s="669"/>
      <c r="BKQ106" s="669"/>
      <c r="BKR106" s="669"/>
      <c r="BKS106" s="669"/>
      <c r="BKT106" s="669"/>
      <c r="BKU106" s="669"/>
      <c r="BKV106" s="669"/>
      <c r="BKW106" s="669"/>
      <c r="BKX106" s="669"/>
      <c r="BKY106" s="669"/>
      <c r="BKZ106" s="669"/>
      <c r="BLA106" s="669"/>
      <c r="BLB106" s="669"/>
      <c r="BLC106" s="669"/>
      <c r="BLD106" s="669"/>
      <c r="BLE106" s="669"/>
      <c r="BLF106" s="669"/>
      <c r="BLG106" s="669"/>
      <c r="BLH106" s="669"/>
      <c r="BLI106" s="669"/>
      <c r="BLJ106" s="669"/>
      <c r="BLK106" s="669"/>
      <c r="BLL106" s="669"/>
      <c r="BLM106" s="669"/>
      <c r="BLN106" s="669"/>
      <c r="BLO106" s="669"/>
      <c r="BLP106" s="669"/>
      <c r="BLQ106" s="669"/>
      <c r="BLR106" s="669"/>
      <c r="BLS106" s="669"/>
      <c r="BLT106" s="669"/>
      <c r="BLU106" s="669"/>
      <c r="BLV106" s="669"/>
      <c r="BLW106" s="669"/>
      <c r="BLX106" s="669"/>
      <c r="BLY106" s="669"/>
      <c r="BLZ106" s="669"/>
      <c r="BMA106" s="669"/>
      <c r="BMB106" s="669"/>
      <c r="BMC106" s="669"/>
      <c r="BMD106" s="669"/>
      <c r="BME106" s="669"/>
      <c r="BMF106" s="669"/>
      <c r="BMG106" s="669"/>
      <c r="BMH106" s="669"/>
      <c r="BMI106" s="669"/>
      <c r="BMJ106" s="669"/>
      <c r="BMK106" s="669"/>
      <c r="BML106" s="669"/>
      <c r="BMM106" s="669"/>
      <c r="BMN106" s="669"/>
      <c r="BMO106" s="669"/>
      <c r="BMP106" s="669"/>
      <c r="BMQ106" s="669"/>
      <c r="BMR106" s="669"/>
      <c r="BMS106" s="669"/>
      <c r="BMT106" s="669"/>
      <c r="BMU106" s="669"/>
      <c r="BMV106" s="669"/>
      <c r="BMW106" s="669"/>
      <c r="BMX106" s="669"/>
      <c r="BMY106" s="669"/>
      <c r="BMZ106" s="669"/>
      <c r="BNA106" s="669"/>
      <c r="BNB106" s="669"/>
      <c r="BNC106" s="669"/>
      <c r="BND106" s="669"/>
      <c r="BNE106" s="669"/>
      <c r="BNF106" s="669"/>
      <c r="BNG106" s="669"/>
      <c r="BNH106" s="669"/>
      <c r="BNI106" s="669"/>
      <c r="BNJ106" s="669"/>
      <c r="BNK106" s="669"/>
      <c r="BNL106" s="669"/>
      <c r="BNM106" s="669"/>
      <c r="BNN106" s="669"/>
      <c r="BNO106" s="669"/>
      <c r="BNP106" s="669"/>
      <c r="BNQ106" s="669"/>
      <c r="BNR106" s="669"/>
      <c r="BNS106" s="669"/>
      <c r="BNT106" s="669"/>
      <c r="BNU106" s="669"/>
      <c r="BNV106" s="669"/>
      <c r="BNW106" s="669"/>
      <c r="BNX106" s="669"/>
      <c r="BNY106" s="669"/>
      <c r="BNZ106" s="669"/>
      <c r="BOA106" s="669"/>
      <c r="BOB106" s="669"/>
      <c r="BOC106" s="669"/>
      <c r="BOD106" s="669"/>
      <c r="BOE106" s="669"/>
      <c r="BOF106" s="669"/>
      <c r="BOG106" s="669"/>
      <c r="BOH106" s="669"/>
      <c r="BOI106" s="669"/>
      <c r="BOJ106" s="669"/>
      <c r="BOK106" s="669"/>
      <c r="BOL106" s="669"/>
      <c r="BOM106" s="669"/>
      <c r="BON106" s="669"/>
      <c r="BOO106" s="669"/>
      <c r="BOP106" s="669"/>
      <c r="BOQ106" s="669"/>
      <c r="BOR106" s="669"/>
      <c r="BOS106" s="669"/>
      <c r="BOT106" s="669"/>
      <c r="BOU106" s="669"/>
      <c r="BOV106" s="669"/>
      <c r="BOW106" s="669"/>
      <c r="BOX106" s="669"/>
      <c r="BOY106" s="669"/>
      <c r="BOZ106" s="669"/>
      <c r="BPA106" s="669"/>
      <c r="BPB106" s="669"/>
      <c r="BPC106" s="669"/>
      <c r="BPD106" s="669"/>
      <c r="BPE106" s="669"/>
      <c r="BPF106" s="669"/>
      <c r="BPG106" s="669"/>
      <c r="BPH106" s="669"/>
      <c r="BPI106" s="669"/>
      <c r="BPJ106" s="669"/>
      <c r="BPK106" s="669"/>
      <c r="BPL106" s="669"/>
      <c r="BPM106" s="669"/>
      <c r="BPN106" s="669"/>
      <c r="BPO106" s="669"/>
      <c r="BPP106" s="669"/>
      <c r="BPQ106" s="669"/>
      <c r="BPR106" s="669"/>
      <c r="BPS106" s="669"/>
      <c r="BPT106" s="669"/>
      <c r="BPU106" s="669"/>
      <c r="BPV106" s="669"/>
      <c r="BPW106" s="669"/>
      <c r="BPX106" s="669"/>
      <c r="BPY106" s="669"/>
      <c r="BPZ106" s="669"/>
      <c r="BQA106" s="669"/>
      <c r="BQB106" s="669"/>
      <c r="BQC106" s="669"/>
      <c r="BQD106" s="669"/>
      <c r="BQE106" s="669"/>
      <c r="BQF106" s="669"/>
      <c r="BQG106" s="669"/>
      <c r="BQH106" s="669"/>
      <c r="BQI106" s="669"/>
      <c r="BQJ106" s="669"/>
      <c r="BQK106" s="669"/>
      <c r="BQL106" s="669"/>
      <c r="BQM106" s="669"/>
      <c r="BQN106" s="669"/>
      <c r="BQO106" s="669"/>
      <c r="BQP106" s="669"/>
      <c r="BQQ106" s="669"/>
      <c r="BQR106" s="669"/>
      <c r="BQS106" s="669"/>
      <c r="BQT106" s="669"/>
      <c r="BQU106" s="669"/>
      <c r="BQV106" s="669"/>
      <c r="BQW106" s="669"/>
      <c r="BQX106" s="669"/>
      <c r="BQY106" s="669"/>
      <c r="BQZ106" s="669"/>
      <c r="BRA106" s="669"/>
      <c r="BRB106" s="669"/>
      <c r="BRC106" s="669"/>
      <c r="BRD106" s="669"/>
      <c r="BRE106" s="669"/>
      <c r="BRF106" s="669"/>
      <c r="BRG106" s="669"/>
      <c r="BRH106" s="669"/>
      <c r="BRI106" s="669"/>
      <c r="BRJ106" s="669"/>
      <c r="BRK106" s="669"/>
      <c r="BRL106" s="669"/>
      <c r="BRM106" s="669"/>
      <c r="BRN106" s="669"/>
      <c r="BRO106" s="669"/>
      <c r="BRP106" s="669"/>
      <c r="BRQ106" s="669"/>
      <c r="BRR106" s="669"/>
      <c r="BRS106" s="669"/>
      <c r="BRT106" s="669"/>
      <c r="BRU106" s="669"/>
      <c r="BRV106" s="669"/>
      <c r="BRW106" s="669"/>
      <c r="BRX106" s="669"/>
      <c r="BRY106" s="669"/>
      <c r="BRZ106" s="669"/>
      <c r="BSA106" s="669"/>
      <c r="BSB106" s="669"/>
      <c r="BSC106" s="669"/>
      <c r="BSD106" s="669"/>
      <c r="BSE106" s="669"/>
      <c r="BSF106" s="669"/>
      <c r="BSG106" s="669"/>
      <c r="BSH106" s="669"/>
      <c r="BSI106" s="669"/>
      <c r="BSJ106" s="669"/>
      <c r="BSK106" s="669"/>
      <c r="BSL106" s="669"/>
      <c r="BSM106" s="669"/>
      <c r="BSN106" s="669"/>
      <c r="BSO106" s="669"/>
      <c r="BSP106" s="669"/>
      <c r="BSQ106" s="669"/>
      <c r="BSR106" s="669"/>
      <c r="BSS106" s="669"/>
      <c r="BST106" s="669"/>
      <c r="BSU106" s="669"/>
      <c r="BSV106" s="669"/>
      <c r="BSW106" s="669"/>
      <c r="BSX106" s="669"/>
      <c r="BSY106" s="669"/>
      <c r="BSZ106" s="669"/>
      <c r="BTA106" s="669"/>
      <c r="BTB106" s="669"/>
      <c r="BTC106" s="669"/>
      <c r="BTD106" s="669"/>
      <c r="BTE106" s="669"/>
      <c r="BTF106" s="669"/>
      <c r="BTG106" s="669"/>
      <c r="BTH106" s="669"/>
      <c r="BTI106" s="669"/>
      <c r="BTJ106" s="669"/>
      <c r="BTK106" s="669"/>
      <c r="BTL106" s="669"/>
      <c r="BTM106" s="669"/>
      <c r="BTN106" s="669"/>
      <c r="BTO106" s="669"/>
      <c r="BTP106" s="669"/>
      <c r="BTQ106" s="669"/>
      <c r="BTR106" s="669"/>
      <c r="BTS106" s="669"/>
      <c r="BTT106" s="669"/>
      <c r="BTU106" s="669"/>
      <c r="BTV106" s="669"/>
      <c r="BTW106" s="669"/>
      <c r="BTX106" s="669"/>
      <c r="BTY106" s="669"/>
      <c r="BTZ106" s="669"/>
      <c r="BUA106" s="669"/>
      <c r="BUB106" s="669"/>
      <c r="BUC106" s="669"/>
      <c r="BUD106" s="669"/>
      <c r="BUE106" s="669"/>
      <c r="BUF106" s="669"/>
      <c r="BUG106" s="669"/>
      <c r="BUH106" s="669"/>
      <c r="BUI106" s="669"/>
      <c r="BUJ106" s="669"/>
      <c r="BUK106" s="669"/>
      <c r="BUL106" s="669"/>
      <c r="BUM106" s="669"/>
      <c r="BUN106" s="669"/>
      <c r="BUO106" s="669"/>
      <c r="BUP106" s="669"/>
      <c r="BUQ106" s="669"/>
      <c r="BUR106" s="669"/>
      <c r="BUS106" s="669"/>
      <c r="BUT106" s="669"/>
      <c r="BUU106" s="669"/>
      <c r="BUV106" s="669"/>
      <c r="BUW106" s="669"/>
      <c r="BUX106" s="669"/>
      <c r="BUY106" s="669"/>
      <c r="BUZ106" s="669"/>
      <c r="BVA106" s="669"/>
      <c r="BVB106" s="669"/>
      <c r="BVC106" s="669"/>
      <c r="BVD106" s="669"/>
      <c r="BVE106" s="669"/>
      <c r="BVF106" s="669"/>
      <c r="BVG106" s="669"/>
      <c r="BVH106" s="669"/>
      <c r="BVI106" s="669"/>
      <c r="BVJ106" s="669"/>
      <c r="BVK106" s="669"/>
      <c r="BVL106" s="669"/>
      <c r="BVM106" s="669"/>
      <c r="BVN106" s="669"/>
      <c r="BVO106" s="669"/>
      <c r="BVP106" s="669"/>
      <c r="BVQ106" s="669"/>
      <c r="BVR106" s="669"/>
      <c r="BVS106" s="669"/>
      <c r="BVT106" s="669"/>
      <c r="BVU106" s="669"/>
      <c r="BVV106" s="669"/>
      <c r="BVW106" s="669"/>
      <c r="BVX106" s="669"/>
      <c r="BVY106" s="669"/>
      <c r="BVZ106" s="669"/>
      <c r="BWA106" s="669"/>
      <c r="BWB106" s="669"/>
      <c r="BWC106" s="669"/>
      <c r="BWD106" s="669"/>
      <c r="BWE106" s="669"/>
      <c r="BWF106" s="669"/>
      <c r="BWG106" s="669"/>
      <c r="BWH106" s="669"/>
      <c r="BWI106" s="669"/>
      <c r="BWJ106" s="669"/>
      <c r="BWK106" s="669"/>
      <c r="BWL106" s="669"/>
      <c r="BWM106" s="669"/>
      <c r="BWN106" s="669"/>
      <c r="BWO106" s="669"/>
      <c r="BWP106" s="669"/>
      <c r="BWQ106" s="669"/>
      <c r="BWR106" s="669"/>
      <c r="BWS106" s="669"/>
      <c r="BWT106" s="669"/>
      <c r="BWU106" s="669"/>
      <c r="BWV106" s="669"/>
      <c r="BWW106" s="669"/>
      <c r="BWX106" s="669"/>
      <c r="BWY106" s="669"/>
      <c r="BWZ106" s="669"/>
      <c r="BXA106" s="669"/>
      <c r="BXB106" s="669"/>
      <c r="BXC106" s="669"/>
      <c r="BXD106" s="669"/>
      <c r="BXE106" s="669"/>
      <c r="BXF106" s="669"/>
      <c r="BXG106" s="669"/>
      <c r="BXH106" s="669"/>
      <c r="BXI106" s="669"/>
      <c r="BXJ106" s="669"/>
      <c r="BXK106" s="669"/>
      <c r="BXL106" s="669"/>
      <c r="BXM106" s="669"/>
      <c r="BXN106" s="669"/>
      <c r="BXO106" s="669"/>
      <c r="BXP106" s="669"/>
      <c r="BXQ106" s="669"/>
      <c r="BXR106" s="669"/>
      <c r="BXS106" s="669"/>
      <c r="BXT106" s="669"/>
      <c r="BXU106" s="669"/>
      <c r="BXV106" s="669"/>
      <c r="BXW106" s="669"/>
      <c r="BXX106" s="669"/>
      <c r="BXY106" s="669"/>
      <c r="BXZ106" s="669"/>
      <c r="BYA106" s="669"/>
      <c r="BYB106" s="669"/>
      <c r="BYC106" s="669"/>
      <c r="BYD106" s="669"/>
      <c r="BYE106" s="669"/>
      <c r="BYF106" s="669"/>
      <c r="BYG106" s="669"/>
      <c r="BYH106" s="669"/>
      <c r="BYI106" s="669"/>
      <c r="BYJ106" s="669"/>
      <c r="BYK106" s="669"/>
      <c r="BYL106" s="669"/>
      <c r="BYM106" s="669"/>
      <c r="BYN106" s="669"/>
      <c r="BYO106" s="669"/>
      <c r="BYP106" s="669"/>
      <c r="BYQ106" s="669"/>
      <c r="BYR106" s="669"/>
      <c r="BYS106" s="669"/>
      <c r="BYT106" s="669"/>
      <c r="BYU106" s="669"/>
      <c r="BYV106" s="669"/>
      <c r="BYW106" s="669"/>
      <c r="BYX106" s="669"/>
      <c r="BYY106" s="669"/>
      <c r="BYZ106" s="669"/>
      <c r="BZA106" s="669"/>
      <c r="BZB106" s="669"/>
      <c r="BZC106" s="669"/>
      <c r="BZD106" s="669"/>
      <c r="BZE106" s="669"/>
      <c r="BZF106" s="669"/>
      <c r="BZG106" s="669"/>
      <c r="BZH106" s="669"/>
      <c r="BZI106" s="669"/>
      <c r="BZJ106" s="669"/>
      <c r="BZK106" s="669"/>
      <c r="BZL106" s="669"/>
      <c r="BZM106" s="669"/>
      <c r="BZN106" s="669"/>
      <c r="BZO106" s="669"/>
      <c r="BZP106" s="669"/>
      <c r="BZQ106" s="669"/>
      <c r="BZR106" s="669"/>
      <c r="BZS106" s="669"/>
      <c r="BZT106" s="669"/>
      <c r="BZU106" s="669"/>
      <c r="BZV106" s="669"/>
      <c r="BZW106" s="669"/>
      <c r="BZX106" s="669"/>
      <c r="BZY106" s="669"/>
      <c r="BZZ106" s="669"/>
      <c r="CAA106" s="669"/>
      <c r="CAB106" s="669"/>
      <c r="CAC106" s="669"/>
      <c r="CAD106" s="669"/>
      <c r="CAE106" s="669"/>
      <c r="CAF106" s="669"/>
      <c r="CAG106" s="669"/>
      <c r="CAH106" s="669"/>
      <c r="CAI106" s="669"/>
      <c r="CAJ106" s="669"/>
      <c r="CAK106" s="669"/>
      <c r="CAL106" s="669"/>
      <c r="CAM106" s="669"/>
      <c r="CAN106" s="669"/>
      <c r="CAO106" s="669"/>
      <c r="CAP106" s="669"/>
      <c r="CAQ106" s="669"/>
      <c r="CAR106" s="669"/>
      <c r="CAS106" s="669"/>
      <c r="CAT106" s="669"/>
      <c r="CAU106" s="669"/>
      <c r="CAV106" s="669"/>
      <c r="CAW106" s="669"/>
      <c r="CAX106" s="669"/>
      <c r="CAY106" s="669"/>
      <c r="CAZ106" s="669"/>
      <c r="CBA106" s="669"/>
      <c r="CBB106" s="669"/>
      <c r="CBC106" s="669"/>
      <c r="CBD106" s="669"/>
      <c r="CBE106" s="669"/>
      <c r="CBF106" s="669"/>
      <c r="CBG106" s="669"/>
      <c r="CBH106" s="669"/>
      <c r="CBI106" s="669"/>
      <c r="CBJ106" s="669"/>
      <c r="CBK106" s="669"/>
      <c r="CBL106" s="669"/>
      <c r="CBM106" s="669"/>
      <c r="CBN106" s="669"/>
      <c r="CBO106" s="669"/>
      <c r="CBP106" s="669"/>
      <c r="CBQ106" s="669"/>
      <c r="CBR106" s="669"/>
      <c r="CBS106" s="669"/>
      <c r="CBT106" s="669"/>
      <c r="CBU106" s="669"/>
      <c r="CBV106" s="669"/>
      <c r="CBW106" s="669"/>
      <c r="CBX106" s="669"/>
      <c r="CBY106" s="669"/>
      <c r="CBZ106" s="669"/>
      <c r="CCA106" s="669"/>
      <c r="CCB106" s="669"/>
      <c r="CCC106" s="669"/>
      <c r="CCD106" s="669"/>
      <c r="CCE106" s="669"/>
      <c r="CCF106" s="669"/>
      <c r="CCG106" s="669"/>
      <c r="CCH106" s="669"/>
      <c r="CCI106" s="669"/>
      <c r="CCJ106" s="669"/>
      <c r="CCK106" s="669"/>
      <c r="CCL106" s="669"/>
      <c r="CCM106" s="669"/>
      <c r="CCN106" s="669"/>
      <c r="CCO106" s="669"/>
      <c r="CCP106" s="669"/>
      <c r="CCQ106" s="669"/>
      <c r="CCR106" s="669"/>
      <c r="CCS106" s="669"/>
      <c r="CCT106" s="669"/>
      <c r="CCU106" s="669"/>
      <c r="CCV106" s="669"/>
      <c r="CCW106" s="669"/>
      <c r="CCX106" s="669"/>
      <c r="CCY106" s="669"/>
      <c r="CCZ106" s="669"/>
      <c r="CDA106" s="669"/>
      <c r="CDB106" s="669"/>
      <c r="CDC106" s="669"/>
      <c r="CDD106" s="669"/>
      <c r="CDE106" s="669"/>
      <c r="CDF106" s="669"/>
      <c r="CDG106" s="669"/>
      <c r="CDH106" s="669"/>
      <c r="CDI106" s="669"/>
      <c r="CDJ106" s="669"/>
      <c r="CDK106" s="669"/>
      <c r="CDL106" s="669"/>
      <c r="CDM106" s="669"/>
      <c r="CDN106" s="669"/>
      <c r="CDO106" s="669"/>
      <c r="CDP106" s="669"/>
      <c r="CDQ106" s="669"/>
      <c r="CDR106" s="669"/>
      <c r="CDS106" s="669"/>
      <c r="CDT106" s="669"/>
      <c r="CDU106" s="669"/>
      <c r="CDV106" s="669"/>
      <c r="CDW106" s="669"/>
      <c r="CDX106" s="669"/>
      <c r="CDY106" s="669"/>
      <c r="CDZ106" s="669"/>
      <c r="CEA106" s="669"/>
      <c r="CEB106" s="669"/>
      <c r="CEC106" s="669"/>
      <c r="CED106" s="669"/>
      <c r="CEE106" s="669"/>
      <c r="CEF106" s="669"/>
      <c r="CEG106" s="669"/>
      <c r="CEH106" s="669"/>
      <c r="CEI106" s="669"/>
      <c r="CEJ106" s="669"/>
      <c r="CEK106" s="669"/>
      <c r="CEL106" s="669"/>
      <c r="CEM106" s="669"/>
      <c r="CEN106" s="669"/>
      <c r="CEO106" s="669"/>
      <c r="CEP106" s="669"/>
      <c r="CEQ106" s="669"/>
      <c r="CER106" s="669"/>
      <c r="CES106" s="669"/>
      <c r="CET106" s="669"/>
      <c r="CEU106" s="669"/>
      <c r="CEV106" s="669"/>
      <c r="CEW106" s="669"/>
      <c r="CEX106" s="669"/>
      <c r="CEY106" s="669"/>
      <c r="CEZ106" s="669"/>
      <c r="CFA106" s="669"/>
      <c r="CFB106" s="669"/>
      <c r="CFC106" s="669"/>
      <c r="CFD106" s="669"/>
      <c r="CFE106" s="669"/>
      <c r="CFF106" s="669"/>
      <c r="CFG106" s="669"/>
      <c r="CFH106" s="669"/>
      <c r="CFI106" s="669"/>
      <c r="CFJ106" s="669"/>
      <c r="CFK106" s="669"/>
      <c r="CFL106" s="669"/>
      <c r="CFM106" s="669"/>
      <c r="CFN106" s="669"/>
      <c r="CFO106" s="669"/>
      <c r="CFP106" s="669"/>
      <c r="CFQ106" s="669"/>
      <c r="CFR106" s="669"/>
      <c r="CFS106" s="669"/>
      <c r="CFT106" s="669"/>
      <c r="CFU106" s="669"/>
      <c r="CFV106" s="669"/>
      <c r="CFW106" s="669"/>
      <c r="CFX106" s="669"/>
      <c r="CFY106" s="669"/>
      <c r="CFZ106" s="669"/>
      <c r="CGA106" s="669"/>
      <c r="CGB106" s="669"/>
      <c r="CGC106" s="669"/>
      <c r="CGD106" s="669"/>
      <c r="CGE106" s="669"/>
      <c r="CGF106" s="669"/>
      <c r="CGG106" s="669"/>
      <c r="CGH106" s="669"/>
      <c r="CGI106" s="669"/>
      <c r="CGJ106" s="669"/>
      <c r="CGK106" s="669"/>
      <c r="CGL106" s="669"/>
      <c r="CGM106" s="669"/>
      <c r="CGN106" s="669"/>
      <c r="CGO106" s="669"/>
      <c r="CGP106" s="669"/>
      <c r="CGQ106" s="669"/>
      <c r="CGR106" s="669"/>
      <c r="CGS106" s="669"/>
      <c r="CGT106" s="669"/>
      <c r="CGU106" s="669"/>
      <c r="CGV106" s="669"/>
      <c r="CGW106" s="669"/>
      <c r="CGX106" s="669"/>
      <c r="CGY106" s="669"/>
      <c r="CGZ106" s="669"/>
      <c r="CHA106" s="669"/>
      <c r="CHB106" s="669"/>
      <c r="CHC106" s="669"/>
      <c r="CHD106" s="669"/>
      <c r="CHE106" s="669"/>
      <c r="CHF106" s="669"/>
      <c r="CHG106" s="669"/>
      <c r="CHH106" s="669"/>
      <c r="CHI106" s="669"/>
      <c r="CHJ106" s="669"/>
      <c r="CHK106" s="669"/>
      <c r="CHL106" s="669"/>
      <c r="CHM106" s="669"/>
      <c r="CHN106" s="669"/>
      <c r="CHO106" s="669"/>
      <c r="CHP106" s="669"/>
      <c r="CHQ106" s="669"/>
      <c r="CHR106" s="669"/>
      <c r="CHS106" s="669"/>
      <c r="CHT106" s="669"/>
      <c r="CHU106" s="669"/>
      <c r="CHV106" s="669"/>
      <c r="CHW106" s="669"/>
      <c r="CHX106" s="669"/>
      <c r="CHY106" s="669"/>
      <c r="CHZ106" s="669"/>
      <c r="CIA106" s="669"/>
      <c r="CIB106" s="669"/>
      <c r="CIC106" s="669"/>
      <c r="CID106" s="669"/>
      <c r="CIE106" s="669"/>
      <c r="CIF106" s="669"/>
      <c r="CIG106" s="669"/>
      <c r="CIH106" s="669"/>
      <c r="CII106" s="669"/>
      <c r="CIJ106" s="669"/>
      <c r="CIK106" s="669"/>
      <c r="CIL106" s="669"/>
      <c r="CIM106" s="669"/>
      <c r="CIN106" s="669"/>
      <c r="CIO106" s="669"/>
      <c r="CIP106" s="669"/>
      <c r="CIQ106" s="669"/>
      <c r="CIR106" s="669"/>
      <c r="CIS106" s="669"/>
      <c r="CIT106" s="669"/>
      <c r="CIU106" s="669"/>
      <c r="CIV106" s="669"/>
      <c r="CIW106" s="669"/>
      <c r="CIX106" s="669"/>
      <c r="CIY106" s="669"/>
      <c r="CIZ106" s="669"/>
      <c r="CJA106" s="669"/>
      <c r="CJB106" s="669"/>
      <c r="CJC106" s="669"/>
      <c r="CJD106" s="669"/>
      <c r="CJE106" s="669"/>
      <c r="CJF106" s="669"/>
      <c r="CJG106" s="669"/>
      <c r="CJH106" s="669"/>
      <c r="CJI106" s="669"/>
      <c r="CJJ106" s="669"/>
      <c r="CJK106" s="669"/>
      <c r="CJL106" s="669"/>
      <c r="CJM106" s="669"/>
      <c r="CJN106" s="669"/>
      <c r="CJO106" s="669"/>
      <c r="CJP106" s="669"/>
      <c r="CJQ106" s="669"/>
      <c r="CJR106" s="669"/>
      <c r="CJS106" s="669"/>
      <c r="CJT106" s="669"/>
      <c r="CJU106" s="669"/>
      <c r="CJV106" s="669"/>
      <c r="CJW106" s="669"/>
      <c r="CJX106" s="669"/>
      <c r="CJY106" s="669"/>
      <c r="CJZ106" s="669"/>
      <c r="CKA106" s="669"/>
      <c r="CKB106" s="669"/>
      <c r="CKC106" s="669"/>
      <c r="CKD106" s="669"/>
      <c r="CKE106" s="669"/>
      <c r="CKF106" s="669"/>
      <c r="CKG106" s="669"/>
      <c r="CKH106" s="669"/>
      <c r="CKI106" s="669"/>
      <c r="CKJ106" s="669"/>
      <c r="CKK106" s="669"/>
      <c r="CKL106" s="669"/>
      <c r="CKM106" s="669"/>
      <c r="CKN106" s="669"/>
      <c r="CKO106" s="669"/>
      <c r="CKP106" s="669"/>
      <c r="CKQ106" s="669"/>
      <c r="CKR106" s="669"/>
      <c r="CKS106" s="669"/>
      <c r="CKT106" s="669"/>
      <c r="CKU106" s="669"/>
      <c r="CKV106" s="669"/>
      <c r="CKW106" s="669"/>
      <c r="CKX106" s="669"/>
      <c r="CKY106" s="669"/>
      <c r="CKZ106" s="669"/>
      <c r="CLA106" s="669"/>
      <c r="CLB106" s="669"/>
      <c r="CLC106" s="669"/>
      <c r="CLD106" s="669"/>
      <c r="CLE106" s="669"/>
      <c r="CLF106" s="669"/>
      <c r="CLG106" s="669"/>
      <c r="CLH106" s="669"/>
      <c r="CLI106" s="669"/>
      <c r="CLJ106" s="669"/>
      <c r="CLK106" s="669"/>
      <c r="CLL106" s="669"/>
      <c r="CLM106" s="669"/>
      <c r="CLN106" s="669"/>
      <c r="CLO106" s="669"/>
      <c r="CLP106" s="669"/>
      <c r="CLQ106" s="669"/>
      <c r="CLR106" s="669"/>
      <c r="CLS106" s="669"/>
      <c r="CLT106" s="669"/>
      <c r="CLU106" s="669"/>
      <c r="CLV106" s="669"/>
      <c r="CLW106" s="669"/>
      <c r="CLX106" s="669"/>
      <c r="CLY106" s="669"/>
      <c r="CLZ106" s="669"/>
      <c r="CMA106" s="669"/>
      <c r="CMB106" s="669"/>
      <c r="CMC106" s="669"/>
      <c r="CMD106" s="669"/>
      <c r="CME106" s="669"/>
      <c r="CMF106" s="669"/>
      <c r="CMG106" s="669"/>
      <c r="CMH106" s="669"/>
      <c r="CMI106" s="669"/>
      <c r="CMJ106" s="669"/>
      <c r="CMK106" s="669"/>
      <c r="CML106" s="669"/>
      <c r="CMM106" s="669"/>
      <c r="CMN106" s="669"/>
      <c r="CMO106" s="669"/>
      <c r="CMP106" s="669"/>
      <c r="CMQ106" s="669"/>
      <c r="CMR106" s="669"/>
      <c r="CMS106" s="669"/>
      <c r="CMT106" s="669"/>
      <c r="CMU106" s="669"/>
      <c r="CMV106" s="669"/>
      <c r="CMW106" s="669"/>
      <c r="CMX106" s="669"/>
      <c r="CMY106" s="669"/>
      <c r="CMZ106" s="669"/>
      <c r="CNA106" s="669"/>
      <c r="CNB106" s="669"/>
      <c r="CNC106" s="669"/>
      <c r="CND106" s="669"/>
      <c r="CNE106" s="669"/>
      <c r="CNF106" s="669"/>
      <c r="CNG106" s="669"/>
      <c r="CNH106" s="669"/>
      <c r="CNI106" s="669"/>
      <c r="CNJ106" s="669"/>
      <c r="CNK106" s="669"/>
      <c r="CNL106" s="669"/>
      <c r="CNM106" s="669"/>
      <c r="CNN106" s="669"/>
      <c r="CNO106" s="669"/>
      <c r="CNP106" s="669"/>
      <c r="CNQ106" s="669"/>
      <c r="CNR106" s="669"/>
      <c r="CNS106" s="669"/>
      <c r="CNT106" s="669"/>
      <c r="CNU106" s="669"/>
      <c r="CNV106" s="669"/>
      <c r="CNW106" s="669"/>
      <c r="CNX106" s="669"/>
      <c r="CNY106" s="669"/>
      <c r="CNZ106" s="669"/>
      <c r="COA106" s="669"/>
      <c r="COB106" s="669"/>
      <c r="COC106" s="669"/>
      <c r="COD106" s="669"/>
      <c r="COE106" s="669"/>
      <c r="COF106" s="669"/>
      <c r="COG106" s="669"/>
      <c r="COH106" s="669"/>
      <c r="COI106" s="669"/>
      <c r="COJ106" s="669"/>
      <c r="COK106" s="669"/>
      <c r="COL106" s="669"/>
      <c r="COM106" s="669"/>
      <c r="CON106" s="669"/>
      <c r="COO106" s="669"/>
      <c r="COP106" s="669"/>
      <c r="COQ106" s="669"/>
      <c r="COR106" s="669"/>
      <c r="COS106" s="669"/>
      <c r="COT106" s="669"/>
      <c r="COU106" s="669"/>
      <c r="COV106" s="669"/>
      <c r="COW106" s="669"/>
      <c r="COX106" s="669"/>
      <c r="COY106" s="669"/>
      <c r="COZ106" s="669"/>
      <c r="CPA106" s="669"/>
      <c r="CPB106" s="669"/>
      <c r="CPC106" s="669"/>
      <c r="CPD106" s="669"/>
      <c r="CPE106" s="669"/>
      <c r="CPF106" s="669"/>
      <c r="CPG106" s="669"/>
      <c r="CPH106" s="669"/>
      <c r="CPI106" s="669"/>
      <c r="CPJ106" s="669"/>
      <c r="CPK106" s="669"/>
      <c r="CPL106" s="669"/>
      <c r="CPM106" s="669"/>
      <c r="CPN106" s="669"/>
      <c r="CPO106" s="669"/>
      <c r="CPP106" s="669"/>
      <c r="CPQ106" s="669"/>
      <c r="CPR106" s="669"/>
      <c r="CPS106" s="669"/>
      <c r="CPT106" s="669"/>
      <c r="CPU106" s="669"/>
      <c r="CPV106" s="669"/>
      <c r="CPW106" s="669"/>
      <c r="CPX106" s="669"/>
      <c r="CPY106" s="669"/>
      <c r="CPZ106" s="669"/>
      <c r="CQA106" s="669"/>
      <c r="CQB106" s="669"/>
      <c r="CQC106" s="669"/>
      <c r="CQD106" s="669"/>
      <c r="CQE106" s="669"/>
      <c r="CQF106" s="669"/>
      <c r="CQG106" s="669"/>
      <c r="CQH106" s="669"/>
      <c r="CQI106" s="669"/>
      <c r="CQJ106" s="669"/>
      <c r="CQK106" s="669"/>
      <c r="CQL106" s="669"/>
      <c r="CQM106" s="669"/>
      <c r="CQN106" s="669"/>
      <c r="CQO106" s="669"/>
      <c r="CQP106" s="669"/>
      <c r="CQQ106" s="669"/>
      <c r="CQR106" s="669"/>
      <c r="CQS106" s="669"/>
      <c r="CQT106" s="669"/>
      <c r="CQU106" s="669"/>
      <c r="CQV106" s="669"/>
      <c r="CQW106" s="669"/>
      <c r="CQX106" s="669"/>
      <c r="CQY106" s="669"/>
      <c r="CQZ106" s="669"/>
      <c r="CRA106" s="669"/>
      <c r="CRB106" s="669"/>
      <c r="CRC106" s="669"/>
      <c r="CRD106" s="669"/>
      <c r="CRE106" s="669"/>
      <c r="CRF106" s="669"/>
      <c r="CRG106" s="669"/>
      <c r="CRH106" s="669"/>
      <c r="CRI106" s="669"/>
      <c r="CRJ106" s="669"/>
      <c r="CRK106" s="669"/>
      <c r="CRL106" s="669"/>
      <c r="CRM106" s="669"/>
      <c r="CRN106" s="669"/>
      <c r="CRO106" s="669"/>
      <c r="CRP106" s="669"/>
      <c r="CRQ106" s="669"/>
      <c r="CRR106" s="669"/>
      <c r="CRS106" s="669"/>
      <c r="CRT106" s="669"/>
      <c r="CRU106" s="669"/>
      <c r="CRV106" s="669"/>
      <c r="CRW106" s="669"/>
      <c r="CRX106" s="669"/>
      <c r="CRY106" s="669"/>
      <c r="CRZ106" s="669"/>
      <c r="CSA106" s="669"/>
      <c r="CSB106" s="669"/>
      <c r="CSC106" s="669"/>
      <c r="CSD106" s="669"/>
      <c r="CSE106" s="669"/>
      <c r="CSF106" s="669"/>
      <c r="CSG106" s="669"/>
      <c r="CSH106" s="669"/>
      <c r="CSI106" s="669"/>
      <c r="CSJ106" s="669"/>
      <c r="CSK106" s="669"/>
      <c r="CSL106" s="669"/>
      <c r="CSM106" s="669"/>
      <c r="CSN106" s="669"/>
      <c r="CSO106" s="669"/>
      <c r="CSP106" s="669"/>
      <c r="CSQ106" s="669"/>
      <c r="CSR106" s="669"/>
      <c r="CSS106" s="669"/>
      <c r="CST106" s="669"/>
      <c r="CSU106" s="669"/>
      <c r="CSV106" s="669"/>
      <c r="CSW106" s="669"/>
      <c r="CSX106" s="669"/>
      <c r="CSY106" s="669"/>
      <c r="CSZ106" s="669"/>
      <c r="CTA106" s="669"/>
      <c r="CTB106" s="669"/>
      <c r="CTC106" s="669"/>
      <c r="CTD106" s="669"/>
      <c r="CTE106" s="669"/>
      <c r="CTF106" s="669"/>
      <c r="CTG106" s="669"/>
      <c r="CTH106" s="669"/>
      <c r="CTI106" s="669"/>
      <c r="CTJ106" s="669"/>
      <c r="CTK106" s="669"/>
      <c r="CTL106" s="669"/>
      <c r="CTM106" s="669"/>
      <c r="CTN106" s="669"/>
      <c r="CTO106" s="669"/>
      <c r="CTP106" s="669"/>
      <c r="CTQ106" s="669"/>
      <c r="CTR106" s="669"/>
      <c r="CTS106" s="669"/>
      <c r="CTT106" s="669"/>
      <c r="CTU106" s="669"/>
      <c r="CTV106" s="669"/>
      <c r="CTW106" s="669"/>
      <c r="CTX106" s="669"/>
      <c r="CTY106" s="669"/>
      <c r="CTZ106" s="669"/>
      <c r="CUA106" s="669"/>
      <c r="CUB106" s="669"/>
      <c r="CUC106" s="669"/>
      <c r="CUD106" s="669"/>
      <c r="CUE106" s="669"/>
      <c r="CUF106" s="669"/>
      <c r="CUG106" s="669"/>
      <c r="CUH106" s="669"/>
      <c r="CUI106" s="669"/>
      <c r="CUJ106" s="669"/>
      <c r="CUK106" s="669"/>
      <c r="CUL106" s="669"/>
      <c r="CUM106" s="669"/>
      <c r="CUN106" s="669"/>
      <c r="CUO106" s="669"/>
      <c r="CUP106" s="669"/>
      <c r="CUQ106" s="669"/>
      <c r="CUR106" s="669"/>
      <c r="CUS106" s="669"/>
      <c r="CUT106" s="669"/>
      <c r="CUU106" s="669"/>
      <c r="CUV106" s="669"/>
      <c r="CUW106" s="669"/>
      <c r="CUX106" s="669"/>
      <c r="CUY106" s="669"/>
      <c r="CUZ106" s="669"/>
      <c r="CVA106" s="669"/>
      <c r="CVB106" s="669"/>
      <c r="CVC106" s="669"/>
      <c r="CVD106" s="669"/>
      <c r="CVE106" s="669"/>
      <c r="CVF106" s="669"/>
      <c r="CVG106" s="669"/>
      <c r="CVH106" s="669"/>
      <c r="CVI106" s="669"/>
      <c r="CVJ106" s="669"/>
      <c r="CVK106" s="669"/>
      <c r="CVL106" s="669"/>
      <c r="CVM106" s="669"/>
      <c r="CVN106" s="669"/>
      <c r="CVO106" s="669"/>
      <c r="CVP106" s="669"/>
      <c r="CVQ106" s="669"/>
      <c r="CVR106" s="669"/>
      <c r="CVS106" s="669"/>
      <c r="CVT106" s="669"/>
      <c r="CVU106" s="669"/>
      <c r="CVV106" s="669"/>
      <c r="CVW106" s="669"/>
      <c r="CVX106" s="669"/>
      <c r="CVY106" s="669"/>
      <c r="CVZ106" s="669"/>
      <c r="CWA106" s="669"/>
      <c r="CWB106" s="669"/>
      <c r="CWC106" s="669"/>
      <c r="CWD106" s="669"/>
      <c r="CWE106" s="669"/>
      <c r="CWF106" s="669"/>
      <c r="CWG106" s="669"/>
      <c r="CWH106" s="669"/>
      <c r="CWI106" s="669"/>
      <c r="CWJ106" s="669"/>
      <c r="CWK106" s="669"/>
      <c r="CWL106" s="669"/>
      <c r="CWM106" s="669"/>
      <c r="CWN106" s="669"/>
      <c r="CWO106" s="669"/>
      <c r="CWP106" s="669"/>
      <c r="CWQ106" s="669"/>
      <c r="CWR106" s="669"/>
      <c r="CWS106" s="669"/>
      <c r="CWT106" s="669"/>
      <c r="CWU106" s="669"/>
      <c r="CWV106" s="669"/>
      <c r="CWW106" s="669"/>
      <c r="CWX106" s="669"/>
      <c r="CWY106" s="669"/>
      <c r="CWZ106" s="669"/>
      <c r="CXA106" s="669"/>
      <c r="CXB106" s="669"/>
      <c r="CXC106" s="669"/>
      <c r="CXD106" s="669"/>
      <c r="CXE106" s="669"/>
      <c r="CXF106" s="669"/>
      <c r="CXG106" s="669"/>
      <c r="CXH106" s="669"/>
      <c r="CXI106" s="669"/>
      <c r="CXJ106" s="669"/>
      <c r="CXK106" s="669"/>
      <c r="CXL106" s="669"/>
      <c r="CXM106" s="669"/>
      <c r="CXN106" s="669"/>
      <c r="CXO106" s="669"/>
      <c r="CXP106" s="669"/>
      <c r="CXQ106" s="669"/>
      <c r="CXR106" s="669"/>
      <c r="CXS106" s="669"/>
      <c r="CXT106" s="669"/>
      <c r="CXU106" s="669"/>
      <c r="CXV106" s="669"/>
      <c r="CXW106" s="669"/>
      <c r="CXX106" s="669"/>
      <c r="CXY106" s="669"/>
      <c r="CXZ106" s="669"/>
      <c r="CYA106" s="669"/>
      <c r="CYB106" s="669"/>
      <c r="CYC106" s="669"/>
      <c r="CYD106" s="669"/>
      <c r="CYE106" s="669"/>
      <c r="CYF106" s="669"/>
      <c r="CYG106" s="669"/>
      <c r="CYH106" s="669"/>
      <c r="CYI106" s="669"/>
      <c r="CYJ106" s="669"/>
      <c r="CYK106" s="669"/>
      <c r="CYL106" s="669"/>
      <c r="CYM106" s="669"/>
      <c r="CYN106" s="669"/>
      <c r="CYO106" s="669"/>
      <c r="CYP106" s="669"/>
      <c r="CYQ106" s="669"/>
      <c r="CYR106" s="669"/>
      <c r="CYS106" s="669"/>
      <c r="CYT106" s="669"/>
      <c r="CYU106" s="669"/>
      <c r="CYV106" s="669"/>
      <c r="CYW106" s="669"/>
      <c r="CYX106" s="669"/>
      <c r="CYY106" s="669"/>
      <c r="CYZ106" s="669"/>
      <c r="CZA106" s="669"/>
      <c r="CZB106" s="669"/>
      <c r="CZC106" s="669"/>
      <c r="CZD106" s="669"/>
      <c r="CZE106" s="669"/>
      <c r="CZF106" s="669"/>
      <c r="CZG106" s="669"/>
      <c r="CZH106" s="669"/>
      <c r="CZI106" s="669"/>
      <c r="CZJ106" s="669"/>
      <c r="CZK106" s="669"/>
      <c r="CZL106" s="669"/>
      <c r="CZM106" s="669"/>
      <c r="CZN106" s="669"/>
      <c r="CZO106" s="669"/>
      <c r="CZP106" s="669"/>
      <c r="CZQ106" s="669"/>
      <c r="CZR106" s="669"/>
      <c r="CZS106" s="669"/>
      <c r="CZT106" s="669"/>
      <c r="CZU106" s="669"/>
      <c r="CZV106" s="669"/>
      <c r="CZW106" s="669"/>
      <c r="CZX106" s="669"/>
      <c r="CZY106" s="669"/>
      <c r="CZZ106" s="669"/>
      <c r="DAA106" s="669"/>
      <c r="DAB106" s="669"/>
      <c r="DAC106" s="669"/>
      <c r="DAD106" s="669"/>
      <c r="DAE106" s="669"/>
      <c r="DAF106" s="669"/>
      <c r="DAG106" s="669"/>
      <c r="DAH106" s="669"/>
      <c r="DAI106" s="669"/>
      <c r="DAJ106" s="669"/>
      <c r="DAK106" s="669"/>
      <c r="DAL106" s="669"/>
      <c r="DAM106" s="669"/>
      <c r="DAN106" s="669"/>
      <c r="DAO106" s="669"/>
      <c r="DAP106" s="669"/>
      <c r="DAQ106" s="669"/>
      <c r="DAR106" s="669"/>
      <c r="DAS106" s="669"/>
      <c r="DAT106" s="669"/>
      <c r="DAU106" s="669"/>
      <c r="DAV106" s="669"/>
      <c r="DAW106" s="669"/>
      <c r="DAX106" s="669"/>
      <c r="DAY106" s="669"/>
      <c r="DAZ106" s="669"/>
      <c r="DBA106" s="669"/>
      <c r="DBB106" s="669"/>
      <c r="DBC106" s="669"/>
      <c r="DBD106" s="669"/>
      <c r="DBE106" s="669"/>
      <c r="DBF106" s="669"/>
      <c r="DBG106" s="669"/>
      <c r="DBH106" s="669"/>
      <c r="DBI106" s="669"/>
      <c r="DBJ106" s="669"/>
      <c r="DBK106" s="669"/>
      <c r="DBL106" s="669"/>
      <c r="DBM106" s="669"/>
      <c r="DBN106" s="669"/>
      <c r="DBO106" s="669"/>
      <c r="DBP106" s="669"/>
      <c r="DBQ106" s="669"/>
      <c r="DBR106" s="669"/>
      <c r="DBS106" s="669"/>
      <c r="DBT106" s="669"/>
      <c r="DBU106" s="669"/>
      <c r="DBV106" s="669"/>
      <c r="DBW106" s="669"/>
      <c r="DBX106" s="669"/>
      <c r="DBY106" s="669"/>
      <c r="DBZ106" s="669"/>
      <c r="DCA106" s="669"/>
      <c r="DCB106" s="669"/>
      <c r="DCC106" s="669"/>
      <c r="DCD106" s="669"/>
      <c r="DCE106" s="669"/>
      <c r="DCF106" s="669"/>
      <c r="DCG106" s="669"/>
      <c r="DCH106" s="669"/>
      <c r="DCI106" s="669"/>
      <c r="DCJ106" s="669"/>
      <c r="DCK106" s="669"/>
      <c r="DCL106" s="669"/>
      <c r="DCM106" s="669"/>
      <c r="DCN106" s="669"/>
      <c r="DCO106" s="669"/>
      <c r="DCP106" s="669"/>
      <c r="DCQ106" s="669"/>
      <c r="DCR106" s="669"/>
      <c r="DCS106" s="669"/>
      <c r="DCT106" s="669"/>
      <c r="DCU106" s="669"/>
      <c r="DCV106" s="669"/>
      <c r="DCW106" s="669"/>
      <c r="DCX106" s="669"/>
      <c r="DCY106" s="669"/>
      <c r="DCZ106" s="669"/>
      <c r="DDA106" s="669"/>
      <c r="DDB106" s="669"/>
      <c r="DDC106" s="669"/>
      <c r="DDD106" s="669"/>
      <c r="DDE106" s="669"/>
      <c r="DDF106" s="669"/>
      <c r="DDG106" s="669"/>
      <c r="DDH106" s="669"/>
      <c r="DDI106" s="669"/>
      <c r="DDJ106" s="669"/>
      <c r="DDK106" s="669"/>
      <c r="DDL106" s="669"/>
      <c r="DDM106" s="669"/>
      <c r="DDN106" s="669"/>
      <c r="DDO106" s="669"/>
      <c r="DDP106" s="669"/>
      <c r="DDQ106" s="669"/>
      <c r="DDR106" s="669"/>
      <c r="DDS106" s="669"/>
      <c r="DDT106" s="669"/>
      <c r="DDU106" s="669"/>
      <c r="DDV106" s="669"/>
      <c r="DDW106" s="669"/>
      <c r="DDX106" s="669"/>
      <c r="DDY106" s="669"/>
      <c r="DDZ106" s="669"/>
      <c r="DEA106" s="669"/>
      <c r="DEB106" s="669"/>
      <c r="DEC106" s="669"/>
      <c r="DED106" s="669"/>
      <c r="DEE106" s="669"/>
      <c r="DEF106" s="669"/>
      <c r="DEG106" s="669"/>
      <c r="DEH106" s="669"/>
      <c r="DEI106" s="669"/>
      <c r="DEJ106" s="669"/>
      <c r="DEK106" s="669"/>
      <c r="DEL106" s="669"/>
      <c r="DEM106" s="669"/>
      <c r="DEN106" s="669"/>
      <c r="DEO106" s="669"/>
      <c r="DEP106" s="669"/>
      <c r="DEQ106" s="669"/>
      <c r="DER106" s="669"/>
      <c r="DES106" s="669"/>
      <c r="DET106" s="669"/>
      <c r="DEU106" s="669"/>
      <c r="DEV106" s="669"/>
      <c r="DEW106" s="669"/>
      <c r="DEX106" s="669"/>
      <c r="DEY106" s="669"/>
      <c r="DEZ106" s="669"/>
      <c r="DFA106" s="669"/>
      <c r="DFB106" s="669"/>
      <c r="DFC106" s="669"/>
      <c r="DFD106" s="669"/>
      <c r="DFE106" s="669"/>
      <c r="DFF106" s="669"/>
      <c r="DFG106" s="669"/>
      <c r="DFH106" s="669"/>
      <c r="DFI106" s="669"/>
      <c r="DFJ106" s="669"/>
      <c r="DFK106" s="669"/>
      <c r="DFL106" s="669"/>
      <c r="DFM106" s="669"/>
      <c r="DFN106" s="669"/>
      <c r="DFO106" s="669"/>
      <c r="DFP106" s="669"/>
      <c r="DFQ106" s="669"/>
      <c r="DFR106" s="669"/>
      <c r="DFS106" s="669"/>
      <c r="DFT106" s="669"/>
      <c r="DFU106" s="669"/>
      <c r="DFV106" s="669"/>
      <c r="DFW106" s="669"/>
      <c r="DFX106" s="669"/>
      <c r="DFY106" s="669"/>
      <c r="DFZ106" s="669"/>
      <c r="DGA106" s="669"/>
      <c r="DGB106" s="669"/>
      <c r="DGC106" s="669"/>
      <c r="DGD106" s="669"/>
      <c r="DGE106" s="669"/>
      <c r="DGF106" s="669"/>
      <c r="DGG106" s="669"/>
      <c r="DGH106" s="669"/>
      <c r="DGI106" s="669"/>
      <c r="DGJ106" s="669"/>
      <c r="DGK106" s="669"/>
      <c r="DGL106" s="669"/>
      <c r="DGM106" s="669"/>
      <c r="DGN106" s="669"/>
      <c r="DGO106" s="669"/>
      <c r="DGP106" s="669"/>
      <c r="DGQ106" s="669"/>
      <c r="DGR106" s="669"/>
      <c r="DGS106" s="669"/>
      <c r="DGT106" s="669"/>
      <c r="DGU106" s="669"/>
      <c r="DGV106" s="669"/>
      <c r="DGW106" s="669"/>
      <c r="DGX106" s="669"/>
      <c r="DGY106" s="669"/>
      <c r="DGZ106" s="669"/>
      <c r="DHA106" s="669"/>
      <c r="DHB106" s="669"/>
      <c r="DHC106" s="669"/>
      <c r="DHD106" s="669"/>
      <c r="DHE106" s="669"/>
      <c r="DHF106" s="669"/>
      <c r="DHG106" s="669"/>
      <c r="DHH106" s="669"/>
      <c r="DHI106" s="669"/>
      <c r="DHJ106" s="669"/>
      <c r="DHK106" s="669"/>
      <c r="DHL106" s="669"/>
      <c r="DHM106" s="669"/>
      <c r="DHN106" s="669"/>
      <c r="DHO106" s="669"/>
      <c r="DHP106" s="669"/>
      <c r="DHQ106" s="669"/>
      <c r="DHR106" s="669"/>
      <c r="DHS106" s="669"/>
      <c r="DHT106" s="669"/>
      <c r="DHU106" s="669"/>
      <c r="DHV106" s="669"/>
      <c r="DHW106" s="669"/>
      <c r="DHX106" s="669"/>
      <c r="DHY106" s="669"/>
      <c r="DHZ106" s="669"/>
      <c r="DIA106" s="669"/>
      <c r="DIB106" s="669"/>
      <c r="DIC106" s="669"/>
      <c r="DID106" s="669"/>
      <c r="DIE106" s="669"/>
      <c r="DIF106" s="669"/>
      <c r="DIG106" s="669"/>
      <c r="DIH106" s="669"/>
      <c r="DII106" s="669"/>
      <c r="DIJ106" s="669"/>
      <c r="DIK106" s="669"/>
      <c r="DIL106" s="669"/>
      <c r="DIM106" s="669"/>
      <c r="DIN106" s="669"/>
      <c r="DIO106" s="669"/>
      <c r="DIP106" s="669"/>
      <c r="DIQ106" s="669"/>
      <c r="DIR106" s="669"/>
      <c r="DIS106" s="669"/>
      <c r="DIT106" s="669"/>
      <c r="DIU106" s="669"/>
      <c r="DIV106" s="669"/>
      <c r="DIW106" s="669"/>
      <c r="DIX106" s="669"/>
      <c r="DIY106" s="669"/>
      <c r="DIZ106" s="669"/>
      <c r="DJA106" s="669"/>
      <c r="DJB106" s="669"/>
      <c r="DJC106" s="669"/>
      <c r="DJD106" s="669"/>
      <c r="DJE106" s="669"/>
      <c r="DJF106" s="669"/>
      <c r="DJG106" s="669"/>
      <c r="DJH106" s="669"/>
      <c r="DJI106" s="669"/>
      <c r="DJJ106" s="669"/>
      <c r="DJK106" s="669"/>
      <c r="DJL106" s="669"/>
      <c r="DJM106" s="669"/>
      <c r="DJN106" s="669"/>
      <c r="DJO106" s="669"/>
      <c r="DJP106" s="669"/>
      <c r="DJQ106" s="669"/>
      <c r="DJR106" s="669"/>
      <c r="DJS106" s="669"/>
      <c r="DJT106" s="669"/>
      <c r="DJU106" s="669"/>
      <c r="DJV106" s="669"/>
      <c r="DJW106" s="669"/>
      <c r="DJX106" s="669"/>
      <c r="DJY106" s="669"/>
      <c r="DJZ106" s="669"/>
      <c r="DKA106" s="669"/>
      <c r="DKB106" s="669"/>
      <c r="DKC106" s="669"/>
      <c r="DKD106" s="669"/>
      <c r="DKE106" s="669"/>
      <c r="DKF106" s="669"/>
      <c r="DKG106" s="669"/>
      <c r="DKH106" s="669"/>
      <c r="DKI106" s="669"/>
      <c r="DKJ106" s="669"/>
      <c r="DKK106" s="669"/>
      <c r="DKL106" s="669"/>
      <c r="DKM106" s="669"/>
      <c r="DKN106" s="669"/>
      <c r="DKO106" s="669"/>
      <c r="DKP106" s="669"/>
      <c r="DKQ106" s="669"/>
      <c r="DKR106" s="669"/>
      <c r="DKS106" s="669"/>
      <c r="DKT106" s="669"/>
      <c r="DKU106" s="669"/>
      <c r="DKV106" s="669"/>
      <c r="DKW106" s="669"/>
      <c r="DKX106" s="669"/>
      <c r="DKY106" s="669"/>
      <c r="DKZ106" s="669"/>
      <c r="DLA106" s="669"/>
      <c r="DLB106" s="669"/>
      <c r="DLC106" s="669"/>
      <c r="DLD106" s="669"/>
      <c r="DLE106" s="669"/>
      <c r="DLF106" s="669"/>
      <c r="DLG106" s="669"/>
      <c r="DLH106" s="669"/>
      <c r="DLI106" s="669"/>
      <c r="DLJ106" s="669"/>
      <c r="DLK106" s="669"/>
      <c r="DLL106" s="669"/>
      <c r="DLM106" s="669"/>
      <c r="DLN106" s="669"/>
      <c r="DLO106" s="669"/>
      <c r="DLP106" s="669"/>
      <c r="DLQ106" s="669"/>
      <c r="DLR106" s="669"/>
      <c r="DLS106" s="669"/>
      <c r="DLT106" s="669"/>
      <c r="DLU106" s="669"/>
      <c r="DLV106" s="669"/>
      <c r="DLW106" s="669"/>
      <c r="DLX106" s="669"/>
      <c r="DLY106" s="669"/>
      <c r="DLZ106" s="669"/>
      <c r="DMA106" s="669"/>
      <c r="DMB106" s="669"/>
      <c r="DMC106" s="669"/>
      <c r="DMD106" s="669"/>
      <c r="DME106" s="669"/>
      <c r="DMF106" s="669"/>
      <c r="DMG106" s="669"/>
      <c r="DMH106" s="669"/>
      <c r="DMI106" s="669"/>
      <c r="DMJ106" s="669"/>
      <c r="DMK106" s="669"/>
      <c r="DML106" s="669"/>
      <c r="DMM106" s="669"/>
      <c r="DMN106" s="669"/>
      <c r="DMO106" s="669"/>
      <c r="DMP106" s="669"/>
      <c r="DMQ106" s="669"/>
      <c r="DMR106" s="669"/>
      <c r="DMS106" s="669"/>
      <c r="DMT106" s="669"/>
      <c r="DMU106" s="669"/>
      <c r="DMV106" s="669"/>
      <c r="DMW106" s="669"/>
      <c r="DMX106" s="669"/>
      <c r="DMY106" s="669"/>
      <c r="DMZ106" s="669"/>
      <c r="DNA106" s="669"/>
      <c r="DNB106" s="669"/>
      <c r="DNC106" s="669"/>
      <c r="DND106" s="669"/>
      <c r="DNE106" s="669"/>
      <c r="DNF106" s="669"/>
      <c r="DNG106" s="669"/>
      <c r="DNH106" s="669"/>
      <c r="DNI106" s="669"/>
      <c r="DNJ106" s="669"/>
      <c r="DNK106" s="669"/>
      <c r="DNL106" s="669"/>
      <c r="DNM106" s="669"/>
      <c r="DNN106" s="669"/>
      <c r="DNO106" s="669"/>
      <c r="DNP106" s="669"/>
      <c r="DNQ106" s="669"/>
      <c r="DNR106" s="669"/>
      <c r="DNS106" s="669"/>
      <c r="DNT106" s="669"/>
      <c r="DNU106" s="669"/>
      <c r="DNV106" s="669"/>
      <c r="DNW106" s="669"/>
      <c r="DNX106" s="669"/>
      <c r="DNY106" s="669"/>
      <c r="DNZ106" s="669"/>
      <c r="DOA106" s="669"/>
      <c r="DOB106" s="669"/>
      <c r="DOC106" s="669"/>
      <c r="DOD106" s="669"/>
      <c r="DOE106" s="669"/>
      <c r="DOF106" s="669"/>
      <c r="DOG106" s="669"/>
      <c r="DOH106" s="669"/>
      <c r="DOI106" s="669"/>
      <c r="DOJ106" s="669"/>
      <c r="DOK106" s="669"/>
      <c r="DOL106" s="669"/>
      <c r="DOM106" s="669"/>
      <c r="DON106" s="669"/>
      <c r="DOO106" s="669"/>
      <c r="DOP106" s="669"/>
      <c r="DOQ106" s="669"/>
      <c r="DOR106" s="669"/>
      <c r="DOS106" s="669"/>
      <c r="DOT106" s="669"/>
      <c r="DOU106" s="669"/>
      <c r="DOV106" s="669"/>
      <c r="DOW106" s="669"/>
      <c r="DOX106" s="669"/>
      <c r="DOY106" s="669"/>
      <c r="DOZ106" s="669"/>
      <c r="DPA106" s="669"/>
      <c r="DPB106" s="669"/>
      <c r="DPC106" s="669"/>
      <c r="DPD106" s="669"/>
      <c r="DPE106" s="669"/>
      <c r="DPF106" s="669"/>
      <c r="DPG106" s="669"/>
      <c r="DPH106" s="669"/>
      <c r="DPI106" s="669"/>
      <c r="DPJ106" s="669"/>
      <c r="DPK106" s="669"/>
      <c r="DPL106" s="669"/>
      <c r="DPM106" s="669"/>
      <c r="DPN106" s="669"/>
      <c r="DPO106" s="669"/>
      <c r="DPP106" s="669"/>
      <c r="DPQ106" s="669"/>
      <c r="DPR106" s="669"/>
      <c r="DPS106" s="669"/>
      <c r="DPT106" s="669"/>
      <c r="DPU106" s="669"/>
      <c r="DPV106" s="669"/>
      <c r="DPW106" s="669"/>
      <c r="DPX106" s="669"/>
      <c r="DPY106" s="669"/>
      <c r="DPZ106" s="669"/>
      <c r="DQA106" s="669"/>
      <c r="DQB106" s="669"/>
      <c r="DQC106" s="669"/>
      <c r="DQD106" s="669"/>
      <c r="DQE106" s="669"/>
      <c r="DQF106" s="669"/>
      <c r="DQG106" s="669"/>
      <c r="DQH106" s="669"/>
      <c r="DQI106" s="669"/>
      <c r="DQJ106" s="669"/>
      <c r="DQK106" s="669"/>
      <c r="DQL106" s="669"/>
      <c r="DQM106" s="669"/>
      <c r="DQN106" s="669"/>
      <c r="DQO106" s="669"/>
      <c r="DQP106" s="669"/>
      <c r="DQQ106" s="669"/>
      <c r="DQR106" s="669"/>
      <c r="DQS106" s="669"/>
      <c r="DQT106" s="669"/>
      <c r="DQU106" s="669"/>
      <c r="DQV106" s="669"/>
      <c r="DQW106" s="669"/>
      <c r="DQX106" s="669"/>
      <c r="DQY106" s="669"/>
      <c r="DQZ106" s="669"/>
      <c r="DRA106" s="669"/>
      <c r="DRB106" s="669"/>
      <c r="DRC106" s="669"/>
      <c r="DRD106" s="669"/>
      <c r="DRE106" s="669"/>
      <c r="DRF106" s="669"/>
      <c r="DRG106" s="669"/>
      <c r="DRH106" s="669"/>
      <c r="DRI106" s="669"/>
      <c r="DRJ106" s="669"/>
      <c r="DRK106" s="669"/>
      <c r="DRL106" s="669"/>
      <c r="DRM106" s="669"/>
      <c r="DRN106" s="669"/>
      <c r="DRO106" s="669"/>
      <c r="DRP106" s="669"/>
      <c r="DRQ106" s="669"/>
      <c r="DRR106" s="669"/>
      <c r="DRS106" s="669"/>
      <c r="DRT106" s="669"/>
      <c r="DRU106" s="669"/>
      <c r="DRV106" s="669"/>
      <c r="DRW106" s="669"/>
      <c r="DRX106" s="669"/>
      <c r="DRY106" s="669"/>
      <c r="DRZ106" s="669"/>
      <c r="DSA106" s="669"/>
      <c r="DSB106" s="669"/>
      <c r="DSC106" s="669"/>
      <c r="DSD106" s="669"/>
      <c r="DSE106" s="669"/>
      <c r="DSF106" s="669"/>
      <c r="DSG106" s="669"/>
      <c r="DSH106" s="669"/>
      <c r="DSI106" s="669"/>
      <c r="DSJ106" s="669"/>
      <c r="DSK106" s="669"/>
      <c r="DSL106" s="669"/>
      <c r="DSM106" s="669"/>
      <c r="DSN106" s="669"/>
      <c r="DSO106" s="669"/>
      <c r="DSP106" s="669"/>
      <c r="DSQ106" s="669"/>
      <c r="DSR106" s="669"/>
      <c r="DSS106" s="669"/>
      <c r="DST106" s="669"/>
      <c r="DSU106" s="669"/>
      <c r="DSV106" s="669"/>
      <c r="DSW106" s="669"/>
      <c r="DSX106" s="669"/>
      <c r="DSY106" s="669"/>
      <c r="DSZ106" s="669"/>
      <c r="DTA106" s="669"/>
      <c r="DTB106" s="669"/>
      <c r="DTC106" s="669"/>
      <c r="DTD106" s="669"/>
      <c r="DTE106" s="669"/>
      <c r="DTF106" s="669"/>
      <c r="DTG106" s="669"/>
      <c r="DTH106" s="669"/>
      <c r="DTI106" s="669"/>
      <c r="DTJ106" s="669"/>
      <c r="DTK106" s="669"/>
      <c r="DTL106" s="669"/>
      <c r="DTM106" s="669"/>
      <c r="DTN106" s="669"/>
      <c r="DTO106" s="669"/>
      <c r="DTP106" s="669"/>
      <c r="DTQ106" s="669"/>
      <c r="DTR106" s="669"/>
      <c r="DTS106" s="669"/>
      <c r="DTT106" s="669"/>
      <c r="DTU106" s="669"/>
      <c r="DTV106" s="669"/>
      <c r="DTW106" s="669"/>
      <c r="DTX106" s="669"/>
      <c r="DTY106" s="669"/>
      <c r="DTZ106" s="669"/>
      <c r="DUA106" s="669"/>
      <c r="DUB106" s="669"/>
      <c r="DUC106" s="669"/>
      <c r="DUD106" s="669"/>
      <c r="DUE106" s="669"/>
      <c r="DUF106" s="669"/>
      <c r="DUG106" s="669"/>
      <c r="DUH106" s="669"/>
      <c r="DUI106" s="669"/>
      <c r="DUJ106" s="669"/>
      <c r="DUK106" s="669"/>
      <c r="DUL106" s="669"/>
      <c r="DUM106" s="669"/>
      <c r="DUN106" s="669"/>
      <c r="DUO106" s="669"/>
      <c r="DUP106" s="669"/>
      <c r="DUQ106" s="669"/>
      <c r="DUR106" s="669"/>
      <c r="DUS106" s="669"/>
      <c r="DUT106" s="669"/>
      <c r="DUU106" s="669"/>
      <c r="DUV106" s="669"/>
      <c r="DUW106" s="669"/>
      <c r="DUX106" s="669"/>
      <c r="DUY106" s="669"/>
      <c r="DUZ106" s="669"/>
      <c r="DVA106" s="669"/>
      <c r="DVB106" s="669"/>
      <c r="DVC106" s="669"/>
      <c r="DVD106" s="669"/>
      <c r="DVE106" s="669"/>
      <c r="DVF106" s="669"/>
      <c r="DVG106" s="669"/>
      <c r="DVH106" s="669"/>
      <c r="DVI106" s="669"/>
      <c r="DVJ106" s="669"/>
      <c r="DVK106" s="669"/>
      <c r="DVL106" s="669"/>
      <c r="DVM106" s="669"/>
      <c r="DVN106" s="669"/>
      <c r="DVO106" s="669"/>
      <c r="DVP106" s="669"/>
      <c r="DVQ106" s="669"/>
      <c r="DVR106" s="669"/>
      <c r="DVS106" s="669"/>
      <c r="DVT106" s="669"/>
      <c r="DVU106" s="669"/>
      <c r="DVV106" s="669"/>
      <c r="DVW106" s="669"/>
      <c r="DVX106" s="669"/>
      <c r="DVY106" s="669"/>
      <c r="DVZ106" s="669"/>
      <c r="DWA106" s="669"/>
      <c r="DWB106" s="669"/>
      <c r="DWC106" s="669"/>
      <c r="DWD106" s="669"/>
      <c r="DWE106" s="669"/>
      <c r="DWF106" s="669"/>
      <c r="DWG106" s="669"/>
      <c r="DWH106" s="669"/>
      <c r="DWI106" s="669"/>
      <c r="DWJ106" s="669"/>
      <c r="DWK106" s="669"/>
      <c r="DWL106" s="669"/>
      <c r="DWM106" s="669"/>
      <c r="DWN106" s="669"/>
      <c r="DWO106" s="669"/>
      <c r="DWP106" s="669"/>
      <c r="DWQ106" s="669"/>
      <c r="DWR106" s="669"/>
      <c r="DWS106" s="669"/>
      <c r="DWT106" s="669"/>
      <c r="DWU106" s="669"/>
      <c r="DWV106" s="669"/>
      <c r="DWW106" s="669"/>
      <c r="DWX106" s="669"/>
      <c r="DWY106" s="669"/>
      <c r="DWZ106" s="669"/>
      <c r="DXA106" s="669"/>
      <c r="DXB106" s="669"/>
      <c r="DXC106" s="669"/>
      <c r="DXD106" s="669"/>
      <c r="DXE106" s="669"/>
      <c r="DXF106" s="669"/>
      <c r="DXG106" s="669"/>
      <c r="DXH106" s="669"/>
      <c r="DXI106" s="669"/>
      <c r="DXJ106" s="669"/>
      <c r="DXK106" s="669"/>
      <c r="DXL106" s="669"/>
      <c r="DXM106" s="669"/>
      <c r="DXN106" s="669"/>
      <c r="DXO106" s="669"/>
      <c r="DXP106" s="669"/>
      <c r="DXQ106" s="669"/>
      <c r="DXR106" s="669"/>
      <c r="DXS106" s="669"/>
      <c r="DXT106" s="669"/>
      <c r="DXU106" s="669"/>
      <c r="DXV106" s="669"/>
      <c r="DXW106" s="669"/>
      <c r="DXX106" s="669"/>
      <c r="DXY106" s="669"/>
      <c r="DXZ106" s="669"/>
      <c r="DYA106" s="669"/>
      <c r="DYB106" s="669"/>
      <c r="DYC106" s="669"/>
      <c r="DYD106" s="669"/>
      <c r="DYE106" s="669"/>
      <c r="DYF106" s="669"/>
      <c r="DYG106" s="669"/>
      <c r="DYH106" s="669"/>
      <c r="DYI106" s="669"/>
      <c r="DYJ106" s="669"/>
      <c r="DYK106" s="669"/>
      <c r="DYL106" s="669"/>
      <c r="DYM106" s="669"/>
      <c r="DYN106" s="669"/>
      <c r="DYO106" s="669"/>
      <c r="DYP106" s="669"/>
      <c r="DYQ106" s="669"/>
      <c r="DYR106" s="669"/>
      <c r="DYS106" s="669"/>
      <c r="DYT106" s="669"/>
      <c r="DYU106" s="669"/>
      <c r="DYV106" s="669"/>
      <c r="DYW106" s="669"/>
      <c r="DYX106" s="669"/>
      <c r="DYY106" s="669"/>
      <c r="DYZ106" s="669"/>
      <c r="DZA106" s="669"/>
      <c r="DZB106" s="669"/>
      <c r="DZC106" s="669"/>
      <c r="DZD106" s="669"/>
      <c r="DZE106" s="669"/>
      <c r="DZF106" s="669"/>
      <c r="DZG106" s="669"/>
      <c r="DZH106" s="669"/>
      <c r="DZI106" s="669"/>
      <c r="DZJ106" s="669"/>
      <c r="DZK106" s="669"/>
      <c r="DZL106" s="669"/>
      <c r="DZM106" s="669"/>
      <c r="DZN106" s="669"/>
      <c r="DZO106" s="669"/>
      <c r="DZP106" s="669"/>
      <c r="DZQ106" s="669"/>
      <c r="DZR106" s="669"/>
      <c r="DZS106" s="669"/>
      <c r="DZT106" s="669"/>
      <c r="DZU106" s="669"/>
      <c r="DZV106" s="669"/>
      <c r="DZW106" s="669"/>
      <c r="DZX106" s="669"/>
      <c r="DZY106" s="669"/>
      <c r="DZZ106" s="669"/>
      <c r="EAA106" s="669"/>
      <c r="EAB106" s="669"/>
      <c r="EAC106" s="669"/>
      <c r="EAD106" s="669"/>
      <c r="EAE106" s="669"/>
      <c r="EAF106" s="669"/>
      <c r="EAG106" s="669"/>
      <c r="EAH106" s="669"/>
      <c r="EAI106" s="669"/>
      <c r="EAJ106" s="669"/>
      <c r="EAK106" s="669"/>
      <c r="EAL106" s="669"/>
      <c r="EAM106" s="669"/>
      <c r="EAN106" s="669"/>
      <c r="EAO106" s="669"/>
      <c r="EAP106" s="669"/>
      <c r="EAQ106" s="669"/>
      <c r="EAR106" s="669"/>
      <c r="EAS106" s="669"/>
      <c r="EAT106" s="669"/>
      <c r="EAU106" s="669"/>
      <c r="EAV106" s="669"/>
      <c r="EAW106" s="669"/>
      <c r="EAX106" s="669"/>
      <c r="EAY106" s="669"/>
      <c r="EAZ106" s="669"/>
      <c r="EBA106" s="669"/>
      <c r="EBB106" s="669"/>
      <c r="EBC106" s="669"/>
      <c r="EBD106" s="669"/>
      <c r="EBE106" s="669"/>
      <c r="EBF106" s="669"/>
      <c r="EBG106" s="669"/>
      <c r="EBH106" s="669"/>
      <c r="EBI106" s="669"/>
      <c r="EBJ106" s="669"/>
      <c r="EBK106" s="669"/>
      <c r="EBL106" s="669"/>
      <c r="EBM106" s="669"/>
      <c r="EBN106" s="669"/>
      <c r="EBO106" s="669"/>
      <c r="EBP106" s="669"/>
      <c r="EBQ106" s="669"/>
      <c r="EBR106" s="669"/>
      <c r="EBS106" s="669"/>
      <c r="EBT106" s="669"/>
      <c r="EBU106" s="669"/>
      <c r="EBV106" s="669"/>
      <c r="EBW106" s="669"/>
      <c r="EBX106" s="669"/>
      <c r="EBY106" s="669"/>
      <c r="EBZ106" s="669"/>
      <c r="ECA106" s="669"/>
      <c r="ECB106" s="669"/>
      <c r="ECC106" s="669"/>
      <c r="ECD106" s="669"/>
      <c r="ECE106" s="669"/>
      <c r="ECF106" s="669"/>
      <c r="ECG106" s="669"/>
      <c r="ECH106" s="669"/>
      <c r="ECI106" s="669"/>
      <c r="ECJ106" s="669"/>
      <c r="ECK106" s="669"/>
      <c r="ECL106" s="669"/>
      <c r="ECM106" s="669"/>
      <c r="ECN106" s="669"/>
      <c r="ECO106" s="669"/>
      <c r="ECP106" s="669"/>
      <c r="ECQ106" s="669"/>
      <c r="ECR106" s="669"/>
      <c r="ECS106" s="669"/>
      <c r="ECT106" s="669"/>
      <c r="ECU106" s="669"/>
      <c r="ECV106" s="669"/>
      <c r="ECW106" s="669"/>
      <c r="ECX106" s="669"/>
      <c r="ECY106" s="669"/>
      <c r="ECZ106" s="669"/>
      <c r="EDA106" s="669"/>
      <c r="EDB106" s="669"/>
      <c r="EDC106" s="669"/>
      <c r="EDD106" s="669"/>
      <c r="EDE106" s="669"/>
      <c r="EDF106" s="669"/>
      <c r="EDG106" s="669"/>
      <c r="EDH106" s="669"/>
      <c r="EDI106" s="669"/>
      <c r="EDJ106" s="669"/>
      <c r="EDK106" s="669"/>
      <c r="EDL106" s="669"/>
      <c r="EDM106" s="669"/>
      <c r="EDN106" s="669"/>
      <c r="EDO106" s="669"/>
      <c r="EDP106" s="669"/>
      <c r="EDQ106" s="669"/>
      <c r="EDR106" s="669"/>
      <c r="EDS106" s="669"/>
      <c r="EDT106" s="669"/>
      <c r="EDU106" s="669"/>
      <c r="EDV106" s="669"/>
      <c r="EDW106" s="669"/>
      <c r="EDX106" s="669"/>
      <c r="EDY106" s="669"/>
      <c r="EDZ106" s="669"/>
      <c r="EEA106" s="669"/>
      <c r="EEB106" s="669"/>
      <c r="EEC106" s="669"/>
      <c r="EED106" s="669"/>
      <c r="EEE106" s="669"/>
      <c r="EEF106" s="669"/>
      <c r="EEG106" s="669"/>
      <c r="EEH106" s="669"/>
      <c r="EEI106" s="669"/>
      <c r="EEJ106" s="669"/>
      <c r="EEK106" s="669"/>
      <c r="EEL106" s="669"/>
      <c r="EEM106" s="669"/>
      <c r="EEN106" s="669"/>
      <c r="EEO106" s="669"/>
      <c r="EEP106" s="669"/>
      <c r="EEQ106" s="669"/>
      <c r="EER106" s="669"/>
      <c r="EES106" s="669"/>
      <c r="EET106" s="669"/>
      <c r="EEU106" s="669"/>
      <c r="EEV106" s="669"/>
      <c r="EEW106" s="669"/>
      <c r="EEX106" s="669"/>
      <c r="EEY106" s="669"/>
      <c r="EEZ106" s="669"/>
      <c r="EFA106" s="669"/>
      <c r="EFB106" s="669"/>
      <c r="EFC106" s="669"/>
      <c r="EFD106" s="669"/>
      <c r="EFE106" s="669"/>
      <c r="EFF106" s="669"/>
      <c r="EFG106" s="669"/>
      <c r="EFH106" s="669"/>
      <c r="EFI106" s="669"/>
      <c r="EFJ106" s="669"/>
      <c r="EFK106" s="669"/>
      <c r="EFL106" s="669"/>
      <c r="EFM106" s="669"/>
      <c r="EFN106" s="669"/>
      <c r="EFO106" s="669"/>
      <c r="EFP106" s="669"/>
      <c r="EFQ106" s="669"/>
      <c r="EFR106" s="669"/>
      <c r="EFS106" s="669"/>
      <c r="EFT106" s="669"/>
      <c r="EFU106" s="669"/>
      <c r="EFV106" s="669"/>
      <c r="EFW106" s="669"/>
      <c r="EFX106" s="669"/>
      <c r="EFY106" s="669"/>
      <c r="EFZ106" s="669"/>
      <c r="EGA106" s="669"/>
      <c r="EGB106" s="669"/>
      <c r="EGC106" s="669"/>
      <c r="EGD106" s="669"/>
      <c r="EGE106" s="669"/>
      <c r="EGF106" s="669"/>
      <c r="EGG106" s="669"/>
      <c r="EGH106" s="669"/>
      <c r="EGI106" s="669"/>
      <c r="EGJ106" s="669"/>
      <c r="EGK106" s="669"/>
      <c r="EGL106" s="669"/>
      <c r="EGM106" s="669"/>
      <c r="EGN106" s="669"/>
      <c r="EGO106" s="669"/>
      <c r="EGP106" s="669"/>
      <c r="EGQ106" s="669"/>
      <c r="EGR106" s="669"/>
      <c r="EGS106" s="669"/>
      <c r="EGT106" s="669"/>
      <c r="EGU106" s="669"/>
      <c r="EGV106" s="669"/>
      <c r="EGW106" s="669"/>
      <c r="EGX106" s="669"/>
      <c r="EGY106" s="669"/>
      <c r="EGZ106" s="669"/>
      <c r="EHA106" s="669"/>
      <c r="EHB106" s="669"/>
      <c r="EHC106" s="669"/>
      <c r="EHD106" s="669"/>
      <c r="EHE106" s="669"/>
      <c r="EHF106" s="669"/>
      <c r="EHG106" s="669"/>
      <c r="EHH106" s="669"/>
      <c r="EHI106" s="669"/>
      <c r="EHJ106" s="669"/>
      <c r="EHK106" s="669"/>
      <c r="EHL106" s="669"/>
      <c r="EHM106" s="669"/>
      <c r="EHN106" s="669"/>
      <c r="EHO106" s="669"/>
      <c r="EHP106" s="669"/>
      <c r="EHQ106" s="669"/>
      <c r="EHR106" s="669"/>
      <c r="EHS106" s="669"/>
      <c r="EHT106" s="669"/>
      <c r="EHU106" s="669"/>
      <c r="EHV106" s="669"/>
      <c r="EHW106" s="669"/>
      <c r="EHX106" s="669"/>
      <c r="EHY106" s="669"/>
      <c r="EHZ106" s="669"/>
      <c r="EIA106" s="669"/>
      <c r="EIB106" s="669"/>
      <c r="EIC106" s="669"/>
      <c r="EID106" s="669"/>
      <c r="EIE106" s="669"/>
      <c r="EIF106" s="669"/>
      <c r="EIG106" s="669"/>
      <c r="EIH106" s="669"/>
      <c r="EII106" s="669"/>
      <c r="EIJ106" s="669"/>
      <c r="EIK106" s="669"/>
      <c r="EIL106" s="669"/>
      <c r="EIM106" s="669"/>
      <c r="EIN106" s="669"/>
      <c r="EIO106" s="669"/>
      <c r="EIP106" s="669"/>
      <c r="EIQ106" s="669"/>
      <c r="EIR106" s="669"/>
      <c r="EIS106" s="669"/>
      <c r="EIT106" s="669"/>
      <c r="EIU106" s="669"/>
      <c r="EIV106" s="669"/>
      <c r="EIW106" s="669"/>
      <c r="EIX106" s="669"/>
      <c r="EIY106" s="669"/>
      <c r="EIZ106" s="669"/>
      <c r="EJA106" s="669"/>
      <c r="EJB106" s="669"/>
      <c r="EJC106" s="669"/>
      <c r="EJD106" s="669"/>
      <c r="EJE106" s="669"/>
      <c r="EJF106" s="669"/>
      <c r="EJG106" s="669"/>
      <c r="EJH106" s="669"/>
      <c r="EJI106" s="669"/>
      <c r="EJJ106" s="669"/>
      <c r="EJK106" s="669"/>
      <c r="EJL106" s="669"/>
      <c r="EJM106" s="669"/>
      <c r="EJN106" s="669"/>
      <c r="EJO106" s="669"/>
      <c r="EJP106" s="669"/>
      <c r="EJQ106" s="669"/>
      <c r="EJR106" s="669"/>
      <c r="EJS106" s="669"/>
      <c r="EJT106" s="669"/>
      <c r="EJU106" s="669"/>
      <c r="EJV106" s="669"/>
      <c r="EJW106" s="669"/>
      <c r="EJX106" s="669"/>
      <c r="EJY106" s="669"/>
      <c r="EJZ106" s="669"/>
      <c r="EKA106" s="669"/>
      <c r="EKB106" s="669"/>
      <c r="EKC106" s="669"/>
      <c r="EKD106" s="669"/>
      <c r="EKE106" s="669"/>
      <c r="EKF106" s="669"/>
      <c r="EKG106" s="669"/>
      <c r="EKH106" s="669"/>
      <c r="EKI106" s="669"/>
      <c r="EKJ106" s="669"/>
      <c r="EKK106" s="669"/>
      <c r="EKL106" s="669"/>
      <c r="EKM106" s="669"/>
      <c r="EKN106" s="669"/>
      <c r="EKO106" s="669"/>
      <c r="EKP106" s="669"/>
      <c r="EKQ106" s="669"/>
      <c r="EKR106" s="669"/>
      <c r="EKS106" s="669"/>
      <c r="EKT106" s="669"/>
      <c r="EKU106" s="669"/>
      <c r="EKV106" s="669"/>
      <c r="EKW106" s="669"/>
      <c r="EKX106" s="669"/>
      <c r="EKY106" s="669"/>
      <c r="EKZ106" s="669"/>
      <c r="ELA106" s="669"/>
      <c r="ELB106" s="669"/>
      <c r="ELC106" s="669"/>
      <c r="ELD106" s="669"/>
      <c r="ELE106" s="669"/>
      <c r="ELF106" s="669"/>
      <c r="ELG106" s="669"/>
      <c r="ELH106" s="669"/>
      <c r="ELI106" s="669"/>
      <c r="ELJ106" s="669"/>
      <c r="ELK106" s="669"/>
      <c r="ELL106" s="669"/>
      <c r="ELM106" s="669"/>
      <c r="ELN106" s="669"/>
      <c r="ELO106" s="669"/>
      <c r="ELP106" s="669"/>
      <c r="ELQ106" s="669"/>
      <c r="ELR106" s="669"/>
      <c r="ELS106" s="669"/>
      <c r="ELT106" s="669"/>
      <c r="ELU106" s="669"/>
      <c r="ELV106" s="669"/>
      <c r="ELW106" s="669"/>
      <c r="ELX106" s="669"/>
      <c r="ELY106" s="669"/>
      <c r="ELZ106" s="669"/>
      <c r="EMA106" s="669"/>
      <c r="EMB106" s="669"/>
      <c r="EMC106" s="669"/>
      <c r="EMD106" s="669"/>
      <c r="EME106" s="669"/>
      <c r="EMF106" s="669"/>
      <c r="EMG106" s="669"/>
      <c r="EMH106" s="669"/>
      <c r="EMI106" s="669"/>
      <c r="EMJ106" s="669"/>
      <c r="EMK106" s="669"/>
      <c r="EML106" s="669"/>
      <c r="EMM106" s="669"/>
      <c r="EMN106" s="669"/>
      <c r="EMO106" s="669"/>
      <c r="EMP106" s="669"/>
      <c r="EMQ106" s="669"/>
      <c r="EMR106" s="669"/>
      <c r="EMS106" s="669"/>
      <c r="EMT106" s="669"/>
      <c r="EMU106" s="669"/>
      <c r="EMV106" s="669"/>
      <c r="EMW106" s="669"/>
      <c r="EMX106" s="669"/>
      <c r="EMY106" s="669"/>
      <c r="EMZ106" s="669"/>
      <c r="ENA106" s="669"/>
      <c r="ENB106" s="669"/>
      <c r="ENC106" s="669"/>
      <c r="END106" s="669"/>
      <c r="ENE106" s="669"/>
      <c r="ENF106" s="669"/>
      <c r="ENG106" s="669"/>
      <c r="ENH106" s="669"/>
      <c r="ENI106" s="669"/>
      <c r="ENJ106" s="669"/>
      <c r="ENK106" s="669"/>
      <c r="ENL106" s="669"/>
      <c r="ENM106" s="669"/>
      <c r="ENN106" s="669"/>
      <c r="ENO106" s="669"/>
      <c r="ENP106" s="669"/>
      <c r="ENQ106" s="669"/>
      <c r="ENR106" s="669"/>
      <c r="ENS106" s="669"/>
      <c r="ENT106" s="669"/>
      <c r="ENU106" s="669"/>
      <c r="ENV106" s="669"/>
      <c r="ENW106" s="669"/>
      <c r="ENX106" s="669"/>
      <c r="ENY106" s="669"/>
      <c r="ENZ106" s="669"/>
      <c r="EOA106" s="669"/>
      <c r="EOB106" s="669"/>
      <c r="EOC106" s="669"/>
      <c r="EOD106" s="669"/>
      <c r="EOE106" s="669"/>
      <c r="EOF106" s="669"/>
      <c r="EOG106" s="669"/>
      <c r="EOH106" s="669"/>
      <c r="EOI106" s="669"/>
      <c r="EOJ106" s="669"/>
      <c r="EOK106" s="669"/>
      <c r="EOL106" s="669"/>
      <c r="EOM106" s="669"/>
      <c r="EON106" s="669"/>
      <c r="EOO106" s="669"/>
      <c r="EOP106" s="669"/>
      <c r="EOQ106" s="669"/>
      <c r="EOR106" s="669"/>
      <c r="EOS106" s="669"/>
      <c r="EOT106" s="669"/>
      <c r="EOU106" s="669"/>
      <c r="EOV106" s="669"/>
      <c r="EOW106" s="669"/>
      <c r="EOX106" s="669"/>
      <c r="EOY106" s="669"/>
      <c r="EOZ106" s="669"/>
      <c r="EPA106" s="669"/>
      <c r="EPB106" s="669"/>
      <c r="EPC106" s="669"/>
      <c r="EPD106" s="669"/>
      <c r="EPE106" s="669"/>
      <c r="EPF106" s="669"/>
      <c r="EPG106" s="669"/>
      <c r="EPH106" s="669"/>
      <c r="EPI106" s="669"/>
      <c r="EPJ106" s="669"/>
      <c r="EPK106" s="669"/>
      <c r="EPL106" s="669"/>
      <c r="EPM106" s="669"/>
      <c r="EPN106" s="669"/>
      <c r="EPO106" s="669"/>
      <c r="EPP106" s="669"/>
      <c r="EPQ106" s="669"/>
      <c r="EPR106" s="669"/>
      <c r="EPS106" s="669"/>
      <c r="EPT106" s="669"/>
      <c r="EPU106" s="669"/>
      <c r="EPV106" s="669"/>
      <c r="EPW106" s="669"/>
      <c r="EPX106" s="669"/>
      <c r="EPY106" s="669"/>
      <c r="EPZ106" s="669"/>
      <c r="EQA106" s="669"/>
      <c r="EQB106" s="669"/>
      <c r="EQC106" s="669"/>
      <c r="EQD106" s="669"/>
      <c r="EQE106" s="669"/>
      <c r="EQF106" s="669"/>
      <c r="EQG106" s="669"/>
      <c r="EQH106" s="669"/>
      <c r="EQI106" s="669"/>
      <c r="EQJ106" s="669"/>
      <c r="EQK106" s="669"/>
      <c r="EQL106" s="669"/>
      <c r="EQM106" s="669"/>
      <c r="EQN106" s="669"/>
      <c r="EQO106" s="669"/>
      <c r="EQP106" s="669"/>
      <c r="EQQ106" s="669"/>
      <c r="EQR106" s="669"/>
      <c r="EQS106" s="669"/>
      <c r="EQT106" s="669"/>
      <c r="EQU106" s="669"/>
      <c r="EQV106" s="669"/>
      <c r="EQW106" s="669"/>
      <c r="EQX106" s="669"/>
      <c r="EQY106" s="669"/>
      <c r="EQZ106" s="669"/>
      <c r="ERA106" s="669"/>
      <c r="ERB106" s="669"/>
      <c r="ERC106" s="669"/>
      <c r="ERD106" s="669"/>
      <c r="ERE106" s="669"/>
      <c r="ERF106" s="669"/>
      <c r="ERG106" s="669"/>
      <c r="ERH106" s="669"/>
      <c r="ERI106" s="669"/>
      <c r="ERJ106" s="669"/>
      <c r="ERK106" s="669"/>
      <c r="ERL106" s="669"/>
      <c r="ERM106" s="669"/>
      <c r="ERN106" s="669"/>
      <c r="ERO106" s="669"/>
      <c r="ERP106" s="669"/>
      <c r="ERQ106" s="669"/>
      <c r="ERR106" s="669"/>
      <c r="ERS106" s="669"/>
      <c r="ERT106" s="669"/>
      <c r="ERU106" s="669"/>
      <c r="ERV106" s="669"/>
      <c r="ERW106" s="669"/>
      <c r="ERX106" s="669"/>
      <c r="ERY106" s="669"/>
      <c r="ERZ106" s="669"/>
      <c r="ESA106" s="669"/>
      <c r="ESB106" s="669"/>
      <c r="ESC106" s="669"/>
      <c r="ESD106" s="669"/>
      <c r="ESE106" s="669"/>
      <c r="ESF106" s="669"/>
      <c r="ESG106" s="669"/>
      <c r="ESH106" s="669"/>
      <c r="ESI106" s="669"/>
      <c r="ESJ106" s="669"/>
      <c r="ESK106" s="669"/>
      <c r="ESL106" s="669"/>
      <c r="ESM106" s="669"/>
      <c r="ESN106" s="669"/>
      <c r="ESO106" s="669"/>
      <c r="ESP106" s="669"/>
      <c r="ESQ106" s="669"/>
      <c r="ESR106" s="669"/>
      <c r="ESS106" s="669"/>
      <c r="EST106" s="669"/>
      <c r="ESU106" s="669"/>
      <c r="ESV106" s="669"/>
      <c r="ESW106" s="669"/>
      <c r="ESX106" s="669"/>
      <c r="ESY106" s="669"/>
      <c r="ESZ106" s="669"/>
      <c r="ETA106" s="669"/>
      <c r="ETB106" s="669"/>
      <c r="ETC106" s="669"/>
      <c r="ETD106" s="669"/>
      <c r="ETE106" s="669"/>
      <c r="ETF106" s="669"/>
      <c r="ETG106" s="669"/>
      <c r="ETH106" s="669"/>
      <c r="ETI106" s="669"/>
      <c r="ETJ106" s="669"/>
      <c r="ETK106" s="669"/>
      <c r="ETL106" s="669"/>
      <c r="ETM106" s="669"/>
      <c r="ETN106" s="669"/>
      <c r="ETO106" s="669"/>
      <c r="ETP106" s="669"/>
      <c r="ETQ106" s="669"/>
      <c r="ETR106" s="669"/>
      <c r="ETS106" s="669"/>
      <c r="ETT106" s="669"/>
      <c r="ETU106" s="669"/>
      <c r="ETV106" s="669"/>
      <c r="ETW106" s="669"/>
      <c r="ETX106" s="669"/>
      <c r="ETY106" s="669"/>
      <c r="ETZ106" s="669"/>
      <c r="EUA106" s="669"/>
      <c r="EUB106" s="669"/>
      <c r="EUC106" s="669"/>
      <c r="EUD106" s="669"/>
      <c r="EUE106" s="669"/>
      <c r="EUF106" s="669"/>
      <c r="EUG106" s="669"/>
      <c r="EUH106" s="669"/>
      <c r="EUI106" s="669"/>
      <c r="EUJ106" s="669"/>
      <c r="EUK106" s="669"/>
      <c r="EUL106" s="669"/>
      <c r="EUM106" s="669"/>
      <c r="EUN106" s="669"/>
      <c r="EUO106" s="669"/>
      <c r="EUP106" s="669"/>
      <c r="EUQ106" s="669"/>
      <c r="EUR106" s="669"/>
      <c r="EUS106" s="669"/>
      <c r="EUT106" s="669"/>
      <c r="EUU106" s="669"/>
      <c r="EUV106" s="669"/>
      <c r="EUW106" s="669"/>
      <c r="EUX106" s="669"/>
      <c r="EUY106" s="669"/>
      <c r="EUZ106" s="669"/>
      <c r="EVA106" s="669"/>
      <c r="EVB106" s="669"/>
      <c r="EVC106" s="669"/>
      <c r="EVD106" s="669"/>
      <c r="EVE106" s="669"/>
      <c r="EVF106" s="669"/>
      <c r="EVG106" s="669"/>
      <c r="EVH106" s="669"/>
      <c r="EVI106" s="669"/>
      <c r="EVJ106" s="669"/>
      <c r="EVK106" s="669"/>
      <c r="EVL106" s="669"/>
      <c r="EVM106" s="669"/>
      <c r="EVN106" s="669"/>
      <c r="EVO106" s="669"/>
      <c r="EVP106" s="669"/>
      <c r="EVQ106" s="669"/>
      <c r="EVR106" s="669"/>
      <c r="EVS106" s="669"/>
      <c r="EVT106" s="669"/>
      <c r="EVU106" s="669"/>
      <c r="EVV106" s="669"/>
      <c r="EVW106" s="669"/>
      <c r="EVX106" s="669"/>
      <c r="EVY106" s="669"/>
      <c r="EVZ106" s="669"/>
      <c r="EWA106" s="669"/>
      <c r="EWB106" s="669"/>
      <c r="EWC106" s="669"/>
      <c r="EWD106" s="669"/>
      <c r="EWE106" s="669"/>
      <c r="EWF106" s="669"/>
      <c r="EWG106" s="669"/>
      <c r="EWH106" s="669"/>
      <c r="EWI106" s="669"/>
      <c r="EWJ106" s="669"/>
      <c r="EWK106" s="669"/>
      <c r="EWL106" s="669"/>
      <c r="EWM106" s="669"/>
      <c r="EWN106" s="669"/>
      <c r="EWO106" s="669"/>
      <c r="EWP106" s="669"/>
      <c r="EWQ106" s="669"/>
      <c r="EWR106" s="669"/>
      <c r="EWS106" s="669"/>
      <c r="EWT106" s="669"/>
      <c r="EWU106" s="669"/>
      <c r="EWV106" s="669"/>
      <c r="EWW106" s="669"/>
      <c r="EWX106" s="669"/>
      <c r="EWY106" s="669"/>
      <c r="EWZ106" s="669"/>
      <c r="EXA106" s="669"/>
      <c r="EXB106" s="669"/>
      <c r="EXC106" s="669"/>
      <c r="EXD106" s="669"/>
      <c r="EXE106" s="669"/>
      <c r="EXF106" s="669"/>
      <c r="EXG106" s="669"/>
      <c r="EXH106" s="669"/>
      <c r="EXI106" s="669"/>
      <c r="EXJ106" s="669"/>
      <c r="EXK106" s="669"/>
      <c r="EXL106" s="669"/>
      <c r="EXM106" s="669"/>
      <c r="EXN106" s="669"/>
      <c r="EXO106" s="669"/>
      <c r="EXP106" s="669"/>
      <c r="EXQ106" s="669"/>
      <c r="EXR106" s="669"/>
      <c r="EXS106" s="669"/>
      <c r="EXT106" s="669"/>
      <c r="EXU106" s="669"/>
      <c r="EXV106" s="669"/>
      <c r="EXW106" s="669"/>
      <c r="EXX106" s="669"/>
      <c r="EXY106" s="669"/>
      <c r="EXZ106" s="669"/>
      <c r="EYA106" s="669"/>
      <c r="EYB106" s="669"/>
      <c r="EYC106" s="669"/>
      <c r="EYD106" s="669"/>
      <c r="EYE106" s="669"/>
      <c r="EYF106" s="669"/>
      <c r="EYG106" s="669"/>
      <c r="EYH106" s="669"/>
      <c r="EYI106" s="669"/>
      <c r="EYJ106" s="669"/>
      <c r="EYK106" s="669"/>
      <c r="EYL106" s="669"/>
      <c r="EYM106" s="669"/>
      <c r="EYN106" s="669"/>
      <c r="EYO106" s="669"/>
      <c r="EYP106" s="669"/>
      <c r="EYQ106" s="669"/>
      <c r="EYR106" s="669"/>
      <c r="EYS106" s="669"/>
      <c r="EYT106" s="669"/>
      <c r="EYU106" s="669"/>
      <c r="EYV106" s="669"/>
      <c r="EYW106" s="669"/>
      <c r="EYX106" s="669"/>
      <c r="EYY106" s="669"/>
      <c r="EYZ106" s="669"/>
      <c r="EZA106" s="669"/>
      <c r="EZB106" s="669"/>
      <c r="EZC106" s="669"/>
      <c r="EZD106" s="669"/>
      <c r="EZE106" s="669"/>
      <c r="EZF106" s="669"/>
      <c r="EZG106" s="669"/>
      <c r="EZH106" s="669"/>
      <c r="EZI106" s="669"/>
      <c r="EZJ106" s="669"/>
      <c r="EZK106" s="669"/>
      <c r="EZL106" s="669"/>
      <c r="EZM106" s="669"/>
      <c r="EZN106" s="669"/>
      <c r="EZO106" s="669"/>
      <c r="EZP106" s="669"/>
      <c r="EZQ106" s="669"/>
      <c r="EZR106" s="669"/>
      <c r="EZS106" s="669"/>
      <c r="EZT106" s="669"/>
      <c r="EZU106" s="669"/>
      <c r="EZV106" s="669"/>
      <c r="EZW106" s="669"/>
      <c r="EZX106" s="669"/>
      <c r="EZY106" s="669"/>
      <c r="EZZ106" s="669"/>
      <c r="FAA106" s="669"/>
      <c r="FAB106" s="669"/>
      <c r="FAC106" s="669"/>
      <c r="FAD106" s="669"/>
      <c r="FAE106" s="669"/>
      <c r="FAF106" s="669"/>
      <c r="FAG106" s="669"/>
      <c r="FAH106" s="669"/>
      <c r="FAI106" s="669"/>
      <c r="FAJ106" s="669"/>
      <c r="FAK106" s="669"/>
      <c r="FAL106" s="669"/>
      <c r="FAM106" s="669"/>
      <c r="FAN106" s="669"/>
      <c r="FAO106" s="669"/>
      <c r="FAP106" s="669"/>
      <c r="FAQ106" s="669"/>
      <c r="FAR106" s="669"/>
      <c r="FAS106" s="669"/>
      <c r="FAT106" s="669"/>
      <c r="FAU106" s="669"/>
      <c r="FAV106" s="669"/>
      <c r="FAW106" s="669"/>
      <c r="FAX106" s="669"/>
      <c r="FAY106" s="669"/>
      <c r="FAZ106" s="669"/>
      <c r="FBA106" s="669"/>
      <c r="FBB106" s="669"/>
      <c r="FBC106" s="669"/>
      <c r="FBD106" s="669"/>
      <c r="FBE106" s="669"/>
      <c r="FBF106" s="669"/>
      <c r="FBG106" s="669"/>
      <c r="FBH106" s="669"/>
      <c r="FBI106" s="669"/>
      <c r="FBJ106" s="669"/>
      <c r="FBK106" s="669"/>
      <c r="FBL106" s="669"/>
      <c r="FBM106" s="669"/>
      <c r="FBN106" s="669"/>
      <c r="FBO106" s="669"/>
      <c r="FBP106" s="669"/>
      <c r="FBQ106" s="669"/>
      <c r="FBR106" s="669"/>
      <c r="FBS106" s="669"/>
      <c r="FBT106" s="669"/>
      <c r="FBU106" s="669"/>
      <c r="FBV106" s="669"/>
      <c r="FBW106" s="669"/>
      <c r="FBX106" s="669"/>
      <c r="FBY106" s="669"/>
      <c r="FBZ106" s="669"/>
      <c r="FCA106" s="669"/>
      <c r="FCB106" s="669"/>
      <c r="FCC106" s="669"/>
      <c r="FCD106" s="669"/>
      <c r="FCE106" s="669"/>
      <c r="FCF106" s="669"/>
      <c r="FCG106" s="669"/>
      <c r="FCH106" s="669"/>
      <c r="FCI106" s="669"/>
      <c r="FCJ106" s="669"/>
      <c r="FCK106" s="669"/>
      <c r="FCL106" s="669"/>
      <c r="FCM106" s="669"/>
      <c r="FCN106" s="669"/>
      <c r="FCO106" s="669"/>
      <c r="FCP106" s="669"/>
      <c r="FCQ106" s="669"/>
      <c r="FCR106" s="669"/>
      <c r="FCS106" s="669"/>
      <c r="FCT106" s="669"/>
      <c r="FCU106" s="669"/>
      <c r="FCV106" s="669"/>
      <c r="FCW106" s="669"/>
      <c r="FCX106" s="669"/>
      <c r="FCY106" s="669"/>
      <c r="FCZ106" s="669"/>
      <c r="FDA106" s="669"/>
      <c r="FDB106" s="669"/>
      <c r="FDC106" s="669"/>
      <c r="FDD106" s="669"/>
      <c r="FDE106" s="669"/>
      <c r="FDF106" s="669"/>
      <c r="FDG106" s="669"/>
      <c r="FDH106" s="669"/>
      <c r="FDI106" s="669"/>
      <c r="FDJ106" s="669"/>
      <c r="FDK106" s="669"/>
      <c r="FDL106" s="669"/>
      <c r="FDM106" s="669"/>
      <c r="FDN106" s="669"/>
      <c r="FDO106" s="669"/>
      <c r="FDP106" s="669"/>
      <c r="FDQ106" s="669"/>
      <c r="FDR106" s="669"/>
      <c r="FDS106" s="669"/>
      <c r="FDT106" s="669"/>
      <c r="FDU106" s="669"/>
      <c r="FDV106" s="669"/>
      <c r="FDW106" s="669"/>
      <c r="FDX106" s="669"/>
      <c r="FDY106" s="669"/>
      <c r="FDZ106" s="669"/>
      <c r="FEA106" s="669"/>
      <c r="FEB106" s="669"/>
      <c r="FEC106" s="669"/>
      <c r="FED106" s="669"/>
      <c r="FEE106" s="669"/>
      <c r="FEF106" s="669"/>
      <c r="FEG106" s="669"/>
      <c r="FEH106" s="669"/>
      <c r="FEI106" s="669"/>
      <c r="FEJ106" s="669"/>
      <c r="FEK106" s="669"/>
      <c r="FEL106" s="669"/>
      <c r="FEM106" s="669"/>
      <c r="FEN106" s="669"/>
      <c r="FEO106" s="669"/>
      <c r="FEP106" s="669"/>
      <c r="FEQ106" s="669"/>
      <c r="FER106" s="669"/>
      <c r="FES106" s="669"/>
      <c r="FET106" s="669"/>
      <c r="FEU106" s="669"/>
      <c r="FEV106" s="669"/>
      <c r="FEW106" s="669"/>
      <c r="FEX106" s="669"/>
      <c r="FEY106" s="669"/>
      <c r="FEZ106" s="669"/>
      <c r="FFA106" s="669"/>
      <c r="FFB106" s="669"/>
      <c r="FFC106" s="669"/>
      <c r="FFD106" s="669"/>
      <c r="FFE106" s="669"/>
      <c r="FFF106" s="669"/>
      <c r="FFG106" s="669"/>
      <c r="FFH106" s="669"/>
      <c r="FFI106" s="669"/>
      <c r="FFJ106" s="669"/>
      <c r="FFK106" s="669"/>
      <c r="FFL106" s="669"/>
      <c r="FFM106" s="669"/>
      <c r="FFN106" s="669"/>
      <c r="FFO106" s="669"/>
      <c r="FFP106" s="669"/>
      <c r="FFQ106" s="669"/>
      <c r="FFR106" s="669"/>
      <c r="FFS106" s="669"/>
      <c r="FFT106" s="669"/>
      <c r="FFU106" s="669"/>
      <c r="FFV106" s="669"/>
      <c r="FFW106" s="669"/>
      <c r="FFX106" s="669"/>
      <c r="FFY106" s="669"/>
      <c r="FFZ106" s="669"/>
      <c r="FGA106" s="669"/>
      <c r="FGB106" s="669"/>
      <c r="FGC106" s="669"/>
      <c r="FGD106" s="669"/>
      <c r="FGE106" s="669"/>
      <c r="FGF106" s="669"/>
      <c r="FGG106" s="669"/>
      <c r="FGH106" s="669"/>
      <c r="FGI106" s="669"/>
      <c r="FGJ106" s="669"/>
      <c r="FGK106" s="669"/>
      <c r="FGL106" s="669"/>
      <c r="FGM106" s="669"/>
      <c r="FGN106" s="669"/>
      <c r="FGO106" s="669"/>
      <c r="FGP106" s="669"/>
      <c r="FGQ106" s="669"/>
      <c r="FGR106" s="669"/>
      <c r="FGS106" s="669"/>
      <c r="FGT106" s="669"/>
      <c r="FGU106" s="669"/>
      <c r="FGV106" s="669"/>
      <c r="FGW106" s="669"/>
      <c r="FGX106" s="669"/>
      <c r="FGY106" s="669"/>
      <c r="FGZ106" s="669"/>
      <c r="FHA106" s="669"/>
      <c r="FHB106" s="669"/>
      <c r="FHC106" s="669"/>
      <c r="FHD106" s="669"/>
      <c r="FHE106" s="669"/>
      <c r="FHF106" s="669"/>
      <c r="FHG106" s="669"/>
      <c r="FHH106" s="669"/>
      <c r="FHI106" s="669"/>
      <c r="FHJ106" s="669"/>
      <c r="FHK106" s="669"/>
      <c r="FHL106" s="669"/>
      <c r="FHM106" s="669"/>
      <c r="FHN106" s="669"/>
      <c r="FHO106" s="669"/>
      <c r="FHP106" s="669"/>
      <c r="FHQ106" s="669"/>
      <c r="FHR106" s="669"/>
      <c r="FHS106" s="669"/>
      <c r="FHT106" s="669"/>
      <c r="FHU106" s="669"/>
      <c r="FHV106" s="669"/>
      <c r="FHW106" s="669"/>
      <c r="FHX106" s="669"/>
      <c r="FHY106" s="669"/>
      <c r="FHZ106" s="669"/>
      <c r="FIA106" s="669"/>
      <c r="FIB106" s="669"/>
      <c r="FIC106" s="669"/>
      <c r="FID106" s="669"/>
      <c r="FIE106" s="669"/>
      <c r="FIF106" s="669"/>
      <c r="FIG106" s="669"/>
      <c r="FIH106" s="669"/>
      <c r="FII106" s="669"/>
      <c r="FIJ106" s="669"/>
      <c r="FIK106" s="669"/>
      <c r="FIL106" s="669"/>
      <c r="FIM106" s="669"/>
      <c r="FIN106" s="669"/>
      <c r="FIO106" s="669"/>
      <c r="FIP106" s="669"/>
      <c r="FIQ106" s="669"/>
      <c r="FIR106" s="669"/>
      <c r="FIS106" s="669"/>
      <c r="FIT106" s="669"/>
      <c r="FIU106" s="669"/>
      <c r="FIV106" s="669"/>
      <c r="FIW106" s="669"/>
      <c r="FIX106" s="669"/>
      <c r="FIY106" s="669"/>
      <c r="FIZ106" s="669"/>
      <c r="FJA106" s="669"/>
      <c r="FJB106" s="669"/>
      <c r="FJC106" s="669"/>
      <c r="FJD106" s="669"/>
      <c r="FJE106" s="669"/>
      <c r="FJF106" s="669"/>
      <c r="FJG106" s="669"/>
      <c r="FJH106" s="669"/>
      <c r="FJI106" s="669"/>
      <c r="FJJ106" s="669"/>
      <c r="FJK106" s="669"/>
      <c r="FJL106" s="669"/>
      <c r="FJM106" s="669"/>
      <c r="FJN106" s="669"/>
      <c r="FJO106" s="669"/>
      <c r="FJP106" s="669"/>
      <c r="FJQ106" s="669"/>
      <c r="FJR106" s="669"/>
      <c r="FJS106" s="669"/>
      <c r="FJT106" s="669"/>
      <c r="FJU106" s="669"/>
      <c r="FJV106" s="669"/>
      <c r="FJW106" s="669"/>
      <c r="FJX106" s="669"/>
      <c r="FJY106" s="669"/>
      <c r="FJZ106" s="669"/>
      <c r="FKA106" s="669"/>
      <c r="FKB106" s="669"/>
      <c r="FKC106" s="669"/>
      <c r="FKD106" s="669"/>
      <c r="FKE106" s="669"/>
      <c r="FKF106" s="669"/>
      <c r="FKG106" s="669"/>
      <c r="FKH106" s="669"/>
      <c r="FKI106" s="669"/>
      <c r="FKJ106" s="669"/>
      <c r="FKK106" s="669"/>
      <c r="FKL106" s="669"/>
      <c r="FKM106" s="669"/>
      <c r="FKN106" s="669"/>
      <c r="FKO106" s="669"/>
      <c r="FKP106" s="669"/>
      <c r="FKQ106" s="669"/>
      <c r="FKR106" s="669"/>
      <c r="FKS106" s="669"/>
      <c r="FKT106" s="669"/>
      <c r="FKU106" s="669"/>
      <c r="FKV106" s="669"/>
      <c r="FKW106" s="669"/>
      <c r="FKX106" s="669"/>
      <c r="FKY106" s="669"/>
      <c r="FKZ106" s="669"/>
      <c r="FLA106" s="669"/>
      <c r="FLB106" s="669"/>
      <c r="FLC106" s="669"/>
      <c r="FLD106" s="669"/>
      <c r="FLE106" s="669"/>
      <c r="FLF106" s="669"/>
      <c r="FLG106" s="669"/>
      <c r="FLH106" s="669"/>
      <c r="FLI106" s="669"/>
      <c r="FLJ106" s="669"/>
      <c r="FLK106" s="669"/>
      <c r="FLL106" s="669"/>
      <c r="FLM106" s="669"/>
      <c r="FLN106" s="669"/>
      <c r="FLO106" s="669"/>
      <c r="FLP106" s="669"/>
      <c r="FLQ106" s="669"/>
      <c r="FLR106" s="669"/>
      <c r="FLS106" s="669"/>
      <c r="FLT106" s="669"/>
      <c r="FLU106" s="669"/>
      <c r="FLV106" s="669"/>
      <c r="FLW106" s="669"/>
      <c r="FLX106" s="669"/>
      <c r="FLY106" s="669"/>
      <c r="FLZ106" s="669"/>
      <c r="FMA106" s="669"/>
      <c r="FMB106" s="669"/>
      <c r="FMC106" s="669"/>
      <c r="FMD106" s="669"/>
      <c r="FME106" s="669"/>
      <c r="FMF106" s="669"/>
      <c r="FMG106" s="669"/>
      <c r="FMH106" s="669"/>
      <c r="FMI106" s="669"/>
      <c r="FMJ106" s="669"/>
      <c r="FMK106" s="669"/>
      <c r="FML106" s="669"/>
      <c r="FMM106" s="669"/>
      <c r="FMN106" s="669"/>
      <c r="FMO106" s="669"/>
      <c r="FMP106" s="669"/>
      <c r="FMQ106" s="669"/>
      <c r="FMR106" s="669"/>
      <c r="FMS106" s="669"/>
      <c r="FMT106" s="669"/>
      <c r="FMU106" s="669"/>
      <c r="FMV106" s="669"/>
      <c r="FMW106" s="669"/>
      <c r="FMX106" s="669"/>
      <c r="FMY106" s="669"/>
      <c r="FMZ106" s="669"/>
      <c r="FNA106" s="669"/>
      <c r="FNB106" s="669"/>
      <c r="FNC106" s="669"/>
      <c r="FND106" s="669"/>
      <c r="FNE106" s="669"/>
      <c r="FNF106" s="669"/>
      <c r="FNG106" s="669"/>
      <c r="FNH106" s="669"/>
      <c r="FNI106" s="669"/>
      <c r="FNJ106" s="669"/>
      <c r="FNK106" s="669"/>
      <c r="FNL106" s="669"/>
      <c r="FNM106" s="669"/>
      <c r="FNN106" s="669"/>
      <c r="FNO106" s="669"/>
      <c r="FNP106" s="669"/>
      <c r="FNQ106" s="669"/>
      <c r="FNR106" s="669"/>
      <c r="FNS106" s="669"/>
      <c r="FNT106" s="669"/>
      <c r="FNU106" s="669"/>
      <c r="FNV106" s="669"/>
      <c r="FNW106" s="669"/>
      <c r="FNX106" s="669"/>
      <c r="FNY106" s="669"/>
      <c r="FNZ106" s="669"/>
      <c r="FOA106" s="669"/>
      <c r="FOB106" s="669"/>
      <c r="FOC106" s="669"/>
      <c r="FOD106" s="669"/>
      <c r="FOE106" s="669"/>
      <c r="FOF106" s="669"/>
      <c r="FOG106" s="669"/>
      <c r="FOH106" s="669"/>
      <c r="FOI106" s="669"/>
      <c r="FOJ106" s="669"/>
      <c r="FOK106" s="669"/>
      <c r="FOL106" s="669"/>
      <c r="FOM106" s="669"/>
      <c r="FON106" s="669"/>
      <c r="FOO106" s="669"/>
      <c r="FOP106" s="669"/>
      <c r="FOQ106" s="669"/>
      <c r="FOR106" s="669"/>
      <c r="FOS106" s="669"/>
      <c r="FOT106" s="669"/>
      <c r="FOU106" s="669"/>
      <c r="FOV106" s="669"/>
      <c r="FOW106" s="669"/>
      <c r="FOX106" s="669"/>
      <c r="FOY106" s="669"/>
      <c r="FOZ106" s="669"/>
      <c r="FPA106" s="669"/>
      <c r="FPB106" s="669"/>
      <c r="FPC106" s="669"/>
      <c r="FPD106" s="669"/>
      <c r="FPE106" s="669"/>
      <c r="FPF106" s="669"/>
      <c r="FPG106" s="669"/>
      <c r="FPH106" s="669"/>
      <c r="FPI106" s="669"/>
      <c r="FPJ106" s="669"/>
      <c r="FPK106" s="669"/>
      <c r="FPL106" s="669"/>
      <c r="FPM106" s="669"/>
      <c r="FPN106" s="669"/>
      <c r="FPO106" s="669"/>
      <c r="FPP106" s="669"/>
      <c r="FPQ106" s="669"/>
      <c r="FPR106" s="669"/>
      <c r="FPS106" s="669"/>
      <c r="FPT106" s="669"/>
      <c r="FPU106" s="669"/>
      <c r="FPV106" s="669"/>
      <c r="FPW106" s="669"/>
      <c r="FPX106" s="669"/>
      <c r="FPY106" s="669"/>
      <c r="FPZ106" s="669"/>
      <c r="FQA106" s="669"/>
      <c r="FQB106" s="669"/>
      <c r="FQC106" s="669"/>
      <c r="FQD106" s="669"/>
      <c r="FQE106" s="669"/>
      <c r="FQF106" s="669"/>
      <c r="FQG106" s="669"/>
      <c r="FQH106" s="669"/>
      <c r="FQI106" s="669"/>
      <c r="FQJ106" s="669"/>
      <c r="FQK106" s="669"/>
      <c r="FQL106" s="669"/>
      <c r="FQM106" s="669"/>
      <c r="FQN106" s="669"/>
      <c r="FQO106" s="669"/>
      <c r="FQP106" s="669"/>
      <c r="FQQ106" s="669"/>
      <c r="FQR106" s="669"/>
      <c r="FQS106" s="669"/>
      <c r="FQT106" s="669"/>
      <c r="FQU106" s="669"/>
      <c r="FQV106" s="669"/>
      <c r="FQW106" s="669"/>
      <c r="FQX106" s="669"/>
      <c r="FQY106" s="669"/>
      <c r="FQZ106" s="669"/>
      <c r="FRA106" s="669"/>
      <c r="FRB106" s="669"/>
      <c r="FRC106" s="669"/>
      <c r="FRD106" s="669"/>
      <c r="FRE106" s="669"/>
      <c r="FRF106" s="669"/>
      <c r="FRG106" s="669"/>
      <c r="FRH106" s="669"/>
      <c r="FRI106" s="669"/>
      <c r="FRJ106" s="669"/>
      <c r="FRK106" s="669"/>
      <c r="FRL106" s="669"/>
      <c r="FRM106" s="669"/>
      <c r="FRN106" s="669"/>
      <c r="FRO106" s="669"/>
      <c r="FRP106" s="669"/>
      <c r="FRQ106" s="669"/>
      <c r="FRR106" s="669"/>
      <c r="FRS106" s="669"/>
      <c r="FRT106" s="669"/>
      <c r="FRU106" s="669"/>
      <c r="FRV106" s="669"/>
      <c r="FRW106" s="669"/>
      <c r="FRX106" s="669"/>
      <c r="FRY106" s="669"/>
      <c r="FRZ106" s="669"/>
      <c r="FSA106" s="669"/>
      <c r="FSB106" s="669"/>
      <c r="FSC106" s="669"/>
      <c r="FSD106" s="669"/>
      <c r="FSE106" s="669"/>
      <c r="FSF106" s="669"/>
      <c r="FSG106" s="669"/>
      <c r="FSH106" s="669"/>
      <c r="FSI106" s="669"/>
      <c r="FSJ106" s="669"/>
      <c r="FSK106" s="669"/>
      <c r="FSL106" s="669"/>
      <c r="FSM106" s="669"/>
      <c r="FSN106" s="669"/>
      <c r="FSO106" s="669"/>
      <c r="FSP106" s="669"/>
      <c r="FSQ106" s="669"/>
      <c r="FSR106" s="669"/>
      <c r="FSS106" s="669"/>
      <c r="FST106" s="669"/>
      <c r="FSU106" s="669"/>
      <c r="FSV106" s="669"/>
      <c r="FSW106" s="669"/>
      <c r="FSX106" s="669"/>
      <c r="FSY106" s="669"/>
      <c r="FSZ106" s="669"/>
      <c r="FTA106" s="669"/>
      <c r="FTB106" s="669"/>
      <c r="FTC106" s="669"/>
      <c r="FTD106" s="669"/>
      <c r="FTE106" s="669"/>
      <c r="FTF106" s="669"/>
      <c r="FTG106" s="669"/>
      <c r="FTH106" s="669"/>
      <c r="FTI106" s="669"/>
      <c r="FTJ106" s="669"/>
      <c r="FTK106" s="669"/>
      <c r="FTL106" s="669"/>
      <c r="FTM106" s="669"/>
      <c r="FTN106" s="669"/>
      <c r="FTO106" s="669"/>
      <c r="FTP106" s="669"/>
      <c r="FTQ106" s="669"/>
      <c r="FTR106" s="669"/>
      <c r="FTS106" s="669"/>
      <c r="FTT106" s="669"/>
      <c r="FTU106" s="669"/>
      <c r="FTV106" s="669"/>
      <c r="FTW106" s="669"/>
      <c r="FTX106" s="669"/>
      <c r="FTY106" s="669"/>
      <c r="FTZ106" s="669"/>
      <c r="FUA106" s="669"/>
      <c r="FUB106" s="669"/>
      <c r="FUC106" s="669"/>
      <c r="FUD106" s="669"/>
      <c r="FUE106" s="669"/>
      <c r="FUF106" s="669"/>
      <c r="FUG106" s="669"/>
      <c r="FUH106" s="669"/>
      <c r="FUI106" s="669"/>
      <c r="FUJ106" s="669"/>
      <c r="FUK106" s="669"/>
      <c r="FUL106" s="669"/>
      <c r="FUM106" s="669"/>
      <c r="FUN106" s="669"/>
      <c r="FUO106" s="669"/>
      <c r="FUP106" s="669"/>
      <c r="FUQ106" s="669"/>
      <c r="FUR106" s="669"/>
      <c r="FUS106" s="669"/>
      <c r="FUT106" s="669"/>
      <c r="FUU106" s="669"/>
      <c r="FUV106" s="669"/>
      <c r="FUW106" s="669"/>
      <c r="FUX106" s="669"/>
      <c r="FUY106" s="669"/>
      <c r="FUZ106" s="669"/>
      <c r="FVA106" s="669"/>
      <c r="FVB106" s="669"/>
      <c r="FVC106" s="669"/>
      <c r="FVD106" s="669"/>
      <c r="FVE106" s="669"/>
      <c r="FVF106" s="669"/>
      <c r="FVG106" s="669"/>
      <c r="FVH106" s="669"/>
      <c r="FVI106" s="669"/>
      <c r="FVJ106" s="669"/>
      <c r="FVK106" s="669"/>
      <c r="FVL106" s="669"/>
      <c r="FVM106" s="669"/>
      <c r="FVN106" s="669"/>
      <c r="FVO106" s="669"/>
      <c r="FVP106" s="669"/>
      <c r="FVQ106" s="669"/>
      <c r="FVR106" s="669"/>
      <c r="FVS106" s="669"/>
      <c r="FVT106" s="669"/>
      <c r="FVU106" s="669"/>
      <c r="FVV106" s="669"/>
      <c r="FVW106" s="669"/>
      <c r="FVX106" s="669"/>
      <c r="FVY106" s="669"/>
      <c r="FVZ106" s="669"/>
      <c r="FWA106" s="669"/>
      <c r="FWB106" s="669"/>
      <c r="FWC106" s="669"/>
      <c r="FWD106" s="669"/>
      <c r="FWE106" s="669"/>
      <c r="FWF106" s="669"/>
      <c r="FWG106" s="669"/>
      <c r="FWH106" s="669"/>
      <c r="FWI106" s="669"/>
      <c r="FWJ106" s="669"/>
      <c r="FWK106" s="669"/>
      <c r="FWL106" s="669"/>
      <c r="FWM106" s="669"/>
      <c r="FWN106" s="669"/>
      <c r="FWO106" s="669"/>
      <c r="FWP106" s="669"/>
      <c r="FWQ106" s="669"/>
      <c r="FWR106" s="669"/>
      <c r="FWS106" s="669"/>
      <c r="FWT106" s="669"/>
      <c r="FWU106" s="669"/>
      <c r="FWV106" s="669"/>
      <c r="FWW106" s="669"/>
      <c r="FWX106" s="669"/>
      <c r="FWY106" s="669"/>
      <c r="FWZ106" s="669"/>
      <c r="FXA106" s="669"/>
      <c r="FXB106" s="669"/>
      <c r="FXC106" s="669"/>
      <c r="FXD106" s="669"/>
      <c r="FXE106" s="669"/>
      <c r="FXF106" s="669"/>
      <c r="FXG106" s="669"/>
      <c r="FXH106" s="669"/>
      <c r="FXI106" s="669"/>
      <c r="FXJ106" s="669"/>
      <c r="FXK106" s="669"/>
      <c r="FXL106" s="669"/>
      <c r="FXM106" s="669"/>
      <c r="FXN106" s="669"/>
      <c r="FXO106" s="669"/>
      <c r="FXP106" s="669"/>
      <c r="FXQ106" s="669"/>
      <c r="FXR106" s="669"/>
      <c r="FXS106" s="669"/>
      <c r="FXT106" s="669"/>
      <c r="FXU106" s="669"/>
      <c r="FXV106" s="669"/>
      <c r="FXW106" s="669"/>
      <c r="FXX106" s="669"/>
      <c r="FXY106" s="669"/>
      <c r="FXZ106" s="669"/>
      <c r="FYA106" s="669"/>
      <c r="FYB106" s="669"/>
      <c r="FYC106" s="669"/>
      <c r="FYD106" s="669"/>
      <c r="FYE106" s="669"/>
      <c r="FYF106" s="669"/>
      <c r="FYG106" s="669"/>
      <c r="FYH106" s="669"/>
      <c r="FYI106" s="669"/>
      <c r="FYJ106" s="669"/>
      <c r="FYK106" s="669"/>
      <c r="FYL106" s="669"/>
      <c r="FYM106" s="669"/>
      <c r="FYN106" s="669"/>
      <c r="FYO106" s="669"/>
      <c r="FYP106" s="669"/>
      <c r="FYQ106" s="669"/>
      <c r="FYR106" s="669"/>
      <c r="FYS106" s="669"/>
      <c r="FYT106" s="669"/>
      <c r="FYU106" s="669"/>
      <c r="FYV106" s="669"/>
      <c r="FYW106" s="669"/>
      <c r="FYX106" s="669"/>
      <c r="FYY106" s="669"/>
      <c r="FYZ106" s="669"/>
      <c r="FZA106" s="669"/>
      <c r="FZB106" s="669"/>
      <c r="FZC106" s="669"/>
      <c r="FZD106" s="669"/>
      <c r="FZE106" s="669"/>
      <c r="FZF106" s="669"/>
      <c r="FZG106" s="669"/>
      <c r="FZH106" s="669"/>
      <c r="FZI106" s="669"/>
      <c r="FZJ106" s="669"/>
      <c r="FZK106" s="669"/>
      <c r="FZL106" s="669"/>
      <c r="FZM106" s="669"/>
      <c r="FZN106" s="669"/>
      <c r="FZO106" s="669"/>
      <c r="FZP106" s="669"/>
      <c r="FZQ106" s="669"/>
      <c r="FZR106" s="669"/>
      <c r="FZS106" s="669"/>
      <c r="FZT106" s="669"/>
      <c r="FZU106" s="669"/>
      <c r="FZV106" s="669"/>
      <c r="FZW106" s="669"/>
      <c r="FZX106" s="669"/>
      <c r="FZY106" s="669"/>
      <c r="FZZ106" s="669"/>
      <c r="GAA106" s="669"/>
      <c r="GAB106" s="669"/>
      <c r="GAC106" s="669"/>
      <c r="GAD106" s="669"/>
      <c r="GAE106" s="669"/>
      <c r="GAF106" s="669"/>
      <c r="GAG106" s="669"/>
      <c r="GAH106" s="669"/>
      <c r="GAI106" s="669"/>
      <c r="GAJ106" s="669"/>
      <c r="GAK106" s="669"/>
      <c r="GAL106" s="669"/>
      <c r="GAM106" s="669"/>
      <c r="GAN106" s="669"/>
      <c r="GAO106" s="669"/>
      <c r="GAP106" s="669"/>
      <c r="GAQ106" s="669"/>
      <c r="GAR106" s="669"/>
      <c r="GAS106" s="669"/>
      <c r="GAT106" s="669"/>
      <c r="GAU106" s="669"/>
      <c r="GAV106" s="669"/>
      <c r="GAW106" s="669"/>
      <c r="GAX106" s="669"/>
      <c r="GAY106" s="669"/>
      <c r="GAZ106" s="669"/>
      <c r="GBA106" s="669"/>
      <c r="GBB106" s="669"/>
      <c r="GBC106" s="669"/>
      <c r="GBD106" s="669"/>
      <c r="GBE106" s="669"/>
      <c r="GBF106" s="669"/>
      <c r="GBG106" s="669"/>
      <c r="GBH106" s="669"/>
      <c r="GBI106" s="669"/>
      <c r="GBJ106" s="669"/>
      <c r="GBK106" s="669"/>
      <c r="GBL106" s="669"/>
      <c r="GBM106" s="669"/>
      <c r="GBN106" s="669"/>
      <c r="GBO106" s="669"/>
      <c r="GBP106" s="669"/>
      <c r="GBQ106" s="669"/>
      <c r="GBR106" s="669"/>
      <c r="GBS106" s="669"/>
      <c r="GBT106" s="669"/>
      <c r="GBU106" s="669"/>
      <c r="GBV106" s="669"/>
      <c r="GBW106" s="669"/>
      <c r="GBX106" s="669"/>
      <c r="GBY106" s="669"/>
      <c r="GBZ106" s="669"/>
      <c r="GCA106" s="669"/>
      <c r="GCB106" s="669"/>
      <c r="GCC106" s="669"/>
      <c r="GCD106" s="669"/>
      <c r="GCE106" s="669"/>
      <c r="GCF106" s="669"/>
      <c r="GCG106" s="669"/>
      <c r="GCH106" s="669"/>
      <c r="GCI106" s="669"/>
      <c r="GCJ106" s="669"/>
      <c r="GCK106" s="669"/>
      <c r="GCL106" s="669"/>
      <c r="GCM106" s="669"/>
      <c r="GCN106" s="669"/>
      <c r="GCO106" s="669"/>
      <c r="GCP106" s="669"/>
      <c r="GCQ106" s="669"/>
      <c r="GCR106" s="669"/>
      <c r="GCS106" s="669"/>
      <c r="GCT106" s="669"/>
      <c r="GCU106" s="669"/>
      <c r="GCV106" s="669"/>
      <c r="GCW106" s="669"/>
      <c r="GCX106" s="669"/>
      <c r="GCY106" s="669"/>
      <c r="GCZ106" s="669"/>
      <c r="GDA106" s="669"/>
      <c r="GDB106" s="669"/>
      <c r="GDC106" s="669"/>
      <c r="GDD106" s="669"/>
      <c r="GDE106" s="669"/>
      <c r="GDF106" s="669"/>
      <c r="GDG106" s="669"/>
      <c r="GDH106" s="669"/>
      <c r="GDI106" s="669"/>
      <c r="GDJ106" s="669"/>
      <c r="GDK106" s="669"/>
      <c r="GDL106" s="669"/>
      <c r="GDM106" s="669"/>
      <c r="GDN106" s="669"/>
      <c r="GDO106" s="669"/>
      <c r="GDP106" s="669"/>
      <c r="GDQ106" s="669"/>
      <c r="GDR106" s="669"/>
      <c r="GDS106" s="669"/>
      <c r="GDT106" s="669"/>
      <c r="GDU106" s="669"/>
      <c r="GDV106" s="669"/>
      <c r="GDW106" s="669"/>
      <c r="GDX106" s="669"/>
      <c r="GDY106" s="669"/>
      <c r="GDZ106" s="669"/>
      <c r="GEA106" s="669"/>
      <c r="GEB106" s="669"/>
      <c r="GEC106" s="669"/>
      <c r="GED106" s="669"/>
      <c r="GEE106" s="669"/>
      <c r="GEF106" s="669"/>
      <c r="GEG106" s="669"/>
      <c r="GEH106" s="669"/>
      <c r="GEI106" s="669"/>
      <c r="GEJ106" s="669"/>
      <c r="GEK106" s="669"/>
      <c r="GEL106" s="669"/>
      <c r="GEM106" s="669"/>
      <c r="GEN106" s="669"/>
      <c r="GEO106" s="669"/>
      <c r="GEP106" s="669"/>
      <c r="GEQ106" s="669"/>
      <c r="GER106" s="669"/>
      <c r="GES106" s="669"/>
      <c r="GET106" s="669"/>
      <c r="GEU106" s="669"/>
      <c r="GEV106" s="669"/>
      <c r="GEW106" s="669"/>
      <c r="GEX106" s="669"/>
      <c r="GEY106" s="669"/>
      <c r="GEZ106" s="669"/>
      <c r="GFA106" s="669"/>
      <c r="GFB106" s="669"/>
      <c r="GFC106" s="669"/>
      <c r="GFD106" s="669"/>
      <c r="GFE106" s="669"/>
      <c r="GFF106" s="669"/>
      <c r="GFG106" s="669"/>
      <c r="GFH106" s="669"/>
      <c r="GFI106" s="669"/>
      <c r="GFJ106" s="669"/>
      <c r="GFK106" s="669"/>
      <c r="GFL106" s="669"/>
      <c r="GFM106" s="669"/>
      <c r="GFN106" s="669"/>
      <c r="GFO106" s="669"/>
      <c r="GFP106" s="669"/>
      <c r="GFQ106" s="669"/>
      <c r="GFR106" s="669"/>
      <c r="GFS106" s="669"/>
      <c r="GFT106" s="669"/>
      <c r="GFU106" s="669"/>
      <c r="GFV106" s="669"/>
      <c r="GFW106" s="669"/>
      <c r="GFX106" s="669"/>
      <c r="GFY106" s="669"/>
      <c r="GFZ106" s="669"/>
      <c r="GGA106" s="669"/>
      <c r="GGB106" s="669"/>
      <c r="GGC106" s="669"/>
      <c r="GGD106" s="669"/>
      <c r="GGE106" s="669"/>
      <c r="GGF106" s="669"/>
      <c r="GGG106" s="669"/>
      <c r="GGH106" s="669"/>
      <c r="GGI106" s="669"/>
      <c r="GGJ106" s="669"/>
      <c r="GGK106" s="669"/>
      <c r="GGL106" s="669"/>
      <c r="GGM106" s="669"/>
      <c r="GGN106" s="669"/>
      <c r="GGO106" s="669"/>
      <c r="GGP106" s="669"/>
      <c r="GGQ106" s="669"/>
      <c r="GGR106" s="669"/>
      <c r="GGS106" s="669"/>
      <c r="GGT106" s="669"/>
      <c r="GGU106" s="669"/>
      <c r="GGV106" s="669"/>
      <c r="GGW106" s="669"/>
      <c r="GGX106" s="669"/>
      <c r="GGY106" s="669"/>
      <c r="GGZ106" s="669"/>
      <c r="GHA106" s="669"/>
      <c r="GHB106" s="669"/>
      <c r="GHC106" s="669"/>
      <c r="GHD106" s="669"/>
      <c r="GHE106" s="669"/>
      <c r="GHF106" s="669"/>
      <c r="GHG106" s="669"/>
      <c r="GHH106" s="669"/>
      <c r="GHI106" s="669"/>
      <c r="GHJ106" s="669"/>
      <c r="GHK106" s="669"/>
      <c r="GHL106" s="669"/>
      <c r="GHM106" s="669"/>
      <c r="GHN106" s="669"/>
      <c r="GHO106" s="669"/>
      <c r="GHP106" s="669"/>
      <c r="GHQ106" s="669"/>
      <c r="GHR106" s="669"/>
      <c r="GHS106" s="669"/>
      <c r="GHT106" s="669"/>
      <c r="GHU106" s="669"/>
      <c r="GHV106" s="669"/>
      <c r="GHW106" s="669"/>
      <c r="GHX106" s="669"/>
      <c r="GHY106" s="669"/>
      <c r="GHZ106" s="669"/>
      <c r="GIA106" s="669"/>
      <c r="GIB106" s="669"/>
      <c r="GIC106" s="669"/>
      <c r="GID106" s="669"/>
      <c r="GIE106" s="669"/>
      <c r="GIF106" s="669"/>
      <c r="GIG106" s="669"/>
      <c r="GIH106" s="669"/>
      <c r="GII106" s="669"/>
      <c r="GIJ106" s="669"/>
      <c r="GIK106" s="669"/>
      <c r="GIL106" s="669"/>
      <c r="GIM106" s="669"/>
      <c r="GIN106" s="669"/>
      <c r="GIO106" s="669"/>
      <c r="GIP106" s="669"/>
      <c r="GIQ106" s="669"/>
      <c r="GIR106" s="669"/>
      <c r="GIS106" s="669"/>
      <c r="GIT106" s="669"/>
      <c r="GIU106" s="669"/>
      <c r="GIV106" s="669"/>
      <c r="GIW106" s="669"/>
      <c r="GIX106" s="669"/>
      <c r="GIY106" s="669"/>
      <c r="GIZ106" s="669"/>
      <c r="GJA106" s="669"/>
      <c r="GJB106" s="669"/>
      <c r="GJC106" s="669"/>
      <c r="GJD106" s="669"/>
      <c r="GJE106" s="669"/>
      <c r="GJF106" s="669"/>
      <c r="GJG106" s="669"/>
      <c r="GJH106" s="669"/>
      <c r="GJI106" s="669"/>
      <c r="GJJ106" s="669"/>
      <c r="GJK106" s="669"/>
      <c r="GJL106" s="669"/>
      <c r="GJM106" s="669"/>
      <c r="GJN106" s="669"/>
      <c r="GJO106" s="669"/>
      <c r="GJP106" s="669"/>
      <c r="GJQ106" s="669"/>
      <c r="GJR106" s="669"/>
      <c r="GJS106" s="669"/>
      <c r="GJT106" s="669"/>
      <c r="GJU106" s="669"/>
      <c r="GJV106" s="669"/>
      <c r="GJW106" s="669"/>
      <c r="GJX106" s="669"/>
      <c r="GJY106" s="669"/>
      <c r="GJZ106" s="669"/>
      <c r="GKA106" s="669"/>
      <c r="GKB106" s="669"/>
      <c r="GKC106" s="669"/>
      <c r="GKD106" s="669"/>
      <c r="GKE106" s="669"/>
      <c r="GKF106" s="669"/>
      <c r="GKG106" s="669"/>
      <c r="GKH106" s="669"/>
      <c r="GKI106" s="669"/>
      <c r="GKJ106" s="669"/>
      <c r="GKK106" s="669"/>
      <c r="GKL106" s="669"/>
      <c r="GKM106" s="669"/>
      <c r="GKN106" s="669"/>
      <c r="GKO106" s="669"/>
      <c r="GKP106" s="669"/>
      <c r="GKQ106" s="669"/>
      <c r="GKR106" s="669"/>
      <c r="GKS106" s="669"/>
      <c r="GKT106" s="669"/>
      <c r="GKU106" s="669"/>
      <c r="GKV106" s="669"/>
      <c r="GKW106" s="669"/>
      <c r="GKX106" s="669"/>
      <c r="GKY106" s="669"/>
      <c r="GKZ106" s="669"/>
      <c r="GLA106" s="669"/>
      <c r="GLB106" s="669"/>
      <c r="GLC106" s="669"/>
      <c r="GLD106" s="669"/>
      <c r="GLE106" s="669"/>
      <c r="GLF106" s="669"/>
      <c r="GLG106" s="669"/>
      <c r="GLH106" s="669"/>
      <c r="GLI106" s="669"/>
      <c r="GLJ106" s="669"/>
      <c r="GLK106" s="669"/>
      <c r="GLL106" s="669"/>
      <c r="GLM106" s="669"/>
      <c r="GLN106" s="669"/>
      <c r="GLO106" s="669"/>
      <c r="GLP106" s="669"/>
      <c r="GLQ106" s="669"/>
      <c r="GLR106" s="669"/>
      <c r="GLS106" s="669"/>
      <c r="GLT106" s="669"/>
      <c r="GLU106" s="669"/>
      <c r="GLV106" s="669"/>
      <c r="GLW106" s="669"/>
      <c r="GLX106" s="669"/>
      <c r="GLY106" s="669"/>
      <c r="GLZ106" s="669"/>
      <c r="GMA106" s="669"/>
      <c r="GMB106" s="669"/>
      <c r="GMC106" s="669"/>
      <c r="GMD106" s="669"/>
      <c r="GME106" s="669"/>
      <c r="GMF106" s="669"/>
      <c r="GMG106" s="669"/>
      <c r="GMH106" s="669"/>
      <c r="GMI106" s="669"/>
      <c r="GMJ106" s="669"/>
      <c r="GMK106" s="669"/>
      <c r="GML106" s="669"/>
      <c r="GMM106" s="669"/>
      <c r="GMN106" s="669"/>
      <c r="GMO106" s="669"/>
      <c r="GMP106" s="669"/>
      <c r="GMQ106" s="669"/>
      <c r="GMR106" s="669"/>
      <c r="GMS106" s="669"/>
      <c r="GMT106" s="669"/>
      <c r="GMU106" s="669"/>
      <c r="GMV106" s="669"/>
      <c r="GMW106" s="669"/>
      <c r="GMX106" s="669"/>
      <c r="GMY106" s="669"/>
      <c r="GMZ106" s="669"/>
      <c r="GNA106" s="669"/>
      <c r="GNB106" s="669"/>
      <c r="GNC106" s="669"/>
      <c r="GND106" s="669"/>
      <c r="GNE106" s="669"/>
      <c r="GNF106" s="669"/>
      <c r="GNG106" s="669"/>
      <c r="GNH106" s="669"/>
      <c r="GNI106" s="669"/>
      <c r="GNJ106" s="669"/>
      <c r="GNK106" s="669"/>
      <c r="GNL106" s="669"/>
      <c r="GNM106" s="669"/>
      <c r="GNN106" s="669"/>
      <c r="GNO106" s="669"/>
      <c r="GNP106" s="669"/>
      <c r="GNQ106" s="669"/>
      <c r="GNR106" s="669"/>
      <c r="GNS106" s="669"/>
      <c r="GNT106" s="669"/>
      <c r="GNU106" s="669"/>
      <c r="GNV106" s="669"/>
      <c r="GNW106" s="669"/>
      <c r="GNX106" s="669"/>
      <c r="GNY106" s="669"/>
      <c r="GNZ106" s="669"/>
      <c r="GOA106" s="669"/>
      <c r="GOB106" s="669"/>
      <c r="GOC106" s="669"/>
      <c r="GOD106" s="669"/>
      <c r="GOE106" s="669"/>
      <c r="GOF106" s="669"/>
      <c r="GOG106" s="669"/>
      <c r="GOH106" s="669"/>
      <c r="GOI106" s="669"/>
      <c r="GOJ106" s="669"/>
      <c r="GOK106" s="669"/>
      <c r="GOL106" s="669"/>
      <c r="GOM106" s="669"/>
      <c r="GON106" s="669"/>
      <c r="GOO106" s="669"/>
      <c r="GOP106" s="669"/>
      <c r="GOQ106" s="669"/>
      <c r="GOR106" s="669"/>
      <c r="GOS106" s="669"/>
      <c r="GOT106" s="669"/>
      <c r="GOU106" s="669"/>
      <c r="GOV106" s="669"/>
      <c r="GOW106" s="669"/>
      <c r="GOX106" s="669"/>
      <c r="GOY106" s="669"/>
      <c r="GOZ106" s="669"/>
      <c r="GPA106" s="669"/>
      <c r="GPB106" s="669"/>
      <c r="GPC106" s="669"/>
      <c r="GPD106" s="669"/>
      <c r="GPE106" s="669"/>
      <c r="GPF106" s="669"/>
      <c r="GPG106" s="669"/>
      <c r="GPH106" s="669"/>
      <c r="GPI106" s="669"/>
      <c r="GPJ106" s="669"/>
      <c r="GPK106" s="669"/>
      <c r="GPL106" s="669"/>
      <c r="GPM106" s="669"/>
      <c r="GPN106" s="669"/>
      <c r="GPO106" s="669"/>
      <c r="GPP106" s="669"/>
      <c r="GPQ106" s="669"/>
      <c r="GPR106" s="669"/>
      <c r="GPS106" s="669"/>
      <c r="GPT106" s="669"/>
      <c r="GPU106" s="669"/>
      <c r="GPV106" s="669"/>
      <c r="GPW106" s="669"/>
      <c r="GPX106" s="669"/>
      <c r="GPY106" s="669"/>
      <c r="GPZ106" s="669"/>
      <c r="GQA106" s="669"/>
      <c r="GQB106" s="669"/>
      <c r="GQC106" s="669"/>
      <c r="GQD106" s="669"/>
      <c r="GQE106" s="669"/>
      <c r="GQF106" s="669"/>
      <c r="GQG106" s="669"/>
      <c r="GQH106" s="669"/>
      <c r="GQI106" s="669"/>
      <c r="GQJ106" s="669"/>
      <c r="GQK106" s="669"/>
      <c r="GQL106" s="669"/>
      <c r="GQM106" s="669"/>
      <c r="GQN106" s="669"/>
      <c r="GQO106" s="669"/>
      <c r="GQP106" s="669"/>
      <c r="GQQ106" s="669"/>
      <c r="GQR106" s="669"/>
      <c r="GQS106" s="669"/>
      <c r="GQT106" s="669"/>
      <c r="GQU106" s="669"/>
      <c r="GQV106" s="669"/>
      <c r="GQW106" s="669"/>
      <c r="GQX106" s="669"/>
      <c r="GQY106" s="669"/>
      <c r="GQZ106" s="669"/>
      <c r="GRA106" s="669"/>
      <c r="GRB106" s="669"/>
      <c r="GRC106" s="669"/>
      <c r="GRD106" s="669"/>
      <c r="GRE106" s="669"/>
      <c r="GRF106" s="669"/>
      <c r="GRG106" s="669"/>
      <c r="GRH106" s="669"/>
      <c r="GRI106" s="669"/>
      <c r="GRJ106" s="669"/>
      <c r="GRK106" s="669"/>
      <c r="GRL106" s="669"/>
      <c r="GRM106" s="669"/>
      <c r="GRN106" s="669"/>
      <c r="GRO106" s="669"/>
      <c r="GRP106" s="669"/>
      <c r="GRQ106" s="669"/>
      <c r="GRR106" s="669"/>
      <c r="GRS106" s="669"/>
      <c r="GRT106" s="669"/>
      <c r="GRU106" s="669"/>
      <c r="GRV106" s="669"/>
      <c r="GRW106" s="669"/>
      <c r="GRX106" s="669"/>
      <c r="GRY106" s="669"/>
      <c r="GRZ106" s="669"/>
      <c r="GSA106" s="669"/>
      <c r="GSB106" s="669"/>
      <c r="GSC106" s="669"/>
      <c r="GSD106" s="669"/>
      <c r="GSE106" s="669"/>
      <c r="GSF106" s="669"/>
      <c r="GSG106" s="669"/>
      <c r="GSH106" s="669"/>
      <c r="GSI106" s="669"/>
      <c r="GSJ106" s="669"/>
      <c r="GSK106" s="669"/>
      <c r="GSL106" s="669"/>
      <c r="GSM106" s="669"/>
      <c r="GSN106" s="669"/>
      <c r="GSO106" s="669"/>
      <c r="GSP106" s="669"/>
      <c r="GSQ106" s="669"/>
      <c r="GSR106" s="669"/>
      <c r="GSS106" s="669"/>
      <c r="GST106" s="669"/>
      <c r="GSU106" s="669"/>
      <c r="GSV106" s="669"/>
      <c r="GSW106" s="669"/>
      <c r="GSX106" s="669"/>
      <c r="GSY106" s="669"/>
      <c r="GSZ106" s="669"/>
      <c r="GTA106" s="669"/>
      <c r="GTB106" s="669"/>
      <c r="GTC106" s="669"/>
      <c r="GTD106" s="669"/>
      <c r="GTE106" s="669"/>
      <c r="GTF106" s="669"/>
      <c r="GTG106" s="669"/>
      <c r="GTH106" s="669"/>
      <c r="GTI106" s="669"/>
      <c r="GTJ106" s="669"/>
      <c r="GTK106" s="669"/>
      <c r="GTL106" s="669"/>
      <c r="GTM106" s="669"/>
      <c r="GTN106" s="669"/>
      <c r="GTO106" s="669"/>
      <c r="GTP106" s="669"/>
      <c r="GTQ106" s="669"/>
      <c r="GTR106" s="669"/>
      <c r="GTS106" s="669"/>
      <c r="GTT106" s="669"/>
      <c r="GTU106" s="669"/>
      <c r="GTV106" s="669"/>
      <c r="GTW106" s="669"/>
      <c r="GTX106" s="669"/>
      <c r="GTY106" s="669"/>
      <c r="GTZ106" s="669"/>
      <c r="GUA106" s="669"/>
      <c r="GUB106" s="669"/>
      <c r="GUC106" s="669"/>
      <c r="GUD106" s="669"/>
      <c r="GUE106" s="669"/>
      <c r="GUF106" s="669"/>
      <c r="GUG106" s="669"/>
      <c r="GUH106" s="669"/>
      <c r="GUI106" s="669"/>
      <c r="GUJ106" s="669"/>
      <c r="GUK106" s="669"/>
      <c r="GUL106" s="669"/>
      <c r="GUM106" s="669"/>
      <c r="GUN106" s="669"/>
      <c r="GUO106" s="669"/>
      <c r="GUP106" s="669"/>
      <c r="GUQ106" s="669"/>
      <c r="GUR106" s="669"/>
      <c r="GUS106" s="669"/>
      <c r="GUT106" s="669"/>
      <c r="GUU106" s="669"/>
      <c r="GUV106" s="669"/>
      <c r="GUW106" s="669"/>
      <c r="GUX106" s="669"/>
      <c r="GUY106" s="669"/>
      <c r="GUZ106" s="669"/>
      <c r="GVA106" s="669"/>
      <c r="GVB106" s="669"/>
      <c r="GVC106" s="669"/>
      <c r="GVD106" s="669"/>
      <c r="GVE106" s="669"/>
      <c r="GVF106" s="669"/>
      <c r="GVG106" s="669"/>
      <c r="GVH106" s="669"/>
      <c r="GVI106" s="669"/>
      <c r="GVJ106" s="669"/>
      <c r="GVK106" s="669"/>
      <c r="GVL106" s="669"/>
      <c r="GVM106" s="669"/>
      <c r="GVN106" s="669"/>
      <c r="GVO106" s="669"/>
      <c r="GVP106" s="669"/>
      <c r="GVQ106" s="669"/>
      <c r="GVR106" s="669"/>
      <c r="GVS106" s="669"/>
      <c r="GVT106" s="669"/>
      <c r="GVU106" s="669"/>
      <c r="GVV106" s="669"/>
      <c r="GVW106" s="669"/>
      <c r="GVX106" s="669"/>
      <c r="GVY106" s="669"/>
      <c r="GVZ106" s="669"/>
      <c r="GWA106" s="669"/>
      <c r="GWB106" s="669"/>
      <c r="GWC106" s="669"/>
      <c r="GWD106" s="669"/>
      <c r="GWE106" s="669"/>
      <c r="GWF106" s="669"/>
      <c r="GWG106" s="669"/>
      <c r="GWH106" s="669"/>
      <c r="GWI106" s="669"/>
      <c r="GWJ106" s="669"/>
      <c r="GWK106" s="669"/>
      <c r="GWL106" s="669"/>
      <c r="GWM106" s="669"/>
      <c r="GWN106" s="669"/>
      <c r="GWO106" s="669"/>
      <c r="GWP106" s="669"/>
      <c r="GWQ106" s="669"/>
      <c r="GWR106" s="669"/>
      <c r="GWS106" s="669"/>
      <c r="GWT106" s="669"/>
      <c r="GWU106" s="669"/>
      <c r="GWV106" s="669"/>
      <c r="GWW106" s="669"/>
      <c r="GWX106" s="669"/>
      <c r="GWY106" s="669"/>
      <c r="GWZ106" s="669"/>
      <c r="GXA106" s="669"/>
      <c r="GXB106" s="669"/>
      <c r="GXC106" s="669"/>
      <c r="GXD106" s="669"/>
      <c r="GXE106" s="669"/>
      <c r="GXF106" s="669"/>
      <c r="GXG106" s="669"/>
      <c r="GXH106" s="669"/>
      <c r="GXI106" s="669"/>
      <c r="GXJ106" s="669"/>
      <c r="GXK106" s="669"/>
      <c r="GXL106" s="669"/>
      <c r="GXM106" s="669"/>
      <c r="GXN106" s="669"/>
      <c r="GXO106" s="669"/>
      <c r="GXP106" s="669"/>
      <c r="GXQ106" s="669"/>
      <c r="GXR106" s="669"/>
      <c r="GXS106" s="669"/>
      <c r="GXT106" s="669"/>
      <c r="GXU106" s="669"/>
      <c r="GXV106" s="669"/>
      <c r="GXW106" s="669"/>
      <c r="GXX106" s="669"/>
      <c r="GXY106" s="669"/>
      <c r="GXZ106" s="669"/>
      <c r="GYA106" s="669"/>
      <c r="GYB106" s="669"/>
      <c r="GYC106" s="669"/>
      <c r="GYD106" s="669"/>
      <c r="GYE106" s="669"/>
      <c r="GYF106" s="669"/>
      <c r="GYG106" s="669"/>
      <c r="GYH106" s="669"/>
      <c r="GYI106" s="669"/>
      <c r="GYJ106" s="669"/>
      <c r="GYK106" s="669"/>
      <c r="GYL106" s="669"/>
      <c r="GYM106" s="669"/>
      <c r="GYN106" s="669"/>
      <c r="GYO106" s="669"/>
      <c r="GYP106" s="669"/>
      <c r="GYQ106" s="669"/>
      <c r="GYR106" s="669"/>
      <c r="GYS106" s="669"/>
      <c r="GYT106" s="669"/>
      <c r="GYU106" s="669"/>
      <c r="GYV106" s="669"/>
      <c r="GYW106" s="669"/>
      <c r="GYX106" s="669"/>
      <c r="GYY106" s="669"/>
      <c r="GYZ106" s="669"/>
      <c r="GZA106" s="669"/>
      <c r="GZB106" s="669"/>
      <c r="GZC106" s="669"/>
      <c r="GZD106" s="669"/>
      <c r="GZE106" s="669"/>
      <c r="GZF106" s="669"/>
      <c r="GZG106" s="669"/>
      <c r="GZH106" s="669"/>
      <c r="GZI106" s="669"/>
      <c r="GZJ106" s="669"/>
      <c r="GZK106" s="669"/>
      <c r="GZL106" s="669"/>
      <c r="GZM106" s="669"/>
      <c r="GZN106" s="669"/>
      <c r="GZO106" s="669"/>
      <c r="GZP106" s="669"/>
      <c r="GZQ106" s="669"/>
      <c r="GZR106" s="669"/>
      <c r="GZS106" s="669"/>
      <c r="GZT106" s="669"/>
      <c r="GZU106" s="669"/>
      <c r="GZV106" s="669"/>
      <c r="GZW106" s="669"/>
      <c r="GZX106" s="669"/>
      <c r="GZY106" s="669"/>
      <c r="GZZ106" s="669"/>
      <c r="HAA106" s="669"/>
      <c r="HAB106" s="669"/>
      <c r="HAC106" s="669"/>
      <c r="HAD106" s="669"/>
      <c r="HAE106" s="669"/>
      <c r="HAF106" s="669"/>
      <c r="HAG106" s="669"/>
      <c r="HAH106" s="669"/>
      <c r="HAI106" s="669"/>
      <c r="HAJ106" s="669"/>
      <c r="HAK106" s="669"/>
      <c r="HAL106" s="669"/>
      <c r="HAM106" s="669"/>
      <c r="HAN106" s="669"/>
      <c r="HAO106" s="669"/>
      <c r="HAP106" s="669"/>
      <c r="HAQ106" s="669"/>
      <c r="HAR106" s="669"/>
      <c r="HAS106" s="669"/>
      <c r="HAT106" s="669"/>
      <c r="HAU106" s="669"/>
      <c r="HAV106" s="669"/>
      <c r="HAW106" s="669"/>
      <c r="HAX106" s="669"/>
      <c r="HAY106" s="669"/>
      <c r="HAZ106" s="669"/>
      <c r="HBA106" s="669"/>
      <c r="HBB106" s="669"/>
      <c r="HBC106" s="669"/>
      <c r="HBD106" s="669"/>
      <c r="HBE106" s="669"/>
      <c r="HBF106" s="669"/>
      <c r="HBG106" s="669"/>
      <c r="HBH106" s="669"/>
      <c r="HBI106" s="669"/>
      <c r="HBJ106" s="669"/>
      <c r="HBK106" s="669"/>
      <c r="HBL106" s="669"/>
      <c r="HBM106" s="669"/>
      <c r="HBN106" s="669"/>
      <c r="HBO106" s="669"/>
      <c r="HBP106" s="669"/>
      <c r="HBQ106" s="669"/>
      <c r="HBR106" s="669"/>
      <c r="HBS106" s="669"/>
      <c r="HBT106" s="669"/>
      <c r="HBU106" s="669"/>
      <c r="HBV106" s="669"/>
      <c r="HBW106" s="669"/>
      <c r="HBX106" s="669"/>
      <c r="HBY106" s="669"/>
      <c r="HBZ106" s="669"/>
      <c r="HCA106" s="669"/>
      <c r="HCB106" s="669"/>
      <c r="HCC106" s="669"/>
      <c r="HCD106" s="669"/>
      <c r="HCE106" s="669"/>
      <c r="HCF106" s="669"/>
      <c r="HCG106" s="669"/>
      <c r="HCH106" s="669"/>
      <c r="HCI106" s="669"/>
      <c r="HCJ106" s="669"/>
      <c r="HCK106" s="669"/>
      <c r="HCL106" s="669"/>
      <c r="HCM106" s="669"/>
      <c r="HCN106" s="669"/>
      <c r="HCO106" s="669"/>
      <c r="HCP106" s="669"/>
      <c r="HCQ106" s="669"/>
      <c r="HCR106" s="669"/>
      <c r="HCS106" s="669"/>
      <c r="HCT106" s="669"/>
      <c r="HCU106" s="669"/>
      <c r="HCV106" s="669"/>
      <c r="HCW106" s="669"/>
      <c r="HCX106" s="669"/>
      <c r="HCY106" s="669"/>
      <c r="HCZ106" s="669"/>
      <c r="HDA106" s="669"/>
      <c r="HDB106" s="669"/>
      <c r="HDC106" s="669"/>
      <c r="HDD106" s="669"/>
      <c r="HDE106" s="669"/>
      <c r="HDF106" s="669"/>
      <c r="HDG106" s="669"/>
      <c r="HDH106" s="669"/>
      <c r="HDI106" s="669"/>
      <c r="HDJ106" s="669"/>
      <c r="HDK106" s="669"/>
      <c r="HDL106" s="669"/>
      <c r="HDM106" s="669"/>
      <c r="HDN106" s="669"/>
      <c r="HDO106" s="669"/>
      <c r="HDP106" s="669"/>
      <c r="HDQ106" s="669"/>
      <c r="HDR106" s="669"/>
      <c r="HDS106" s="669"/>
      <c r="HDT106" s="669"/>
      <c r="HDU106" s="669"/>
      <c r="HDV106" s="669"/>
      <c r="HDW106" s="669"/>
      <c r="HDX106" s="669"/>
      <c r="HDY106" s="669"/>
      <c r="HDZ106" s="669"/>
      <c r="HEA106" s="669"/>
      <c r="HEB106" s="669"/>
      <c r="HEC106" s="669"/>
      <c r="HED106" s="669"/>
      <c r="HEE106" s="669"/>
      <c r="HEF106" s="669"/>
      <c r="HEG106" s="669"/>
      <c r="HEH106" s="669"/>
      <c r="HEI106" s="669"/>
      <c r="HEJ106" s="669"/>
      <c r="HEK106" s="669"/>
      <c r="HEL106" s="669"/>
      <c r="HEM106" s="669"/>
      <c r="HEN106" s="669"/>
      <c r="HEO106" s="669"/>
      <c r="HEP106" s="669"/>
      <c r="HEQ106" s="669"/>
      <c r="HER106" s="669"/>
      <c r="HES106" s="669"/>
      <c r="HET106" s="669"/>
      <c r="HEU106" s="669"/>
      <c r="HEV106" s="669"/>
      <c r="HEW106" s="669"/>
      <c r="HEX106" s="669"/>
      <c r="HEY106" s="669"/>
      <c r="HEZ106" s="669"/>
      <c r="HFA106" s="669"/>
      <c r="HFB106" s="669"/>
      <c r="HFC106" s="669"/>
      <c r="HFD106" s="669"/>
      <c r="HFE106" s="669"/>
      <c r="HFF106" s="669"/>
      <c r="HFG106" s="669"/>
      <c r="HFH106" s="669"/>
      <c r="HFI106" s="669"/>
      <c r="HFJ106" s="669"/>
      <c r="HFK106" s="669"/>
      <c r="HFL106" s="669"/>
      <c r="HFM106" s="669"/>
      <c r="HFN106" s="669"/>
      <c r="HFO106" s="669"/>
      <c r="HFP106" s="669"/>
      <c r="HFQ106" s="669"/>
      <c r="HFR106" s="669"/>
      <c r="HFS106" s="669"/>
      <c r="HFT106" s="669"/>
      <c r="HFU106" s="669"/>
      <c r="HFV106" s="669"/>
      <c r="HFW106" s="669"/>
      <c r="HFX106" s="669"/>
      <c r="HFY106" s="669"/>
      <c r="HFZ106" s="669"/>
      <c r="HGA106" s="669"/>
      <c r="HGB106" s="669"/>
      <c r="HGC106" s="669"/>
      <c r="HGD106" s="669"/>
      <c r="HGE106" s="669"/>
      <c r="HGF106" s="669"/>
      <c r="HGG106" s="669"/>
      <c r="HGH106" s="669"/>
      <c r="HGI106" s="669"/>
      <c r="HGJ106" s="669"/>
      <c r="HGK106" s="669"/>
      <c r="HGL106" s="669"/>
      <c r="HGM106" s="669"/>
      <c r="HGN106" s="669"/>
      <c r="HGO106" s="669"/>
      <c r="HGP106" s="669"/>
      <c r="HGQ106" s="669"/>
      <c r="HGR106" s="669"/>
      <c r="HGS106" s="669"/>
      <c r="HGT106" s="669"/>
      <c r="HGU106" s="669"/>
      <c r="HGV106" s="669"/>
      <c r="HGW106" s="669"/>
      <c r="HGX106" s="669"/>
      <c r="HGY106" s="669"/>
      <c r="HGZ106" s="669"/>
      <c r="HHA106" s="669"/>
      <c r="HHB106" s="669"/>
      <c r="HHC106" s="669"/>
      <c r="HHD106" s="669"/>
      <c r="HHE106" s="669"/>
      <c r="HHF106" s="669"/>
      <c r="HHG106" s="669"/>
      <c r="HHH106" s="669"/>
      <c r="HHI106" s="669"/>
      <c r="HHJ106" s="669"/>
      <c r="HHK106" s="669"/>
      <c r="HHL106" s="669"/>
      <c r="HHM106" s="669"/>
      <c r="HHN106" s="669"/>
      <c r="HHO106" s="669"/>
      <c r="HHP106" s="669"/>
      <c r="HHQ106" s="669"/>
      <c r="HHR106" s="669"/>
      <c r="HHS106" s="669"/>
      <c r="HHT106" s="669"/>
      <c r="HHU106" s="669"/>
      <c r="HHV106" s="669"/>
      <c r="HHW106" s="669"/>
      <c r="HHX106" s="669"/>
      <c r="HHY106" s="669"/>
      <c r="HHZ106" s="669"/>
      <c r="HIA106" s="669"/>
      <c r="HIB106" s="669"/>
      <c r="HIC106" s="669"/>
      <c r="HID106" s="669"/>
      <c r="HIE106" s="669"/>
      <c r="HIF106" s="669"/>
      <c r="HIG106" s="669"/>
      <c r="HIH106" s="669"/>
      <c r="HII106" s="669"/>
      <c r="HIJ106" s="669"/>
      <c r="HIK106" s="669"/>
      <c r="HIL106" s="669"/>
      <c r="HIM106" s="669"/>
      <c r="HIN106" s="669"/>
      <c r="HIO106" s="669"/>
      <c r="HIP106" s="669"/>
      <c r="HIQ106" s="669"/>
      <c r="HIR106" s="669"/>
      <c r="HIS106" s="669"/>
      <c r="HIT106" s="669"/>
      <c r="HIU106" s="669"/>
      <c r="HIV106" s="669"/>
      <c r="HIW106" s="669"/>
      <c r="HIX106" s="669"/>
      <c r="HIY106" s="669"/>
      <c r="HIZ106" s="669"/>
      <c r="HJA106" s="669"/>
      <c r="HJB106" s="669"/>
      <c r="HJC106" s="669"/>
      <c r="HJD106" s="669"/>
      <c r="HJE106" s="669"/>
      <c r="HJF106" s="669"/>
      <c r="HJG106" s="669"/>
      <c r="HJH106" s="669"/>
      <c r="HJI106" s="669"/>
      <c r="HJJ106" s="669"/>
      <c r="HJK106" s="669"/>
      <c r="HJL106" s="669"/>
      <c r="HJM106" s="669"/>
      <c r="HJN106" s="669"/>
      <c r="HJO106" s="669"/>
      <c r="HJP106" s="669"/>
      <c r="HJQ106" s="669"/>
      <c r="HJR106" s="669"/>
      <c r="HJS106" s="669"/>
      <c r="HJT106" s="669"/>
      <c r="HJU106" s="669"/>
      <c r="HJV106" s="669"/>
      <c r="HJW106" s="669"/>
      <c r="HJX106" s="669"/>
      <c r="HJY106" s="669"/>
      <c r="HJZ106" s="669"/>
      <c r="HKA106" s="669"/>
      <c r="HKB106" s="669"/>
      <c r="HKC106" s="669"/>
      <c r="HKD106" s="669"/>
      <c r="HKE106" s="669"/>
      <c r="HKF106" s="669"/>
      <c r="HKG106" s="669"/>
      <c r="HKH106" s="669"/>
      <c r="HKI106" s="669"/>
      <c r="HKJ106" s="669"/>
      <c r="HKK106" s="669"/>
      <c r="HKL106" s="669"/>
      <c r="HKM106" s="669"/>
      <c r="HKN106" s="669"/>
      <c r="HKO106" s="669"/>
      <c r="HKP106" s="669"/>
      <c r="HKQ106" s="669"/>
      <c r="HKR106" s="669"/>
      <c r="HKS106" s="669"/>
      <c r="HKT106" s="669"/>
      <c r="HKU106" s="669"/>
      <c r="HKV106" s="669"/>
      <c r="HKW106" s="669"/>
      <c r="HKX106" s="669"/>
      <c r="HKY106" s="669"/>
      <c r="HKZ106" s="669"/>
      <c r="HLA106" s="669"/>
      <c r="HLB106" s="669"/>
      <c r="HLC106" s="669"/>
      <c r="HLD106" s="669"/>
      <c r="HLE106" s="669"/>
      <c r="HLF106" s="669"/>
      <c r="HLG106" s="669"/>
      <c r="HLH106" s="669"/>
      <c r="HLI106" s="669"/>
      <c r="HLJ106" s="669"/>
      <c r="HLK106" s="669"/>
      <c r="HLL106" s="669"/>
      <c r="HLM106" s="669"/>
      <c r="HLN106" s="669"/>
      <c r="HLO106" s="669"/>
      <c r="HLP106" s="669"/>
      <c r="HLQ106" s="669"/>
      <c r="HLR106" s="669"/>
      <c r="HLS106" s="669"/>
      <c r="HLT106" s="669"/>
      <c r="HLU106" s="669"/>
      <c r="HLV106" s="669"/>
      <c r="HLW106" s="669"/>
      <c r="HLX106" s="669"/>
      <c r="HLY106" s="669"/>
      <c r="HLZ106" s="669"/>
      <c r="HMA106" s="669"/>
      <c r="HMB106" s="669"/>
      <c r="HMC106" s="669"/>
      <c r="HMD106" s="669"/>
      <c r="HME106" s="669"/>
      <c r="HMF106" s="669"/>
      <c r="HMG106" s="669"/>
      <c r="HMH106" s="669"/>
      <c r="HMI106" s="669"/>
      <c r="HMJ106" s="669"/>
      <c r="HMK106" s="669"/>
      <c r="HML106" s="669"/>
      <c r="HMM106" s="669"/>
      <c r="HMN106" s="669"/>
      <c r="HMO106" s="669"/>
      <c r="HMP106" s="669"/>
      <c r="HMQ106" s="669"/>
      <c r="HMR106" s="669"/>
      <c r="HMS106" s="669"/>
      <c r="HMT106" s="669"/>
      <c r="HMU106" s="669"/>
      <c r="HMV106" s="669"/>
      <c r="HMW106" s="669"/>
      <c r="HMX106" s="669"/>
      <c r="HMY106" s="669"/>
      <c r="HMZ106" s="669"/>
      <c r="HNA106" s="669"/>
      <c r="HNB106" s="669"/>
      <c r="HNC106" s="669"/>
      <c r="HND106" s="669"/>
      <c r="HNE106" s="669"/>
      <c r="HNF106" s="669"/>
      <c r="HNG106" s="669"/>
      <c r="HNH106" s="669"/>
      <c r="HNI106" s="669"/>
      <c r="HNJ106" s="669"/>
      <c r="HNK106" s="669"/>
      <c r="HNL106" s="669"/>
      <c r="HNM106" s="669"/>
      <c r="HNN106" s="669"/>
      <c r="HNO106" s="669"/>
      <c r="HNP106" s="669"/>
      <c r="HNQ106" s="669"/>
      <c r="HNR106" s="669"/>
      <c r="HNS106" s="669"/>
      <c r="HNT106" s="669"/>
      <c r="HNU106" s="669"/>
      <c r="HNV106" s="669"/>
      <c r="HNW106" s="669"/>
      <c r="HNX106" s="669"/>
      <c r="HNY106" s="669"/>
      <c r="HNZ106" s="669"/>
      <c r="HOA106" s="669"/>
      <c r="HOB106" s="669"/>
      <c r="HOC106" s="669"/>
      <c r="HOD106" s="669"/>
      <c r="HOE106" s="669"/>
      <c r="HOF106" s="669"/>
      <c r="HOG106" s="669"/>
      <c r="HOH106" s="669"/>
      <c r="HOI106" s="669"/>
      <c r="HOJ106" s="669"/>
      <c r="HOK106" s="669"/>
      <c r="HOL106" s="669"/>
      <c r="HOM106" s="669"/>
      <c r="HON106" s="669"/>
      <c r="HOO106" s="669"/>
      <c r="HOP106" s="669"/>
      <c r="HOQ106" s="669"/>
      <c r="HOR106" s="669"/>
      <c r="HOS106" s="669"/>
      <c r="HOT106" s="669"/>
      <c r="HOU106" s="669"/>
      <c r="HOV106" s="669"/>
      <c r="HOW106" s="669"/>
      <c r="HOX106" s="669"/>
      <c r="HOY106" s="669"/>
      <c r="HOZ106" s="669"/>
      <c r="HPA106" s="669"/>
      <c r="HPB106" s="669"/>
      <c r="HPC106" s="669"/>
      <c r="HPD106" s="669"/>
      <c r="HPE106" s="669"/>
      <c r="HPF106" s="669"/>
      <c r="HPG106" s="669"/>
      <c r="HPH106" s="669"/>
      <c r="HPI106" s="669"/>
      <c r="HPJ106" s="669"/>
      <c r="HPK106" s="669"/>
      <c r="HPL106" s="669"/>
      <c r="HPM106" s="669"/>
      <c r="HPN106" s="669"/>
      <c r="HPO106" s="669"/>
      <c r="HPP106" s="669"/>
      <c r="HPQ106" s="669"/>
      <c r="HPR106" s="669"/>
      <c r="HPS106" s="669"/>
      <c r="HPT106" s="669"/>
      <c r="HPU106" s="669"/>
      <c r="HPV106" s="669"/>
      <c r="HPW106" s="669"/>
      <c r="HPX106" s="669"/>
      <c r="HPY106" s="669"/>
      <c r="HPZ106" s="669"/>
      <c r="HQA106" s="669"/>
      <c r="HQB106" s="669"/>
      <c r="HQC106" s="669"/>
      <c r="HQD106" s="669"/>
      <c r="HQE106" s="669"/>
      <c r="HQF106" s="669"/>
      <c r="HQG106" s="669"/>
      <c r="HQH106" s="669"/>
      <c r="HQI106" s="669"/>
      <c r="HQJ106" s="669"/>
      <c r="HQK106" s="669"/>
      <c r="HQL106" s="669"/>
      <c r="HQM106" s="669"/>
      <c r="HQN106" s="669"/>
      <c r="HQO106" s="669"/>
      <c r="HQP106" s="669"/>
      <c r="HQQ106" s="669"/>
      <c r="HQR106" s="669"/>
      <c r="HQS106" s="669"/>
      <c r="HQT106" s="669"/>
      <c r="HQU106" s="669"/>
      <c r="HQV106" s="669"/>
      <c r="HQW106" s="669"/>
      <c r="HQX106" s="669"/>
      <c r="HQY106" s="669"/>
      <c r="HQZ106" s="669"/>
      <c r="HRA106" s="669"/>
      <c r="HRB106" s="669"/>
      <c r="HRC106" s="669"/>
      <c r="HRD106" s="669"/>
      <c r="HRE106" s="669"/>
      <c r="HRF106" s="669"/>
      <c r="HRG106" s="669"/>
      <c r="HRH106" s="669"/>
      <c r="HRI106" s="669"/>
      <c r="HRJ106" s="669"/>
      <c r="HRK106" s="669"/>
      <c r="HRL106" s="669"/>
      <c r="HRM106" s="669"/>
      <c r="HRN106" s="669"/>
      <c r="HRO106" s="669"/>
      <c r="HRP106" s="669"/>
      <c r="HRQ106" s="669"/>
      <c r="HRR106" s="669"/>
      <c r="HRS106" s="669"/>
      <c r="HRT106" s="669"/>
      <c r="HRU106" s="669"/>
      <c r="HRV106" s="669"/>
      <c r="HRW106" s="669"/>
      <c r="HRX106" s="669"/>
      <c r="HRY106" s="669"/>
      <c r="HRZ106" s="669"/>
      <c r="HSA106" s="669"/>
      <c r="HSB106" s="669"/>
      <c r="HSC106" s="669"/>
      <c r="HSD106" s="669"/>
      <c r="HSE106" s="669"/>
      <c r="HSF106" s="669"/>
      <c r="HSG106" s="669"/>
      <c r="HSH106" s="669"/>
      <c r="HSI106" s="669"/>
      <c r="HSJ106" s="669"/>
      <c r="HSK106" s="669"/>
      <c r="HSL106" s="669"/>
      <c r="HSM106" s="669"/>
      <c r="HSN106" s="669"/>
      <c r="HSO106" s="669"/>
      <c r="HSP106" s="669"/>
      <c r="HSQ106" s="669"/>
      <c r="HSR106" s="669"/>
      <c r="HSS106" s="669"/>
      <c r="HST106" s="669"/>
      <c r="HSU106" s="669"/>
      <c r="HSV106" s="669"/>
      <c r="HSW106" s="669"/>
      <c r="HSX106" s="669"/>
      <c r="HSY106" s="669"/>
      <c r="HSZ106" s="669"/>
      <c r="HTA106" s="669"/>
      <c r="HTB106" s="669"/>
      <c r="HTC106" s="669"/>
      <c r="HTD106" s="669"/>
      <c r="HTE106" s="669"/>
      <c r="HTF106" s="669"/>
      <c r="HTG106" s="669"/>
      <c r="HTH106" s="669"/>
      <c r="HTI106" s="669"/>
      <c r="HTJ106" s="669"/>
      <c r="HTK106" s="669"/>
      <c r="HTL106" s="669"/>
      <c r="HTM106" s="669"/>
      <c r="HTN106" s="669"/>
      <c r="HTO106" s="669"/>
      <c r="HTP106" s="669"/>
      <c r="HTQ106" s="669"/>
      <c r="HTR106" s="669"/>
      <c r="HTS106" s="669"/>
      <c r="HTT106" s="669"/>
      <c r="HTU106" s="669"/>
      <c r="HTV106" s="669"/>
      <c r="HTW106" s="669"/>
      <c r="HTX106" s="669"/>
      <c r="HTY106" s="669"/>
      <c r="HTZ106" s="669"/>
      <c r="HUA106" s="669"/>
      <c r="HUB106" s="669"/>
      <c r="HUC106" s="669"/>
      <c r="HUD106" s="669"/>
      <c r="HUE106" s="669"/>
      <c r="HUF106" s="669"/>
      <c r="HUG106" s="669"/>
      <c r="HUH106" s="669"/>
      <c r="HUI106" s="669"/>
      <c r="HUJ106" s="669"/>
      <c r="HUK106" s="669"/>
      <c r="HUL106" s="669"/>
      <c r="HUM106" s="669"/>
      <c r="HUN106" s="669"/>
      <c r="HUO106" s="669"/>
      <c r="HUP106" s="669"/>
      <c r="HUQ106" s="669"/>
      <c r="HUR106" s="669"/>
      <c r="HUS106" s="669"/>
      <c r="HUT106" s="669"/>
      <c r="HUU106" s="669"/>
      <c r="HUV106" s="669"/>
      <c r="HUW106" s="669"/>
      <c r="HUX106" s="669"/>
      <c r="HUY106" s="669"/>
      <c r="HUZ106" s="669"/>
      <c r="HVA106" s="669"/>
      <c r="HVB106" s="669"/>
      <c r="HVC106" s="669"/>
      <c r="HVD106" s="669"/>
      <c r="HVE106" s="669"/>
      <c r="HVF106" s="669"/>
      <c r="HVG106" s="669"/>
      <c r="HVH106" s="669"/>
      <c r="HVI106" s="669"/>
      <c r="HVJ106" s="669"/>
      <c r="HVK106" s="669"/>
      <c r="HVL106" s="669"/>
      <c r="HVM106" s="669"/>
      <c r="HVN106" s="669"/>
      <c r="HVO106" s="669"/>
      <c r="HVP106" s="669"/>
      <c r="HVQ106" s="669"/>
      <c r="HVR106" s="669"/>
      <c r="HVS106" s="669"/>
      <c r="HVT106" s="669"/>
      <c r="HVU106" s="669"/>
      <c r="HVV106" s="669"/>
      <c r="HVW106" s="669"/>
      <c r="HVX106" s="669"/>
      <c r="HVY106" s="669"/>
      <c r="HVZ106" s="669"/>
      <c r="HWA106" s="669"/>
      <c r="HWB106" s="669"/>
      <c r="HWC106" s="669"/>
      <c r="HWD106" s="669"/>
      <c r="HWE106" s="669"/>
      <c r="HWF106" s="669"/>
      <c r="HWG106" s="669"/>
      <c r="HWH106" s="669"/>
      <c r="HWI106" s="669"/>
      <c r="HWJ106" s="669"/>
      <c r="HWK106" s="669"/>
      <c r="HWL106" s="669"/>
      <c r="HWM106" s="669"/>
      <c r="HWN106" s="669"/>
      <c r="HWO106" s="669"/>
      <c r="HWP106" s="669"/>
      <c r="HWQ106" s="669"/>
      <c r="HWR106" s="669"/>
      <c r="HWS106" s="669"/>
      <c r="HWT106" s="669"/>
      <c r="HWU106" s="669"/>
      <c r="HWV106" s="669"/>
      <c r="HWW106" s="669"/>
      <c r="HWX106" s="669"/>
      <c r="HWY106" s="669"/>
      <c r="HWZ106" s="669"/>
      <c r="HXA106" s="669"/>
      <c r="HXB106" s="669"/>
      <c r="HXC106" s="669"/>
      <c r="HXD106" s="669"/>
      <c r="HXE106" s="669"/>
      <c r="HXF106" s="669"/>
      <c r="HXG106" s="669"/>
      <c r="HXH106" s="669"/>
      <c r="HXI106" s="669"/>
      <c r="HXJ106" s="669"/>
      <c r="HXK106" s="669"/>
      <c r="HXL106" s="669"/>
      <c r="HXM106" s="669"/>
      <c r="HXN106" s="669"/>
      <c r="HXO106" s="669"/>
      <c r="HXP106" s="669"/>
      <c r="HXQ106" s="669"/>
      <c r="HXR106" s="669"/>
      <c r="HXS106" s="669"/>
      <c r="HXT106" s="669"/>
      <c r="HXU106" s="669"/>
      <c r="HXV106" s="669"/>
      <c r="HXW106" s="669"/>
      <c r="HXX106" s="669"/>
      <c r="HXY106" s="669"/>
      <c r="HXZ106" s="669"/>
      <c r="HYA106" s="669"/>
      <c r="HYB106" s="669"/>
      <c r="HYC106" s="669"/>
      <c r="HYD106" s="669"/>
      <c r="HYE106" s="669"/>
      <c r="HYF106" s="669"/>
      <c r="HYG106" s="669"/>
      <c r="HYH106" s="669"/>
      <c r="HYI106" s="669"/>
      <c r="HYJ106" s="669"/>
      <c r="HYK106" s="669"/>
      <c r="HYL106" s="669"/>
      <c r="HYM106" s="669"/>
      <c r="HYN106" s="669"/>
      <c r="HYO106" s="669"/>
      <c r="HYP106" s="669"/>
      <c r="HYQ106" s="669"/>
      <c r="HYR106" s="669"/>
      <c r="HYS106" s="669"/>
      <c r="HYT106" s="669"/>
      <c r="HYU106" s="669"/>
      <c r="HYV106" s="669"/>
      <c r="HYW106" s="669"/>
      <c r="HYX106" s="669"/>
      <c r="HYY106" s="669"/>
      <c r="HYZ106" s="669"/>
      <c r="HZA106" s="669"/>
      <c r="HZB106" s="669"/>
      <c r="HZC106" s="669"/>
      <c r="HZD106" s="669"/>
      <c r="HZE106" s="669"/>
      <c r="HZF106" s="669"/>
      <c r="HZG106" s="669"/>
      <c r="HZH106" s="669"/>
      <c r="HZI106" s="669"/>
      <c r="HZJ106" s="669"/>
      <c r="HZK106" s="669"/>
      <c r="HZL106" s="669"/>
      <c r="HZM106" s="669"/>
      <c r="HZN106" s="669"/>
      <c r="HZO106" s="669"/>
      <c r="HZP106" s="669"/>
      <c r="HZQ106" s="669"/>
      <c r="HZR106" s="669"/>
      <c r="HZS106" s="669"/>
      <c r="HZT106" s="669"/>
      <c r="HZU106" s="669"/>
      <c r="HZV106" s="669"/>
      <c r="HZW106" s="669"/>
      <c r="HZX106" s="669"/>
      <c r="HZY106" s="669"/>
      <c r="HZZ106" s="669"/>
      <c r="IAA106" s="669"/>
      <c r="IAB106" s="669"/>
      <c r="IAC106" s="669"/>
      <c r="IAD106" s="669"/>
      <c r="IAE106" s="669"/>
      <c r="IAF106" s="669"/>
      <c r="IAG106" s="669"/>
      <c r="IAH106" s="669"/>
      <c r="IAI106" s="669"/>
      <c r="IAJ106" s="669"/>
      <c r="IAK106" s="669"/>
      <c r="IAL106" s="669"/>
      <c r="IAM106" s="669"/>
      <c r="IAN106" s="669"/>
      <c r="IAO106" s="669"/>
      <c r="IAP106" s="669"/>
      <c r="IAQ106" s="669"/>
      <c r="IAR106" s="669"/>
      <c r="IAS106" s="669"/>
      <c r="IAT106" s="669"/>
      <c r="IAU106" s="669"/>
      <c r="IAV106" s="669"/>
      <c r="IAW106" s="669"/>
      <c r="IAX106" s="669"/>
      <c r="IAY106" s="669"/>
      <c r="IAZ106" s="669"/>
      <c r="IBA106" s="669"/>
      <c r="IBB106" s="669"/>
      <c r="IBC106" s="669"/>
      <c r="IBD106" s="669"/>
      <c r="IBE106" s="669"/>
      <c r="IBF106" s="669"/>
      <c r="IBG106" s="669"/>
      <c r="IBH106" s="669"/>
      <c r="IBI106" s="669"/>
      <c r="IBJ106" s="669"/>
      <c r="IBK106" s="669"/>
      <c r="IBL106" s="669"/>
      <c r="IBM106" s="669"/>
      <c r="IBN106" s="669"/>
      <c r="IBO106" s="669"/>
      <c r="IBP106" s="669"/>
      <c r="IBQ106" s="669"/>
      <c r="IBR106" s="669"/>
      <c r="IBS106" s="669"/>
      <c r="IBT106" s="669"/>
      <c r="IBU106" s="669"/>
      <c r="IBV106" s="669"/>
      <c r="IBW106" s="669"/>
      <c r="IBX106" s="669"/>
      <c r="IBY106" s="669"/>
      <c r="IBZ106" s="669"/>
      <c r="ICA106" s="669"/>
      <c r="ICB106" s="669"/>
      <c r="ICC106" s="669"/>
      <c r="ICD106" s="669"/>
      <c r="ICE106" s="669"/>
      <c r="ICF106" s="669"/>
      <c r="ICG106" s="669"/>
      <c r="ICH106" s="669"/>
      <c r="ICI106" s="669"/>
      <c r="ICJ106" s="669"/>
      <c r="ICK106" s="669"/>
      <c r="ICL106" s="669"/>
      <c r="ICM106" s="669"/>
      <c r="ICN106" s="669"/>
      <c r="ICO106" s="669"/>
      <c r="ICP106" s="669"/>
      <c r="ICQ106" s="669"/>
      <c r="ICR106" s="669"/>
      <c r="ICS106" s="669"/>
      <c r="ICT106" s="669"/>
      <c r="ICU106" s="669"/>
      <c r="ICV106" s="669"/>
      <c r="ICW106" s="669"/>
      <c r="ICX106" s="669"/>
      <c r="ICY106" s="669"/>
      <c r="ICZ106" s="669"/>
      <c r="IDA106" s="669"/>
      <c r="IDB106" s="669"/>
      <c r="IDC106" s="669"/>
      <c r="IDD106" s="669"/>
      <c r="IDE106" s="669"/>
      <c r="IDF106" s="669"/>
      <c r="IDG106" s="669"/>
      <c r="IDH106" s="669"/>
      <c r="IDI106" s="669"/>
      <c r="IDJ106" s="669"/>
      <c r="IDK106" s="669"/>
      <c r="IDL106" s="669"/>
      <c r="IDM106" s="669"/>
      <c r="IDN106" s="669"/>
      <c r="IDO106" s="669"/>
      <c r="IDP106" s="669"/>
      <c r="IDQ106" s="669"/>
      <c r="IDR106" s="669"/>
      <c r="IDS106" s="669"/>
      <c r="IDT106" s="669"/>
      <c r="IDU106" s="669"/>
      <c r="IDV106" s="669"/>
      <c r="IDW106" s="669"/>
      <c r="IDX106" s="669"/>
      <c r="IDY106" s="669"/>
      <c r="IDZ106" s="669"/>
      <c r="IEA106" s="669"/>
      <c r="IEB106" s="669"/>
      <c r="IEC106" s="669"/>
      <c r="IED106" s="669"/>
      <c r="IEE106" s="669"/>
      <c r="IEF106" s="669"/>
      <c r="IEG106" s="669"/>
      <c r="IEH106" s="669"/>
      <c r="IEI106" s="669"/>
      <c r="IEJ106" s="669"/>
      <c r="IEK106" s="669"/>
      <c r="IEL106" s="669"/>
      <c r="IEM106" s="669"/>
      <c r="IEN106" s="669"/>
      <c r="IEO106" s="669"/>
      <c r="IEP106" s="669"/>
      <c r="IEQ106" s="669"/>
      <c r="IER106" s="669"/>
      <c r="IES106" s="669"/>
      <c r="IET106" s="669"/>
      <c r="IEU106" s="669"/>
      <c r="IEV106" s="669"/>
      <c r="IEW106" s="669"/>
      <c r="IEX106" s="669"/>
      <c r="IEY106" s="669"/>
      <c r="IEZ106" s="669"/>
      <c r="IFA106" s="669"/>
      <c r="IFB106" s="669"/>
      <c r="IFC106" s="669"/>
      <c r="IFD106" s="669"/>
      <c r="IFE106" s="669"/>
      <c r="IFF106" s="669"/>
      <c r="IFG106" s="669"/>
      <c r="IFH106" s="669"/>
      <c r="IFI106" s="669"/>
      <c r="IFJ106" s="669"/>
      <c r="IFK106" s="669"/>
      <c r="IFL106" s="669"/>
      <c r="IFM106" s="669"/>
      <c r="IFN106" s="669"/>
      <c r="IFO106" s="669"/>
      <c r="IFP106" s="669"/>
      <c r="IFQ106" s="669"/>
      <c r="IFR106" s="669"/>
      <c r="IFS106" s="669"/>
      <c r="IFT106" s="669"/>
      <c r="IFU106" s="669"/>
      <c r="IFV106" s="669"/>
      <c r="IFW106" s="669"/>
      <c r="IFX106" s="669"/>
      <c r="IFY106" s="669"/>
      <c r="IFZ106" s="669"/>
      <c r="IGA106" s="669"/>
      <c r="IGB106" s="669"/>
      <c r="IGC106" s="669"/>
      <c r="IGD106" s="669"/>
      <c r="IGE106" s="669"/>
      <c r="IGF106" s="669"/>
      <c r="IGG106" s="669"/>
      <c r="IGH106" s="669"/>
      <c r="IGI106" s="669"/>
      <c r="IGJ106" s="669"/>
      <c r="IGK106" s="669"/>
      <c r="IGL106" s="669"/>
      <c r="IGM106" s="669"/>
      <c r="IGN106" s="669"/>
      <c r="IGO106" s="669"/>
      <c r="IGP106" s="669"/>
      <c r="IGQ106" s="669"/>
      <c r="IGR106" s="669"/>
      <c r="IGS106" s="669"/>
      <c r="IGT106" s="669"/>
      <c r="IGU106" s="669"/>
      <c r="IGV106" s="669"/>
      <c r="IGW106" s="669"/>
      <c r="IGX106" s="669"/>
      <c r="IGY106" s="669"/>
      <c r="IGZ106" s="669"/>
      <c r="IHA106" s="669"/>
      <c r="IHB106" s="669"/>
      <c r="IHC106" s="669"/>
      <c r="IHD106" s="669"/>
      <c r="IHE106" s="669"/>
      <c r="IHF106" s="669"/>
      <c r="IHG106" s="669"/>
      <c r="IHH106" s="669"/>
      <c r="IHI106" s="669"/>
      <c r="IHJ106" s="669"/>
      <c r="IHK106" s="669"/>
      <c r="IHL106" s="669"/>
      <c r="IHM106" s="669"/>
      <c r="IHN106" s="669"/>
      <c r="IHO106" s="669"/>
      <c r="IHP106" s="669"/>
      <c r="IHQ106" s="669"/>
      <c r="IHR106" s="669"/>
      <c r="IHS106" s="669"/>
      <c r="IHT106" s="669"/>
      <c r="IHU106" s="669"/>
      <c r="IHV106" s="669"/>
      <c r="IHW106" s="669"/>
      <c r="IHX106" s="669"/>
      <c r="IHY106" s="669"/>
      <c r="IHZ106" s="669"/>
      <c r="IIA106" s="669"/>
      <c r="IIB106" s="669"/>
      <c r="IIC106" s="669"/>
      <c r="IID106" s="669"/>
      <c r="IIE106" s="669"/>
      <c r="IIF106" s="669"/>
      <c r="IIG106" s="669"/>
      <c r="IIH106" s="669"/>
      <c r="III106" s="669"/>
      <c r="IIJ106" s="669"/>
      <c r="IIK106" s="669"/>
      <c r="IIL106" s="669"/>
      <c r="IIM106" s="669"/>
      <c r="IIN106" s="669"/>
      <c r="IIO106" s="669"/>
      <c r="IIP106" s="669"/>
      <c r="IIQ106" s="669"/>
      <c r="IIR106" s="669"/>
      <c r="IIS106" s="669"/>
      <c r="IIT106" s="669"/>
      <c r="IIU106" s="669"/>
      <c r="IIV106" s="669"/>
      <c r="IIW106" s="669"/>
      <c r="IIX106" s="669"/>
      <c r="IIY106" s="669"/>
      <c r="IIZ106" s="669"/>
      <c r="IJA106" s="669"/>
      <c r="IJB106" s="669"/>
      <c r="IJC106" s="669"/>
      <c r="IJD106" s="669"/>
      <c r="IJE106" s="669"/>
      <c r="IJF106" s="669"/>
      <c r="IJG106" s="669"/>
      <c r="IJH106" s="669"/>
      <c r="IJI106" s="669"/>
      <c r="IJJ106" s="669"/>
      <c r="IJK106" s="669"/>
      <c r="IJL106" s="669"/>
      <c r="IJM106" s="669"/>
      <c r="IJN106" s="669"/>
      <c r="IJO106" s="669"/>
      <c r="IJP106" s="669"/>
      <c r="IJQ106" s="669"/>
      <c r="IJR106" s="669"/>
      <c r="IJS106" s="669"/>
      <c r="IJT106" s="669"/>
      <c r="IJU106" s="669"/>
      <c r="IJV106" s="669"/>
      <c r="IJW106" s="669"/>
      <c r="IJX106" s="669"/>
      <c r="IJY106" s="669"/>
      <c r="IJZ106" s="669"/>
      <c r="IKA106" s="669"/>
      <c r="IKB106" s="669"/>
      <c r="IKC106" s="669"/>
      <c r="IKD106" s="669"/>
      <c r="IKE106" s="669"/>
      <c r="IKF106" s="669"/>
      <c r="IKG106" s="669"/>
      <c r="IKH106" s="669"/>
      <c r="IKI106" s="669"/>
      <c r="IKJ106" s="669"/>
      <c r="IKK106" s="669"/>
      <c r="IKL106" s="669"/>
      <c r="IKM106" s="669"/>
      <c r="IKN106" s="669"/>
      <c r="IKO106" s="669"/>
      <c r="IKP106" s="669"/>
      <c r="IKQ106" s="669"/>
      <c r="IKR106" s="669"/>
      <c r="IKS106" s="669"/>
      <c r="IKT106" s="669"/>
      <c r="IKU106" s="669"/>
      <c r="IKV106" s="669"/>
      <c r="IKW106" s="669"/>
      <c r="IKX106" s="669"/>
      <c r="IKY106" s="669"/>
      <c r="IKZ106" s="669"/>
      <c r="ILA106" s="669"/>
      <c r="ILB106" s="669"/>
      <c r="ILC106" s="669"/>
      <c r="ILD106" s="669"/>
      <c r="ILE106" s="669"/>
      <c r="ILF106" s="669"/>
      <c r="ILG106" s="669"/>
      <c r="ILH106" s="669"/>
      <c r="ILI106" s="669"/>
      <c r="ILJ106" s="669"/>
      <c r="ILK106" s="669"/>
      <c r="ILL106" s="669"/>
      <c r="ILM106" s="669"/>
      <c r="ILN106" s="669"/>
      <c r="ILO106" s="669"/>
      <c r="ILP106" s="669"/>
      <c r="ILQ106" s="669"/>
      <c r="ILR106" s="669"/>
      <c r="ILS106" s="669"/>
      <c r="ILT106" s="669"/>
      <c r="ILU106" s="669"/>
      <c r="ILV106" s="669"/>
      <c r="ILW106" s="669"/>
      <c r="ILX106" s="669"/>
      <c r="ILY106" s="669"/>
      <c r="ILZ106" s="669"/>
      <c r="IMA106" s="669"/>
      <c r="IMB106" s="669"/>
      <c r="IMC106" s="669"/>
      <c r="IMD106" s="669"/>
      <c r="IME106" s="669"/>
      <c r="IMF106" s="669"/>
      <c r="IMG106" s="669"/>
      <c r="IMH106" s="669"/>
      <c r="IMI106" s="669"/>
      <c r="IMJ106" s="669"/>
      <c r="IMK106" s="669"/>
      <c r="IML106" s="669"/>
      <c r="IMM106" s="669"/>
      <c r="IMN106" s="669"/>
      <c r="IMO106" s="669"/>
      <c r="IMP106" s="669"/>
      <c r="IMQ106" s="669"/>
      <c r="IMR106" s="669"/>
      <c r="IMS106" s="669"/>
      <c r="IMT106" s="669"/>
      <c r="IMU106" s="669"/>
      <c r="IMV106" s="669"/>
      <c r="IMW106" s="669"/>
      <c r="IMX106" s="669"/>
      <c r="IMY106" s="669"/>
      <c r="IMZ106" s="669"/>
      <c r="INA106" s="669"/>
      <c r="INB106" s="669"/>
      <c r="INC106" s="669"/>
      <c r="IND106" s="669"/>
      <c r="INE106" s="669"/>
      <c r="INF106" s="669"/>
      <c r="ING106" s="669"/>
      <c r="INH106" s="669"/>
      <c r="INI106" s="669"/>
      <c r="INJ106" s="669"/>
      <c r="INK106" s="669"/>
      <c r="INL106" s="669"/>
      <c r="INM106" s="669"/>
      <c r="INN106" s="669"/>
      <c r="INO106" s="669"/>
      <c r="INP106" s="669"/>
      <c r="INQ106" s="669"/>
      <c r="INR106" s="669"/>
      <c r="INS106" s="669"/>
      <c r="INT106" s="669"/>
      <c r="INU106" s="669"/>
      <c r="INV106" s="669"/>
      <c r="INW106" s="669"/>
      <c r="INX106" s="669"/>
      <c r="INY106" s="669"/>
      <c r="INZ106" s="669"/>
      <c r="IOA106" s="669"/>
      <c r="IOB106" s="669"/>
      <c r="IOC106" s="669"/>
      <c r="IOD106" s="669"/>
      <c r="IOE106" s="669"/>
      <c r="IOF106" s="669"/>
      <c r="IOG106" s="669"/>
      <c r="IOH106" s="669"/>
      <c r="IOI106" s="669"/>
      <c r="IOJ106" s="669"/>
      <c r="IOK106" s="669"/>
      <c r="IOL106" s="669"/>
      <c r="IOM106" s="669"/>
      <c r="ION106" s="669"/>
      <c r="IOO106" s="669"/>
      <c r="IOP106" s="669"/>
      <c r="IOQ106" s="669"/>
      <c r="IOR106" s="669"/>
      <c r="IOS106" s="669"/>
      <c r="IOT106" s="669"/>
      <c r="IOU106" s="669"/>
      <c r="IOV106" s="669"/>
      <c r="IOW106" s="669"/>
      <c r="IOX106" s="669"/>
      <c r="IOY106" s="669"/>
      <c r="IOZ106" s="669"/>
      <c r="IPA106" s="669"/>
      <c r="IPB106" s="669"/>
      <c r="IPC106" s="669"/>
      <c r="IPD106" s="669"/>
      <c r="IPE106" s="669"/>
      <c r="IPF106" s="669"/>
      <c r="IPG106" s="669"/>
      <c r="IPH106" s="669"/>
      <c r="IPI106" s="669"/>
      <c r="IPJ106" s="669"/>
      <c r="IPK106" s="669"/>
      <c r="IPL106" s="669"/>
      <c r="IPM106" s="669"/>
      <c r="IPN106" s="669"/>
      <c r="IPO106" s="669"/>
      <c r="IPP106" s="669"/>
      <c r="IPQ106" s="669"/>
      <c r="IPR106" s="669"/>
      <c r="IPS106" s="669"/>
      <c r="IPT106" s="669"/>
      <c r="IPU106" s="669"/>
      <c r="IPV106" s="669"/>
      <c r="IPW106" s="669"/>
      <c r="IPX106" s="669"/>
      <c r="IPY106" s="669"/>
      <c r="IPZ106" s="669"/>
      <c r="IQA106" s="669"/>
      <c r="IQB106" s="669"/>
      <c r="IQC106" s="669"/>
      <c r="IQD106" s="669"/>
      <c r="IQE106" s="669"/>
      <c r="IQF106" s="669"/>
      <c r="IQG106" s="669"/>
      <c r="IQH106" s="669"/>
      <c r="IQI106" s="669"/>
      <c r="IQJ106" s="669"/>
      <c r="IQK106" s="669"/>
      <c r="IQL106" s="669"/>
      <c r="IQM106" s="669"/>
      <c r="IQN106" s="669"/>
      <c r="IQO106" s="669"/>
      <c r="IQP106" s="669"/>
      <c r="IQQ106" s="669"/>
      <c r="IQR106" s="669"/>
      <c r="IQS106" s="669"/>
      <c r="IQT106" s="669"/>
      <c r="IQU106" s="669"/>
      <c r="IQV106" s="669"/>
      <c r="IQW106" s="669"/>
      <c r="IQX106" s="669"/>
      <c r="IQY106" s="669"/>
      <c r="IQZ106" s="669"/>
      <c r="IRA106" s="669"/>
      <c r="IRB106" s="669"/>
      <c r="IRC106" s="669"/>
      <c r="IRD106" s="669"/>
      <c r="IRE106" s="669"/>
      <c r="IRF106" s="669"/>
      <c r="IRG106" s="669"/>
      <c r="IRH106" s="669"/>
      <c r="IRI106" s="669"/>
      <c r="IRJ106" s="669"/>
      <c r="IRK106" s="669"/>
      <c r="IRL106" s="669"/>
      <c r="IRM106" s="669"/>
      <c r="IRN106" s="669"/>
      <c r="IRO106" s="669"/>
      <c r="IRP106" s="669"/>
      <c r="IRQ106" s="669"/>
      <c r="IRR106" s="669"/>
      <c r="IRS106" s="669"/>
      <c r="IRT106" s="669"/>
      <c r="IRU106" s="669"/>
      <c r="IRV106" s="669"/>
      <c r="IRW106" s="669"/>
      <c r="IRX106" s="669"/>
      <c r="IRY106" s="669"/>
      <c r="IRZ106" s="669"/>
      <c r="ISA106" s="669"/>
      <c r="ISB106" s="669"/>
      <c r="ISC106" s="669"/>
      <c r="ISD106" s="669"/>
      <c r="ISE106" s="669"/>
      <c r="ISF106" s="669"/>
      <c r="ISG106" s="669"/>
      <c r="ISH106" s="669"/>
      <c r="ISI106" s="669"/>
      <c r="ISJ106" s="669"/>
      <c r="ISK106" s="669"/>
      <c r="ISL106" s="669"/>
      <c r="ISM106" s="669"/>
      <c r="ISN106" s="669"/>
      <c r="ISO106" s="669"/>
      <c r="ISP106" s="669"/>
      <c r="ISQ106" s="669"/>
      <c r="ISR106" s="669"/>
      <c r="ISS106" s="669"/>
      <c r="IST106" s="669"/>
      <c r="ISU106" s="669"/>
      <c r="ISV106" s="669"/>
      <c r="ISW106" s="669"/>
      <c r="ISX106" s="669"/>
      <c r="ISY106" s="669"/>
      <c r="ISZ106" s="669"/>
      <c r="ITA106" s="669"/>
      <c r="ITB106" s="669"/>
      <c r="ITC106" s="669"/>
      <c r="ITD106" s="669"/>
      <c r="ITE106" s="669"/>
      <c r="ITF106" s="669"/>
      <c r="ITG106" s="669"/>
      <c r="ITH106" s="669"/>
      <c r="ITI106" s="669"/>
      <c r="ITJ106" s="669"/>
      <c r="ITK106" s="669"/>
      <c r="ITL106" s="669"/>
      <c r="ITM106" s="669"/>
      <c r="ITN106" s="669"/>
      <c r="ITO106" s="669"/>
      <c r="ITP106" s="669"/>
      <c r="ITQ106" s="669"/>
      <c r="ITR106" s="669"/>
      <c r="ITS106" s="669"/>
      <c r="ITT106" s="669"/>
      <c r="ITU106" s="669"/>
      <c r="ITV106" s="669"/>
      <c r="ITW106" s="669"/>
      <c r="ITX106" s="669"/>
      <c r="ITY106" s="669"/>
      <c r="ITZ106" s="669"/>
      <c r="IUA106" s="669"/>
      <c r="IUB106" s="669"/>
      <c r="IUC106" s="669"/>
      <c r="IUD106" s="669"/>
      <c r="IUE106" s="669"/>
      <c r="IUF106" s="669"/>
      <c r="IUG106" s="669"/>
      <c r="IUH106" s="669"/>
      <c r="IUI106" s="669"/>
      <c r="IUJ106" s="669"/>
      <c r="IUK106" s="669"/>
      <c r="IUL106" s="669"/>
      <c r="IUM106" s="669"/>
      <c r="IUN106" s="669"/>
      <c r="IUO106" s="669"/>
      <c r="IUP106" s="669"/>
      <c r="IUQ106" s="669"/>
      <c r="IUR106" s="669"/>
      <c r="IUS106" s="669"/>
      <c r="IUT106" s="669"/>
      <c r="IUU106" s="669"/>
      <c r="IUV106" s="669"/>
      <c r="IUW106" s="669"/>
      <c r="IUX106" s="669"/>
      <c r="IUY106" s="669"/>
      <c r="IUZ106" s="669"/>
      <c r="IVA106" s="669"/>
      <c r="IVB106" s="669"/>
      <c r="IVC106" s="669"/>
      <c r="IVD106" s="669"/>
      <c r="IVE106" s="669"/>
      <c r="IVF106" s="669"/>
      <c r="IVG106" s="669"/>
      <c r="IVH106" s="669"/>
      <c r="IVI106" s="669"/>
      <c r="IVJ106" s="669"/>
      <c r="IVK106" s="669"/>
      <c r="IVL106" s="669"/>
      <c r="IVM106" s="669"/>
      <c r="IVN106" s="669"/>
      <c r="IVO106" s="669"/>
      <c r="IVP106" s="669"/>
      <c r="IVQ106" s="669"/>
      <c r="IVR106" s="669"/>
      <c r="IVS106" s="669"/>
      <c r="IVT106" s="669"/>
      <c r="IVU106" s="669"/>
      <c r="IVV106" s="669"/>
      <c r="IVW106" s="669"/>
      <c r="IVX106" s="669"/>
      <c r="IVY106" s="669"/>
      <c r="IVZ106" s="669"/>
      <c r="IWA106" s="669"/>
      <c r="IWB106" s="669"/>
      <c r="IWC106" s="669"/>
      <c r="IWD106" s="669"/>
      <c r="IWE106" s="669"/>
      <c r="IWF106" s="669"/>
      <c r="IWG106" s="669"/>
      <c r="IWH106" s="669"/>
      <c r="IWI106" s="669"/>
      <c r="IWJ106" s="669"/>
      <c r="IWK106" s="669"/>
      <c r="IWL106" s="669"/>
      <c r="IWM106" s="669"/>
      <c r="IWN106" s="669"/>
      <c r="IWO106" s="669"/>
      <c r="IWP106" s="669"/>
      <c r="IWQ106" s="669"/>
      <c r="IWR106" s="669"/>
      <c r="IWS106" s="669"/>
      <c r="IWT106" s="669"/>
      <c r="IWU106" s="669"/>
      <c r="IWV106" s="669"/>
      <c r="IWW106" s="669"/>
      <c r="IWX106" s="669"/>
      <c r="IWY106" s="669"/>
      <c r="IWZ106" s="669"/>
      <c r="IXA106" s="669"/>
      <c r="IXB106" s="669"/>
      <c r="IXC106" s="669"/>
      <c r="IXD106" s="669"/>
      <c r="IXE106" s="669"/>
      <c r="IXF106" s="669"/>
      <c r="IXG106" s="669"/>
      <c r="IXH106" s="669"/>
      <c r="IXI106" s="669"/>
      <c r="IXJ106" s="669"/>
      <c r="IXK106" s="669"/>
      <c r="IXL106" s="669"/>
      <c r="IXM106" s="669"/>
      <c r="IXN106" s="669"/>
      <c r="IXO106" s="669"/>
      <c r="IXP106" s="669"/>
      <c r="IXQ106" s="669"/>
      <c r="IXR106" s="669"/>
      <c r="IXS106" s="669"/>
      <c r="IXT106" s="669"/>
      <c r="IXU106" s="669"/>
      <c r="IXV106" s="669"/>
      <c r="IXW106" s="669"/>
      <c r="IXX106" s="669"/>
      <c r="IXY106" s="669"/>
      <c r="IXZ106" s="669"/>
      <c r="IYA106" s="669"/>
      <c r="IYB106" s="669"/>
      <c r="IYC106" s="669"/>
      <c r="IYD106" s="669"/>
      <c r="IYE106" s="669"/>
      <c r="IYF106" s="669"/>
      <c r="IYG106" s="669"/>
      <c r="IYH106" s="669"/>
      <c r="IYI106" s="669"/>
      <c r="IYJ106" s="669"/>
      <c r="IYK106" s="669"/>
      <c r="IYL106" s="669"/>
      <c r="IYM106" s="669"/>
      <c r="IYN106" s="669"/>
      <c r="IYO106" s="669"/>
      <c r="IYP106" s="669"/>
      <c r="IYQ106" s="669"/>
      <c r="IYR106" s="669"/>
      <c r="IYS106" s="669"/>
      <c r="IYT106" s="669"/>
      <c r="IYU106" s="669"/>
      <c r="IYV106" s="669"/>
      <c r="IYW106" s="669"/>
      <c r="IYX106" s="669"/>
      <c r="IYY106" s="669"/>
      <c r="IYZ106" s="669"/>
      <c r="IZA106" s="669"/>
      <c r="IZB106" s="669"/>
      <c r="IZC106" s="669"/>
      <c r="IZD106" s="669"/>
      <c r="IZE106" s="669"/>
      <c r="IZF106" s="669"/>
      <c r="IZG106" s="669"/>
      <c r="IZH106" s="669"/>
      <c r="IZI106" s="669"/>
      <c r="IZJ106" s="669"/>
      <c r="IZK106" s="669"/>
      <c r="IZL106" s="669"/>
      <c r="IZM106" s="669"/>
      <c r="IZN106" s="669"/>
      <c r="IZO106" s="669"/>
      <c r="IZP106" s="669"/>
      <c r="IZQ106" s="669"/>
      <c r="IZR106" s="669"/>
      <c r="IZS106" s="669"/>
      <c r="IZT106" s="669"/>
      <c r="IZU106" s="669"/>
      <c r="IZV106" s="669"/>
      <c r="IZW106" s="669"/>
      <c r="IZX106" s="669"/>
      <c r="IZY106" s="669"/>
      <c r="IZZ106" s="669"/>
      <c r="JAA106" s="669"/>
      <c r="JAB106" s="669"/>
      <c r="JAC106" s="669"/>
      <c r="JAD106" s="669"/>
      <c r="JAE106" s="669"/>
      <c r="JAF106" s="669"/>
      <c r="JAG106" s="669"/>
      <c r="JAH106" s="669"/>
      <c r="JAI106" s="669"/>
      <c r="JAJ106" s="669"/>
      <c r="JAK106" s="669"/>
      <c r="JAL106" s="669"/>
      <c r="JAM106" s="669"/>
      <c r="JAN106" s="669"/>
      <c r="JAO106" s="669"/>
      <c r="JAP106" s="669"/>
      <c r="JAQ106" s="669"/>
      <c r="JAR106" s="669"/>
      <c r="JAS106" s="669"/>
      <c r="JAT106" s="669"/>
      <c r="JAU106" s="669"/>
      <c r="JAV106" s="669"/>
      <c r="JAW106" s="669"/>
      <c r="JAX106" s="669"/>
      <c r="JAY106" s="669"/>
      <c r="JAZ106" s="669"/>
      <c r="JBA106" s="669"/>
      <c r="JBB106" s="669"/>
      <c r="JBC106" s="669"/>
      <c r="JBD106" s="669"/>
      <c r="JBE106" s="669"/>
      <c r="JBF106" s="669"/>
      <c r="JBG106" s="669"/>
      <c r="JBH106" s="669"/>
      <c r="JBI106" s="669"/>
      <c r="JBJ106" s="669"/>
      <c r="JBK106" s="669"/>
      <c r="JBL106" s="669"/>
      <c r="JBM106" s="669"/>
      <c r="JBN106" s="669"/>
      <c r="JBO106" s="669"/>
      <c r="JBP106" s="669"/>
      <c r="JBQ106" s="669"/>
      <c r="JBR106" s="669"/>
      <c r="JBS106" s="669"/>
      <c r="JBT106" s="669"/>
      <c r="JBU106" s="669"/>
      <c r="JBV106" s="669"/>
      <c r="JBW106" s="669"/>
      <c r="JBX106" s="669"/>
      <c r="JBY106" s="669"/>
      <c r="JBZ106" s="669"/>
      <c r="JCA106" s="669"/>
      <c r="JCB106" s="669"/>
      <c r="JCC106" s="669"/>
      <c r="JCD106" s="669"/>
      <c r="JCE106" s="669"/>
      <c r="JCF106" s="669"/>
      <c r="JCG106" s="669"/>
      <c r="JCH106" s="669"/>
      <c r="JCI106" s="669"/>
      <c r="JCJ106" s="669"/>
      <c r="JCK106" s="669"/>
      <c r="JCL106" s="669"/>
      <c r="JCM106" s="669"/>
      <c r="JCN106" s="669"/>
      <c r="JCO106" s="669"/>
      <c r="JCP106" s="669"/>
      <c r="JCQ106" s="669"/>
      <c r="JCR106" s="669"/>
      <c r="JCS106" s="669"/>
      <c r="JCT106" s="669"/>
      <c r="JCU106" s="669"/>
      <c r="JCV106" s="669"/>
      <c r="JCW106" s="669"/>
      <c r="JCX106" s="669"/>
      <c r="JCY106" s="669"/>
      <c r="JCZ106" s="669"/>
      <c r="JDA106" s="669"/>
      <c r="JDB106" s="669"/>
      <c r="JDC106" s="669"/>
      <c r="JDD106" s="669"/>
      <c r="JDE106" s="669"/>
      <c r="JDF106" s="669"/>
      <c r="JDG106" s="669"/>
      <c r="JDH106" s="669"/>
      <c r="JDI106" s="669"/>
      <c r="JDJ106" s="669"/>
      <c r="JDK106" s="669"/>
      <c r="JDL106" s="669"/>
      <c r="JDM106" s="669"/>
      <c r="JDN106" s="669"/>
      <c r="JDO106" s="669"/>
      <c r="JDP106" s="669"/>
      <c r="JDQ106" s="669"/>
      <c r="JDR106" s="669"/>
      <c r="JDS106" s="669"/>
      <c r="JDT106" s="669"/>
      <c r="JDU106" s="669"/>
      <c r="JDV106" s="669"/>
      <c r="JDW106" s="669"/>
      <c r="JDX106" s="669"/>
      <c r="JDY106" s="669"/>
      <c r="JDZ106" s="669"/>
      <c r="JEA106" s="669"/>
      <c r="JEB106" s="669"/>
      <c r="JEC106" s="669"/>
      <c r="JED106" s="669"/>
      <c r="JEE106" s="669"/>
      <c r="JEF106" s="669"/>
      <c r="JEG106" s="669"/>
      <c r="JEH106" s="669"/>
      <c r="JEI106" s="669"/>
      <c r="JEJ106" s="669"/>
      <c r="JEK106" s="669"/>
      <c r="JEL106" s="669"/>
      <c r="JEM106" s="669"/>
      <c r="JEN106" s="669"/>
      <c r="JEO106" s="669"/>
      <c r="JEP106" s="669"/>
      <c r="JEQ106" s="669"/>
      <c r="JER106" s="669"/>
      <c r="JES106" s="669"/>
      <c r="JET106" s="669"/>
      <c r="JEU106" s="669"/>
      <c r="JEV106" s="669"/>
      <c r="JEW106" s="669"/>
      <c r="JEX106" s="669"/>
      <c r="JEY106" s="669"/>
      <c r="JEZ106" s="669"/>
      <c r="JFA106" s="669"/>
      <c r="JFB106" s="669"/>
      <c r="JFC106" s="669"/>
      <c r="JFD106" s="669"/>
      <c r="JFE106" s="669"/>
      <c r="JFF106" s="669"/>
      <c r="JFG106" s="669"/>
      <c r="JFH106" s="669"/>
      <c r="JFI106" s="669"/>
      <c r="JFJ106" s="669"/>
      <c r="JFK106" s="669"/>
      <c r="JFL106" s="669"/>
      <c r="JFM106" s="669"/>
      <c r="JFN106" s="669"/>
      <c r="JFO106" s="669"/>
      <c r="JFP106" s="669"/>
      <c r="JFQ106" s="669"/>
      <c r="JFR106" s="669"/>
      <c r="JFS106" s="669"/>
      <c r="JFT106" s="669"/>
      <c r="JFU106" s="669"/>
      <c r="JFV106" s="669"/>
      <c r="JFW106" s="669"/>
      <c r="JFX106" s="669"/>
      <c r="JFY106" s="669"/>
      <c r="JFZ106" s="669"/>
      <c r="JGA106" s="669"/>
      <c r="JGB106" s="669"/>
      <c r="JGC106" s="669"/>
      <c r="JGD106" s="669"/>
      <c r="JGE106" s="669"/>
      <c r="JGF106" s="669"/>
      <c r="JGG106" s="669"/>
      <c r="JGH106" s="669"/>
      <c r="JGI106" s="669"/>
      <c r="JGJ106" s="669"/>
      <c r="JGK106" s="669"/>
      <c r="JGL106" s="669"/>
      <c r="JGM106" s="669"/>
      <c r="JGN106" s="669"/>
      <c r="JGO106" s="669"/>
      <c r="JGP106" s="669"/>
      <c r="JGQ106" s="669"/>
      <c r="JGR106" s="669"/>
      <c r="JGS106" s="669"/>
      <c r="JGT106" s="669"/>
      <c r="JGU106" s="669"/>
      <c r="JGV106" s="669"/>
      <c r="JGW106" s="669"/>
      <c r="JGX106" s="669"/>
      <c r="JGY106" s="669"/>
      <c r="JGZ106" s="669"/>
      <c r="JHA106" s="669"/>
      <c r="JHB106" s="669"/>
      <c r="JHC106" s="669"/>
      <c r="JHD106" s="669"/>
      <c r="JHE106" s="669"/>
      <c r="JHF106" s="669"/>
      <c r="JHG106" s="669"/>
      <c r="JHH106" s="669"/>
      <c r="JHI106" s="669"/>
      <c r="JHJ106" s="669"/>
      <c r="JHK106" s="669"/>
      <c r="JHL106" s="669"/>
      <c r="JHM106" s="669"/>
      <c r="JHN106" s="669"/>
      <c r="JHO106" s="669"/>
      <c r="JHP106" s="669"/>
      <c r="JHQ106" s="669"/>
      <c r="JHR106" s="669"/>
      <c r="JHS106" s="669"/>
      <c r="JHT106" s="669"/>
      <c r="JHU106" s="669"/>
      <c r="JHV106" s="669"/>
      <c r="JHW106" s="669"/>
      <c r="JHX106" s="669"/>
      <c r="JHY106" s="669"/>
      <c r="JHZ106" s="669"/>
      <c r="JIA106" s="669"/>
      <c r="JIB106" s="669"/>
      <c r="JIC106" s="669"/>
      <c r="JID106" s="669"/>
      <c r="JIE106" s="669"/>
      <c r="JIF106" s="669"/>
      <c r="JIG106" s="669"/>
      <c r="JIH106" s="669"/>
      <c r="JII106" s="669"/>
      <c r="JIJ106" s="669"/>
      <c r="JIK106" s="669"/>
      <c r="JIL106" s="669"/>
      <c r="JIM106" s="669"/>
      <c r="JIN106" s="669"/>
      <c r="JIO106" s="669"/>
      <c r="JIP106" s="669"/>
      <c r="JIQ106" s="669"/>
      <c r="JIR106" s="669"/>
      <c r="JIS106" s="669"/>
      <c r="JIT106" s="669"/>
      <c r="JIU106" s="669"/>
      <c r="JIV106" s="669"/>
      <c r="JIW106" s="669"/>
      <c r="JIX106" s="669"/>
      <c r="JIY106" s="669"/>
      <c r="JIZ106" s="669"/>
      <c r="JJA106" s="669"/>
      <c r="JJB106" s="669"/>
      <c r="JJC106" s="669"/>
      <c r="JJD106" s="669"/>
      <c r="JJE106" s="669"/>
      <c r="JJF106" s="669"/>
      <c r="JJG106" s="669"/>
      <c r="JJH106" s="669"/>
      <c r="JJI106" s="669"/>
      <c r="JJJ106" s="669"/>
      <c r="JJK106" s="669"/>
      <c r="JJL106" s="669"/>
      <c r="JJM106" s="669"/>
      <c r="JJN106" s="669"/>
      <c r="JJO106" s="669"/>
      <c r="JJP106" s="669"/>
      <c r="JJQ106" s="669"/>
      <c r="JJR106" s="669"/>
      <c r="JJS106" s="669"/>
      <c r="JJT106" s="669"/>
      <c r="JJU106" s="669"/>
      <c r="JJV106" s="669"/>
      <c r="JJW106" s="669"/>
      <c r="JJX106" s="669"/>
      <c r="JJY106" s="669"/>
      <c r="JJZ106" s="669"/>
      <c r="JKA106" s="669"/>
      <c r="JKB106" s="669"/>
      <c r="JKC106" s="669"/>
      <c r="JKD106" s="669"/>
      <c r="JKE106" s="669"/>
      <c r="JKF106" s="669"/>
      <c r="JKG106" s="669"/>
      <c r="JKH106" s="669"/>
      <c r="JKI106" s="669"/>
      <c r="JKJ106" s="669"/>
      <c r="JKK106" s="669"/>
      <c r="JKL106" s="669"/>
      <c r="JKM106" s="669"/>
      <c r="JKN106" s="669"/>
      <c r="JKO106" s="669"/>
      <c r="JKP106" s="669"/>
      <c r="JKQ106" s="669"/>
      <c r="JKR106" s="669"/>
      <c r="JKS106" s="669"/>
      <c r="JKT106" s="669"/>
      <c r="JKU106" s="669"/>
      <c r="JKV106" s="669"/>
      <c r="JKW106" s="669"/>
      <c r="JKX106" s="669"/>
      <c r="JKY106" s="669"/>
      <c r="JKZ106" s="669"/>
      <c r="JLA106" s="669"/>
      <c r="JLB106" s="669"/>
      <c r="JLC106" s="669"/>
      <c r="JLD106" s="669"/>
      <c r="JLE106" s="669"/>
      <c r="JLF106" s="669"/>
      <c r="JLG106" s="669"/>
      <c r="JLH106" s="669"/>
      <c r="JLI106" s="669"/>
      <c r="JLJ106" s="669"/>
      <c r="JLK106" s="669"/>
      <c r="JLL106" s="669"/>
      <c r="JLM106" s="669"/>
      <c r="JLN106" s="669"/>
      <c r="JLO106" s="669"/>
      <c r="JLP106" s="669"/>
      <c r="JLQ106" s="669"/>
      <c r="JLR106" s="669"/>
      <c r="JLS106" s="669"/>
      <c r="JLT106" s="669"/>
      <c r="JLU106" s="669"/>
      <c r="JLV106" s="669"/>
      <c r="JLW106" s="669"/>
      <c r="JLX106" s="669"/>
      <c r="JLY106" s="669"/>
      <c r="JLZ106" s="669"/>
      <c r="JMA106" s="669"/>
      <c r="JMB106" s="669"/>
      <c r="JMC106" s="669"/>
      <c r="JMD106" s="669"/>
      <c r="JME106" s="669"/>
      <c r="JMF106" s="669"/>
      <c r="JMG106" s="669"/>
      <c r="JMH106" s="669"/>
      <c r="JMI106" s="669"/>
      <c r="JMJ106" s="669"/>
      <c r="JMK106" s="669"/>
      <c r="JML106" s="669"/>
      <c r="JMM106" s="669"/>
      <c r="JMN106" s="669"/>
      <c r="JMO106" s="669"/>
      <c r="JMP106" s="669"/>
      <c r="JMQ106" s="669"/>
      <c r="JMR106" s="669"/>
      <c r="JMS106" s="669"/>
      <c r="JMT106" s="669"/>
      <c r="JMU106" s="669"/>
      <c r="JMV106" s="669"/>
      <c r="JMW106" s="669"/>
      <c r="JMX106" s="669"/>
      <c r="JMY106" s="669"/>
      <c r="JMZ106" s="669"/>
      <c r="JNA106" s="669"/>
      <c r="JNB106" s="669"/>
      <c r="JNC106" s="669"/>
      <c r="JND106" s="669"/>
      <c r="JNE106" s="669"/>
      <c r="JNF106" s="669"/>
      <c r="JNG106" s="669"/>
      <c r="JNH106" s="669"/>
      <c r="JNI106" s="669"/>
      <c r="JNJ106" s="669"/>
      <c r="JNK106" s="669"/>
      <c r="JNL106" s="669"/>
      <c r="JNM106" s="669"/>
      <c r="JNN106" s="669"/>
      <c r="JNO106" s="669"/>
      <c r="JNP106" s="669"/>
      <c r="JNQ106" s="669"/>
      <c r="JNR106" s="669"/>
      <c r="JNS106" s="669"/>
      <c r="JNT106" s="669"/>
      <c r="JNU106" s="669"/>
      <c r="JNV106" s="669"/>
      <c r="JNW106" s="669"/>
      <c r="JNX106" s="669"/>
      <c r="JNY106" s="669"/>
      <c r="JNZ106" s="669"/>
      <c r="JOA106" s="669"/>
      <c r="JOB106" s="669"/>
      <c r="JOC106" s="669"/>
      <c r="JOD106" s="669"/>
      <c r="JOE106" s="669"/>
      <c r="JOF106" s="669"/>
      <c r="JOG106" s="669"/>
      <c r="JOH106" s="669"/>
      <c r="JOI106" s="669"/>
      <c r="JOJ106" s="669"/>
      <c r="JOK106" s="669"/>
      <c r="JOL106" s="669"/>
      <c r="JOM106" s="669"/>
      <c r="JON106" s="669"/>
      <c r="JOO106" s="669"/>
      <c r="JOP106" s="669"/>
      <c r="JOQ106" s="669"/>
      <c r="JOR106" s="669"/>
      <c r="JOS106" s="669"/>
      <c r="JOT106" s="669"/>
      <c r="JOU106" s="669"/>
      <c r="JOV106" s="669"/>
      <c r="JOW106" s="669"/>
      <c r="JOX106" s="669"/>
      <c r="JOY106" s="669"/>
      <c r="JOZ106" s="669"/>
      <c r="JPA106" s="669"/>
      <c r="JPB106" s="669"/>
      <c r="JPC106" s="669"/>
      <c r="JPD106" s="669"/>
      <c r="JPE106" s="669"/>
      <c r="JPF106" s="669"/>
      <c r="JPG106" s="669"/>
      <c r="JPH106" s="669"/>
      <c r="JPI106" s="669"/>
      <c r="JPJ106" s="669"/>
      <c r="JPK106" s="669"/>
      <c r="JPL106" s="669"/>
      <c r="JPM106" s="669"/>
      <c r="JPN106" s="669"/>
      <c r="JPO106" s="669"/>
      <c r="JPP106" s="669"/>
      <c r="JPQ106" s="669"/>
      <c r="JPR106" s="669"/>
      <c r="JPS106" s="669"/>
      <c r="JPT106" s="669"/>
      <c r="JPU106" s="669"/>
      <c r="JPV106" s="669"/>
      <c r="JPW106" s="669"/>
      <c r="JPX106" s="669"/>
      <c r="JPY106" s="669"/>
      <c r="JPZ106" s="669"/>
      <c r="JQA106" s="669"/>
      <c r="JQB106" s="669"/>
      <c r="JQC106" s="669"/>
      <c r="JQD106" s="669"/>
      <c r="JQE106" s="669"/>
      <c r="JQF106" s="669"/>
      <c r="JQG106" s="669"/>
      <c r="JQH106" s="669"/>
      <c r="JQI106" s="669"/>
      <c r="JQJ106" s="669"/>
      <c r="JQK106" s="669"/>
      <c r="JQL106" s="669"/>
      <c r="JQM106" s="669"/>
      <c r="JQN106" s="669"/>
      <c r="JQO106" s="669"/>
      <c r="JQP106" s="669"/>
      <c r="JQQ106" s="669"/>
      <c r="JQR106" s="669"/>
      <c r="JQS106" s="669"/>
      <c r="JQT106" s="669"/>
      <c r="JQU106" s="669"/>
      <c r="JQV106" s="669"/>
      <c r="JQW106" s="669"/>
      <c r="JQX106" s="669"/>
      <c r="JQY106" s="669"/>
      <c r="JQZ106" s="669"/>
      <c r="JRA106" s="669"/>
      <c r="JRB106" s="669"/>
      <c r="JRC106" s="669"/>
      <c r="JRD106" s="669"/>
      <c r="JRE106" s="669"/>
      <c r="JRF106" s="669"/>
      <c r="JRG106" s="669"/>
      <c r="JRH106" s="669"/>
      <c r="JRI106" s="669"/>
      <c r="JRJ106" s="669"/>
      <c r="JRK106" s="669"/>
      <c r="JRL106" s="669"/>
      <c r="JRM106" s="669"/>
      <c r="JRN106" s="669"/>
      <c r="JRO106" s="669"/>
      <c r="JRP106" s="669"/>
      <c r="JRQ106" s="669"/>
      <c r="JRR106" s="669"/>
      <c r="JRS106" s="669"/>
      <c r="JRT106" s="669"/>
      <c r="JRU106" s="669"/>
      <c r="JRV106" s="669"/>
      <c r="JRW106" s="669"/>
      <c r="JRX106" s="669"/>
      <c r="JRY106" s="669"/>
      <c r="JRZ106" s="669"/>
      <c r="JSA106" s="669"/>
      <c r="JSB106" s="669"/>
      <c r="JSC106" s="669"/>
      <c r="JSD106" s="669"/>
      <c r="JSE106" s="669"/>
      <c r="JSF106" s="669"/>
      <c r="JSG106" s="669"/>
      <c r="JSH106" s="669"/>
      <c r="JSI106" s="669"/>
      <c r="JSJ106" s="669"/>
      <c r="JSK106" s="669"/>
      <c r="JSL106" s="669"/>
      <c r="JSM106" s="669"/>
      <c r="JSN106" s="669"/>
      <c r="JSO106" s="669"/>
      <c r="JSP106" s="669"/>
      <c r="JSQ106" s="669"/>
      <c r="JSR106" s="669"/>
      <c r="JSS106" s="669"/>
      <c r="JST106" s="669"/>
      <c r="JSU106" s="669"/>
      <c r="JSV106" s="669"/>
      <c r="JSW106" s="669"/>
      <c r="JSX106" s="669"/>
      <c r="JSY106" s="669"/>
      <c r="JSZ106" s="669"/>
      <c r="JTA106" s="669"/>
      <c r="JTB106" s="669"/>
      <c r="JTC106" s="669"/>
      <c r="JTD106" s="669"/>
      <c r="JTE106" s="669"/>
      <c r="JTF106" s="669"/>
      <c r="JTG106" s="669"/>
      <c r="JTH106" s="669"/>
      <c r="JTI106" s="669"/>
      <c r="JTJ106" s="669"/>
      <c r="JTK106" s="669"/>
      <c r="JTL106" s="669"/>
      <c r="JTM106" s="669"/>
      <c r="JTN106" s="669"/>
      <c r="JTO106" s="669"/>
      <c r="JTP106" s="669"/>
      <c r="JTQ106" s="669"/>
      <c r="JTR106" s="669"/>
      <c r="JTS106" s="669"/>
      <c r="JTT106" s="669"/>
      <c r="JTU106" s="669"/>
      <c r="JTV106" s="669"/>
      <c r="JTW106" s="669"/>
      <c r="JTX106" s="669"/>
      <c r="JTY106" s="669"/>
      <c r="JTZ106" s="669"/>
      <c r="JUA106" s="669"/>
      <c r="JUB106" s="669"/>
      <c r="JUC106" s="669"/>
      <c r="JUD106" s="669"/>
      <c r="JUE106" s="669"/>
      <c r="JUF106" s="669"/>
      <c r="JUG106" s="669"/>
      <c r="JUH106" s="669"/>
      <c r="JUI106" s="669"/>
      <c r="JUJ106" s="669"/>
      <c r="JUK106" s="669"/>
      <c r="JUL106" s="669"/>
      <c r="JUM106" s="669"/>
      <c r="JUN106" s="669"/>
      <c r="JUO106" s="669"/>
      <c r="JUP106" s="669"/>
      <c r="JUQ106" s="669"/>
      <c r="JUR106" s="669"/>
      <c r="JUS106" s="669"/>
      <c r="JUT106" s="669"/>
      <c r="JUU106" s="669"/>
      <c r="JUV106" s="669"/>
      <c r="JUW106" s="669"/>
      <c r="JUX106" s="669"/>
      <c r="JUY106" s="669"/>
      <c r="JUZ106" s="669"/>
      <c r="JVA106" s="669"/>
      <c r="JVB106" s="669"/>
      <c r="JVC106" s="669"/>
      <c r="JVD106" s="669"/>
      <c r="JVE106" s="669"/>
      <c r="JVF106" s="669"/>
      <c r="JVG106" s="669"/>
      <c r="JVH106" s="669"/>
      <c r="JVI106" s="669"/>
      <c r="JVJ106" s="669"/>
      <c r="JVK106" s="669"/>
      <c r="JVL106" s="669"/>
      <c r="JVM106" s="669"/>
      <c r="JVN106" s="669"/>
      <c r="JVO106" s="669"/>
      <c r="JVP106" s="669"/>
      <c r="JVQ106" s="669"/>
      <c r="JVR106" s="669"/>
      <c r="JVS106" s="669"/>
      <c r="JVT106" s="669"/>
      <c r="JVU106" s="669"/>
      <c r="JVV106" s="669"/>
      <c r="JVW106" s="669"/>
      <c r="JVX106" s="669"/>
      <c r="JVY106" s="669"/>
      <c r="JVZ106" s="669"/>
      <c r="JWA106" s="669"/>
      <c r="JWB106" s="669"/>
      <c r="JWC106" s="669"/>
      <c r="JWD106" s="669"/>
      <c r="JWE106" s="669"/>
      <c r="JWF106" s="669"/>
      <c r="JWG106" s="669"/>
      <c r="JWH106" s="669"/>
      <c r="JWI106" s="669"/>
      <c r="JWJ106" s="669"/>
      <c r="JWK106" s="669"/>
      <c r="JWL106" s="669"/>
      <c r="JWM106" s="669"/>
      <c r="JWN106" s="669"/>
      <c r="JWO106" s="669"/>
      <c r="JWP106" s="669"/>
      <c r="JWQ106" s="669"/>
      <c r="JWR106" s="669"/>
      <c r="JWS106" s="669"/>
      <c r="JWT106" s="669"/>
      <c r="JWU106" s="669"/>
      <c r="JWV106" s="669"/>
      <c r="JWW106" s="669"/>
      <c r="JWX106" s="669"/>
      <c r="JWY106" s="669"/>
      <c r="JWZ106" s="669"/>
      <c r="JXA106" s="669"/>
      <c r="JXB106" s="669"/>
      <c r="JXC106" s="669"/>
      <c r="JXD106" s="669"/>
      <c r="JXE106" s="669"/>
      <c r="JXF106" s="669"/>
      <c r="JXG106" s="669"/>
      <c r="JXH106" s="669"/>
      <c r="JXI106" s="669"/>
      <c r="JXJ106" s="669"/>
      <c r="JXK106" s="669"/>
      <c r="JXL106" s="669"/>
      <c r="JXM106" s="669"/>
      <c r="JXN106" s="669"/>
      <c r="JXO106" s="669"/>
      <c r="JXP106" s="669"/>
      <c r="JXQ106" s="669"/>
      <c r="JXR106" s="669"/>
      <c r="JXS106" s="669"/>
      <c r="JXT106" s="669"/>
      <c r="JXU106" s="669"/>
      <c r="JXV106" s="669"/>
      <c r="JXW106" s="669"/>
      <c r="JXX106" s="669"/>
      <c r="JXY106" s="669"/>
      <c r="JXZ106" s="669"/>
      <c r="JYA106" s="669"/>
      <c r="JYB106" s="669"/>
      <c r="JYC106" s="669"/>
      <c r="JYD106" s="669"/>
      <c r="JYE106" s="669"/>
      <c r="JYF106" s="669"/>
      <c r="JYG106" s="669"/>
      <c r="JYH106" s="669"/>
      <c r="JYI106" s="669"/>
      <c r="JYJ106" s="669"/>
      <c r="JYK106" s="669"/>
      <c r="JYL106" s="669"/>
      <c r="JYM106" s="669"/>
      <c r="JYN106" s="669"/>
      <c r="JYO106" s="669"/>
      <c r="JYP106" s="669"/>
      <c r="JYQ106" s="669"/>
      <c r="JYR106" s="669"/>
      <c r="JYS106" s="669"/>
      <c r="JYT106" s="669"/>
      <c r="JYU106" s="669"/>
      <c r="JYV106" s="669"/>
      <c r="JYW106" s="669"/>
      <c r="JYX106" s="669"/>
      <c r="JYY106" s="669"/>
      <c r="JYZ106" s="669"/>
      <c r="JZA106" s="669"/>
      <c r="JZB106" s="669"/>
      <c r="JZC106" s="669"/>
      <c r="JZD106" s="669"/>
      <c r="JZE106" s="669"/>
      <c r="JZF106" s="669"/>
      <c r="JZG106" s="669"/>
      <c r="JZH106" s="669"/>
      <c r="JZI106" s="669"/>
      <c r="JZJ106" s="669"/>
      <c r="JZK106" s="669"/>
      <c r="JZL106" s="669"/>
      <c r="JZM106" s="669"/>
      <c r="JZN106" s="669"/>
      <c r="JZO106" s="669"/>
      <c r="JZP106" s="669"/>
      <c r="JZQ106" s="669"/>
      <c r="JZR106" s="669"/>
      <c r="JZS106" s="669"/>
      <c r="JZT106" s="669"/>
      <c r="JZU106" s="669"/>
      <c r="JZV106" s="669"/>
      <c r="JZW106" s="669"/>
      <c r="JZX106" s="669"/>
      <c r="JZY106" s="669"/>
      <c r="JZZ106" s="669"/>
      <c r="KAA106" s="669"/>
      <c r="KAB106" s="669"/>
      <c r="KAC106" s="669"/>
      <c r="KAD106" s="669"/>
      <c r="KAE106" s="669"/>
      <c r="KAF106" s="669"/>
      <c r="KAG106" s="669"/>
      <c r="KAH106" s="669"/>
      <c r="KAI106" s="669"/>
      <c r="KAJ106" s="669"/>
      <c r="KAK106" s="669"/>
      <c r="KAL106" s="669"/>
      <c r="KAM106" s="669"/>
      <c r="KAN106" s="669"/>
      <c r="KAO106" s="669"/>
      <c r="KAP106" s="669"/>
      <c r="KAQ106" s="669"/>
      <c r="KAR106" s="669"/>
      <c r="KAS106" s="669"/>
      <c r="KAT106" s="669"/>
      <c r="KAU106" s="669"/>
      <c r="KAV106" s="669"/>
      <c r="KAW106" s="669"/>
      <c r="KAX106" s="669"/>
      <c r="KAY106" s="669"/>
      <c r="KAZ106" s="669"/>
      <c r="KBA106" s="669"/>
      <c r="KBB106" s="669"/>
      <c r="KBC106" s="669"/>
      <c r="KBD106" s="669"/>
      <c r="KBE106" s="669"/>
      <c r="KBF106" s="669"/>
      <c r="KBG106" s="669"/>
      <c r="KBH106" s="669"/>
      <c r="KBI106" s="669"/>
      <c r="KBJ106" s="669"/>
      <c r="KBK106" s="669"/>
      <c r="KBL106" s="669"/>
      <c r="KBM106" s="669"/>
      <c r="KBN106" s="669"/>
      <c r="KBO106" s="669"/>
      <c r="KBP106" s="669"/>
      <c r="KBQ106" s="669"/>
      <c r="KBR106" s="669"/>
      <c r="KBS106" s="669"/>
      <c r="KBT106" s="669"/>
      <c r="KBU106" s="669"/>
      <c r="KBV106" s="669"/>
      <c r="KBW106" s="669"/>
      <c r="KBX106" s="669"/>
      <c r="KBY106" s="669"/>
      <c r="KBZ106" s="669"/>
      <c r="KCA106" s="669"/>
      <c r="KCB106" s="669"/>
      <c r="KCC106" s="669"/>
      <c r="KCD106" s="669"/>
      <c r="KCE106" s="669"/>
      <c r="KCF106" s="669"/>
      <c r="KCG106" s="669"/>
      <c r="KCH106" s="669"/>
      <c r="KCI106" s="669"/>
      <c r="KCJ106" s="669"/>
      <c r="KCK106" s="669"/>
      <c r="KCL106" s="669"/>
      <c r="KCM106" s="669"/>
      <c r="KCN106" s="669"/>
      <c r="KCO106" s="669"/>
      <c r="KCP106" s="669"/>
      <c r="KCQ106" s="669"/>
      <c r="KCR106" s="669"/>
      <c r="KCS106" s="669"/>
      <c r="KCT106" s="669"/>
      <c r="KCU106" s="669"/>
      <c r="KCV106" s="669"/>
      <c r="KCW106" s="669"/>
      <c r="KCX106" s="669"/>
      <c r="KCY106" s="669"/>
      <c r="KCZ106" s="669"/>
      <c r="KDA106" s="669"/>
      <c r="KDB106" s="669"/>
      <c r="KDC106" s="669"/>
      <c r="KDD106" s="669"/>
      <c r="KDE106" s="669"/>
      <c r="KDF106" s="669"/>
      <c r="KDG106" s="669"/>
      <c r="KDH106" s="669"/>
      <c r="KDI106" s="669"/>
      <c r="KDJ106" s="669"/>
      <c r="KDK106" s="669"/>
      <c r="KDL106" s="669"/>
      <c r="KDM106" s="669"/>
      <c r="KDN106" s="669"/>
      <c r="KDO106" s="669"/>
      <c r="KDP106" s="669"/>
      <c r="KDQ106" s="669"/>
      <c r="KDR106" s="669"/>
      <c r="KDS106" s="669"/>
      <c r="KDT106" s="669"/>
      <c r="KDU106" s="669"/>
      <c r="KDV106" s="669"/>
      <c r="KDW106" s="669"/>
      <c r="KDX106" s="669"/>
      <c r="KDY106" s="669"/>
      <c r="KDZ106" s="669"/>
      <c r="KEA106" s="669"/>
      <c r="KEB106" s="669"/>
      <c r="KEC106" s="669"/>
      <c r="KED106" s="669"/>
      <c r="KEE106" s="669"/>
      <c r="KEF106" s="669"/>
      <c r="KEG106" s="669"/>
      <c r="KEH106" s="669"/>
      <c r="KEI106" s="669"/>
      <c r="KEJ106" s="669"/>
      <c r="KEK106" s="669"/>
      <c r="KEL106" s="669"/>
      <c r="KEM106" s="669"/>
      <c r="KEN106" s="669"/>
      <c r="KEO106" s="669"/>
      <c r="KEP106" s="669"/>
      <c r="KEQ106" s="669"/>
      <c r="KER106" s="669"/>
      <c r="KES106" s="669"/>
      <c r="KET106" s="669"/>
      <c r="KEU106" s="669"/>
      <c r="KEV106" s="669"/>
      <c r="KEW106" s="669"/>
      <c r="KEX106" s="669"/>
      <c r="KEY106" s="669"/>
      <c r="KEZ106" s="669"/>
      <c r="KFA106" s="669"/>
      <c r="KFB106" s="669"/>
      <c r="KFC106" s="669"/>
      <c r="KFD106" s="669"/>
      <c r="KFE106" s="669"/>
      <c r="KFF106" s="669"/>
      <c r="KFG106" s="669"/>
      <c r="KFH106" s="669"/>
      <c r="KFI106" s="669"/>
      <c r="KFJ106" s="669"/>
      <c r="KFK106" s="669"/>
      <c r="KFL106" s="669"/>
      <c r="KFM106" s="669"/>
      <c r="KFN106" s="669"/>
      <c r="KFO106" s="669"/>
      <c r="KFP106" s="669"/>
      <c r="KFQ106" s="669"/>
      <c r="KFR106" s="669"/>
      <c r="KFS106" s="669"/>
      <c r="KFT106" s="669"/>
      <c r="KFU106" s="669"/>
      <c r="KFV106" s="669"/>
      <c r="KFW106" s="669"/>
      <c r="KFX106" s="669"/>
      <c r="KFY106" s="669"/>
      <c r="KFZ106" s="669"/>
      <c r="KGA106" s="669"/>
      <c r="KGB106" s="669"/>
      <c r="KGC106" s="669"/>
      <c r="KGD106" s="669"/>
      <c r="KGE106" s="669"/>
      <c r="KGF106" s="669"/>
      <c r="KGG106" s="669"/>
      <c r="KGH106" s="669"/>
      <c r="KGI106" s="669"/>
      <c r="KGJ106" s="669"/>
      <c r="KGK106" s="669"/>
      <c r="KGL106" s="669"/>
      <c r="KGM106" s="669"/>
      <c r="KGN106" s="669"/>
      <c r="KGO106" s="669"/>
      <c r="KGP106" s="669"/>
      <c r="KGQ106" s="669"/>
      <c r="KGR106" s="669"/>
      <c r="KGS106" s="669"/>
      <c r="KGT106" s="669"/>
      <c r="KGU106" s="669"/>
      <c r="KGV106" s="669"/>
      <c r="KGW106" s="669"/>
      <c r="KGX106" s="669"/>
      <c r="KGY106" s="669"/>
      <c r="KGZ106" s="669"/>
      <c r="KHA106" s="669"/>
      <c r="KHB106" s="669"/>
      <c r="KHC106" s="669"/>
      <c r="KHD106" s="669"/>
      <c r="KHE106" s="669"/>
      <c r="KHF106" s="669"/>
      <c r="KHG106" s="669"/>
      <c r="KHH106" s="669"/>
      <c r="KHI106" s="669"/>
      <c r="KHJ106" s="669"/>
      <c r="KHK106" s="669"/>
      <c r="KHL106" s="669"/>
      <c r="KHM106" s="669"/>
      <c r="KHN106" s="669"/>
      <c r="KHO106" s="669"/>
      <c r="KHP106" s="669"/>
      <c r="KHQ106" s="669"/>
      <c r="KHR106" s="669"/>
      <c r="KHS106" s="669"/>
      <c r="KHT106" s="669"/>
      <c r="KHU106" s="669"/>
      <c r="KHV106" s="669"/>
      <c r="KHW106" s="669"/>
      <c r="KHX106" s="669"/>
      <c r="KHY106" s="669"/>
      <c r="KHZ106" s="669"/>
      <c r="KIA106" s="669"/>
      <c r="KIB106" s="669"/>
      <c r="KIC106" s="669"/>
      <c r="KID106" s="669"/>
      <c r="KIE106" s="669"/>
      <c r="KIF106" s="669"/>
      <c r="KIG106" s="669"/>
      <c r="KIH106" s="669"/>
      <c r="KII106" s="669"/>
      <c r="KIJ106" s="669"/>
      <c r="KIK106" s="669"/>
      <c r="KIL106" s="669"/>
      <c r="KIM106" s="669"/>
      <c r="KIN106" s="669"/>
      <c r="KIO106" s="669"/>
      <c r="KIP106" s="669"/>
      <c r="KIQ106" s="669"/>
      <c r="KIR106" s="669"/>
      <c r="KIS106" s="669"/>
      <c r="KIT106" s="669"/>
      <c r="KIU106" s="669"/>
      <c r="KIV106" s="669"/>
      <c r="KIW106" s="669"/>
      <c r="KIX106" s="669"/>
      <c r="KIY106" s="669"/>
      <c r="KIZ106" s="669"/>
      <c r="KJA106" s="669"/>
      <c r="KJB106" s="669"/>
      <c r="KJC106" s="669"/>
      <c r="KJD106" s="669"/>
      <c r="KJE106" s="669"/>
      <c r="KJF106" s="669"/>
      <c r="KJG106" s="669"/>
      <c r="KJH106" s="669"/>
      <c r="KJI106" s="669"/>
      <c r="KJJ106" s="669"/>
      <c r="KJK106" s="669"/>
      <c r="KJL106" s="669"/>
      <c r="KJM106" s="669"/>
      <c r="KJN106" s="669"/>
      <c r="KJO106" s="669"/>
      <c r="KJP106" s="669"/>
      <c r="KJQ106" s="669"/>
      <c r="KJR106" s="669"/>
      <c r="KJS106" s="669"/>
      <c r="KJT106" s="669"/>
      <c r="KJU106" s="669"/>
      <c r="KJV106" s="669"/>
      <c r="KJW106" s="669"/>
      <c r="KJX106" s="669"/>
      <c r="KJY106" s="669"/>
      <c r="KJZ106" s="669"/>
      <c r="KKA106" s="669"/>
      <c r="KKB106" s="669"/>
      <c r="KKC106" s="669"/>
      <c r="KKD106" s="669"/>
      <c r="KKE106" s="669"/>
      <c r="KKF106" s="669"/>
      <c r="KKG106" s="669"/>
      <c r="KKH106" s="669"/>
      <c r="KKI106" s="669"/>
      <c r="KKJ106" s="669"/>
      <c r="KKK106" s="669"/>
      <c r="KKL106" s="669"/>
      <c r="KKM106" s="669"/>
      <c r="KKN106" s="669"/>
      <c r="KKO106" s="669"/>
      <c r="KKP106" s="669"/>
      <c r="KKQ106" s="669"/>
      <c r="KKR106" s="669"/>
      <c r="KKS106" s="669"/>
      <c r="KKT106" s="669"/>
      <c r="KKU106" s="669"/>
      <c r="KKV106" s="669"/>
      <c r="KKW106" s="669"/>
      <c r="KKX106" s="669"/>
      <c r="KKY106" s="669"/>
      <c r="KKZ106" s="669"/>
      <c r="KLA106" s="669"/>
      <c r="KLB106" s="669"/>
      <c r="KLC106" s="669"/>
      <c r="KLD106" s="669"/>
      <c r="KLE106" s="669"/>
      <c r="KLF106" s="669"/>
      <c r="KLG106" s="669"/>
      <c r="KLH106" s="669"/>
      <c r="KLI106" s="669"/>
      <c r="KLJ106" s="669"/>
      <c r="KLK106" s="669"/>
      <c r="KLL106" s="669"/>
      <c r="KLM106" s="669"/>
      <c r="KLN106" s="669"/>
      <c r="KLO106" s="669"/>
      <c r="KLP106" s="669"/>
      <c r="KLQ106" s="669"/>
      <c r="KLR106" s="669"/>
      <c r="KLS106" s="669"/>
      <c r="KLT106" s="669"/>
      <c r="KLU106" s="669"/>
      <c r="KLV106" s="669"/>
      <c r="KLW106" s="669"/>
      <c r="KLX106" s="669"/>
      <c r="KLY106" s="669"/>
      <c r="KLZ106" s="669"/>
      <c r="KMA106" s="669"/>
      <c r="KMB106" s="669"/>
      <c r="KMC106" s="669"/>
      <c r="KMD106" s="669"/>
      <c r="KME106" s="669"/>
      <c r="KMF106" s="669"/>
      <c r="KMG106" s="669"/>
      <c r="KMH106" s="669"/>
      <c r="KMI106" s="669"/>
      <c r="KMJ106" s="669"/>
      <c r="KMK106" s="669"/>
      <c r="KML106" s="669"/>
      <c r="KMM106" s="669"/>
      <c r="KMN106" s="669"/>
      <c r="KMO106" s="669"/>
      <c r="KMP106" s="669"/>
      <c r="KMQ106" s="669"/>
      <c r="KMR106" s="669"/>
      <c r="KMS106" s="669"/>
      <c r="KMT106" s="669"/>
      <c r="KMU106" s="669"/>
      <c r="KMV106" s="669"/>
      <c r="KMW106" s="669"/>
      <c r="KMX106" s="669"/>
      <c r="KMY106" s="669"/>
      <c r="KMZ106" s="669"/>
      <c r="KNA106" s="669"/>
      <c r="KNB106" s="669"/>
      <c r="KNC106" s="669"/>
      <c r="KND106" s="669"/>
      <c r="KNE106" s="669"/>
      <c r="KNF106" s="669"/>
      <c r="KNG106" s="669"/>
      <c r="KNH106" s="669"/>
      <c r="KNI106" s="669"/>
      <c r="KNJ106" s="669"/>
      <c r="KNK106" s="669"/>
      <c r="KNL106" s="669"/>
      <c r="KNM106" s="669"/>
      <c r="KNN106" s="669"/>
      <c r="KNO106" s="669"/>
      <c r="KNP106" s="669"/>
      <c r="KNQ106" s="669"/>
      <c r="KNR106" s="669"/>
      <c r="KNS106" s="669"/>
      <c r="KNT106" s="669"/>
      <c r="KNU106" s="669"/>
      <c r="KNV106" s="669"/>
      <c r="KNW106" s="669"/>
      <c r="KNX106" s="669"/>
      <c r="KNY106" s="669"/>
      <c r="KNZ106" s="669"/>
      <c r="KOA106" s="669"/>
      <c r="KOB106" s="669"/>
      <c r="KOC106" s="669"/>
      <c r="KOD106" s="669"/>
      <c r="KOE106" s="669"/>
      <c r="KOF106" s="669"/>
      <c r="KOG106" s="669"/>
      <c r="KOH106" s="669"/>
      <c r="KOI106" s="669"/>
      <c r="KOJ106" s="669"/>
      <c r="KOK106" s="669"/>
      <c r="KOL106" s="669"/>
      <c r="KOM106" s="669"/>
      <c r="KON106" s="669"/>
      <c r="KOO106" s="669"/>
      <c r="KOP106" s="669"/>
      <c r="KOQ106" s="669"/>
      <c r="KOR106" s="669"/>
      <c r="KOS106" s="669"/>
      <c r="KOT106" s="669"/>
      <c r="KOU106" s="669"/>
      <c r="KOV106" s="669"/>
      <c r="KOW106" s="669"/>
      <c r="KOX106" s="669"/>
      <c r="KOY106" s="669"/>
      <c r="KOZ106" s="669"/>
      <c r="KPA106" s="669"/>
      <c r="KPB106" s="669"/>
      <c r="KPC106" s="669"/>
      <c r="KPD106" s="669"/>
      <c r="KPE106" s="669"/>
      <c r="KPF106" s="669"/>
      <c r="KPG106" s="669"/>
      <c r="KPH106" s="669"/>
      <c r="KPI106" s="669"/>
      <c r="KPJ106" s="669"/>
      <c r="KPK106" s="669"/>
      <c r="KPL106" s="669"/>
      <c r="KPM106" s="669"/>
      <c r="KPN106" s="669"/>
      <c r="KPO106" s="669"/>
      <c r="KPP106" s="669"/>
      <c r="KPQ106" s="669"/>
      <c r="KPR106" s="669"/>
      <c r="KPS106" s="669"/>
      <c r="KPT106" s="669"/>
      <c r="KPU106" s="669"/>
      <c r="KPV106" s="669"/>
      <c r="KPW106" s="669"/>
      <c r="KPX106" s="669"/>
      <c r="KPY106" s="669"/>
      <c r="KPZ106" s="669"/>
      <c r="KQA106" s="669"/>
      <c r="KQB106" s="669"/>
      <c r="KQC106" s="669"/>
      <c r="KQD106" s="669"/>
      <c r="KQE106" s="669"/>
      <c r="KQF106" s="669"/>
      <c r="KQG106" s="669"/>
      <c r="KQH106" s="669"/>
      <c r="KQI106" s="669"/>
      <c r="KQJ106" s="669"/>
      <c r="KQK106" s="669"/>
      <c r="KQL106" s="669"/>
      <c r="KQM106" s="669"/>
      <c r="KQN106" s="669"/>
      <c r="KQO106" s="669"/>
      <c r="KQP106" s="669"/>
      <c r="KQQ106" s="669"/>
      <c r="KQR106" s="669"/>
      <c r="KQS106" s="669"/>
      <c r="KQT106" s="669"/>
      <c r="KQU106" s="669"/>
      <c r="KQV106" s="669"/>
      <c r="KQW106" s="669"/>
      <c r="KQX106" s="669"/>
      <c r="KQY106" s="669"/>
      <c r="KQZ106" s="669"/>
      <c r="KRA106" s="669"/>
      <c r="KRB106" s="669"/>
      <c r="KRC106" s="669"/>
      <c r="KRD106" s="669"/>
      <c r="KRE106" s="669"/>
      <c r="KRF106" s="669"/>
      <c r="KRG106" s="669"/>
      <c r="KRH106" s="669"/>
      <c r="KRI106" s="669"/>
      <c r="KRJ106" s="669"/>
      <c r="KRK106" s="669"/>
      <c r="KRL106" s="669"/>
      <c r="KRM106" s="669"/>
      <c r="KRN106" s="669"/>
      <c r="KRO106" s="669"/>
      <c r="KRP106" s="669"/>
      <c r="KRQ106" s="669"/>
      <c r="KRR106" s="669"/>
      <c r="KRS106" s="669"/>
      <c r="KRT106" s="669"/>
      <c r="KRU106" s="669"/>
      <c r="KRV106" s="669"/>
      <c r="KRW106" s="669"/>
      <c r="KRX106" s="669"/>
      <c r="KRY106" s="669"/>
      <c r="KRZ106" s="669"/>
      <c r="KSA106" s="669"/>
      <c r="KSB106" s="669"/>
      <c r="KSC106" s="669"/>
      <c r="KSD106" s="669"/>
      <c r="KSE106" s="669"/>
      <c r="KSF106" s="669"/>
      <c r="KSG106" s="669"/>
      <c r="KSH106" s="669"/>
      <c r="KSI106" s="669"/>
      <c r="KSJ106" s="669"/>
      <c r="KSK106" s="669"/>
      <c r="KSL106" s="669"/>
      <c r="KSM106" s="669"/>
      <c r="KSN106" s="669"/>
      <c r="KSO106" s="669"/>
      <c r="KSP106" s="669"/>
      <c r="KSQ106" s="669"/>
      <c r="KSR106" s="669"/>
      <c r="KSS106" s="669"/>
      <c r="KST106" s="669"/>
      <c r="KSU106" s="669"/>
      <c r="KSV106" s="669"/>
      <c r="KSW106" s="669"/>
      <c r="KSX106" s="669"/>
      <c r="KSY106" s="669"/>
      <c r="KSZ106" s="669"/>
      <c r="KTA106" s="669"/>
      <c r="KTB106" s="669"/>
      <c r="KTC106" s="669"/>
      <c r="KTD106" s="669"/>
      <c r="KTE106" s="669"/>
      <c r="KTF106" s="669"/>
      <c r="KTG106" s="669"/>
      <c r="KTH106" s="669"/>
      <c r="KTI106" s="669"/>
      <c r="KTJ106" s="669"/>
      <c r="KTK106" s="669"/>
      <c r="KTL106" s="669"/>
      <c r="KTM106" s="669"/>
      <c r="KTN106" s="669"/>
      <c r="KTO106" s="669"/>
      <c r="KTP106" s="669"/>
      <c r="KTQ106" s="669"/>
      <c r="KTR106" s="669"/>
      <c r="KTS106" s="669"/>
      <c r="KTT106" s="669"/>
      <c r="KTU106" s="669"/>
      <c r="KTV106" s="669"/>
      <c r="KTW106" s="669"/>
      <c r="KTX106" s="669"/>
      <c r="KTY106" s="669"/>
      <c r="KTZ106" s="669"/>
      <c r="KUA106" s="669"/>
      <c r="KUB106" s="669"/>
      <c r="KUC106" s="669"/>
      <c r="KUD106" s="669"/>
      <c r="KUE106" s="669"/>
      <c r="KUF106" s="669"/>
      <c r="KUG106" s="669"/>
      <c r="KUH106" s="669"/>
      <c r="KUI106" s="669"/>
      <c r="KUJ106" s="669"/>
      <c r="KUK106" s="669"/>
      <c r="KUL106" s="669"/>
      <c r="KUM106" s="669"/>
      <c r="KUN106" s="669"/>
      <c r="KUO106" s="669"/>
      <c r="KUP106" s="669"/>
      <c r="KUQ106" s="669"/>
      <c r="KUR106" s="669"/>
      <c r="KUS106" s="669"/>
      <c r="KUT106" s="669"/>
      <c r="KUU106" s="669"/>
      <c r="KUV106" s="669"/>
      <c r="KUW106" s="669"/>
      <c r="KUX106" s="669"/>
      <c r="KUY106" s="669"/>
      <c r="KUZ106" s="669"/>
      <c r="KVA106" s="669"/>
      <c r="KVB106" s="669"/>
      <c r="KVC106" s="669"/>
      <c r="KVD106" s="669"/>
      <c r="KVE106" s="669"/>
      <c r="KVF106" s="669"/>
      <c r="KVG106" s="669"/>
      <c r="KVH106" s="669"/>
      <c r="KVI106" s="669"/>
      <c r="KVJ106" s="669"/>
      <c r="KVK106" s="669"/>
      <c r="KVL106" s="669"/>
      <c r="KVM106" s="669"/>
      <c r="KVN106" s="669"/>
      <c r="KVO106" s="669"/>
      <c r="KVP106" s="669"/>
      <c r="KVQ106" s="669"/>
      <c r="KVR106" s="669"/>
      <c r="KVS106" s="669"/>
      <c r="KVT106" s="669"/>
      <c r="KVU106" s="669"/>
      <c r="KVV106" s="669"/>
      <c r="KVW106" s="669"/>
      <c r="KVX106" s="669"/>
      <c r="KVY106" s="669"/>
      <c r="KVZ106" s="669"/>
      <c r="KWA106" s="669"/>
      <c r="KWB106" s="669"/>
      <c r="KWC106" s="669"/>
      <c r="KWD106" s="669"/>
      <c r="KWE106" s="669"/>
      <c r="KWF106" s="669"/>
      <c r="KWG106" s="669"/>
      <c r="KWH106" s="669"/>
      <c r="KWI106" s="669"/>
      <c r="KWJ106" s="669"/>
      <c r="KWK106" s="669"/>
      <c r="KWL106" s="669"/>
      <c r="KWM106" s="669"/>
      <c r="KWN106" s="669"/>
      <c r="KWO106" s="669"/>
      <c r="KWP106" s="669"/>
      <c r="KWQ106" s="669"/>
      <c r="KWR106" s="669"/>
      <c r="KWS106" s="669"/>
      <c r="KWT106" s="669"/>
      <c r="KWU106" s="669"/>
      <c r="KWV106" s="669"/>
      <c r="KWW106" s="669"/>
      <c r="KWX106" s="669"/>
      <c r="KWY106" s="669"/>
      <c r="KWZ106" s="669"/>
      <c r="KXA106" s="669"/>
      <c r="KXB106" s="669"/>
      <c r="KXC106" s="669"/>
      <c r="KXD106" s="669"/>
      <c r="KXE106" s="669"/>
      <c r="KXF106" s="669"/>
      <c r="KXG106" s="669"/>
      <c r="KXH106" s="669"/>
      <c r="KXI106" s="669"/>
      <c r="KXJ106" s="669"/>
      <c r="KXK106" s="669"/>
      <c r="KXL106" s="669"/>
      <c r="KXM106" s="669"/>
      <c r="KXN106" s="669"/>
      <c r="KXO106" s="669"/>
      <c r="KXP106" s="669"/>
      <c r="KXQ106" s="669"/>
      <c r="KXR106" s="669"/>
      <c r="KXS106" s="669"/>
      <c r="KXT106" s="669"/>
      <c r="KXU106" s="669"/>
      <c r="KXV106" s="669"/>
      <c r="KXW106" s="669"/>
      <c r="KXX106" s="669"/>
      <c r="KXY106" s="669"/>
      <c r="KXZ106" s="669"/>
      <c r="KYA106" s="669"/>
      <c r="KYB106" s="669"/>
      <c r="KYC106" s="669"/>
      <c r="KYD106" s="669"/>
      <c r="KYE106" s="669"/>
      <c r="KYF106" s="669"/>
      <c r="KYG106" s="669"/>
      <c r="KYH106" s="669"/>
      <c r="KYI106" s="669"/>
      <c r="KYJ106" s="669"/>
      <c r="KYK106" s="669"/>
      <c r="KYL106" s="669"/>
      <c r="KYM106" s="669"/>
      <c r="KYN106" s="669"/>
      <c r="KYO106" s="669"/>
      <c r="KYP106" s="669"/>
      <c r="KYQ106" s="669"/>
      <c r="KYR106" s="669"/>
      <c r="KYS106" s="669"/>
      <c r="KYT106" s="669"/>
      <c r="KYU106" s="669"/>
      <c r="KYV106" s="669"/>
      <c r="KYW106" s="669"/>
      <c r="KYX106" s="669"/>
      <c r="KYY106" s="669"/>
      <c r="KYZ106" s="669"/>
      <c r="KZA106" s="669"/>
      <c r="KZB106" s="669"/>
      <c r="KZC106" s="669"/>
      <c r="KZD106" s="669"/>
      <c r="KZE106" s="669"/>
      <c r="KZF106" s="669"/>
      <c r="KZG106" s="669"/>
      <c r="KZH106" s="669"/>
      <c r="KZI106" s="669"/>
      <c r="KZJ106" s="669"/>
      <c r="KZK106" s="669"/>
      <c r="KZL106" s="669"/>
      <c r="KZM106" s="669"/>
      <c r="KZN106" s="669"/>
      <c r="KZO106" s="669"/>
      <c r="KZP106" s="669"/>
      <c r="KZQ106" s="669"/>
      <c r="KZR106" s="669"/>
      <c r="KZS106" s="669"/>
      <c r="KZT106" s="669"/>
      <c r="KZU106" s="669"/>
      <c r="KZV106" s="669"/>
      <c r="KZW106" s="669"/>
      <c r="KZX106" s="669"/>
      <c r="KZY106" s="669"/>
      <c r="KZZ106" s="669"/>
      <c r="LAA106" s="669"/>
      <c r="LAB106" s="669"/>
      <c r="LAC106" s="669"/>
      <c r="LAD106" s="669"/>
      <c r="LAE106" s="669"/>
      <c r="LAF106" s="669"/>
      <c r="LAG106" s="669"/>
      <c r="LAH106" s="669"/>
      <c r="LAI106" s="669"/>
      <c r="LAJ106" s="669"/>
      <c r="LAK106" s="669"/>
      <c r="LAL106" s="669"/>
      <c r="LAM106" s="669"/>
      <c r="LAN106" s="669"/>
      <c r="LAO106" s="669"/>
      <c r="LAP106" s="669"/>
      <c r="LAQ106" s="669"/>
      <c r="LAR106" s="669"/>
      <c r="LAS106" s="669"/>
      <c r="LAT106" s="669"/>
      <c r="LAU106" s="669"/>
      <c r="LAV106" s="669"/>
      <c r="LAW106" s="669"/>
      <c r="LAX106" s="669"/>
      <c r="LAY106" s="669"/>
      <c r="LAZ106" s="669"/>
      <c r="LBA106" s="669"/>
      <c r="LBB106" s="669"/>
      <c r="LBC106" s="669"/>
      <c r="LBD106" s="669"/>
      <c r="LBE106" s="669"/>
      <c r="LBF106" s="669"/>
      <c r="LBG106" s="669"/>
      <c r="LBH106" s="669"/>
      <c r="LBI106" s="669"/>
      <c r="LBJ106" s="669"/>
      <c r="LBK106" s="669"/>
      <c r="LBL106" s="669"/>
      <c r="LBM106" s="669"/>
      <c r="LBN106" s="669"/>
      <c r="LBO106" s="669"/>
      <c r="LBP106" s="669"/>
      <c r="LBQ106" s="669"/>
      <c r="LBR106" s="669"/>
      <c r="LBS106" s="669"/>
      <c r="LBT106" s="669"/>
      <c r="LBU106" s="669"/>
      <c r="LBV106" s="669"/>
      <c r="LBW106" s="669"/>
      <c r="LBX106" s="669"/>
      <c r="LBY106" s="669"/>
      <c r="LBZ106" s="669"/>
      <c r="LCA106" s="669"/>
      <c r="LCB106" s="669"/>
      <c r="LCC106" s="669"/>
      <c r="LCD106" s="669"/>
      <c r="LCE106" s="669"/>
      <c r="LCF106" s="669"/>
      <c r="LCG106" s="669"/>
      <c r="LCH106" s="669"/>
      <c r="LCI106" s="669"/>
      <c r="LCJ106" s="669"/>
      <c r="LCK106" s="669"/>
      <c r="LCL106" s="669"/>
      <c r="LCM106" s="669"/>
      <c r="LCN106" s="669"/>
      <c r="LCO106" s="669"/>
      <c r="LCP106" s="669"/>
      <c r="LCQ106" s="669"/>
      <c r="LCR106" s="669"/>
      <c r="LCS106" s="669"/>
      <c r="LCT106" s="669"/>
      <c r="LCU106" s="669"/>
      <c r="LCV106" s="669"/>
      <c r="LCW106" s="669"/>
      <c r="LCX106" s="669"/>
      <c r="LCY106" s="669"/>
      <c r="LCZ106" s="669"/>
      <c r="LDA106" s="669"/>
      <c r="LDB106" s="669"/>
      <c r="LDC106" s="669"/>
      <c r="LDD106" s="669"/>
      <c r="LDE106" s="669"/>
      <c r="LDF106" s="669"/>
      <c r="LDG106" s="669"/>
      <c r="LDH106" s="669"/>
      <c r="LDI106" s="669"/>
      <c r="LDJ106" s="669"/>
      <c r="LDK106" s="669"/>
      <c r="LDL106" s="669"/>
      <c r="LDM106" s="669"/>
      <c r="LDN106" s="669"/>
      <c r="LDO106" s="669"/>
      <c r="LDP106" s="669"/>
      <c r="LDQ106" s="669"/>
      <c r="LDR106" s="669"/>
      <c r="LDS106" s="669"/>
      <c r="LDT106" s="669"/>
      <c r="LDU106" s="669"/>
      <c r="LDV106" s="669"/>
      <c r="LDW106" s="669"/>
      <c r="LDX106" s="669"/>
      <c r="LDY106" s="669"/>
      <c r="LDZ106" s="669"/>
      <c r="LEA106" s="669"/>
      <c r="LEB106" s="669"/>
      <c r="LEC106" s="669"/>
      <c r="LED106" s="669"/>
      <c r="LEE106" s="669"/>
      <c r="LEF106" s="669"/>
      <c r="LEG106" s="669"/>
      <c r="LEH106" s="669"/>
      <c r="LEI106" s="669"/>
      <c r="LEJ106" s="669"/>
      <c r="LEK106" s="669"/>
      <c r="LEL106" s="669"/>
      <c r="LEM106" s="669"/>
      <c r="LEN106" s="669"/>
      <c r="LEO106" s="669"/>
      <c r="LEP106" s="669"/>
      <c r="LEQ106" s="669"/>
      <c r="LER106" s="669"/>
      <c r="LES106" s="669"/>
      <c r="LET106" s="669"/>
      <c r="LEU106" s="669"/>
      <c r="LEV106" s="669"/>
      <c r="LEW106" s="669"/>
      <c r="LEX106" s="669"/>
      <c r="LEY106" s="669"/>
      <c r="LEZ106" s="669"/>
      <c r="LFA106" s="669"/>
      <c r="LFB106" s="669"/>
      <c r="LFC106" s="669"/>
      <c r="LFD106" s="669"/>
      <c r="LFE106" s="669"/>
      <c r="LFF106" s="669"/>
      <c r="LFG106" s="669"/>
      <c r="LFH106" s="669"/>
      <c r="LFI106" s="669"/>
      <c r="LFJ106" s="669"/>
      <c r="LFK106" s="669"/>
      <c r="LFL106" s="669"/>
      <c r="LFM106" s="669"/>
      <c r="LFN106" s="669"/>
      <c r="LFO106" s="669"/>
      <c r="LFP106" s="669"/>
      <c r="LFQ106" s="669"/>
      <c r="LFR106" s="669"/>
      <c r="LFS106" s="669"/>
      <c r="LFT106" s="669"/>
      <c r="LFU106" s="669"/>
      <c r="LFV106" s="669"/>
      <c r="LFW106" s="669"/>
      <c r="LFX106" s="669"/>
      <c r="LFY106" s="669"/>
      <c r="LFZ106" s="669"/>
      <c r="LGA106" s="669"/>
      <c r="LGB106" s="669"/>
      <c r="LGC106" s="669"/>
      <c r="LGD106" s="669"/>
      <c r="LGE106" s="669"/>
      <c r="LGF106" s="669"/>
      <c r="LGG106" s="669"/>
      <c r="LGH106" s="669"/>
      <c r="LGI106" s="669"/>
      <c r="LGJ106" s="669"/>
      <c r="LGK106" s="669"/>
      <c r="LGL106" s="669"/>
      <c r="LGM106" s="669"/>
      <c r="LGN106" s="669"/>
      <c r="LGO106" s="669"/>
      <c r="LGP106" s="669"/>
      <c r="LGQ106" s="669"/>
      <c r="LGR106" s="669"/>
      <c r="LGS106" s="669"/>
      <c r="LGT106" s="669"/>
      <c r="LGU106" s="669"/>
      <c r="LGV106" s="669"/>
      <c r="LGW106" s="669"/>
      <c r="LGX106" s="669"/>
      <c r="LGY106" s="669"/>
      <c r="LGZ106" s="669"/>
      <c r="LHA106" s="669"/>
      <c r="LHB106" s="669"/>
      <c r="LHC106" s="669"/>
      <c r="LHD106" s="669"/>
      <c r="LHE106" s="669"/>
      <c r="LHF106" s="669"/>
      <c r="LHG106" s="669"/>
      <c r="LHH106" s="669"/>
      <c r="LHI106" s="669"/>
      <c r="LHJ106" s="669"/>
      <c r="LHK106" s="669"/>
      <c r="LHL106" s="669"/>
      <c r="LHM106" s="669"/>
      <c r="LHN106" s="669"/>
      <c r="LHO106" s="669"/>
      <c r="LHP106" s="669"/>
      <c r="LHQ106" s="669"/>
      <c r="LHR106" s="669"/>
      <c r="LHS106" s="669"/>
      <c r="LHT106" s="669"/>
      <c r="LHU106" s="669"/>
      <c r="LHV106" s="669"/>
      <c r="LHW106" s="669"/>
      <c r="LHX106" s="669"/>
      <c r="LHY106" s="669"/>
      <c r="LHZ106" s="669"/>
      <c r="LIA106" s="669"/>
      <c r="LIB106" s="669"/>
      <c r="LIC106" s="669"/>
      <c r="LID106" s="669"/>
      <c r="LIE106" s="669"/>
      <c r="LIF106" s="669"/>
      <c r="LIG106" s="669"/>
      <c r="LIH106" s="669"/>
      <c r="LII106" s="669"/>
      <c r="LIJ106" s="669"/>
      <c r="LIK106" s="669"/>
      <c r="LIL106" s="669"/>
      <c r="LIM106" s="669"/>
      <c r="LIN106" s="669"/>
      <c r="LIO106" s="669"/>
      <c r="LIP106" s="669"/>
      <c r="LIQ106" s="669"/>
      <c r="LIR106" s="669"/>
      <c r="LIS106" s="669"/>
      <c r="LIT106" s="669"/>
      <c r="LIU106" s="669"/>
      <c r="LIV106" s="669"/>
      <c r="LIW106" s="669"/>
      <c r="LIX106" s="669"/>
      <c r="LIY106" s="669"/>
      <c r="LIZ106" s="669"/>
      <c r="LJA106" s="669"/>
      <c r="LJB106" s="669"/>
      <c r="LJC106" s="669"/>
      <c r="LJD106" s="669"/>
      <c r="LJE106" s="669"/>
      <c r="LJF106" s="669"/>
      <c r="LJG106" s="669"/>
      <c r="LJH106" s="669"/>
      <c r="LJI106" s="669"/>
      <c r="LJJ106" s="669"/>
      <c r="LJK106" s="669"/>
      <c r="LJL106" s="669"/>
      <c r="LJM106" s="669"/>
      <c r="LJN106" s="669"/>
      <c r="LJO106" s="669"/>
      <c r="LJP106" s="669"/>
      <c r="LJQ106" s="669"/>
      <c r="LJR106" s="669"/>
      <c r="LJS106" s="669"/>
      <c r="LJT106" s="669"/>
      <c r="LJU106" s="669"/>
      <c r="LJV106" s="669"/>
      <c r="LJW106" s="669"/>
      <c r="LJX106" s="669"/>
      <c r="LJY106" s="669"/>
      <c r="LJZ106" s="669"/>
      <c r="LKA106" s="669"/>
      <c r="LKB106" s="669"/>
      <c r="LKC106" s="669"/>
      <c r="LKD106" s="669"/>
      <c r="LKE106" s="669"/>
      <c r="LKF106" s="669"/>
      <c r="LKG106" s="669"/>
      <c r="LKH106" s="669"/>
      <c r="LKI106" s="669"/>
      <c r="LKJ106" s="669"/>
      <c r="LKK106" s="669"/>
      <c r="LKL106" s="669"/>
      <c r="LKM106" s="669"/>
      <c r="LKN106" s="669"/>
      <c r="LKO106" s="669"/>
      <c r="LKP106" s="669"/>
      <c r="LKQ106" s="669"/>
      <c r="LKR106" s="669"/>
      <c r="LKS106" s="669"/>
      <c r="LKT106" s="669"/>
      <c r="LKU106" s="669"/>
      <c r="LKV106" s="669"/>
      <c r="LKW106" s="669"/>
      <c r="LKX106" s="669"/>
      <c r="LKY106" s="669"/>
      <c r="LKZ106" s="669"/>
      <c r="LLA106" s="669"/>
      <c r="LLB106" s="669"/>
      <c r="LLC106" s="669"/>
      <c r="LLD106" s="669"/>
      <c r="LLE106" s="669"/>
      <c r="LLF106" s="669"/>
      <c r="LLG106" s="669"/>
      <c r="LLH106" s="669"/>
      <c r="LLI106" s="669"/>
      <c r="LLJ106" s="669"/>
      <c r="LLK106" s="669"/>
      <c r="LLL106" s="669"/>
      <c r="LLM106" s="669"/>
      <c r="LLN106" s="669"/>
      <c r="LLO106" s="669"/>
      <c r="LLP106" s="669"/>
      <c r="LLQ106" s="669"/>
      <c r="LLR106" s="669"/>
      <c r="LLS106" s="669"/>
      <c r="LLT106" s="669"/>
      <c r="LLU106" s="669"/>
      <c r="LLV106" s="669"/>
      <c r="LLW106" s="669"/>
      <c r="LLX106" s="669"/>
      <c r="LLY106" s="669"/>
      <c r="LLZ106" s="669"/>
      <c r="LMA106" s="669"/>
      <c r="LMB106" s="669"/>
      <c r="LMC106" s="669"/>
      <c r="LMD106" s="669"/>
      <c r="LME106" s="669"/>
      <c r="LMF106" s="669"/>
      <c r="LMG106" s="669"/>
      <c r="LMH106" s="669"/>
      <c r="LMI106" s="669"/>
      <c r="LMJ106" s="669"/>
      <c r="LMK106" s="669"/>
      <c r="LML106" s="669"/>
      <c r="LMM106" s="669"/>
      <c r="LMN106" s="669"/>
      <c r="LMO106" s="669"/>
      <c r="LMP106" s="669"/>
      <c r="LMQ106" s="669"/>
      <c r="LMR106" s="669"/>
      <c r="LMS106" s="669"/>
      <c r="LMT106" s="669"/>
      <c r="LMU106" s="669"/>
      <c r="LMV106" s="669"/>
      <c r="LMW106" s="669"/>
      <c r="LMX106" s="669"/>
      <c r="LMY106" s="669"/>
      <c r="LMZ106" s="669"/>
      <c r="LNA106" s="669"/>
      <c r="LNB106" s="669"/>
      <c r="LNC106" s="669"/>
      <c r="LND106" s="669"/>
      <c r="LNE106" s="669"/>
      <c r="LNF106" s="669"/>
      <c r="LNG106" s="669"/>
      <c r="LNH106" s="669"/>
      <c r="LNI106" s="669"/>
      <c r="LNJ106" s="669"/>
      <c r="LNK106" s="669"/>
      <c r="LNL106" s="669"/>
      <c r="LNM106" s="669"/>
      <c r="LNN106" s="669"/>
      <c r="LNO106" s="669"/>
      <c r="LNP106" s="669"/>
      <c r="LNQ106" s="669"/>
      <c r="LNR106" s="669"/>
      <c r="LNS106" s="669"/>
      <c r="LNT106" s="669"/>
      <c r="LNU106" s="669"/>
      <c r="LNV106" s="669"/>
      <c r="LNW106" s="669"/>
      <c r="LNX106" s="669"/>
      <c r="LNY106" s="669"/>
      <c r="LNZ106" s="669"/>
      <c r="LOA106" s="669"/>
      <c r="LOB106" s="669"/>
      <c r="LOC106" s="669"/>
      <c r="LOD106" s="669"/>
      <c r="LOE106" s="669"/>
      <c r="LOF106" s="669"/>
      <c r="LOG106" s="669"/>
      <c r="LOH106" s="669"/>
      <c r="LOI106" s="669"/>
      <c r="LOJ106" s="669"/>
      <c r="LOK106" s="669"/>
      <c r="LOL106" s="669"/>
      <c r="LOM106" s="669"/>
      <c r="LON106" s="669"/>
      <c r="LOO106" s="669"/>
      <c r="LOP106" s="669"/>
      <c r="LOQ106" s="669"/>
      <c r="LOR106" s="669"/>
      <c r="LOS106" s="669"/>
      <c r="LOT106" s="669"/>
      <c r="LOU106" s="669"/>
      <c r="LOV106" s="669"/>
      <c r="LOW106" s="669"/>
      <c r="LOX106" s="669"/>
      <c r="LOY106" s="669"/>
      <c r="LOZ106" s="669"/>
      <c r="LPA106" s="669"/>
      <c r="LPB106" s="669"/>
      <c r="LPC106" s="669"/>
      <c r="LPD106" s="669"/>
      <c r="LPE106" s="669"/>
      <c r="LPF106" s="669"/>
      <c r="LPG106" s="669"/>
      <c r="LPH106" s="669"/>
      <c r="LPI106" s="669"/>
      <c r="LPJ106" s="669"/>
      <c r="LPK106" s="669"/>
      <c r="LPL106" s="669"/>
      <c r="LPM106" s="669"/>
      <c r="LPN106" s="669"/>
      <c r="LPO106" s="669"/>
      <c r="LPP106" s="669"/>
      <c r="LPQ106" s="669"/>
      <c r="LPR106" s="669"/>
      <c r="LPS106" s="669"/>
      <c r="LPT106" s="669"/>
      <c r="LPU106" s="669"/>
      <c r="LPV106" s="669"/>
      <c r="LPW106" s="669"/>
      <c r="LPX106" s="669"/>
      <c r="LPY106" s="669"/>
      <c r="LPZ106" s="669"/>
      <c r="LQA106" s="669"/>
      <c r="LQB106" s="669"/>
      <c r="LQC106" s="669"/>
      <c r="LQD106" s="669"/>
      <c r="LQE106" s="669"/>
      <c r="LQF106" s="669"/>
      <c r="LQG106" s="669"/>
      <c r="LQH106" s="669"/>
      <c r="LQI106" s="669"/>
      <c r="LQJ106" s="669"/>
      <c r="LQK106" s="669"/>
      <c r="LQL106" s="669"/>
      <c r="LQM106" s="669"/>
      <c r="LQN106" s="669"/>
      <c r="LQO106" s="669"/>
      <c r="LQP106" s="669"/>
      <c r="LQQ106" s="669"/>
      <c r="LQR106" s="669"/>
      <c r="LQS106" s="669"/>
      <c r="LQT106" s="669"/>
      <c r="LQU106" s="669"/>
      <c r="LQV106" s="669"/>
      <c r="LQW106" s="669"/>
      <c r="LQX106" s="669"/>
      <c r="LQY106" s="669"/>
      <c r="LQZ106" s="669"/>
      <c r="LRA106" s="669"/>
      <c r="LRB106" s="669"/>
      <c r="LRC106" s="669"/>
      <c r="LRD106" s="669"/>
      <c r="LRE106" s="669"/>
      <c r="LRF106" s="669"/>
      <c r="LRG106" s="669"/>
      <c r="LRH106" s="669"/>
      <c r="LRI106" s="669"/>
      <c r="LRJ106" s="669"/>
      <c r="LRK106" s="669"/>
      <c r="LRL106" s="669"/>
      <c r="LRM106" s="669"/>
      <c r="LRN106" s="669"/>
      <c r="LRO106" s="669"/>
      <c r="LRP106" s="669"/>
      <c r="LRQ106" s="669"/>
      <c r="LRR106" s="669"/>
      <c r="LRS106" s="669"/>
      <c r="LRT106" s="669"/>
      <c r="LRU106" s="669"/>
      <c r="LRV106" s="669"/>
      <c r="LRW106" s="669"/>
      <c r="LRX106" s="669"/>
      <c r="LRY106" s="669"/>
      <c r="LRZ106" s="669"/>
      <c r="LSA106" s="669"/>
      <c r="LSB106" s="669"/>
      <c r="LSC106" s="669"/>
      <c r="LSD106" s="669"/>
      <c r="LSE106" s="669"/>
      <c r="LSF106" s="669"/>
      <c r="LSG106" s="669"/>
      <c r="LSH106" s="669"/>
      <c r="LSI106" s="669"/>
      <c r="LSJ106" s="669"/>
      <c r="LSK106" s="669"/>
      <c r="LSL106" s="669"/>
      <c r="LSM106" s="669"/>
      <c r="LSN106" s="669"/>
      <c r="LSO106" s="669"/>
      <c r="LSP106" s="669"/>
      <c r="LSQ106" s="669"/>
      <c r="LSR106" s="669"/>
      <c r="LSS106" s="669"/>
      <c r="LST106" s="669"/>
      <c r="LSU106" s="669"/>
      <c r="LSV106" s="669"/>
      <c r="LSW106" s="669"/>
      <c r="LSX106" s="669"/>
      <c r="LSY106" s="669"/>
      <c r="LSZ106" s="669"/>
      <c r="LTA106" s="669"/>
      <c r="LTB106" s="669"/>
      <c r="LTC106" s="669"/>
      <c r="LTD106" s="669"/>
      <c r="LTE106" s="669"/>
      <c r="LTF106" s="669"/>
      <c r="LTG106" s="669"/>
      <c r="LTH106" s="669"/>
      <c r="LTI106" s="669"/>
      <c r="LTJ106" s="669"/>
      <c r="LTK106" s="669"/>
      <c r="LTL106" s="669"/>
      <c r="LTM106" s="669"/>
      <c r="LTN106" s="669"/>
      <c r="LTO106" s="669"/>
      <c r="LTP106" s="669"/>
      <c r="LTQ106" s="669"/>
      <c r="LTR106" s="669"/>
      <c r="LTS106" s="669"/>
      <c r="LTT106" s="669"/>
      <c r="LTU106" s="669"/>
      <c r="LTV106" s="669"/>
      <c r="LTW106" s="669"/>
      <c r="LTX106" s="669"/>
      <c r="LTY106" s="669"/>
      <c r="LTZ106" s="669"/>
      <c r="LUA106" s="669"/>
      <c r="LUB106" s="669"/>
      <c r="LUC106" s="669"/>
      <c r="LUD106" s="669"/>
      <c r="LUE106" s="669"/>
      <c r="LUF106" s="669"/>
      <c r="LUG106" s="669"/>
      <c r="LUH106" s="669"/>
      <c r="LUI106" s="669"/>
      <c r="LUJ106" s="669"/>
      <c r="LUK106" s="669"/>
      <c r="LUL106" s="669"/>
      <c r="LUM106" s="669"/>
      <c r="LUN106" s="669"/>
      <c r="LUO106" s="669"/>
      <c r="LUP106" s="669"/>
      <c r="LUQ106" s="669"/>
      <c r="LUR106" s="669"/>
      <c r="LUS106" s="669"/>
      <c r="LUT106" s="669"/>
      <c r="LUU106" s="669"/>
      <c r="LUV106" s="669"/>
      <c r="LUW106" s="669"/>
      <c r="LUX106" s="669"/>
      <c r="LUY106" s="669"/>
      <c r="LUZ106" s="669"/>
      <c r="LVA106" s="669"/>
      <c r="LVB106" s="669"/>
      <c r="LVC106" s="669"/>
      <c r="LVD106" s="669"/>
      <c r="LVE106" s="669"/>
      <c r="LVF106" s="669"/>
      <c r="LVG106" s="669"/>
      <c r="LVH106" s="669"/>
      <c r="LVI106" s="669"/>
      <c r="LVJ106" s="669"/>
      <c r="LVK106" s="669"/>
      <c r="LVL106" s="669"/>
      <c r="LVM106" s="669"/>
      <c r="LVN106" s="669"/>
      <c r="LVO106" s="669"/>
      <c r="LVP106" s="669"/>
      <c r="LVQ106" s="669"/>
      <c r="LVR106" s="669"/>
      <c r="LVS106" s="669"/>
      <c r="LVT106" s="669"/>
      <c r="LVU106" s="669"/>
      <c r="LVV106" s="669"/>
      <c r="LVW106" s="669"/>
      <c r="LVX106" s="669"/>
      <c r="LVY106" s="669"/>
      <c r="LVZ106" s="669"/>
      <c r="LWA106" s="669"/>
      <c r="LWB106" s="669"/>
      <c r="LWC106" s="669"/>
      <c r="LWD106" s="669"/>
      <c r="LWE106" s="669"/>
      <c r="LWF106" s="669"/>
      <c r="LWG106" s="669"/>
      <c r="LWH106" s="669"/>
      <c r="LWI106" s="669"/>
      <c r="LWJ106" s="669"/>
      <c r="LWK106" s="669"/>
      <c r="LWL106" s="669"/>
      <c r="LWM106" s="669"/>
      <c r="LWN106" s="669"/>
      <c r="LWO106" s="669"/>
      <c r="LWP106" s="669"/>
      <c r="LWQ106" s="669"/>
      <c r="LWR106" s="669"/>
      <c r="LWS106" s="669"/>
      <c r="LWT106" s="669"/>
      <c r="LWU106" s="669"/>
      <c r="LWV106" s="669"/>
      <c r="LWW106" s="669"/>
      <c r="LWX106" s="669"/>
      <c r="LWY106" s="669"/>
      <c r="LWZ106" s="669"/>
      <c r="LXA106" s="669"/>
      <c r="LXB106" s="669"/>
      <c r="LXC106" s="669"/>
      <c r="LXD106" s="669"/>
      <c r="LXE106" s="669"/>
      <c r="LXF106" s="669"/>
      <c r="LXG106" s="669"/>
      <c r="LXH106" s="669"/>
      <c r="LXI106" s="669"/>
      <c r="LXJ106" s="669"/>
      <c r="LXK106" s="669"/>
      <c r="LXL106" s="669"/>
      <c r="LXM106" s="669"/>
      <c r="LXN106" s="669"/>
      <c r="LXO106" s="669"/>
      <c r="LXP106" s="669"/>
      <c r="LXQ106" s="669"/>
      <c r="LXR106" s="669"/>
      <c r="LXS106" s="669"/>
      <c r="LXT106" s="669"/>
      <c r="LXU106" s="669"/>
      <c r="LXV106" s="669"/>
      <c r="LXW106" s="669"/>
      <c r="LXX106" s="669"/>
      <c r="LXY106" s="669"/>
      <c r="LXZ106" s="669"/>
      <c r="LYA106" s="669"/>
      <c r="LYB106" s="669"/>
      <c r="LYC106" s="669"/>
      <c r="LYD106" s="669"/>
      <c r="LYE106" s="669"/>
      <c r="LYF106" s="669"/>
      <c r="LYG106" s="669"/>
      <c r="LYH106" s="669"/>
      <c r="LYI106" s="669"/>
      <c r="LYJ106" s="669"/>
      <c r="LYK106" s="669"/>
      <c r="LYL106" s="669"/>
      <c r="LYM106" s="669"/>
      <c r="LYN106" s="669"/>
      <c r="LYO106" s="669"/>
      <c r="LYP106" s="669"/>
      <c r="LYQ106" s="669"/>
      <c r="LYR106" s="669"/>
      <c r="LYS106" s="669"/>
      <c r="LYT106" s="669"/>
      <c r="LYU106" s="669"/>
      <c r="LYV106" s="669"/>
      <c r="LYW106" s="669"/>
      <c r="LYX106" s="669"/>
      <c r="LYY106" s="669"/>
      <c r="LYZ106" s="669"/>
      <c r="LZA106" s="669"/>
      <c r="LZB106" s="669"/>
      <c r="LZC106" s="669"/>
      <c r="LZD106" s="669"/>
      <c r="LZE106" s="669"/>
      <c r="LZF106" s="669"/>
      <c r="LZG106" s="669"/>
      <c r="LZH106" s="669"/>
      <c r="LZI106" s="669"/>
      <c r="LZJ106" s="669"/>
      <c r="LZK106" s="669"/>
      <c r="LZL106" s="669"/>
      <c r="LZM106" s="669"/>
      <c r="LZN106" s="669"/>
      <c r="LZO106" s="669"/>
      <c r="LZP106" s="669"/>
      <c r="LZQ106" s="669"/>
      <c r="LZR106" s="669"/>
      <c r="LZS106" s="669"/>
      <c r="LZT106" s="669"/>
      <c r="LZU106" s="669"/>
      <c r="LZV106" s="669"/>
      <c r="LZW106" s="669"/>
      <c r="LZX106" s="669"/>
      <c r="LZY106" s="669"/>
      <c r="LZZ106" s="669"/>
      <c r="MAA106" s="669"/>
      <c r="MAB106" s="669"/>
      <c r="MAC106" s="669"/>
      <c r="MAD106" s="669"/>
      <c r="MAE106" s="669"/>
      <c r="MAF106" s="669"/>
      <c r="MAG106" s="669"/>
      <c r="MAH106" s="669"/>
      <c r="MAI106" s="669"/>
      <c r="MAJ106" s="669"/>
      <c r="MAK106" s="669"/>
      <c r="MAL106" s="669"/>
      <c r="MAM106" s="669"/>
      <c r="MAN106" s="669"/>
      <c r="MAO106" s="669"/>
      <c r="MAP106" s="669"/>
      <c r="MAQ106" s="669"/>
      <c r="MAR106" s="669"/>
      <c r="MAS106" s="669"/>
      <c r="MAT106" s="669"/>
      <c r="MAU106" s="669"/>
      <c r="MAV106" s="669"/>
      <c r="MAW106" s="669"/>
      <c r="MAX106" s="669"/>
      <c r="MAY106" s="669"/>
      <c r="MAZ106" s="669"/>
      <c r="MBA106" s="669"/>
      <c r="MBB106" s="669"/>
      <c r="MBC106" s="669"/>
      <c r="MBD106" s="669"/>
      <c r="MBE106" s="669"/>
      <c r="MBF106" s="669"/>
      <c r="MBG106" s="669"/>
      <c r="MBH106" s="669"/>
      <c r="MBI106" s="669"/>
      <c r="MBJ106" s="669"/>
      <c r="MBK106" s="669"/>
      <c r="MBL106" s="669"/>
      <c r="MBM106" s="669"/>
      <c r="MBN106" s="669"/>
      <c r="MBO106" s="669"/>
      <c r="MBP106" s="669"/>
      <c r="MBQ106" s="669"/>
      <c r="MBR106" s="669"/>
      <c r="MBS106" s="669"/>
      <c r="MBT106" s="669"/>
      <c r="MBU106" s="669"/>
      <c r="MBV106" s="669"/>
      <c r="MBW106" s="669"/>
      <c r="MBX106" s="669"/>
      <c r="MBY106" s="669"/>
      <c r="MBZ106" s="669"/>
      <c r="MCA106" s="669"/>
      <c r="MCB106" s="669"/>
      <c r="MCC106" s="669"/>
      <c r="MCD106" s="669"/>
      <c r="MCE106" s="669"/>
      <c r="MCF106" s="669"/>
      <c r="MCG106" s="669"/>
      <c r="MCH106" s="669"/>
      <c r="MCI106" s="669"/>
      <c r="MCJ106" s="669"/>
      <c r="MCK106" s="669"/>
      <c r="MCL106" s="669"/>
      <c r="MCM106" s="669"/>
      <c r="MCN106" s="669"/>
      <c r="MCO106" s="669"/>
      <c r="MCP106" s="669"/>
      <c r="MCQ106" s="669"/>
      <c r="MCR106" s="669"/>
      <c r="MCS106" s="669"/>
      <c r="MCT106" s="669"/>
      <c r="MCU106" s="669"/>
      <c r="MCV106" s="669"/>
      <c r="MCW106" s="669"/>
      <c r="MCX106" s="669"/>
      <c r="MCY106" s="669"/>
      <c r="MCZ106" s="669"/>
      <c r="MDA106" s="669"/>
      <c r="MDB106" s="669"/>
      <c r="MDC106" s="669"/>
      <c r="MDD106" s="669"/>
      <c r="MDE106" s="669"/>
      <c r="MDF106" s="669"/>
      <c r="MDG106" s="669"/>
      <c r="MDH106" s="669"/>
      <c r="MDI106" s="669"/>
      <c r="MDJ106" s="669"/>
      <c r="MDK106" s="669"/>
      <c r="MDL106" s="669"/>
      <c r="MDM106" s="669"/>
      <c r="MDN106" s="669"/>
      <c r="MDO106" s="669"/>
      <c r="MDP106" s="669"/>
      <c r="MDQ106" s="669"/>
      <c r="MDR106" s="669"/>
      <c r="MDS106" s="669"/>
      <c r="MDT106" s="669"/>
      <c r="MDU106" s="669"/>
      <c r="MDV106" s="669"/>
      <c r="MDW106" s="669"/>
      <c r="MDX106" s="669"/>
      <c r="MDY106" s="669"/>
      <c r="MDZ106" s="669"/>
      <c r="MEA106" s="669"/>
      <c r="MEB106" s="669"/>
      <c r="MEC106" s="669"/>
      <c r="MED106" s="669"/>
      <c r="MEE106" s="669"/>
      <c r="MEF106" s="669"/>
      <c r="MEG106" s="669"/>
      <c r="MEH106" s="669"/>
      <c r="MEI106" s="669"/>
      <c r="MEJ106" s="669"/>
      <c r="MEK106" s="669"/>
      <c r="MEL106" s="669"/>
      <c r="MEM106" s="669"/>
      <c r="MEN106" s="669"/>
      <c r="MEO106" s="669"/>
      <c r="MEP106" s="669"/>
      <c r="MEQ106" s="669"/>
      <c r="MER106" s="669"/>
      <c r="MES106" s="669"/>
      <c r="MET106" s="669"/>
      <c r="MEU106" s="669"/>
      <c r="MEV106" s="669"/>
      <c r="MEW106" s="669"/>
      <c r="MEX106" s="669"/>
      <c r="MEY106" s="669"/>
      <c r="MEZ106" s="669"/>
      <c r="MFA106" s="669"/>
      <c r="MFB106" s="669"/>
      <c r="MFC106" s="669"/>
      <c r="MFD106" s="669"/>
      <c r="MFE106" s="669"/>
      <c r="MFF106" s="669"/>
      <c r="MFG106" s="669"/>
      <c r="MFH106" s="669"/>
      <c r="MFI106" s="669"/>
      <c r="MFJ106" s="669"/>
      <c r="MFK106" s="669"/>
      <c r="MFL106" s="669"/>
      <c r="MFM106" s="669"/>
      <c r="MFN106" s="669"/>
      <c r="MFO106" s="669"/>
      <c r="MFP106" s="669"/>
      <c r="MFQ106" s="669"/>
      <c r="MFR106" s="669"/>
      <c r="MFS106" s="669"/>
      <c r="MFT106" s="669"/>
      <c r="MFU106" s="669"/>
      <c r="MFV106" s="669"/>
      <c r="MFW106" s="669"/>
      <c r="MFX106" s="669"/>
      <c r="MFY106" s="669"/>
      <c r="MFZ106" s="669"/>
      <c r="MGA106" s="669"/>
      <c r="MGB106" s="669"/>
      <c r="MGC106" s="669"/>
      <c r="MGD106" s="669"/>
      <c r="MGE106" s="669"/>
      <c r="MGF106" s="669"/>
      <c r="MGG106" s="669"/>
      <c r="MGH106" s="669"/>
      <c r="MGI106" s="669"/>
      <c r="MGJ106" s="669"/>
      <c r="MGK106" s="669"/>
      <c r="MGL106" s="669"/>
      <c r="MGM106" s="669"/>
      <c r="MGN106" s="669"/>
      <c r="MGO106" s="669"/>
      <c r="MGP106" s="669"/>
      <c r="MGQ106" s="669"/>
      <c r="MGR106" s="669"/>
      <c r="MGS106" s="669"/>
      <c r="MGT106" s="669"/>
      <c r="MGU106" s="669"/>
      <c r="MGV106" s="669"/>
      <c r="MGW106" s="669"/>
      <c r="MGX106" s="669"/>
      <c r="MGY106" s="669"/>
      <c r="MGZ106" s="669"/>
      <c r="MHA106" s="669"/>
      <c r="MHB106" s="669"/>
      <c r="MHC106" s="669"/>
      <c r="MHD106" s="669"/>
      <c r="MHE106" s="669"/>
      <c r="MHF106" s="669"/>
      <c r="MHG106" s="669"/>
      <c r="MHH106" s="669"/>
      <c r="MHI106" s="669"/>
      <c r="MHJ106" s="669"/>
      <c r="MHK106" s="669"/>
      <c r="MHL106" s="669"/>
      <c r="MHM106" s="669"/>
      <c r="MHN106" s="669"/>
      <c r="MHO106" s="669"/>
      <c r="MHP106" s="669"/>
      <c r="MHQ106" s="669"/>
      <c r="MHR106" s="669"/>
      <c r="MHS106" s="669"/>
      <c r="MHT106" s="669"/>
      <c r="MHU106" s="669"/>
      <c r="MHV106" s="669"/>
      <c r="MHW106" s="669"/>
      <c r="MHX106" s="669"/>
      <c r="MHY106" s="669"/>
      <c r="MHZ106" s="669"/>
      <c r="MIA106" s="669"/>
      <c r="MIB106" s="669"/>
      <c r="MIC106" s="669"/>
      <c r="MID106" s="669"/>
      <c r="MIE106" s="669"/>
      <c r="MIF106" s="669"/>
      <c r="MIG106" s="669"/>
      <c r="MIH106" s="669"/>
      <c r="MII106" s="669"/>
      <c r="MIJ106" s="669"/>
      <c r="MIK106" s="669"/>
      <c r="MIL106" s="669"/>
      <c r="MIM106" s="669"/>
      <c r="MIN106" s="669"/>
      <c r="MIO106" s="669"/>
      <c r="MIP106" s="669"/>
      <c r="MIQ106" s="669"/>
      <c r="MIR106" s="669"/>
      <c r="MIS106" s="669"/>
      <c r="MIT106" s="669"/>
      <c r="MIU106" s="669"/>
      <c r="MIV106" s="669"/>
      <c r="MIW106" s="669"/>
      <c r="MIX106" s="669"/>
      <c r="MIY106" s="669"/>
      <c r="MIZ106" s="669"/>
      <c r="MJA106" s="669"/>
      <c r="MJB106" s="669"/>
      <c r="MJC106" s="669"/>
      <c r="MJD106" s="669"/>
      <c r="MJE106" s="669"/>
      <c r="MJF106" s="669"/>
      <c r="MJG106" s="669"/>
      <c r="MJH106" s="669"/>
      <c r="MJI106" s="669"/>
      <c r="MJJ106" s="669"/>
      <c r="MJK106" s="669"/>
      <c r="MJL106" s="669"/>
      <c r="MJM106" s="669"/>
      <c r="MJN106" s="669"/>
      <c r="MJO106" s="669"/>
      <c r="MJP106" s="669"/>
      <c r="MJQ106" s="669"/>
      <c r="MJR106" s="669"/>
      <c r="MJS106" s="669"/>
      <c r="MJT106" s="669"/>
      <c r="MJU106" s="669"/>
      <c r="MJV106" s="669"/>
      <c r="MJW106" s="669"/>
      <c r="MJX106" s="669"/>
      <c r="MJY106" s="669"/>
      <c r="MJZ106" s="669"/>
      <c r="MKA106" s="669"/>
      <c r="MKB106" s="669"/>
      <c r="MKC106" s="669"/>
      <c r="MKD106" s="669"/>
      <c r="MKE106" s="669"/>
      <c r="MKF106" s="669"/>
      <c r="MKG106" s="669"/>
      <c r="MKH106" s="669"/>
      <c r="MKI106" s="669"/>
      <c r="MKJ106" s="669"/>
      <c r="MKK106" s="669"/>
      <c r="MKL106" s="669"/>
      <c r="MKM106" s="669"/>
      <c r="MKN106" s="669"/>
      <c r="MKO106" s="669"/>
      <c r="MKP106" s="669"/>
      <c r="MKQ106" s="669"/>
      <c r="MKR106" s="669"/>
      <c r="MKS106" s="669"/>
      <c r="MKT106" s="669"/>
      <c r="MKU106" s="669"/>
      <c r="MKV106" s="669"/>
      <c r="MKW106" s="669"/>
      <c r="MKX106" s="669"/>
      <c r="MKY106" s="669"/>
      <c r="MKZ106" s="669"/>
      <c r="MLA106" s="669"/>
      <c r="MLB106" s="669"/>
      <c r="MLC106" s="669"/>
      <c r="MLD106" s="669"/>
      <c r="MLE106" s="669"/>
      <c r="MLF106" s="669"/>
      <c r="MLG106" s="669"/>
      <c r="MLH106" s="669"/>
      <c r="MLI106" s="669"/>
      <c r="MLJ106" s="669"/>
      <c r="MLK106" s="669"/>
      <c r="MLL106" s="669"/>
      <c r="MLM106" s="669"/>
      <c r="MLN106" s="669"/>
      <c r="MLO106" s="669"/>
      <c r="MLP106" s="669"/>
      <c r="MLQ106" s="669"/>
      <c r="MLR106" s="669"/>
      <c r="MLS106" s="669"/>
      <c r="MLT106" s="669"/>
      <c r="MLU106" s="669"/>
      <c r="MLV106" s="669"/>
      <c r="MLW106" s="669"/>
      <c r="MLX106" s="669"/>
      <c r="MLY106" s="669"/>
      <c r="MLZ106" s="669"/>
      <c r="MMA106" s="669"/>
      <c r="MMB106" s="669"/>
      <c r="MMC106" s="669"/>
      <c r="MMD106" s="669"/>
      <c r="MME106" s="669"/>
      <c r="MMF106" s="669"/>
      <c r="MMG106" s="669"/>
      <c r="MMH106" s="669"/>
      <c r="MMI106" s="669"/>
      <c r="MMJ106" s="669"/>
      <c r="MMK106" s="669"/>
      <c r="MML106" s="669"/>
      <c r="MMM106" s="669"/>
      <c r="MMN106" s="669"/>
      <c r="MMO106" s="669"/>
      <c r="MMP106" s="669"/>
      <c r="MMQ106" s="669"/>
      <c r="MMR106" s="669"/>
      <c r="MMS106" s="669"/>
      <c r="MMT106" s="669"/>
      <c r="MMU106" s="669"/>
      <c r="MMV106" s="669"/>
      <c r="MMW106" s="669"/>
      <c r="MMX106" s="669"/>
      <c r="MMY106" s="669"/>
      <c r="MMZ106" s="669"/>
      <c r="MNA106" s="669"/>
      <c r="MNB106" s="669"/>
      <c r="MNC106" s="669"/>
      <c r="MND106" s="669"/>
      <c r="MNE106" s="669"/>
      <c r="MNF106" s="669"/>
      <c r="MNG106" s="669"/>
      <c r="MNH106" s="669"/>
      <c r="MNI106" s="669"/>
      <c r="MNJ106" s="669"/>
      <c r="MNK106" s="669"/>
      <c r="MNL106" s="669"/>
      <c r="MNM106" s="669"/>
      <c r="MNN106" s="669"/>
      <c r="MNO106" s="669"/>
      <c r="MNP106" s="669"/>
      <c r="MNQ106" s="669"/>
      <c r="MNR106" s="669"/>
      <c r="MNS106" s="669"/>
      <c r="MNT106" s="669"/>
      <c r="MNU106" s="669"/>
      <c r="MNV106" s="669"/>
      <c r="MNW106" s="669"/>
      <c r="MNX106" s="669"/>
      <c r="MNY106" s="669"/>
      <c r="MNZ106" s="669"/>
      <c r="MOA106" s="669"/>
      <c r="MOB106" s="669"/>
      <c r="MOC106" s="669"/>
      <c r="MOD106" s="669"/>
      <c r="MOE106" s="669"/>
      <c r="MOF106" s="669"/>
      <c r="MOG106" s="669"/>
      <c r="MOH106" s="669"/>
      <c r="MOI106" s="669"/>
      <c r="MOJ106" s="669"/>
      <c r="MOK106" s="669"/>
      <c r="MOL106" s="669"/>
      <c r="MOM106" s="669"/>
      <c r="MON106" s="669"/>
      <c r="MOO106" s="669"/>
      <c r="MOP106" s="669"/>
      <c r="MOQ106" s="669"/>
      <c r="MOR106" s="669"/>
      <c r="MOS106" s="669"/>
      <c r="MOT106" s="669"/>
      <c r="MOU106" s="669"/>
      <c r="MOV106" s="669"/>
      <c r="MOW106" s="669"/>
      <c r="MOX106" s="669"/>
      <c r="MOY106" s="669"/>
      <c r="MOZ106" s="669"/>
      <c r="MPA106" s="669"/>
      <c r="MPB106" s="669"/>
      <c r="MPC106" s="669"/>
      <c r="MPD106" s="669"/>
      <c r="MPE106" s="669"/>
      <c r="MPF106" s="669"/>
      <c r="MPG106" s="669"/>
      <c r="MPH106" s="669"/>
      <c r="MPI106" s="669"/>
      <c r="MPJ106" s="669"/>
      <c r="MPK106" s="669"/>
      <c r="MPL106" s="669"/>
      <c r="MPM106" s="669"/>
      <c r="MPN106" s="669"/>
      <c r="MPO106" s="669"/>
      <c r="MPP106" s="669"/>
      <c r="MPQ106" s="669"/>
      <c r="MPR106" s="669"/>
      <c r="MPS106" s="669"/>
      <c r="MPT106" s="669"/>
      <c r="MPU106" s="669"/>
      <c r="MPV106" s="669"/>
      <c r="MPW106" s="669"/>
      <c r="MPX106" s="669"/>
      <c r="MPY106" s="669"/>
      <c r="MPZ106" s="669"/>
      <c r="MQA106" s="669"/>
      <c r="MQB106" s="669"/>
      <c r="MQC106" s="669"/>
      <c r="MQD106" s="669"/>
      <c r="MQE106" s="669"/>
      <c r="MQF106" s="669"/>
      <c r="MQG106" s="669"/>
      <c r="MQH106" s="669"/>
      <c r="MQI106" s="669"/>
      <c r="MQJ106" s="669"/>
      <c r="MQK106" s="669"/>
      <c r="MQL106" s="669"/>
      <c r="MQM106" s="669"/>
      <c r="MQN106" s="669"/>
      <c r="MQO106" s="669"/>
      <c r="MQP106" s="669"/>
      <c r="MQQ106" s="669"/>
      <c r="MQR106" s="669"/>
      <c r="MQS106" s="669"/>
      <c r="MQT106" s="669"/>
      <c r="MQU106" s="669"/>
      <c r="MQV106" s="669"/>
      <c r="MQW106" s="669"/>
      <c r="MQX106" s="669"/>
      <c r="MQY106" s="669"/>
      <c r="MQZ106" s="669"/>
      <c r="MRA106" s="669"/>
      <c r="MRB106" s="669"/>
      <c r="MRC106" s="669"/>
      <c r="MRD106" s="669"/>
      <c r="MRE106" s="669"/>
      <c r="MRF106" s="669"/>
      <c r="MRG106" s="669"/>
      <c r="MRH106" s="669"/>
      <c r="MRI106" s="669"/>
      <c r="MRJ106" s="669"/>
      <c r="MRK106" s="669"/>
      <c r="MRL106" s="669"/>
      <c r="MRM106" s="669"/>
      <c r="MRN106" s="669"/>
      <c r="MRO106" s="669"/>
      <c r="MRP106" s="669"/>
      <c r="MRQ106" s="669"/>
      <c r="MRR106" s="669"/>
      <c r="MRS106" s="669"/>
      <c r="MRT106" s="669"/>
      <c r="MRU106" s="669"/>
      <c r="MRV106" s="669"/>
      <c r="MRW106" s="669"/>
      <c r="MRX106" s="669"/>
      <c r="MRY106" s="669"/>
      <c r="MRZ106" s="669"/>
      <c r="MSA106" s="669"/>
      <c r="MSB106" s="669"/>
      <c r="MSC106" s="669"/>
      <c r="MSD106" s="669"/>
      <c r="MSE106" s="669"/>
      <c r="MSF106" s="669"/>
      <c r="MSG106" s="669"/>
      <c r="MSH106" s="669"/>
      <c r="MSI106" s="669"/>
      <c r="MSJ106" s="669"/>
      <c r="MSK106" s="669"/>
      <c r="MSL106" s="669"/>
      <c r="MSM106" s="669"/>
      <c r="MSN106" s="669"/>
      <c r="MSO106" s="669"/>
      <c r="MSP106" s="669"/>
      <c r="MSQ106" s="669"/>
      <c r="MSR106" s="669"/>
      <c r="MSS106" s="669"/>
      <c r="MST106" s="669"/>
      <c r="MSU106" s="669"/>
      <c r="MSV106" s="669"/>
      <c r="MSW106" s="669"/>
      <c r="MSX106" s="669"/>
      <c r="MSY106" s="669"/>
      <c r="MSZ106" s="669"/>
      <c r="MTA106" s="669"/>
      <c r="MTB106" s="669"/>
      <c r="MTC106" s="669"/>
      <c r="MTD106" s="669"/>
      <c r="MTE106" s="669"/>
      <c r="MTF106" s="669"/>
      <c r="MTG106" s="669"/>
      <c r="MTH106" s="669"/>
      <c r="MTI106" s="669"/>
      <c r="MTJ106" s="669"/>
      <c r="MTK106" s="669"/>
      <c r="MTL106" s="669"/>
      <c r="MTM106" s="669"/>
      <c r="MTN106" s="669"/>
      <c r="MTO106" s="669"/>
      <c r="MTP106" s="669"/>
      <c r="MTQ106" s="669"/>
      <c r="MTR106" s="669"/>
      <c r="MTS106" s="669"/>
      <c r="MTT106" s="669"/>
      <c r="MTU106" s="669"/>
      <c r="MTV106" s="669"/>
      <c r="MTW106" s="669"/>
      <c r="MTX106" s="669"/>
      <c r="MTY106" s="669"/>
      <c r="MTZ106" s="669"/>
      <c r="MUA106" s="669"/>
      <c r="MUB106" s="669"/>
      <c r="MUC106" s="669"/>
      <c r="MUD106" s="669"/>
      <c r="MUE106" s="669"/>
      <c r="MUF106" s="669"/>
      <c r="MUG106" s="669"/>
      <c r="MUH106" s="669"/>
      <c r="MUI106" s="669"/>
      <c r="MUJ106" s="669"/>
      <c r="MUK106" s="669"/>
      <c r="MUL106" s="669"/>
      <c r="MUM106" s="669"/>
      <c r="MUN106" s="669"/>
      <c r="MUO106" s="669"/>
      <c r="MUP106" s="669"/>
      <c r="MUQ106" s="669"/>
      <c r="MUR106" s="669"/>
      <c r="MUS106" s="669"/>
      <c r="MUT106" s="669"/>
      <c r="MUU106" s="669"/>
      <c r="MUV106" s="669"/>
      <c r="MUW106" s="669"/>
      <c r="MUX106" s="669"/>
      <c r="MUY106" s="669"/>
      <c r="MUZ106" s="669"/>
      <c r="MVA106" s="669"/>
      <c r="MVB106" s="669"/>
      <c r="MVC106" s="669"/>
      <c r="MVD106" s="669"/>
      <c r="MVE106" s="669"/>
      <c r="MVF106" s="669"/>
      <c r="MVG106" s="669"/>
      <c r="MVH106" s="669"/>
      <c r="MVI106" s="669"/>
      <c r="MVJ106" s="669"/>
      <c r="MVK106" s="669"/>
      <c r="MVL106" s="669"/>
      <c r="MVM106" s="669"/>
      <c r="MVN106" s="669"/>
      <c r="MVO106" s="669"/>
      <c r="MVP106" s="669"/>
      <c r="MVQ106" s="669"/>
      <c r="MVR106" s="669"/>
      <c r="MVS106" s="669"/>
      <c r="MVT106" s="669"/>
      <c r="MVU106" s="669"/>
      <c r="MVV106" s="669"/>
      <c r="MVW106" s="669"/>
      <c r="MVX106" s="669"/>
      <c r="MVY106" s="669"/>
      <c r="MVZ106" s="669"/>
      <c r="MWA106" s="669"/>
      <c r="MWB106" s="669"/>
      <c r="MWC106" s="669"/>
      <c r="MWD106" s="669"/>
      <c r="MWE106" s="669"/>
      <c r="MWF106" s="669"/>
      <c r="MWG106" s="669"/>
      <c r="MWH106" s="669"/>
      <c r="MWI106" s="669"/>
      <c r="MWJ106" s="669"/>
      <c r="MWK106" s="669"/>
      <c r="MWL106" s="669"/>
      <c r="MWM106" s="669"/>
      <c r="MWN106" s="669"/>
      <c r="MWO106" s="669"/>
      <c r="MWP106" s="669"/>
      <c r="MWQ106" s="669"/>
      <c r="MWR106" s="669"/>
      <c r="MWS106" s="669"/>
      <c r="MWT106" s="669"/>
      <c r="MWU106" s="669"/>
      <c r="MWV106" s="669"/>
      <c r="MWW106" s="669"/>
      <c r="MWX106" s="669"/>
      <c r="MWY106" s="669"/>
      <c r="MWZ106" s="669"/>
      <c r="MXA106" s="669"/>
      <c r="MXB106" s="669"/>
      <c r="MXC106" s="669"/>
      <c r="MXD106" s="669"/>
      <c r="MXE106" s="669"/>
      <c r="MXF106" s="669"/>
      <c r="MXG106" s="669"/>
      <c r="MXH106" s="669"/>
      <c r="MXI106" s="669"/>
      <c r="MXJ106" s="669"/>
      <c r="MXK106" s="669"/>
      <c r="MXL106" s="669"/>
      <c r="MXM106" s="669"/>
      <c r="MXN106" s="669"/>
      <c r="MXO106" s="669"/>
      <c r="MXP106" s="669"/>
      <c r="MXQ106" s="669"/>
      <c r="MXR106" s="669"/>
      <c r="MXS106" s="669"/>
      <c r="MXT106" s="669"/>
      <c r="MXU106" s="669"/>
      <c r="MXV106" s="669"/>
      <c r="MXW106" s="669"/>
      <c r="MXX106" s="669"/>
      <c r="MXY106" s="669"/>
      <c r="MXZ106" s="669"/>
      <c r="MYA106" s="669"/>
      <c r="MYB106" s="669"/>
      <c r="MYC106" s="669"/>
      <c r="MYD106" s="669"/>
      <c r="MYE106" s="669"/>
      <c r="MYF106" s="669"/>
      <c r="MYG106" s="669"/>
      <c r="MYH106" s="669"/>
      <c r="MYI106" s="669"/>
      <c r="MYJ106" s="669"/>
      <c r="MYK106" s="669"/>
      <c r="MYL106" s="669"/>
      <c r="MYM106" s="669"/>
      <c r="MYN106" s="669"/>
      <c r="MYO106" s="669"/>
      <c r="MYP106" s="669"/>
      <c r="MYQ106" s="669"/>
      <c r="MYR106" s="669"/>
      <c r="MYS106" s="669"/>
      <c r="MYT106" s="669"/>
      <c r="MYU106" s="669"/>
      <c r="MYV106" s="669"/>
      <c r="MYW106" s="669"/>
      <c r="MYX106" s="669"/>
      <c r="MYY106" s="669"/>
      <c r="MYZ106" s="669"/>
      <c r="MZA106" s="669"/>
      <c r="MZB106" s="669"/>
      <c r="MZC106" s="669"/>
      <c r="MZD106" s="669"/>
      <c r="MZE106" s="669"/>
      <c r="MZF106" s="669"/>
      <c r="MZG106" s="669"/>
      <c r="MZH106" s="669"/>
      <c r="MZI106" s="669"/>
      <c r="MZJ106" s="669"/>
      <c r="MZK106" s="669"/>
      <c r="MZL106" s="669"/>
      <c r="MZM106" s="669"/>
      <c r="MZN106" s="669"/>
      <c r="MZO106" s="669"/>
      <c r="MZP106" s="669"/>
      <c r="MZQ106" s="669"/>
      <c r="MZR106" s="669"/>
      <c r="MZS106" s="669"/>
      <c r="MZT106" s="669"/>
      <c r="MZU106" s="669"/>
      <c r="MZV106" s="669"/>
      <c r="MZW106" s="669"/>
      <c r="MZX106" s="669"/>
      <c r="MZY106" s="669"/>
      <c r="MZZ106" s="669"/>
      <c r="NAA106" s="669"/>
      <c r="NAB106" s="669"/>
      <c r="NAC106" s="669"/>
      <c r="NAD106" s="669"/>
      <c r="NAE106" s="669"/>
      <c r="NAF106" s="669"/>
      <c r="NAG106" s="669"/>
      <c r="NAH106" s="669"/>
      <c r="NAI106" s="669"/>
      <c r="NAJ106" s="669"/>
      <c r="NAK106" s="669"/>
      <c r="NAL106" s="669"/>
      <c r="NAM106" s="669"/>
      <c r="NAN106" s="669"/>
      <c r="NAO106" s="669"/>
      <c r="NAP106" s="669"/>
      <c r="NAQ106" s="669"/>
      <c r="NAR106" s="669"/>
      <c r="NAS106" s="669"/>
      <c r="NAT106" s="669"/>
      <c r="NAU106" s="669"/>
      <c r="NAV106" s="669"/>
      <c r="NAW106" s="669"/>
      <c r="NAX106" s="669"/>
      <c r="NAY106" s="669"/>
      <c r="NAZ106" s="669"/>
      <c r="NBA106" s="669"/>
      <c r="NBB106" s="669"/>
      <c r="NBC106" s="669"/>
      <c r="NBD106" s="669"/>
      <c r="NBE106" s="669"/>
      <c r="NBF106" s="669"/>
      <c r="NBG106" s="669"/>
      <c r="NBH106" s="669"/>
      <c r="NBI106" s="669"/>
      <c r="NBJ106" s="669"/>
      <c r="NBK106" s="669"/>
      <c r="NBL106" s="669"/>
      <c r="NBM106" s="669"/>
      <c r="NBN106" s="669"/>
      <c r="NBO106" s="669"/>
      <c r="NBP106" s="669"/>
      <c r="NBQ106" s="669"/>
      <c r="NBR106" s="669"/>
      <c r="NBS106" s="669"/>
      <c r="NBT106" s="669"/>
      <c r="NBU106" s="669"/>
      <c r="NBV106" s="669"/>
      <c r="NBW106" s="669"/>
      <c r="NBX106" s="669"/>
      <c r="NBY106" s="669"/>
      <c r="NBZ106" s="669"/>
      <c r="NCA106" s="669"/>
      <c r="NCB106" s="669"/>
      <c r="NCC106" s="669"/>
      <c r="NCD106" s="669"/>
      <c r="NCE106" s="669"/>
      <c r="NCF106" s="669"/>
      <c r="NCG106" s="669"/>
      <c r="NCH106" s="669"/>
      <c r="NCI106" s="669"/>
      <c r="NCJ106" s="669"/>
      <c r="NCK106" s="669"/>
      <c r="NCL106" s="669"/>
      <c r="NCM106" s="669"/>
      <c r="NCN106" s="669"/>
      <c r="NCO106" s="669"/>
      <c r="NCP106" s="669"/>
      <c r="NCQ106" s="669"/>
      <c r="NCR106" s="669"/>
      <c r="NCS106" s="669"/>
      <c r="NCT106" s="669"/>
      <c r="NCU106" s="669"/>
      <c r="NCV106" s="669"/>
      <c r="NCW106" s="669"/>
      <c r="NCX106" s="669"/>
      <c r="NCY106" s="669"/>
      <c r="NCZ106" s="669"/>
      <c r="NDA106" s="669"/>
      <c r="NDB106" s="669"/>
      <c r="NDC106" s="669"/>
      <c r="NDD106" s="669"/>
      <c r="NDE106" s="669"/>
      <c r="NDF106" s="669"/>
      <c r="NDG106" s="669"/>
      <c r="NDH106" s="669"/>
      <c r="NDI106" s="669"/>
      <c r="NDJ106" s="669"/>
      <c r="NDK106" s="669"/>
      <c r="NDL106" s="669"/>
      <c r="NDM106" s="669"/>
      <c r="NDN106" s="669"/>
      <c r="NDO106" s="669"/>
      <c r="NDP106" s="669"/>
      <c r="NDQ106" s="669"/>
      <c r="NDR106" s="669"/>
      <c r="NDS106" s="669"/>
      <c r="NDT106" s="669"/>
      <c r="NDU106" s="669"/>
      <c r="NDV106" s="669"/>
      <c r="NDW106" s="669"/>
      <c r="NDX106" s="669"/>
      <c r="NDY106" s="669"/>
      <c r="NDZ106" s="669"/>
      <c r="NEA106" s="669"/>
      <c r="NEB106" s="669"/>
      <c r="NEC106" s="669"/>
      <c r="NED106" s="669"/>
      <c r="NEE106" s="669"/>
      <c r="NEF106" s="669"/>
      <c r="NEG106" s="669"/>
      <c r="NEH106" s="669"/>
      <c r="NEI106" s="669"/>
      <c r="NEJ106" s="669"/>
      <c r="NEK106" s="669"/>
      <c r="NEL106" s="669"/>
      <c r="NEM106" s="669"/>
      <c r="NEN106" s="669"/>
      <c r="NEO106" s="669"/>
      <c r="NEP106" s="669"/>
      <c r="NEQ106" s="669"/>
      <c r="NER106" s="669"/>
      <c r="NES106" s="669"/>
      <c r="NET106" s="669"/>
      <c r="NEU106" s="669"/>
      <c r="NEV106" s="669"/>
      <c r="NEW106" s="669"/>
      <c r="NEX106" s="669"/>
      <c r="NEY106" s="669"/>
      <c r="NEZ106" s="669"/>
      <c r="NFA106" s="669"/>
      <c r="NFB106" s="669"/>
      <c r="NFC106" s="669"/>
      <c r="NFD106" s="669"/>
      <c r="NFE106" s="669"/>
      <c r="NFF106" s="669"/>
      <c r="NFG106" s="669"/>
      <c r="NFH106" s="669"/>
      <c r="NFI106" s="669"/>
      <c r="NFJ106" s="669"/>
      <c r="NFK106" s="669"/>
      <c r="NFL106" s="669"/>
      <c r="NFM106" s="669"/>
      <c r="NFN106" s="669"/>
      <c r="NFO106" s="669"/>
      <c r="NFP106" s="669"/>
      <c r="NFQ106" s="669"/>
      <c r="NFR106" s="669"/>
      <c r="NFS106" s="669"/>
      <c r="NFT106" s="669"/>
      <c r="NFU106" s="669"/>
      <c r="NFV106" s="669"/>
      <c r="NFW106" s="669"/>
      <c r="NFX106" s="669"/>
      <c r="NFY106" s="669"/>
      <c r="NFZ106" s="669"/>
      <c r="NGA106" s="669"/>
      <c r="NGB106" s="669"/>
      <c r="NGC106" s="669"/>
      <c r="NGD106" s="669"/>
      <c r="NGE106" s="669"/>
      <c r="NGF106" s="669"/>
      <c r="NGG106" s="669"/>
      <c r="NGH106" s="669"/>
      <c r="NGI106" s="669"/>
      <c r="NGJ106" s="669"/>
      <c r="NGK106" s="669"/>
      <c r="NGL106" s="669"/>
      <c r="NGM106" s="669"/>
      <c r="NGN106" s="669"/>
      <c r="NGO106" s="669"/>
      <c r="NGP106" s="669"/>
      <c r="NGQ106" s="669"/>
      <c r="NGR106" s="669"/>
      <c r="NGS106" s="669"/>
      <c r="NGT106" s="669"/>
      <c r="NGU106" s="669"/>
      <c r="NGV106" s="669"/>
      <c r="NGW106" s="669"/>
      <c r="NGX106" s="669"/>
      <c r="NGY106" s="669"/>
      <c r="NGZ106" s="669"/>
      <c r="NHA106" s="669"/>
      <c r="NHB106" s="669"/>
      <c r="NHC106" s="669"/>
      <c r="NHD106" s="669"/>
      <c r="NHE106" s="669"/>
      <c r="NHF106" s="669"/>
      <c r="NHG106" s="669"/>
      <c r="NHH106" s="669"/>
      <c r="NHI106" s="669"/>
      <c r="NHJ106" s="669"/>
      <c r="NHK106" s="669"/>
      <c r="NHL106" s="669"/>
      <c r="NHM106" s="669"/>
      <c r="NHN106" s="669"/>
      <c r="NHO106" s="669"/>
      <c r="NHP106" s="669"/>
      <c r="NHQ106" s="669"/>
      <c r="NHR106" s="669"/>
      <c r="NHS106" s="669"/>
      <c r="NHT106" s="669"/>
      <c r="NHU106" s="669"/>
      <c r="NHV106" s="669"/>
      <c r="NHW106" s="669"/>
      <c r="NHX106" s="669"/>
      <c r="NHY106" s="669"/>
      <c r="NHZ106" s="669"/>
      <c r="NIA106" s="669"/>
      <c r="NIB106" s="669"/>
      <c r="NIC106" s="669"/>
      <c r="NID106" s="669"/>
      <c r="NIE106" s="669"/>
      <c r="NIF106" s="669"/>
      <c r="NIG106" s="669"/>
      <c r="NIH106" s="669"/>
      <c r="NII106" s="669"/>
      <c r="NIJ106" s="669"/>
      <c r="NIK106" s="669"/>
      <c r="NIL106" s="669"/>
      <c r="NIM106" s="669"/>
      <c r="NIN106" s="669"/>
      <c r="NIO106" s="669"/>
      <c r="NIP106" s="669"/>
      <c r="NIQ106" s="669"/>
      <c r="NIR106" s="669"/>
      <c r="NIS106" s="669"/>
      <c r="NIT106" s="669"/>
      <c r="NIU106" s="669"/>
      <c r="NIV106" s="669"/>
      <c r="NIW106" s="669"/>
      <c r="NIX106" s="669"/>
      <c r="NIY106" s="669"/>
      <c r="NIZ106" s="669"/>
      <c r="NJA106" s="669"/>
      <c r="NJB106" s="669"/>
      <c r="NJC106" s="669"/>
      <c r="NJD106" s="669"/>
      <c r="NJE106" s="669"/>
      <c r="NJF106" s="669"/>
      <c r="NJG106" s="669"/>
      <c r="NJH106" s="669"/>
      <c r="NJI106" s="669"/>
      <c r="NJJ106" s="669"/>
      <c r="NJK106" s="669"/>
      <c r="NJL106" s="669"/>
      <c r="NJM106" s="669"/>
      <c r="NJN106" s="669"/>
      <c r="NJO106" s="669"/>
      <c r="NJP106" s="669"/>
      <c r="NJQ106" s="669"/>
      <c r="NJR106" s="669"/>
      <c r="NJS106" s="669"/>
      <c r="NJT106" s="669"/>
      <c r="NJU106" s="669"/>
      <c r="NJV106" s="669"/>
      <c r="NJW106" s="669"/>
      <c r="NJX106" s="669"/>
      <c r="NJY106" s="669"/>
      <c r="NJZ106" s="669"/>
      <c r="NKA106" s="669"/>
      <c r="NKB106" s="669"/>
      <c r="NKC106" s="669"/>
      <c r="NKD106" s="669"/>
      <c r="NKE106" s="669"/>
      <c r="NKF106" s="669"/>
      <c r="NKG106" s="669"/>
      <c r="NKH106" s="669"/>
      <c r="NKI106" s="669"/>
      <c r="NKJ106" s="669"/>
      <c r="NKK106" s="669"/>
      <c r="NKL106" s="669"/>
      <c r="NKM106" s="669"/>
      <c r="NKN106" s="669"/>
      <c r="NKO106" s="669"/>
      <c r="NKP106" s="669"/>
      <c r="NKQ106" s="669"/>
      <c r="NKR106" s="669"/>
      <c r="NKS106" s="669"/>
      <c r="NKT106" s="669"/>
      <c r="NKU106" s="669"/>
      <c r="NKV106" s="669"/>
      <c r="NKW106" s="669"/>
      <c r="NKX106" s="669"/>
      <c r="NKY106" s="669"/>
      <c r="NKZ106" s="669"/>
      <c r="NLA106" s="669"/>
      <c r="NLB106" s="669"/>
      <c r="NLC106" s="669"/>
      <c r="NLD106" s="669"/>
      <c r="NLE106" s="669"/>
      <c r="NLF106" s="669"/>
      <c r="NLG106" s="669"/>
      <c r="NLH106" s="669"/>
      <c r="NLI106" s="669"/>
      <c r="NLJ106" s="669"/>
      <c r="NLK106" s="669"/>
      <c r="NLL106" s="669"/>
      <c r="NLM106" s="669"/>
      <c r="NLN106" s="669"/>
      <c r="NLO106" s="669"/>
      <c r="NLP106" s="669"/>
      <c r="NLQ106" s="669"/>
      <c r="NLR106" s="669"/>
      <c r="NLS106" s="669"/>
      <c r="NLT106" s="669"/>
      <c r="NLU106" s="669"/>
      <c r="NLV106" s="669"/>
      <c r="NLW106" s="669"/>
      <c r="NLX106" s="669"/>
      <c r="NLY106" s="669"/>
      <c r="NLZ106" s="669"/>
      <c r="NMA106" s="669"/>
      <c r="NMB106" s="669"/>
      <c r="NMC106" s="669"/>
      <c r="NMD106" s="669"/>
      <c r="NME106" s="669"/>
      <c r="NMF106" s="669"/>
      <c r="NMG106" s="669"/>
      <c r="NMH106" s="669"/>
      <c r="NMI106" s="669"/>
      <c r="NMJ106" s="669"/>
      <c r="NMK106" s="669"/>
      <c r="NML106" s="669"/>
      <c r="NMM106" s="669"/>
      <c r="NMN106" s="669"/>
      <c r="NMO106" s="669"/>
      <c r="NMP106" s="669"/>
      <c r="NMQ106" s="669"/>
      <c r="NMR106" s="669"/>
      <c r="NMS106" s="669"/>
      <c r="NMT106" s="669"/>
      <c r="NMU106" s="669"/>
      <c r="NMV106" s="669"/>
      <c r="NMW106" s="669"/>
      <c r="NMX106" s="669"/>
      <c r="NMY106" s="669"/>
      <c r="NMZ106" s="669"/>
      <c r="NNA106" s="669"/>
      <c r="NNB106" s="669"/>
      <c r="NNC106" s="669"/>
      <c r="NND106" s="669"/>
      <c r="NNE106" s="669"/>
      <c r="NNF106" s="669"/>
      <c r="NNG106" s="669"/>
      <c r="NNH106" s="669"/>
      <c r="NNI106" s="669"/>
      <c r="NNJ106" s="669"/>
      <c r="NNK106" s="669"/>
      <c r="NNL106" s="669"/>
      <c r="NNM106" s="669"/>
      <c r="NNN106" s="669"/>
      <c r="NNO106" s="669"/>
      <c r="NNP106" s="669"/>
      <c r="NNQ106" s="669"/>
      <c r="NNR106" s="669"/>
      <c r="NNS106" s="669"/>
      <c r="NNT106" s="669"/>
      <c r="NNU106" s="669"/>
      <c r="NNV106" s="669"/>
      <c r="NNW106" s="669"/>
      <c r="NNX106" s="669"/>
      <c r="NNY106" s="669"/>
      <c r="NNZ106" s="669"/>
      <c r="NOA106" s="669"/>
      <c r="NOB106" s="669"/>
      <c r="NOC106" s="669"/>
      <c r="NOD106" s="669"/>
      <c r="NOE106" s="669"/>
      <c r="NOF106" s="669"/>
      <c r="NOG106" s="669"/>
      <c r="NOH106" s="669"/>
      <c r="NOI106" s="669"/>
      <c r="NOJ106" s="669"/>
      <c r="NOK106" s="669"/>
      <c r="NOL106" s="669"/>
      <c r="NOM106" s="669"/>
      <c r="NON106" s="669"/>
      <c r="NOO106" s="669"/>
      <c r="NOP106" s="669"/>
      <c r="NOQ106" s="669"/>
      <c r="NOR106" s="669"/>
      <c r="NOS106" s="669"/>
      <c r="NOT106" s="669"/>
      <c r="NOU106" s="669"/>
      <c r="NOV106" s="669"/>
      <c r="NOW106" s="669"/>
      <c r="NOX106" s="669"/>
      <c r="NOY106" s="669"/>
      <c r="NOZ106" s="669"/>
      <c r="NPA106" s="669"/>
      <c r="NPB106" s="669"/>
      <c r="NPC106" s="669"/>
      <c r="NPD106" s="669"/>
      <c r="NPE106" s="669"/>
      <c r="NPF106" s="669"/>
      <c r="NPG106" s="669"/>
      <c r="NPH106" s="669"/>
      <c r="NPI106" s="669"/>
      <c r="NPJ106" s="669"/>
      <c r="NPK106" s="669"/>
      <c r="NPL106" s="669"/>
      <c r="NPM106" s="669"/>
      <c r="NPN106" s="669"/>
      <c r="NPO106" s="669"/>
      <c r="NPP106" s="669"/>
      <c r="NPQ106" s="669"/>
      <c r="NPR106" s="669"/>
      <c r="NPS106" s="669"/>
      <c r="NPT106" s="669"/>
      <c r="NPU106" s="669"/>
      <c r="NPV106" s="669"/>
      <c r="NPW106" s="669"/>
      <c r="NPX106" s="669"/>
      <c r="NPY106" s="669"/>
      <c r="NPZ106" s="669"/>
      <c r="NQA106" s="669"/>
      <c r="NQB106" s="669"/>
      <c r="NQC106" s="669"/>
      <c r="NQD106" s="669"/>
      <c r="NQE106" s="669"/>
      <c r="NQF106" s="669"/>
      <c r="NQG106" s="669"/>
      <c r="NQH106" s="669"/>
      <c r="NQI106" s="669"/>
      <c r="NQJ106" s="669"/>
      <c r="NQK106" s="669"/>
      <c r="NQL106" s="669"/>
      <c r="NQM106" s="669"/>
      <c r="NQN106" s="669"/>
      <c r="NQO106" s="669"/>
      <c r="NQP106" s="669"/>
      <c r="NQQ106" s="669"/>
      <c r="NQR106" s="669"/>
      <c r="NQS106" s="669"/>
      <c r="NQT106" s="669"/>
      <c r="NQU106" s="669"/>
      <c r="NQV106" s="669"/>
      <c r="NQW106" s="669"/>
      <c r="NQX106" s="669"/>
      <c r="NQY106" s="669"/>
      <c r="NQZ106" s="669"/>
      <c r="NRA106" s="669"/>
      <c r="NRB106" s="669"/>
      <c r="NRC106" s="669"/>
      <c r="NRD106" s="669"/>
      <c r="NRE106" s="669"/>
      <c r="NRF106" s="669"/>
      <c r="NRG106" s="669"/>
      <c r="NRH106" s="669"/>
      <c r="NRI106" s="669"/>
      <c r="NRJ106" s="669"/>
      <c r="NRK106" s="669"/>
      <c r="NRL106" s="669"/>
      <c r="NRM106" s="669"/>
      <c r="NRN106" s="669"/>
      <c r="NRO106" s="669"/>
      <c r="NRP106" s="669"/>
      <c r="NRQ106" s="669"/>
      <c r="NRR106" s="669"/>
      <c r="NRS106" s="669"/>
      <c r="NRT106" s="669"/>
      <c r="NRU106" s="669"/>
      <c r="NRV106" s="669"/>
      <c r="NRW106" s="669"/>
      <c r="NRX106" s="669"/>
      <c r="NRY106" s="669"/>
      <c r="NRZ106" s="669"/>
      <c r="NSA106" s="669"/>
      <c r="NSB106" s="669"/>
      <c r="NSC106" s="669"/>
      <c r="NSD106" s="669"/>
      <c r="NSE106" s="669"/>
      <c r="NSF106" s="669"/>
      <c r="NSG106" s="669"/>
      <c r="NSH106" s="669"/>
      <c r="NSI106" s="669"/>
      <c r="NSJ106" s="669"/>
      <c r="NSK106" s="669"/>
      <c r="NSL106" s="669"/>
      <c r="NSM106" s="669"/>
      <c r="NSN106" s="669"/>
      <c r="NSO106" s="669"/>
      <c r="NSP106" s="669"/>
      <c r="NSQ106" s="669"/>
      <c r="NSR106" s="669"/>
      <c r="NSS106" s="669"/>
      <c r="NST106" s="669"/>
      <c r="NSU106" s="669"/>
      <c r="NSV106" s="669"/>
      <c r="NSW106" s="669"/>
      <c r="NSX106" s="669"/>
      <c r="NSY106" s="669"/>
      <c r="NSZ106" s="669"/>
      <c r="NTA106" s="669"/>
      <c r="NTB106" s="669"/>
      <c r="NTC106" s="669"/>
      <c r="NTD106" s="669"/>
      <c r="NTE106" s="669"/>
      <c r="NTF106" s="669"/>
      <c r="NTG106" s="669"/>
      <c r="NTH106" s="669"/>
      <c r="NTI106" s="669"/>
      <c r="NTJ106" s="669"/>
      <c r="NTK106" s="669"/>
      <c r="NTL106" s="669"/>
      <c r="NTM106" s="669"/>
      <c r="NTN106" s="669"/>
      <c r="NTO106" s="669"/>
      <c r="NTP106" s="669"/>
      <c r="NTQ106" s="669"/>
      <c r="NTR106" s="669"/>
      <c r="NTS106" s="669"/>
      <c r="NTT106" s="669"/>
      <c r="NTU106" s="669"/>
      <c r="NTV106" s="669"/>
      <c r="NTW106" s="669"/>
      <c r="NTX106" s="669"/>
      <c r="NTY106" s="669"/>
      <c r="NTZ106" s="669"/>
      <c r="NUA106" s="669"/>
      <c r="NUB106" s="669"/>
      <c r="NUC106" s="669"/>
      <c r="NUD106" s="669"/>
      <c r="NUE106" s="669"/>
      <c r="NUF106" s="669"/>
      <c r="NUG106" s="669"/>
      <c r="NUH106" s="669"/>
      <c r="NUI106" s="669"/>
      <c r="NUJ106" s="669"/>
      <c r="NUK106" s="669"/>
      <c r="NUL106" s="669"/>
      <c r="NUM106" s="669"/>
      <c r="NUN106" s="669"/>
      <c r="NUO106" s="669"/>
      <c r="NUP106" s="669"/>
      <c r="NUQ106" s="669"/>
      <c r="NUR106" s="669"/>
      <c r="NUS106" s="669"/>
      <c r="NUT106" s="669"/>
      <c r="NUU106" s="669"/>
      <c r="NUV106" s="669"/>
      <c r="NUW106" s="669"/>
      <c r="NUX106" s="669"/>
      <c r="NUY106" s="669"/>
      <c r="NUZ106" s="669"/>
      <c r="NVA106" s="669"/>
      <c r="NVB106" s="669"/>
      <c r="NVC106" s="669"/>
      <c r="NVD106" s="669"/>
      <c r="NVE106" s="669"/>
      <c r="NVF106" s="669"/>
      <c r="NVG106" s="669"/>
      <c r="NVH106" s="669"/>
      <c r="NVI106" s="669"/>
      <c r="NVJ106" s="669"/>
      <c r="NVK106" s="669"/>
      <c r="NVL106" s="669"/>
      <c r="NVM106" s="669"/>
      <c r="NVN106" s="669"/>
      <c r="NVO106" s="669"/>
      <c r="NVP106" s="669"/>
      <c r="NVQ106" s="669"/>
      <c r="NVR106" s="669"/>
      <c r="NVS106" s="669"/>
      <c r="NVT106" s="669"/>
      <c r="NVU106" s="669"/>
      <c r="NVV106" s="669"/>
      <c r="NVW106" s="669"/>
      <c r="NVX106" s="669"/>
      <c r="NVY106" s="669"/>
      <c r="NVZ106" s="669"/>
      <c r="NWA106" s="669"/>
      <c r="NWB106" s="669"/>
      <c r="NWC106" s="669"/>
      <c r="NWD106" s="669"/>
      <c r="NWE106" s="669"/>
      <c r="NWF106" s="669"/>
      <c r="NWG106" s="669"/>
      <c r="NWH106" s="669"/>
      <c r="NWI106" s="669"/>
      <c r="NWJ106" s="669"/>
      <c r="NWK106" s="669"/>
      <c r="NWL106" s="669"/>
      <c r="NWM106" s="669"/>
      <c r="NWN106" s="669"/>
      <c r="NWO106" s="669"/>
      <c r="NWP106" s="669"/>
      <c r="NWQ106" s="669"/>
      <c r="NWR106" s="669"/>
      <c r="NWS106" s="669"/>
      <c r="NWT106" s="669"/>
      <c r="NWU106" s="669"/>
      <c r="NWV106" s="669"/>
      <c r="NWW106" s="669"/>
      <c r="NWX106" s="669"/>
      <c r="NWY106" s="669"/>
      <c r="NWZ106" s="669"/>
      <c r="NXA106" s="669"/>
      <c r="NXB106" s="669"/>
      <c r="NXC106" s="669"/>
      <c r="NXD106" s="669"/>
      <c r="NXE106" s="669"/>
      <c r="NXF106" s="669"/>
      <c r="NXG106" s="669"/>
      <c r="NXH106" s="669"/>
      <c r="NXI106" s="669"/>
      <c r="NXJ106" s="669"/>
      <c r="NXK106" s="669"/>
      <c r="NXL106" s="669"/>
      <c r="NXM106" s="669"/>
      <c r="NXN106" s="669"/>
      <c r="NXO106" s="669"/>
      <c r="NXP106" s="669"/>
      <c r="NXQ106" s="669"/>
      <c r="NXR106" s="669"/>
      <c r="NXS106" s="669"/>
      <c r="NXT106" s="669"/>
      <c r="NXU106" s="669"/>
      <c r="NXV106" s="669"/>
      <c r="NXW106" s="669"/>
      <c r="NXX106" s="669"/>
      <c r="NXY106" s="669"/>
      <c r="NXZ106" s="669"/>
      <c r="NYA106" s="669"/>
      <c r="NYB106" s="669"/>
      <c r="NYC106" s="669"/>
      <c r="NYD106" s="669"/>
      <c r="NYE106" s="669"/>
      <c r="NYF106" s="669"/>
      <c r="NYG106" s="669"/>
      <c r="NYH106" s="669"/>
      <c r="NYI106" s="669"/>
      <c r="NYJ106" s="669"/>
      <c r="NYK106" s="669"/>
      <c r="NYL106" s="669"/>
      <c r="NYM106" s="669"/>
      <c r="NYN106" s="669"/>
      <c r="NYO106" s="669"/>
      <c r="NYP106" s="669"/>
      <c r="NYQ106" s="669"/>
      <c r="NYR106" s="669"/>
      <c r="NYS106" s="669"/>
      <c r="NYT106" s="669"/>
      <c r="NYU106" s="669"/>
      <c r="NYV106" s="669"/>
      <c r="NYW106" s="669"/>
      <c r="NYX106" s="669"/>
      <c r="NYY106" s="669"/>
      <c r="NYZ106" s="669"/>
      <c r="NZA106" s="669"/>
      <c r="NZB106" s="669"/>
      <c r="NZC106" s="669"/>
      <c r="NZD106" s="669"/>
      <c r="NZE106" s="669"/>
      <c r="NZF106" s="669"/>
      <c r="NZG106" s="669"/>
      <c r="NZH106" s="669"/>
      <c r="NZI106" s="669"/>
      <c r="NZJ106" s="669"/>
      <c r="NZK106" s="669"/>
      <c r="NZL106" s="669"/>
      <c r="NZM106" s="669"/>
      <c r="NZN106" s="669"/>
      <c r="NZO106" s="669"/>
      <c r="NZP106" s="669"/>
      <c r="NZQ106" s="669"/>
      <c r="NZR106" s="669"/>
      <c r="NZS106" s="669"/>
      <c r="NZT106" s="669"/>
      <c r="NZU106" s="669"/>
      <c r="NZV106" s="669"/>
      <c r="NZW106" s="669"/>
      <c r="NZX106" s="669"/>
      <c r="NZY106" s="669"/>
      <c r="NZZ106" s="669"/>
      <c r="OAA106" s="669"/>
      <c r="OAB106" s="669"/>
      <c r="OAC106" s="669"/>
      <c r="OAD106" s="669"/>
      <c r="OAE106" s="669"/>
      <c r="OAF106" s="669"/>
      <c r="OAG106" s="669"/>
      <c r="OAH106" s="669"/>
      <c r="OAI106" s="669"/>
      <c r="OAJ106" s="669"/>
      <c r="OAK106" s="669"/>
      <c r="OAL106" s="669"/>
      <c r="OAM106" s="669"/>
      <c r="OAN106" s="669"/>
      <c r="OAO106" s="669"/>
      <c r="OAP106" s="669"/>
      <c r="OAQ106" s="669"/>
      <c r="OAR106" s="669"/>
      <c r="OAS106" s="669"/>
      <c r="OAT106" s="669"/>
      <c r="OAU106" s="669"/>
      <c r="OAV106" s="669"/>
      <c r="OAW106" s="669"/>
      <c r="OAX106" s="669"/>
      <c r="OAY106" s="669"/>
      <c r="OAZ106" s="669"/>
      <c r="OBA106" s="669"/>
      <c r="OBB106" s="669"/>
      <c r="OBC106" s="669"/>
      <c r="OBD106" s="669"/>
      <c r="OBE106" s="669"/>
      <c r="OBF106" s="669"/>
      <c r="OBG106" s="669"/>
      <c r="OBH106" s="669"/>
      <c r="OBI106" s="669"/>
      <c r="OBJ106" s="669"/>
      <c r="OBK106" s="669"/>
      <c r="OBL106" s="669"/>
      <c r="OBM106" s="669"/>
      <c r="OBN106" s="669"/>
      <c r="OBO106" s="669"/>
      <c r="OBP106" s="669"/>
      <c r="OBQ106" s="669"/>
      <c r="OBR106" s="669"/>
      <c r="OBS106" s="669"/>
      <c r="OBT106" s="669"/>
      <c r="OBU106" s="669"/>
      <c r="OBV106" s="669"/>
      <c r="OBW106" s="669"/>
      <c r="OBX106" s="669"/>
      <c r="OBY106" s="669"/>
      <c r="OBZ106" s="669"/>
      <c r="OCA106" s="669"/>
      <c r="OCB106" s="669"/>
      <c r="OCC106" s="669"/>
      <c r="OCD106" s="669"/>
      <c r="OCE106" s="669"/>
      <c r="OCF106" s="669"/>
      <c r="OCG106" s="669"/>
      <c r="OCH106" s="669"/>
      <c r="OCI106" s="669"/>
      <c r="OCJ106" s="669"/>
      <c r="OCK106" s="669"/>
      <c r="OCL106" s="669"/>
      <c r="OCM106" s="669"/>
      <c r="OCN106" s="669"/>
      <c r="OCO106" s="669"/>
      <c r="OCP106" s="669"/>
      <c r="OCQ106" s="669"/>
      <c r="OCR106" s="669"/>
      <c r="OCS106" s="669"/>
      <c r="OCT106" s="669"/>
      <c r="OCU106" s="669"/>
      <c r="OCV106" s="669"/>
      <c r="OCW106" s="669"/>
      <c r="OCX106" s="669"/>
      <c r="OCY106" s="669"/>
      <c r="OCZ106" s="669"/>
      <c r="ODA106" s="669"/>
      <c r="ODB106" s="669"/>
      <c r="ODC106" s="669"/>
      <c r="ODD106" s="669"/>
      <c r="ODE106" s="669"/>
      <c r="ODF106" s="669"/>
      <c r="ODG106" s="669"/>
      <c r="ODH106" s="669"/>
      <c r="ODI106" s="669"/>
      <c r="ODJ106" s="669"/>
      <c r="ODK106" s="669"/>
      <c r="ODL106" s="669"/>
      <c r="ODM106" s="669"/>
      <c r="ODN106" s="669"/>
      <c r="ODO106" s="669"/>
      <c r="ODP106" s="669"/>
      <c r="ODQ106" s="669"/>
      <c r="ODR106" s="669"/>
      <c r="ODS106" s="669"/>
      <c r="ODT106" s="669"/>
      <c r="ODU106" s="669"/>
      <c r="ODV106" s="669"/>
      <c r="ODW106" s="669"/>
      <c r="ODX106" s="669"/>
      <c r="ODY106" s="669"/>
      <c r="ODZ106" s="669"/>
      <c r="OEA106" s="669"/>
      <c r="OEB106" s="669"/>
      <c r="OEC106" s="669"/>
      <c r="OED106" s="669"/>
      <c r="OEE106" s="669"/>
      <c r="OEF106" s="669"/>
      <c r="OEG106" s="669"/>
      <c r="OEH106" s="669"/>
      <c r="OEI106" s="669"/>
      <c r="OEJ106" s="669"/>
      <c r="OEK106" s="669"/>
      <c r="OEL106" s="669"/>
      <c r="OEM106" s="669"/>
      <c r="OEN106" s="669"/>
      <c r="OEO106" s="669"/>
      <c r="OEP106" s="669"/>
      <c r="OEQ106" s="669"/>
      <c r="OER106" s="669"/>
      <c r="OES106" s="669"/>
      <c r="OET106" s="669"/>
      <c r="OEU106" s="669"/>
      <c r="OEV106" s="669"/>
      <c r="OEW106" s="669"/>
      <c r="OEX106" s="669"/>
      <c r="OEY106" s="669"/>
      <c r="OEZ106" s="669"/>
      <c r="OFA106" s="669"/>
      <c r="OFB106" s="669"/>
      <c r="OFC106" s="669"/>
      <c r="OFD106" s="669"/>
      <c r="OFE106" s="669"/>
      <c r="OFF106" s="669"/>
      <c r="OFG106" s="669"/>
      <c r="OFH106" s="669"/>
      <c r="OFI106" s="669"/>
      <c r="OFJ106" s="669"/>
      <c r="OFK106" s="669"/>
      <c r="OFL106" s="669"/>
      <c r="OFM106" s="669"/>
      <c r="OFN106" s="669"/>
      <c r="OFO106" s="669"/>
      <c r="OFP106" s="669"/>
      <c r="OFQ106" s="669"/>
      <c r="OFR106" s="669"/>
      <c r="OFS106" s="669"/>
      <c r="OFT106" s="669"/>
      <c r="OFU106" s="669"/>
      <c r="OFV106" s="669"/>
      <c r="OFW106" s="669"/>
      <c r="OFX106" s="669"/>
      <c r="OFY106" s="669"/>
      <c r="OFZ106" s="669"/>
      <c r="OGA106" s="669"/>
      <c r="OGB106" s="669"/>
      <c r="OGC106" s="669"/>
      <c r="OGD106" s="669"/>
      <c r="OGE106" s="669"/>
      <c r="OGF106" s="669"/>
      <c r="OGG106" s="669"/>
      <c r="OGH106" s="669"/>
      <c r="OGI106" s="669"/>
      <c r="OGJ106" s="669"/>
      <c r="OGK106" s="669"/>
      <c r="OGL106" s="669"/>
      <c r="OGM106" s="669"/>
      <c r="OGN106" s="669"/>
      <c r="OGO106" s="669"/>
      <c r="OGP106" s="669"/>
      <c r="OGQ106" s="669"/>
      <c r="OGR106" s="669"/>
      <c r="OGS106" s="669"/>
      <c r="OGT106" s="669"/>
      <c r="OGU106" s="669"/>
      <c r="OGV106" s="669"/>
      <c r="OGW106" s="669"/>
      <c r="OGX106" s="669"/>
      <c r="OGY106" s="669"/>
      <c r="OGZ106" s="669"/>
      <c r="OHA106" s="669"/>
      <c r="OHB106" s="669"/>
      <c r="OHC106" s="669"/>
      <c r="OHD106" s="669"/>
      <c r="OHE106" s="669"/>
      <c r="OHF106" s="669"/>
      <c r="OHG106" s="669"/>
      <c r="OHH106" s="669"/>
      <c r="OHI106" s="669"/>
      <c r="OHJ106" s="669"/>
      <c r="OHK106" s="669"/>
      <c r="OHL106" s="669"/>
      <c r="OHM106" s="669"/>
      <c r="OHN106" s="669"/>
      <c r="OHO106" s="669"/>
      <c r="OHP106" s="669"/>
      <c r="OHQ106" s="669"/>
      <c r="OHR106" s="669"/>
      <c r="OHS106" s="669"/>
      <c r="OHT106" s="669"/>
      <c r="OHU106" s="669"/>
      <c r="OHV106" s="669"/>
      <c r="OHW106" s="669"/>
      <c r="OHX106" s="669"/>
      <c r="OHY106" s="669"/>
      <c r="OHZ106" s="669"/>
      <c r="OIA106" s="669"/>
      <c r="OIB106" s="669"/>
      <c r="OIC106" s="669"/>
      <c r="OID106" s="669"/>
      <c r="OIE106" s="669"/>
      <c r="OIF106" s="669"/>
      <c r="OIG106" s="669"/>
      <c r="OIH106" s="669"/>
      <c r="OII106" s="669"/>
      <c r="OIJ106" s="669"/>
      <c r="OIK106" s="669"/>
      <c r="OIL106" s="669"/>
      <c r="OIM106" s="669"/>
      <c r="OIN106" s="669"/>
      <c r="OIO106" s="669"/>
      <c r="OIP106" s="669"/>
      <c r="OIQ106" s="669"/>
      <c r="OIR106" s="669"/>
      <c r="OIS106" s="669"/>
      <c r="OIT106" s="669"/>
      <c r="OIU106" s="669"/>
      <c r="OIV106" s="669"/>
      <c r="OIW106" s="669"/>
      <c r="OIX106" s="669"/>
      <c r="OIY106" s="669"/>
      <c r="OIZ106" s="669"/>
      <c r="OJA106" s="669"/>
      <c r="OJB106" s="669"/>
      <c r="OJC106" s="669"/>
      <c r="OJD106" s="669"/>
      <c r="OJE106" s="669"/>
      <c r="OJF106" s="669"/>
      <c r="OJG106" s="669"/>
      <c r="OJH106" s="669"/>
      <c r="OJI106" s="669"/>
      <c r="OJJ106" s="669"/>
      <c r="OJK106" s="669"/>
      <c r="OJL106" s="669"/>
      <c r="OJM106" s="669"/>
      <c r="OJN106" s="669"/>
      <c r="OJO106" s="669"/>
      <c r="OJP106" s="669"/>
      <c r="OJQ106" s="669"/>
      <c r="OJR106" s="669"/>
      <c r="OJS106" s="669"/>
      <c r="OJT106" s="669"/>
      <c r="OJU106" s="669"/>
      <c r="OJV106" s="669"/>
      <c r="OJW106" s="669"/>
      <c r="OJX106" s="669"/>
      <c r="OJY106" s="669"/>
      <c r="OJZ106" s="669"/>
      <c r="OKA106" s="669"/>
      <c r="OKB106" s="669"/>
      <c r="OKC106" s="669"/>
      <c r="OKD106" s="669"/>
      <c r="OKE106" s="669"/>
      <c r="OKF106" s="669"/>
      <c r="OKG106" s="669"/>
      <c r="OKH106" s="669"/>
      <c r="OKI106" s="669"/>
      <c r="OKJ106" s="669"/>
      <c r="OKK106" s="669"/>
      <c r="OKL106" s="669"/>
      <c r="OKM106" s="669"/>
      <c r="OKN106" s="669"/>
      <c r="OKO106" s="669"/>
      <c r="OKP106" s="669"/>
      <c r="OKQ106" s="669"/>
      <c r="OKR106" s="669"/>
      <c r="OKS106" s="669"/>
      <c r="OKT106" s="669"/>
      <c r="OKU106" s="669"/>
      <c r="OKV106" s="669"/>
      <c r="OKW106" s="669"/>
      <c r="OKX106" s="669"/>
      <c r="OKY106" s="669"/>
      <c r="OKZ106" s="669"/>
      <c r="OLA106" s="669"/>
      <c r="OLB106" s="669"/>
      <c r="OLC106" s="669"/>
      <c r="OLD106" s="669"/>
      <c r="OLE106" s="669"/>
      <c r="OLF106" s="669"/>
      <c r="OLG106" s="669"/>
      <c r="OLH106" s="669"/>
      <c r="OLI106" s="669"/>
      <c r="OLJ106" s="669"/>
      <c r="OLK106" s="669"/>
      <c r="OLL106" s="669"/>
      <c r="OLM106" s="669"/>
      <c r="OLN106" s="669"/>
      <c r="OLO106" s="669"/>
      <c r="OLP106" s="669"/>
      <c r="OLQ106" s="669"/>
      <c r="OLR106" s="669"/>
      <c r="OLS106" s="669"/>
      <c r="OLT106" s="669"/>
      <c r="OLU106" s="669"/>
      <c r="OLV106" s="669"/>
      <c r="OLW106" s="669"/>
      <c r="OLX106" s="669"/>
      <c r="OLY106" s="669"/>
      <c r="OLZ106" s="669"/>
      <c r="OMA106" s="669"/>
      <c r="OMB106" s="669"/>
      <c r="OMC106" s="669"/>
      <c r="OMD106" s="669"/>
      <c r="OME106" s="669"/>
      <c r="OMF106" s="669"/>
      <c r="OMG106" s="669"/>
      <c r="OMH106" s="669"/>
      <c r="OMI106" s="669"/>
      <c r="OMJ106" s="669"/>
      <c r="OMK106" s="669"/>
      <c r="OML106" s="669"/>
      <c r="OMM106" s="669"/>
      <c r="OMN106" s="669"/>
      <c r="OMO106" s="669"/>
      <c r="OMP106" s="669"/>
      <c r="OMQ106" s="669"/>
      <c r="OMR106" s="669"/>
      <c r="OMS106" s="669"/>
      <c r="OMT106" s="669"/>
      <c r="OMU106" s="669"/>
      <c r="OMV106" s="669"/>
      <c r="OMW106" s="669"/>
      <c r="OMX106" s="669"/>
      <c r="OMY106" s="669"/>
      <c r="OMZ106" s="669"/>
      <c r="ONA106" s="669"/>
      <c r="ONB106" s="669"/>
      <c r="ONC106" s="669"/>
      <c r="OND106" s="669"/>
      <c r="ONE106" s="669"/>
      <c r="ONF106" s="669"/>
      <c r="ONG106" s="669"/>
      <c r="ONH106" s="669"/>
      <c r="ONI106" s="669"/>
      <c r="ONJ106" s="669"/>
      <c r="ONK106" s="669"/>
      <c r="ONL106" s="669"/>
      <c r="ONM106" s="669"/>
      <c r="ONN106" s="669"/>
      <c r="ONO106" s="669"/>
      <c r="ONP106" s="669"/>
      <c r="ONQ106" s="669"/>
      <c r="ONR106" s="669"/>
      <c r="ONS106" s="669"/>
      <c r="ONT106" s="669"/>
      <c r="ONU106" s="669"/>
      <c r="ONV106" s="669"/>
      <c r="ONW106" s="669"/>
      <c r="ONX106" s="669"/>
      <c r="ONY106" s="669"/>
      <c r="ONZ106" s="669"/>
      <c r="OOA106" s="669"/>
      <c r="OOB106" s="669"/>
      <c r="OOC106" s="669"/>
      <c r="OOD106" s="669"/>
      <c r="OOE106" s="669"/>
      <c r="OOF106" s="669"/>
      <c r="OOG106" s="669"/>
      <c r="OOH106" s="669"/>
      <c r="OOI106" s="669"/>
      <c r="OOJ106" s="669"/>
      <c r="OOK106" s="669"/>
      <c r="OOL106" s="669"/>
      <c r="OOM106" s="669"/>
      <c r="OON106" s="669"/>
      <c r="OOO106" s="669"/>
      <c r="OOP106" s="669"/>
      <c r="OOQ106" s="669"/>
      <c r="OOR106" s="669"/>
      <c r="OOS106" s="669"/>
      <c r="OOT106" s="669"/>
      <c r="OOU106" s="669"/>
      <c r="OOV106" s="669"/>
      <c r="OOW106" s="669"/>
      <c r="OOX106" s="669"/>
      <c r="OOY106" s="669"/>
      <c r="OOZ106" s="669"/>
      <c r="OPA106" s="669"/>
      <c r="OPB106" s="669"/>
      <c r="OPC106" s="669"/>
      <c r="OPD106" s="669"/>
      <c r="OPE106" s="669"/>
      <c r="OPF106" s="669"/>
      <c r="OPG106" s="669"/>
      <c r="OPH106" s="669"/>
      <c r="OPI106" s="669"/>
      <c r="OPJ106" s="669"/>
      <c r="OPK106" s="669"/>
      <c r="OPL106" s="669"/>
      <c r="OPM106" s="669"/>
      <c r="OPN106" s="669"/>
      <c r="OPO106" s="669"/>
      <c r="OPP106" s="669"/>
      <c r="OPQ106" s="669"/>
      <c r="OPR106" s="669"/>
      <c r="OPS106" s="669"/>
      <c r="OPT106" s="669"/>
      <c r="OPU106" s="669"/>
      <c r="OPV106" s="669"/>
      <c r="OPW106" s="669"/>
      <c r="OPX106" s="669"/>
      <c r="OPY106" s="669"/>
      <c r="OPZ106" s="669"/>
      <c r="OQA106" s="669"/>
      <c r="OQB106" s="669"/>
      <c r="OQC106" s="669"/>
      <c r="OQD106" s="669"/>
      <c r="OQE106" s="669"/>
      <c r="OQF106" s="669"/>
      <c r="OQG106" s="669"/>
      <c r="OQH106" s="669"/>
      <c r="OQI106" s="669"/>
      <c r="OQJ106" s="669"/>
      <c r="OQK106" s="669"/>
      <c r="OQL106" s="669"/>
      <c r="OQM106" s="669"/>
      <c r="OQN106" s="669"/>
      <c r="OQO106" s="669"/>
      <c r="OQP106" s="669"/>
      <c r="OQQ106" s="669"/>
      <c r="OQR106" s="669"/>
      <c r="OQS106" s="669"/>
      <c r="OQT106" s="669"/>
      <c r="OQU106" s="669"/>
      <c r="OQV106" s="669"/>
      <c r="OQW106" s="669"/>
      <c r="OQX106" s="669"/>
      <c r="OQY106" s="669"/>
      <c r="OQZ106" s="669"/>
      <c r="ORA106" s="669"/>
      <c r="ORB106" s="669"/>
      <c r="ORC106" s="669"/>
      <c r="ORD106" s="669"/>
      <c r="ORE106" s="669"/>
      <c r="ORF106" s="669"/>
      <c r="ORG106" s="669"/>
      <c r="ORH106" s="669"/>
      <c r="ORI106" s="669"/>
      <c r="ORJ106" s="669"/>
      <c r="ORK106" s="669"/>
      <c r="ORL106" s="669"/>
      <c r="ORM106" s="669"/>
      <c r="ORN106" s="669"/>
      <c r="ORO106" s="669"/>
      <c r="ORP106" s="669"/>
      <c r="ORQ106" s="669"/>
      <c r="ORR106" s="669"/>
      <c r="ORS106" s="669"/>
      <c r="ORT106" s="669"/>
      <c r="ORU106" s="669"/>
      <c r="ORV106" s="669"/>
      <c r="ORW106" s="669"/>
      <c r="ORX106" s="669"/>
      <c r="ORY106" s="669"/>
      <c r="ORZ106" s="669"/>
      <c r="OSA106" s="669"/>
      <c r="OSB106" s="669"/>
      <c r="OSC106" s="669"/>
      <c r="OSD106" s="669"/>
      <c r="OSE106" s="669"/>
      <c r="OSF106" s="669"/>
      <c r="OSG106" s="669"/>
      <c r="OSH106" s="669"/>
      <c r="OSI106" s="669"/>
      <c r="OSJ106" s="669"/>
      <c r="OSK106" s="669"/>
      <c r="OSL106" s="669"/>
      <c r="OSM106" s="669"/>
      <c r="OSN106" s="669"/>
      <c r="OSO106" s="669"/>
      <c r="OSP106" s="669"/>
      <c r="OSQ106" s="669"/>
      <c r="OSR106" s="669"/>
      <c r="OSS106" s="669"/>
      <c r="OST106" s="669"/>
      <c r="OSU106" s="669"/>
      <c r="OSV106" s="669"/>
      <c r="OSW106" s="669"/>
      <c r="OSX106" s="669"/>
      <c r="OSY106" s="669"/>
      <c r="OSZ106" s="669"/>
      <c r="OTA106" s="669"/>
      <c r="OTB106" s="669"/>
      <c r="OTC106" s="669"/>
      <c r="OTD106" s="669"/>
      <c r="OTE106" s="669"/>
      <c r="OTF106" s="669"/>
      <c r="OTG106" s="669"/>
      <c r="OTH106" s="669"/>
      <c r="OTI106" s="669"/>
      <c r="OTJ106" s="669"/>
      <c r="OTK106" s="669"/>
      <c r="OTL106" s="669"/>
      <c r="OTM106" s="669"/>
      <c r="OTN106" s="669"/>
      <c r="OTO106" s="669"/>
      <c r="OTP106" s="669"/>
      <c r="OTQ106" s="669"/>
      <c r="OTR106" s="669"/>
      <c r="OTS106" s="669"/>
      <c r="OTT106" s="669"/>
      <c r="OTU106" s="669"/>
      <c r="OTV106" s="669"/>
      <c r="OTW106" s="669"/>
      <c r="OTX106" s="669"/>
      <c r="OTY106" s="669"/>
      <c r="OTZ106" s="669"/>
      <c r="OUA106" s="669"/>
      <c r="OUB106" s="669"/>
      <c r="OUC106" s="669"/>
      <c r="OUD106" s="669"/>
      <c r="OUE106" s="669"/>
      <c r="OUF106" s="669"/>
      <c r="OUG106" s="669"/>
      <c r="OUH106" s="669"/>
      <c r="OUI106" s="669"/>
      <c r="OUJ106" s="669"/>
      <c r="OUK106" s="669"/>
      <c r="OUL106" s="669"/>
      <c r="OUM106" s="669"/>
      <c r="OUN106" s="669"/>
      <c r="OUO106" s="669"/>
      <c r="OUP106" s="669"/>
      <c r="OUQ106" s="669"/>
      <c r="OUR106" s="669"/>
      <c r="OUS106" s="669"/>
      <c r="OUT106" s="669"/>
      <c r="OUU106" s="669"/>
      <c r="OUV106" s="669"/>
      <c r="OUW106" s="669"/>
      <c r="OUX106" s="669"/>
      <c r="OUY106" s="669"/>
      <c r="OUZ106" s="669"/>
      <c r="OVA106" s="669"/>
      <c r="OVB106" s="669"/>
      <c r="OVC106" s="669"/>
      <c r="OVD106" s="669"/>
      <c r="OVE106" s="669"/>
      <c r="OVF106" s="669"/>
      <c r="OVG106" s="669"/>
      <c r="OVH106" s="669"/>
      <c r="OVI106" s="669"/>
      <c r="OVJ106" s="669"/>
      <c r="OVK106" s="669"/>
      <c r="OVL106" s="669"/>
      <c r="OVM106" s="669"/>
      <c r="OVN106" s="669"/>
      <c r="OVO106" s="669"/>
      <c r="OVP106" s="669"/>
      <c r="OVQ106" s="669"/>
      <c r="OVR106" s="669"/>
      <c r="OVS106" s="669"/>
      <c r="OVT106" s="669"/>
      <c r="OVU106" s="669"/>
      <c r="OVV106" s="669"/>
      <c r="OVW106" s="669"/>
      <c r="OVX106" s="669"/>
      <c r="OVY106" s="669"/>
      <c r="OVZ106" s="669"/>
      <c r="OWA106" s="669"/>
      <c r="OWB106" s="669"/>
      <c r="OWC106" s="669"/>
      <c r="OWD106" s="669"/>
      <c r="OWE106" s="669"/>
      <c r="OWF106" s="669"/>
      <c r="OWG106" s="669"/>
      <c r="OWH106" s="669"/>
      <c r="OWI106" s="669"/>
      <c r="OWJ106" s="669"/>
      <c r="OWK106" s="669"/>
      <c r="OWL106" s="669"/>
      <c r="OWM106" s="669"/>
      <c r="OWN106" s="669"/>
      <c r="OWO106" s="669"/>
      <c r="OWP106" s="669"/>
      <c r="OWQ106" s="669"/>
      <c r="OWR106" s="669"/>
      <c r="OWS106" s="669"/>
      <c r="OWT106" s="669"/>
      <c r="OWU106" s="669"/>
      <c r="OWV106" s="669"/>
      <c r="OWW106" s="669"/>
      <c r="OWX106" s="669"/>
      <c r="OWY106" s="669"/>
      <c r="OWZ106" s="669"/>
      <c r="OXA106" s="669"/>
      <c r="OXB106" s="669"/>
      <c r="OXC106" s="669"/>
      <c r="OXD106" s="669"/>
      <c r="OXE106" s="669"/>
      <c r="OXF106" s="669"/>
      <c r="OXG106" s="669"/>
      <c r="OXH106" s="669"/>
      <c r="OXI106" s="669"/>
      <c r="OXJ106" s="669"/>
      <c r="OXK106" s="669"/>
      <c r="OXL106" s="669"/>
      <c r="OXM106" s="669"/>
      <c r="OXN106" s="669"/>
      <c r="OXO106" s="669"/>
      <c r="OXP106" s="669"/>
      <c r="OXQ106" s="669"/>
      <c r="OXR106" s="669"/>
      <c r="OXS106" s="669"/>
      <c r="OXT106" s="669"/>
      <c r="OXU106" s="669"/>
      <c r="OXV106" s="669"/>
      <c r="OXW106" s="669"/>
      <c r="OXX106" s="669"/>
      <c r="OXY106" s="669"/>
      <c r="OXZ106" s="669"/>
      <c r="OYA106" s="669"/>
      <c r="OYB106" s="669"/>
      <c r="OYC106" s="669"/>
      <c r="OYD106" s="669"/>
      <c r="OYE106" s="669"/>
      <c r="OYF106" s="669"/>
      <c r="OYG106" s="669"/>
      <c r="OYH106" s="669"/>
      <c r="OYI106" s="669"/>
      <c r="OYJ106" s="669"/>
      <c r="OYK106" s="669"/>
      <c r="OYL106" s="669"/>
      <c r="OYM106" s="669"/>
      <c r="OYN106" s="669"/>
      <c r="OYO106" s="669"/>
      <c r="OYP106" s="669"/>
      <c r="OYQ106" s="669"/>
      <c r="OYR106" s="669"/>
      <c r="OYS106" s="669"/>
      <c r="OYT106" s="669"/>
      <c r="OYU106" s="669"/>
      <c r="OYV106" s="669"/>
      <c r="OYW106" s="669"/>
      <c r="OYX106" s="669"/>
      <c r="OYY106" s="669"/>
      <c r="OYZ106" s="669"/>
      <c r="OZA106" s="669"/>
      <c r="OZB106" s="669"/>
      <c r="OZC106" s="669"/>
      <c r="OZD106" s="669"/>
      <c r="OZE106" s="669"/>
      <c r="OZF106" s="669"/>
      <c r="OZG106" s="669"/>
      <c r="OZH106" s="669"/>
      <c r="OZI106" s="669"/>
      <c r="OZJ106" s="669"/>
      <c r="OZK106" s="669"/>
      <c r="OZL106" s="669"/>
      <c r="OZM106" s="669"/>
      <c r="OZN106" s="669"/>
      <c r="OZO106" s="669"/>
      <c r="OZP106" s="669"/>
      <c r="OZQ106" s="669"/>
      <c r="OZR106" s="669"/>
      <c r="OZS106" s="669"/>
      <c r="OZT106" s="669"/>
      <c r="OZU106" s="669"/>
      <c r="OZV106" s="669"/>
      <c r="OZW106" s="669"/>
      <c r="OZX106" s="669"/>
      <c r="OZY106" s="669"/>
      <c r="OZZ106" s="669"/>
      <c r="PAA106" s="669"/>
      <c r="PAB106" s="669"/>
      <c r="PAC106" s="669"/>
      <c r="PAD106" s="669"/>
      <c r="PAE106" s="669"/>
      <c r="PAF106" s="669"/>
      <c r="PAG106" s="669"/>
      <c r="PAH106" s="669"/>
      <c r="PAI106" s="669"/>
      <c r="PAJ106" s="669"/>
      <c r="PAK106" s="669"/>
      <c r="PAL106" s="669"/>
      <c r="PAM106" s="669"/>
      <c r="PAN106" s="669"/>
      <c r="PAO106" s="669"/>
      <c r="PAP106" s="669"/>
      <c r="PAQ106" s="669"/>
      <c r="PAR106" s="669"/>
      <c r="PAS106" s="669"/>
      <c r="PAT106" s="669"/>
      <c r="PAU106" s="669"/>
      <c r="PAV106" s="669"/>
      <c r="PAW106" s="669"/>
      <c r="PAX106" s="669"/>
      <c r="PAY106" s="669"/>
      <c r="PAZ106" s="669"/>
      <c r="PBA106" s="669"/>
      <c r="PBB106" s="669"/>
      <c r="PBC106" s="669"/>
      <c r="PBD106" s="669"/>
      <c r="PBE106" s="669"/>
      <c r="PBF106" s="669"/>
      <c r="PBG106" s="669"/>
      <c r="PBH106" s="669"/>
      <c r="PBI106" s="669"/>
      <c r="PBJ106" s="669"/>
      <c r="PBK106" s="669"/>
      <c r="PBL106" s="669"/>
      <c r="PBM106" s="669"/>
      <c r="PBN106" s="669"/>
      <c r="PBO106" s="669"/>
      <c r="PBP106" s="669"/>
      <c r="PBQ106" s="669"/>
      <c r="PBR106" s="669"/>
      <c r="PBS106" s="669"/>
      <c r="PBT106" s="669"/>
      <c r="PBU106" s="669"/>
      <c r="PBV106" s="669"/>
      <c r="PBW106" s="669"/>
      <c r="PBX106" s="669"/>
      <c r="PBY106" s="669"/>
      <c r="PBZ106" s="669"/>
      <c r="PCA106" s="669"/>
      <c r="PCB106" s="669"/>
      <c r="PCC106" s="669"/>
      <c r="PCD106" s="669"/>
      <c r="PCE106" s="669"/>
      <c r="PCF106" s="669"/>
      <c r="PCG106" s="669"/>
      <c r="PCH106" s="669"/>
      <c r="PCI106" s="669"/>
      <c r="PCJ106" s="669"/>
      <c r="PCK106" s="669"/>
      <c r="PCL106" s="669"/>
      <c r="PCM106" s="669"/>
      <c r="PCN106" s="669"/>
      <c r="PCO106" s="669"/>
      <c r="PCP106" s="669"/>
      <c r="PCQ106" s="669"/>
      <c r="PCR106" s="669"/>
      <c r="PCS106" s="669"/>
      <c r="PCT106" s="669"/>
      <c r="PCU106" s="669"/>
      <c r="PCV106" s="669"/>
      <c r="PCW106" s="669"/>
      <c r="PCX106" s="669"/>
      <c r="PCY106" s="669"/>
      <c r="PCZ106" s="669"/>
      <c r="PDA106" s="669"/>
      <c r="PDB106" s="669"/>
      <c r="PDC106" s="669"/>
      <c r="PDD106" s="669"/>
      <c r="PDE106" s="669"/>
      <c r="PDF106" s="669"/>
      <c r="PDG106" s="669"/>
      <c r="PDH106" s="669"/>
      <c r="PDI106" s="669"/>
      <c r="PDJ106" s="669"/>
      <c r="PDK106" s="669"/>
      <c r="PDL106" s="669"/>
      <c r="PDM106" s="669"/>
      <c r="PDN106" s="669"/>
      <c r="PDO106" s="669"/>
      <c r="PDP106" s="669"/>
      <c r="PDQ106" s="669"/>
      <c r="PDR106" s="669"/>
      <c r="PDS106" s="669"/>
      <c r="PDT106" s="669"/>
      <c r="PDU106" s="669"/>
      <c r="PDV106" s="669"/>
      <c r="PDW106" s="669"/>
      <c r="PDX106" s="669"/>
      <c r="PDY106" s="669"/>
      <c r="PDZ106" s="669"/>
      <c r="PEA106" s="669"/>
      <c r="PEB106" s="669"/>
      <c r="PEC106" s="669"/>
      <c r="PED106" s="669"/>
      <c r="PEE106" s="669"/>
      <c r="PEF106" s="669"/>
      <c r="PEG106" s="669"/>
      <c r="PEH106" s="669"/>
      <c r="PEI106" s="669"/>
      <c r="PEJ106" s="669"/>
      <c r="PEK106" s="669"/>
      <c r="PEL106" s="669"/>
      <c r="PEM106" s="669"/>
      <c r="PEN106" s="669"/>
      <c r="PEO106" s="669"/>
      <c r="PEP106" s="669"/>
      <c r="PEQ106" s="669"/>
      <c r="PER106" s="669"/>
      <c r="PES106" s="669"/>
      <c r="PET106" s="669"/>
      <c r="PEU106" s="669"/>
      <c r="PEV106" s="669"/>
      <c r="PEW106" s="669"/>
      <c r="PEX106" s="669"/>
      <c r="PEY106" s="669"/>
      <c r="PEZ106" s="669"/>
      <c r="PFA106" s="669"/>
      <c r="PFB106" s="669"/>
      <c r="PFC106" s="669"/>
      <c r="PFD106" s="669"/>
      <c r="PFE106" s="669"/>
      <c r="PFF106" s="669"/>
      <c r="PFG106" s="669"/>
      <c r="PFH106" s="669"/>
      <c r="PFI106" s="669"/>
      <c r="PFJ106" s="669"/>
      <c r="PFK106" s="669"/>
      <c r="PFL106" s="669"/>
      <c r="PFM106" s="669"/>
      <c r="PFN106" s="669"/>
      <c r="PFO106" s="669"/>
      <c r="PFP106" s="669"/>
      <c r="PFQ106" s="669"/>
      <c r="PFR106" s="669"/>
      <c r="PFS106" s="669"/>
      <c r="PFT106" s="669"/>
      <c r="PFU106" s="669"/>
      <c r="PFV106" s="669"/>
      <c r="PFW106" s="669"/>
      <c r="PFX106" s="669"/>
      <c r="PFY106" s="669"/>
      <c r="PFZ106" s="669"/>
      <c r="PGA106" s="669"/>
      <c r="PGB106" s="669"/>
      <c r="PGC106" s="669"/>
      <c r="PGD106" s="669"/>
      <c r="PGE106" s="669"/>
      <c r="PGF106" s="669"/>
      <c r="PGG106" s="669"/>
      <c r="PGH106" s="669"/>
      <c r="PGI106" s="669"/>
      <c r="PGJ106" s="669"/>
      <c r="PGK106" s="669"/>
      <c r="PGL106" s="669"/>
      <c r="PGM106" s="669"/>
      <c r="PGN106" s="669"/>
      <c r="PGO106" s="669"/>
      <c r="PGP106" s="669"/>
      <c r="PGQ106" s="669"/>
      <c r="PGR106" s="669"/>
      <c r="PGS106" s="669"/>
      <c r="PGT106" s="669"/>
      <c r="PGU106" s="669"/>
      <c r="PGV106" s="669"/>
      <c r="PGW106" s="669"/>
      <c r="PGX106" s="669"/>
      <c r="PGY106" s="669"/>
      <c r="PGZ106" s="669"/>
      <c r="PHA106" s="669"/>
      <c r="PHB106" s="669"/>
      <c r="PHC106" s="669"/>
      <c r="PHD106" s="669"/>
      <c r="PHE106" s="669"/>
      <c r="PHF106" s="669"/>
      <c r="PHG106" s="669"/>
      <c r="PHH106" s="669"/>
      <c r="PHI106" s="669"/>
      <c r="PHJ106" s="669"/>
      <c r="PHK106" s="669"/>
      <c r="PHL106" s="669"/>
      <c r="PHM106" s="669"/>
      <c r="PHN106" s="669"/>
      <c r="PHO106" s="669"/>
      <c r="PHP106" s="669"/>
      <c r="PHQ106" s="669"/>
      <c r="PHR106" s="669"/>
      <c r="PHS106" s="669"/>
      <c r="PHT106" s="669"/>
      <c r="PHU106" s="669"/>
      <c r="PHV106" s="669"/>
      <c r="PHW106" s="669"/>
      <c r="PHX106" s="669"/>
      <c r="PHY106" s="669"/>
      <c r="PHZ106" s="669"/>
      <c r="PIA106" s="669"/>
      <c r="PIB106" s="669"/>
      <c r="PIC106" s="669"/>
      <c r="PID106" s="669"/>
      <c r="PIE106" s="669"/>
      <c r="PIF106" s="669"/>
      <c r="PIG106" s="669"/>
      <c r="PIH106" s="669"/>
      <c r="PII106" s="669"/>
      <c r="PIJ106" s="669"/>
      <c r="PIK106" s="669"/>
      <c r="PIL106" s="669"/>
      <c r="PIM106" s="669"/>
      <c r="PIN106" s="669"/>
      <c r="PIO106" s="669"/>
      <c r="PIP106" s="669"/>
      <c r="PIQ106" s="669"/>
      <c r="PIR106" s="669"/>
      <c r="PIS106" s="669"/>
      <c r="PIT106" s="669"/>
      <c r="PIU106" s="669"/>
      <c r="PIV106" s="669"/>
      <c r="PIW106" s="669"/>
      <c r="PIX106" s="669"/>
      <c r="PIY106" s="669"/>
      <c r="PIZ106" s="669"/>
      <c r="PJA106" s="669"/>
      <c r="PJB106" s="669"/>
      <c r="PJC106" s="669"/>
      <c r="PJD106" s="669"/>
      <c r="PJE106" s="669"/>
      <c r="PJF106" s="669"/>
      <c r="PJG106" s="669"/>
      <c r="PJH106" s="669"/>
      <c r="PJI106" s="669"/>
      <c r="PJJ106" s="669"/>
      <c r="PJK106" s="669"/>
      <c r="PJL106" s="669"/>
      <c r="PJM106" s="669"/>
      <c r="PJN106" s="669"/>
      <c r="PJO106" s="669"/>
      <c r="PJP106" s="669"/>
      <c r="PJQ106" s="669"/>
      <c r="PJR106" s="669"/>
      <c r="PJS106" s="669"/>
      <c r="PJT106" s="669"/>
      <c r="PJU106" s="669"/>
      <c r="PJV106" s="669"/>
      <c r="PJW106" s="669"/>
      <c r="PJX106" s="669"/>
      <c r="PJY106" s="669"/>
      <c r="PJZ106" s="669"/>
      <c r="PKA106" s="669"/>
      <c r="PKB106" s="669"/>
      <c r="PKC106" s="669"/>
      <c r="PKD106" s="669"/>
      <c r="PKE106" s="669"/>
      <c r="PKF106" s="669"/>
      <c r="PKG106" s="669"/>
      <c r="PKH106" s="669"/>
      <c r="PKI106" s="669"/>
      <c r="PKJ106" s="669"/>
      <c r="PKK106" s="669"/>
      <c r="PKL106" s="669"/>
      <c r="PKM106" s="669"/>
      <c r="PKN106" s="669"/>
      <c r="PKO106" s="669"/>
      <c r="PKP106" s="669"/>
      <c r="PKQ106" s="669"/>
      <c r="PKR106" s="669"/>
      <c r="PKS106" s="669"/>
      <c r="PKT106" s="669"/>
      <c r="PKU106" s="669"/>
      <c r="PKV106" s="669"/>
      <c r="PKW106" s="669"/>
      <c r="PKX106" s="669"/>
      <c r="PKY106" s="669"/>
      <c r="PKZ106" s="669"/>
      <c r="PLA106" s="669"/>
      <c r="PLB106" s="669"/>
      <c r="PLC106" s="669"/>
      <c r="PLD106" s="669"/>
      <c r="PLE106" s="669"/>
      <c r="PLF106" s="669"/>
      <c r="PLG106" s="669"/>
      <c r="PLH106" s="669"/>
      <c r="PLI106" s="669"/>
      <c r="PLJ106" s="669"/>
      <c r="PLK106" s="669"/>
      <c r="PLL106" s="669"/>
      <c r="PLM106" s="669"/>
      <c r="PLN106" s="669"/>
      <c r="PLO106" s="669"/>
      <c r="PLP106" s="669"/>
      <c r="PLQ106" s="669"/>
      <c r="PLR106" s="669"/>
      <c r="PLS106" s="669"/>
      <c r="PLT106" s="669"/>
      <c r="PLU106" s="669"/>
      <c r="PLV106" s="669"/>
      <c r="PLW106" s="669"/>
      <c r="PLX106" s="669"/>
      <c r="PLY106" s="669"/>
      <c r="PLZ106" s="669"/>
      <c r="PMA106" s="669"/>
      <c r="PMB106" s="669"/>
      <c r="PMC106" s="669"/>
      <c r="PMD106" s="669"/>
      <c r="PME106" s="669"/>
      <c r="PMF106" s="669"/>
      <c r="PMG106" s="669"/>
      <c r="PMH106" s="669"/>
      <c r="PMI106" s="669"/>
      <c r="PMJ106" s="669"/>
      <c r="PMK106" s="669"/>
      <c r="PML106" s="669"/>
      <c r="PMM106" s="669"/>
      <c r="PMN106" s="669"/>
      <c r="PMO106" s="669"/>
      <c r="PMP106" s="669"/>
      <c r="PMQ106" s="669"/>
      <c r="PMR106" s="669"/>
      <c r="PMS106" s="669"/>
      <c r="PMT106" s="669"/>
      <c r="PMU106" s="669"/>
      <c r="PMV106" s="669"/>
      <c r="PMW106" s="669"/>
      <c r="PMX106" s="669"/>
      <c r="PMY106" s="669"/>
      <c r="PMZ106" s="669"/>
      <c r="PNA106" s="669"/>
      <c r="PNB106" s="669"/>
      <c r="PNC106" s="669"/>
      <c r="PND106" s="669"/>
      <c r="PNE106" s="669"/>
      <c r="PNF106" s="669"/>
      <c r="PNG106" s="669"/>
      <c r="PNH106" s="669"/>
      <c r="PNI106" s="669"/>
      <c r="PNJ106" s="669"/>
      <c r="PNK106" s="669"/>
      <c r="PNL106" s="669"/>
      <c r="PNM106" s="669"/>
      <c r="PNN106" s="669"/>
      <c r="PNO106" s="669"/>
      <c r="PNP106" s="669"/>
      <c r="PNQ106" s="669"/>
      <c r="PNR106" s="669"/>
      <c r="PNS106" s="669"/>
      <c r="PNT106" s="669"/>
      <c r="PNU106" s="669"/>
      <c r="PNV106" s="669"/>
      <c r="PNW106" s="669"/>
      <c r="PNX106" s="669"/>
      <c r="PNY106" s="669"/>
      <c r="PNZ106" s="669"/>
      <c r="POA106" s="669"/>
      <c r="POB106" s="669"/>
      <c r="POC106" s="669"/>
      <c r="POD106" s="669"/>
      <c r="POE106" s="669"/>
      <c r="POF106" s="669"/>
      <c r="POG106" s="669"/>
      <c r="POH106" s="669"/>
      <c r="POI106" s="669"/>
      <c r="POJ106" s="669"/>
      <c r="POK106" s="669"/>
      <c r="POL106" s="669"/>
      <c r="POM106" s="669"/>
      <c r="PON106" s="669"/>
      <c r="POO106" s="669"/>
      <c r="POP106" s="669"/>
      <c r="POQ106" s="669"/>
      <c r="POR106" s="669"/>
      <c r="POS106" s="669"/>
      <c r="POT106" s="669"/>
      <c r="POU106" s="669"/>
      <c r="POV106" s="669"/>
      <c r="POW106" s="669"/>
      <c r="POX106" s="669"/>
      <c r="POY106" s="669"/>
      <c r="POZ106" s="669"/>
      <c r="PPA106" s="669"/>
      <c r="PPB106" s="669"/>
      <c r="PPC106" s="669"/>
      <c r="PPD106" s="669"/>
      <c r="PPE106" s="669"/>
      <c r="PPF106" s="669"/>
      <c r="PPG106" s="669"/>
      <c r="PPH106" s="669"/>
      <c r="PPI106" s="669"/>
      <c r="PPJ106" s="669"/>
      <c r="PPK106" s="669"/>
      <c r="PPL106" s="669"/>
      <c r="PPM106" s="669"/>
      <c r="PPN106" s="669"/>
      <c r="PPO106" s="669"/>
      <c r="PPP106" s="669"/>
      <c r="PPQ106" s="669"/>
      <c r="PPR106" s="669"/>
      <c r="PPS106" s="669"/>
      <c r="PPT106" s="669"/>
      <c r="PPU106" s="669"/>
      <c r="PPV106" s="669"/>
      <c r="PPW106" s="669"/>
      <c r="PPX106" s="669"/>
      <c r="PPY106" s="669"/>
      <c r="PPZ106" s="669"/>
      <c r="PQA106" s="669"/>
      <c r="PQB106" s="669"/>
      <c r="PQC106" s="669"/>
      <c r="PQD106" s="669"/>
      <c r="PQE106" s="669"/>
      <c r="PQF106" s="669"/>
      <c r="PQG106" s="669"/>
      <c r="PQH106" s="669"/>
      <c r="PQI106" s="669"/>
      <c r="PQJ106" s="669"/>
      <c r="PQK106" s="669"/>
      <c r="PQL106" s="669"/>
      <c r="PQM106" s="669"/>
      <c r="PQN106" s="669"/>
      <c r="PQO106" s="669"/>
      <c r="PQP106" s="669"/>
      <c r="PQQ106" s="669"/>
      <c r="PQR106" s="669"/>
      <c r="PQS106" s="669"/>
      <c r="PQT106" s="669"/>
      <c r="PQU106" s="669"/>
      <c r="PQV106" s="669"/>
      <c r="PQW106" s="669"/>
      <c r="PQX106" s="669"/>
      <c r="PQY106" s="669"/>
      <c r="PQZ106" s="669"/>
      <c r="PRA106" s="669"/>
      <c r="PRB106" s="669"/>
      <c r="PRC106" s="669"/>
      <c r="PRD106" s="669"/>
      <c r="PRE106" s="669"/>
      <c r="PRF106" s="669"/>
      <c r="PRG106" s="669"/>
      <c r="PRH106" s="669"/>
      <c r="PRI106" s="669"/>
      <c r="PRJ106" s="669"/>
      <c r="PRK106" s="669"/>
      <c r="PRL106" s="669"/>
      <c r="PRM106" s="669"/>
      <c r="PRN106" s="669"/>
      <c r="PRO106" s="669"/>
      <c r="PRP106" s="669"/>
      <c r="PRQ106" s="669"/>
      <c r="PRR106" s="669"/>
      <c r="PRS106" s="669"/>
      <c r="PRT106" s="669"/>
      <c r="PRU106" s="669"/>
      <c r="PRV106" s="669"/>
      <c r="PRW106" s="669"/>
      <c r="PRX106" s="669"/>
      <c r="PRY106" s="669"/>
      <c r="PRZ106" s="669"/>
      <c r="PSA106" s="669"/>
      <c r="PSB106" s="669"/>
      <c r="PSC106" s="669"/>
      <c r="PSD106" s="669"/>
      <c r="PSE106" s="669"/>
      <c r="PSF106" s="669"/>
      <c r="PSG106" s="669"/>
      <c r="PSH106" s="669"/>
      <c r="PSI106" s="669"/>
      <c r="PSJ106" s="669"/>
      <c r="PSK106" s="669"/>
      <c r="PSL106" s="669"/>
      <c r="PSM106" s="669"/>
      <c r="PSN106" s="669"/>
      <c r="PSO106" s="669"/>
      <c r="PSP106" s="669"/>
      <c r="PSQ106" s="669"/>
      <c r="PSR106" s="669"/>
      <c r="PSS106" s="669"/>
      <c r="PST106" s="669"/>
      <c r="PSU106" s="669"/>
      <c r="PSV106" s="669"/>
      <c r="PSW106" s="669"/>
      <c r="PSX106" s="669"/>
      <c r="PSY106" s="669"/>
      <c r="PSZ106" s="669"/>
      <c r="PTA106" s="669"/>
      <c r="PTB106" s="669"/>
      <c r="PTC106" s="669"/>
      <c r="PTD106" s="669"/>
      <c r="PTE106" s="669"/>
      <c r="PTF106" s="669"/>
      <c r="PTG106" s="669"/>
      <c r="PTH106" s="669"/>
      <c r="PTI106" s="669"/>
      <c r="PTJ106" s="669"/>
      <c r="PTK106" s="669"/>
      <c r="PTL106" s="669"/>
      <c r="PTM106" s="669"/>
      <c r="PTN106" s="669"/>
      <c r="PTO106" s="669"/>
      <c r="PTP106" s="669"/>
      <c r="PTQ106" s="669"/>
      <c r="PTR106" s="669"/>
      <c r="PTS106" s="669"/>
      <c r="PTT106" s="669"/>
      <c r="PTU106" s="669"/>
      <c r="PTV106" s="669"/>
      <c r="PTW106" s="669"/>
      <c r="PTX106" s="669"/>
      <c r="PTY106" s="669"/>
      <c r="PTZ106" s="669"/>
      <c r="PUA106" s="669"/>
      <c r="PUB106" s="669"/>
      <c r="PUC106" s="669"/>
      <c r="PUD106" s="669"/>
      <c r="PUE106" s="669"/>
      <c r="PUF106" s="669"/>
      <c r="PUG106" s="669"/>
      <c r="PUH106" s="669"/>
      <c r="PUI106" s="669"/>
      <c r="PUJ106" s="669"/>
      <c r="PUK106" s="669"/>
      <c r="PUL106" s="669"/>
      <c r="PUM106" s="669"/>
      <c r="PUN106" s="669"/>
      <c r="PUO106" s="669"/>
      <c r="PUP106" s="669"/>
      <c r="PUQ106" s="669"/>
      <c r="PUR106" s="669"/>
      <c r="PUS106" s="669"/>
      <c r="PUT106" s="669"/>
      <c r="PUU106" s="669"/>
      <c r="PUV106" s="669"/>
      <c r="PUW106" s="669"/>
      <c r="PUX106" s="669"/>
      <c r="PUY106" s="669"/>
      <c r="PUZ106" s="669"/>
      <c r="PVA106" s="669"/>
      <c r="PVB106" s="669"/>
      <c r="PVC106" s="669"/>
      <c r="PVD106" s="669"/>
      <c r="PVE106" s="669"/>
      <c r="PVF106" s="669"/>
      <c r="PVG106" s="669"/>
      <c r="PVH106" s="669"/>
      <c r="PVI106" s="669"/>
      <c r="PVJ106" s="669"/>
      <c r="PVK106" s="669"/>
      <c r="PVL106" s="669"/>
      <c r="PVM106" s="669"/>
      <c r="PVN106" s="669"/>
      <c r="PVO106" s="669"/>
      <c r="PVP106" s="669"/>
      <c r="PVQ106" s="669"/>
      <c r="PVR106" s="669"/>
      <c r="PVS106" s="669"/>
      <c r="PVT106" s="669"/>
      <c r="PVU106" s="669"/>
      <c r="PVV106" s="669"/>
      <c r="PVW106" s="669"/>
      <c r="PVX106" s="669"/>
      <c r="PVY106" s="669"/>
      <c r="PVZ106" s="669"/>
      <c r="PWA106" s="669"/>
      <c r="PWB106" s="669"/>
      <c r="PWC106" s="669"/>
      <c r="PWD106" s="669"/>
      <c r="PWE106" s="669"/>
      <c r="PWF106" s="669"/>
      <c r="PWG106" s="669"/>
      <c r="PWH106" s="669"/>
      <c r="PWI106" s="669"/>
      <c r="PWJ106" s="669"/>
      <c r="PWK106" s="669"/>
      <c r="PWL106" s="669"/>
      <c r="PWM106" s="669"/>
      <c r="PWN106" s="669"/>
      <c r="PWO106" s="669"/>
      <c r="PWP106" s="669"/>
      <c r="PWQ106" s="669"/>
      <c r="PWR106" s="669"/>
      <c r="PWS106" s="669"/>
      <c r="PWT106" s="669"/>
      <c r="PWU106" s="669"/>
      <c r="PWV106" s="669"/>
      <c r="PWW106" s="669"/>
      <c r="PWX106" s="669"/>
      <c r="PWY106" s="669"/>
      <c r="PWZ106" s="669"/>
      <c r="PXA106" s="669"/>
      <c r="PXB106" s="669"/>
      <c r="PXC106" s="669"/>
      <c r="PXD106" s="669"/>
      <c r="PXE106" s="669"/>
      <c r="PXF106" s="669"/>
      <c r="PXG106" s="669"/>
      <c r="PXH106" s="669"/>
      <c r="PXI106" s="669"/>
      <c r="PXJ106" s="669"/>
      <c r="PXK106" s="669"/>
      <c r="PXL106" s="669"/>
      <c r="PXM106" s="669"/>
      <c r="PXN106" s="669"/>
      <c r="PXO106" s="669"/>
      <c r="PXP106" s="669"/>
      <c r="PXQ106" s="669"/>
      <c r="PXR106" s="669"/>
      <c r="PXS106" s="669"/>
      <c r="PXT106" s="669"/>
      <c r="PXU106" s="669"/>
      <c r="PXV106" s="669"/>
      <c r="PXW106" s="669"/>
      <c r="PXX106" s="669"/>
      <c r="PXY106" s="669"/>
      <c r="PXZ106" s="669"/>
      <c r="PYA106" s="669"/>
      <c r="PYB106" s="669"/>
      <c r="PYC106" s="669"/>
      <c r="PYD106" s="669"/>
      <c r="PYE106" s="669"/>
      <c r="PYF106" s="669"/>
      <c r="PYG106" s="669"/>
      <c r="PYH106" s="669"/>
      <c r="PYI106" s="669"/>
      <c r="PYJ106" s="669"/>
      <c r="PYK106" s="669"/>
      <c r="PYL106" s="669"/>
      <c r="PYM106" s="669"/>
      <c r="PYN106" s="669"/>
      <c r="PYO106" s="669"/>
      <c r="PYP106" s="669"/>
      <c r="PYQ106" s="669"/>
      <c r="PYR106" s="669"/>
      <c r="PYS106" s="669"/>
      <c r="PYT106" s="669"/>
      <c r="PYU106" s="669"/>
      <c r="PYV106" s="669"/>
      <c r="PYW106" s="669"/>
      <c r="PYX106" s="669"/>
      <c r="PYY106" s="669"/>
      <c r="PYZ106" s="669"/>
      <c r="PZA106" s="669"/>
      <c r="PZB106" s="669"/>
      <c r="PZC106" s="669"/>
      <c r="PZD106" s="669"/>
      <c r="PZE106" s="669"/>
      <c r="PZF106" s="669"/>
      <c r="PZG106" s="669"/>
      <c r="PZH106" s="669"/>
      <c r="PZI106" s="669"/>
      <c r="PZJ106" s="669"/>
      <c r="PZK106" s="669"/>
      <c r="PZL106" s="669"/>
      <c r="PZM106" s="669"/>
      <c r="PZN106" s="669"/>
      <c r="PZO106" s="669"/>
      <c r="PZP106" s="669"/>
      <c r="PZQ106" s="669"/>
      <c r="PZR106" s="669"/>
      <c r="PZS106" s="669"/>
      <c r="PZT106" s="669"/>
      <c r="PZU106" s="669"/>
      <c r="PZV106" s="669"/>
      <c r="PZW106" s="669"/>
      <c r="PZX106" s="669"/>
      <c r="PZY106" s="669"/>
      <c r="PZZ106" s="669"/>
      <c r="QAA106" s="669"/>
      <c r="QAB106" s="669"/>
      <c r="QAC106" s="669"/>
      <c r="QAD106" s="669"/>
      <c r="QAE106" s="669"/>
      <c r="QAF106" s="669"/>
      <c r="QAG106" s="669"/>
      <c r="QAH106" s="669"/>
      <c r="QAI106" s="669"/>
      <c r="QAJ106" s="669"/>
      <c r="QAK106" s="669"/>
      <c r="QAL106" s="669"/>
      <c r="QAM106" s="669"/>
      <c r="QAN106" s="669"/>
      <c r="QAO106" s="669"/>
      <c r="QAP106" s="669"/>
      <c r="QAQ106" s="669"/>
      <c r="QAR106" s="669"/>
      <c r="QAS106" s="669"/>
      <c r="QAT106" s="669"/>
      <c r="QAU106" s="669"/>
      <c r="QAV106" s="669"/>
      <c r="QAW106" s="669"/>
      <c r="QAX106" s="669"/>
      <c r="QAY106" s="669"/>
      <c r="QAZ106" s="669"/>
      <c r="QBA106" s="669"/>
      <c r="QBB106" s="669"/>
      <c r="QBC106" s="669"/>
      <c r="QBD106" s="669"/>
      <c r="QBE106" s="669"/>
      <c r="QBF106" s="669"/>
      <c r="QBG106" s="669"/>
      <c r="QBH106" s="669"/>
      <c r="QBI106" s="669"/>
      <c r="QBJ106" s="669"/>
      <c r="QBK106" s="669"/>
      <c r="QBL106" s="669"/>
      <c r="QBM106" s="669"/>
      <c r="QBN106" s="669"/>
      <c r="QBO106" s="669"/>
      <c r="QBP106" s="669"/>
      <c r="QBQ106" s="669"/>
      <c r="QBR106" s="669"/>
      <c r="QBS106" s="669"/>
      <c r="QBT106" s="669"/>
      <c r="QBU106" s="669"/>
      <c r="QBV106" s="669"/>
      <c r="QBW106" s="669"/>
      <c r="QBX106" s="669"/>
      <c r="QBY106" s="669"/>
      <c r="QBZ106" s="669"/>
      <c r="QCA106" s="669"/>
      <c r="QCB106" s="669"/>
      <c r="QCC106" s="669"/>
      <c r="QCD106" s="669"/>
      <c r="QCE106" s="669"/>
      <c r="QCF106" s="669"/>
      <c r="QCG106" s="669"/>
      <c r="QCH106" s="669"/>
      <c r="QCI106" s="669"/>
      <c r="QCJ106" s="669"/>
      <c r="QCK106" s="669"/>
      <c r="QCL106" s="669"/>
      <c r="QCM106" s="669"/>
      <c r="QCN106" s="669"/>
      <c r="QCO106" s="669"/>
      <c r="QCP106" s="669"/>
      <c r="QCQ106" s="669"/>
      <c r="QCR106" s="669"/>
      <c r="QCS106" s="669"/>
      <c r="QCT106" s="669"/>
      <c r="QCU106" s="669"/>
      <c r="QCV106" s="669"/>
      <c r="QCW106" s="669"/>
      <c r="QCX106" s="669"/>
      <c r="QCY106" s="669"/>
      <c r="QCZ106" s="669"/>
      <c r="QDA106" s="669"/>
      <c r="QDB106" s="669"/>
      <c r="QDC106" s="669"/>
      <c r="QDD106" s="669"/>
      <c r="QDE106" s="669"/>
      <c r="QDF106" s="669"/>
      <c r="QDG106" s="669"/>
      <c r="QDH106" s="669"/>
      <c r="QDI106" s="669"/>
      <c r="QDJ106" s="669"/>
      <c r="QDK106" s="669"/>
      <c r="QDL106" s="669"/>
      <c r="QDM106" s="669"/>
      <c r="QDN106" s="669"/>
      <c r="QDO106" s="669"/>
      <c r="QDP106" s="669"/>
      <c r="QDQ106" s="669"/>
      <c r="QDR106" s="669"/>
      <c r="QDS106" s="669"/>
      <c r="QDT106" s="669"/>
      <c r="QDU106" s="669"/>
      <c r="QDV106" s="669"/>
      <c r="QDW106" s="669"/>
      <c r="QDX106" s="669"/>
      <c r="QDY106" s="669"/>
      <c r="QDZ106" s="669"/>
      <c r="QEA106" s="669"/>
      <c r="QEB106" s="669"/>
      <c r="QEC106" s="669"/>
      <c r="QED106" s="669"/>
      <c r="QEE106" s="669"/>
      <c r="QEF106" s="669"/>
      <c r="QEG106" s="669"/>
      <c r="QEH106" s="669"/>
      <c r="QEI106" s="669"/>
      <c r="QEJ106" s="669"/>
      <c r="QEK106" s="669"/>
      <c r="QEL106" s="669"/>
      <c r="QEM106" s="669"/>
      <c r="QEN106" s="669"/>
      <c r="QEO106" s="669"/>
      <c r="QEP106" s="669"/>
      <c r="QEQ106" s="669"/>
      <c r="QER106" s="669"/>
      <c r="QES106" s="669"/>
      <c r="QET106" s="669"/>
      <c r="QEU106" s="669"/>
      <c r="QEV106" s="669"/>
      <c r="QEW106" s="669"/>
      <c r="QEX106" s="669"/>
      <c r="QEY106" s="669"/>
      <c r="QEZ106" s="669"/>
      <c r="QFA106" s="669"/>
      <c r="QFB106" s="669"/>
      <c r="QFC106" s="669"/>
      <c r="QFD106" s="669"/>
      <c r="QFE106" s="669"/>
      <c r="QFF106" s="669"/>
      <c r="QFG106" s="669"/>
      <c r="QFH106" s="669"/>
      <c r="QFI106" s="669"/>
      <c r="QFJ106" s="669"/>
      <c r="QFK106" s="669"/>
      <c r="QFL106" s="669"/>
      <c r="QFM106" s="669"/>
      <c r="QFN106" s="669"/>
      <c r="QFO106" s="669"/>
      <c r="QFP106" s="669"/>
      <c r="QFQ106" s="669"/>
      <c r="QFR106" s="669"/>
      <c r="QFS106" s="669"/>
      <c r="QFT106" s="669"/>
      <c r="QFU106" s="669"/>
      <c r="QFV106" s="669"/>
      <c r="QFW106" s="669"/>
      <c r="QFX106" s="669"/>
      <c r="QFY106" s="669"/>
      <c r="QFZ106" s="669"/>
      <c r="QGA106" s="669"/>
      <c r="QGB106" s="669"/>
      <c r="QGC106" s="669"/>
      <c r="QGD106" s="669"/>
      <c r="QGE106" s="669"/>
      <c r="QGF106" s="669"/>
      <c r="QGG106" s="669"/>
      <c r="QGH106" s="669"/>
      <c r="QGI106" s="669"/>
      <c r="QGJ106" s="669"/>
      <c r="QGK106" s="669"/>
      <c r="QGL106" s="669"/>
      <c r="QGM106" s="669"/>
      <c r="QGN106" s="669"/>
      <c r="QGO106" s="669"/>
      <c r="QGP106" s="669"/>
      <c r="QGQ106" s="669"/>
      <c r="QGR106" s="669"/>
      <c r="QGS106" s="669"/>
      <c r="QGT106" s="669"/>
      <c r="QGU106" s="669"/>
      <c r="QGV106" s="669"/>
      <c r="QGW106" s="669"/>
      <c r="QGX106" s="669"/>
      <c r="QGY106" s="669"/>
      <c r="QGZ106" s="669"/>
      <c r="QHA106" s="669"/>
      <c r="QHB106" s="669"/>
      <c r="QHC106" s="669"/>
      <c r="QHD106" s="669"/>
      <c r="QHE106" s="669"/>
      <c r="QHF106" s="669"/>
      <c r="QHG106" s="669"/>
      <c r="QHH106" s="669"/>
      <c r="QHI106" s="669"/>
      <c r="QHJ106" s="669"/>
      <c r="QHK106" s="669"/>
      <c r="QHL106" s="669"/>
      <c r="QHM106" s="669"/>
      <c r="QHN106" s="669"/>
      <c r="QHO106" s="669"/>
      <c r="QHP106" s="669"/>
      <c r="QHQ106" s="669"/>
      <c r="QHR106" s="669"/>
      <c r="QHS106" s="669"/>
      <c r="QHT106" s="669"/>
      <c r="QHU106" s="669"/>
      <c r="QHV106" s="669"/>
      <c r="QHW106" s="669"/>
      <c r="QHX106" s="669"/>
      <c r="QHY106" s="669"/>
      <c r="QHZ106" s="669"/>
      <c r="QIA106" s="669"/>
      <c r="QIB106" s="669"/>
      <c r="QIC106" s="669"/>
      <c r="QID106" s="669"/>
      <c r="QIE106" s="669"/>
      <c r="QIF106" s="669"/>
      <c r="QIG106" s="669"/>
      <c r="QIH106" s="669"/>
      <c r="QII106" s="669"/>
      <c r="QIJ106" s="669"/>
      <c r="QIK106" s="669"/>
      <c r="QIL106" s="669"/>
      <c r="QIM106" s="669"/>
      <c r="QIN106" s="669"/>
      <c r="QIO106" s="669"/>
      <c r="QIP106" s="669"/>
      <c r="QIQ106" s="669"/>
      <c r="QIR106" s="669"/>
      <c r="QIS106" s="669"/>
      <c r="QIT106" s="669"/>
      <c r="QIU106" s="669"/>
      <c r="QIV106" s="669"/>
      <c r="QIW106" s="669"/>
      <c r="QIX106" s="669"/>
      <c r="QIY106" s="669"/>
      <c r="QIZ106" s="669"/>
      <c r="QJA106" s="669"/>
      <c r="QJB106" s="669"/>
      <c r="QJC106" s="669"/>
      <c r="QJD106" s="669"/>
      <c r="QJE106" s="669"/>
      <c r="QJF106" s="669"/>
      <c r="QJG106" s="669"/>
      <c r="QJH106" s="669"/>
      <c r="QJI106" s="669"/>
      <c r="QJJ106" s="669"/>
      <c r="QJK106" s="669"/>
      <c r="QJL106" s="669"/>
      <c r="QJM106" s="669"/>
      <c r="QJN106" s="669"/>
      <c r="QJO106" s="669"/>
      <c r="QJP106" s="669"/>
      <c r="QJQ106" s="669"/>
      <c r="QJR106" s="669"/>
      <c r="QJS106" s="669"/>
      <c r="QJT106" s="669"/>
      <c r="QJU106" s="669"/>
      <c r="QJV106" s="669"/>
      <c r="QJW106" s="669"/>
      <c r="QJX106" s="669"/>
      <c r="QJY106" s="669"/>
      <c r="QJZ106" s="669"/>
      <c r="QKA106" s="669"/>
      <c r="QKB106" s="669"/>
      <c r="QKC106" s="669"/>
      <c r="QKD106" s="669"/>
      <c r="QKE106" s="669"/>
      <c r="QKF106" s="669"/>
      <c r="QKG106" s="669"/>
      <c r="QKH106" s="669"/>
      <c r="QKI106" s="669"/>
      <c r="QKJ106" s="669"/>
      <c r="QKK106" s="669"/>
      <c r="QKL106" s="669"/>
      <c r="QKM106" s="669"/>
      <c r="QKN106" s="669"/>
      <c r="QKO106" s="669"/>
      <c r="QKP106" s="669"/>
      <c r="QKQ106" s="669"/>
      <c r="QKR106" s="669"/>
      <c r="QKS106" s="669"/>
      <c r="QKT106" s="669"/>
      <c r="QKU106" s="669"/>
      <c r="QKV106" s="669"/>
      <c r="QKW106" s="669"/>
      <c r="QKX106" s="669"/>
      <c r="QKY106" s="669"/>
      <c r="QKZ106" s="669"/>
      <c r="QLA106" s="669"/>
      <c r="QLB106" s="669"/>
      <c r="QLC106" s="669"/>
      <c r="QLD106" s="669"/>
      <c r="QLE106" s="669"/>
      <c r="QLF106" s="669"/>
      <c r="QLG106" s="669"/>
      <c r="QLH106" s="669"/>
      <c r="QLI106" s="669"/>
      <c r="QLJ106" s="669"/>
      <c r="QLK106" s="669"/>
      <c r="QLL106" s="669"/>
      <c r="QLM106" s="669"/>
      <c r="QLN106" s="669"/>
      <c r="QLO106" s="669"/>
      <c r="QLP106" s="669"/>
      <c r="QLQ106" s="669"/>
      <c r="QLR106" s="669"/>
      <c r="QLS106" s="669"/>
      <c r="QLT106" s="669"/>
      <c r="QLU106" s="669"/>
      <c r="QLV106" s="669"/>
      <c r="QLW106" s="669"/>
      <c r="QLX106" s="669"/>
      <c r="QLY106" s="669"/>
      <c r="QLZ106" s="669"/>
      <c r="QMA106" s="669"/>
      <c r="QMB106" s="669"/>
      <c r="QMC106" s="669"/>
      <c r="QMD106" s="669"/>
      <c r="QME106" s="669"/>
      <c r="QMF106" s="669"/>
      <c r="QMG106" s="669"/>
      <c r="QMH106" s="669"/>
      <c r="QMI106" s="669"/>
      <c r="QMJ106" s="669"/>
      <c r="QMK106" s="669"/>
      <c r="QML106" s="669"/>
      <c r="QMM106" s="669"/>
      <c r="QMN106" s="669"/>
      <c r="QMO106" s="669"/>
      <c r="QMP106" s="669"/>
      <c r="QMQ106" s="669"/>
      <c r="QMR106" s="669"/>
      <c r="QMS106" s="669"/>
      <c r="QMT106" s="669"/>
      <c r="QMU106" s="669"/>
      <c r="QMV106" s="669"/>
      <c r="QMW106" s="669"/>
      <c r="QMX106" s="669"/>
      <c r="QMY106" s="669"/>
      <c r="QMZ106" s="669"/>
      <c r="QNA106" s="669"/>
      <c r="QNB106" s="669"/>
      <c r="QNC106" s="669"/>
      <c r="QND106" s="669"/>
      <c r="QNE106" s="669"/>
      <c r="QNF106" s="669"/>
      <c r="QNG106" s="669"/>
      <c r="QNH106" s="669"/>
      <c r="QNI106" s="669"/>
      <c r="QNJ106" s="669"/>
      <c r="QNK106" s="669"/>
      <c r="QNL106" s="669"/>
      <c r="QNM106" s="669"/>
      <c r="QNN106" s="669"/>
      <c r="QNO106" s="669"/>
      <c r="QNP106" s="669"/>
      <c r="QNQ106" s="669"/>
      <c r="QNR106" s="669"/>
      <c r="QNS106" s="669"/>
      <c r="QNT106" s="669"/>
      <c r="QNU106" s="669"/>
      <c r="QNV106" s="669"/>
      <c r="QNW106" s="669"/>
      <c r="QNX106" s="669"/>
      <c r="QNY106" s="669"/>
      <c r="QNZ106" s="669"/>
      <c r="QOA106" s="669"/>
      <c r="QOB106" s="669"/>
      <c r="QOC106" s="669"/>
      <c r="QOD106" s="669"/>
      <c r="QOE106" s="669"/>
      <c r="QOF106" s="669"/>
      <c r="QOG106" s="669"/>
      <c r="QOH106" s="669"/>
      <c r="QOI106" s="669"/>
      <c r="QOJ106" s="669"/>
      <c r="QOK106" s="669"/>
      <c r="QOL106" s="669"/>
      <c r="QOM106" s="669"/>
      <c r="QON106" s="669"/>
      <c r="QOO106" s="669"/>
      <c r="QOP106" s="669"/>
      <c r="QOQ106" s="669"/>
      <c r="QOR106" s="669"/>
      <c r="QOS106" s="669"/>
      <c r="QOT106" s="669"/>
      <c r="QOU106" s="669"/>
      <c r="QOV106" s="669"/>
      <c r="QOW106" s="669"/>
      <c r="QOX106" s="669"/>
      <c r="QOY106" s="669"/>
      <c r="QOZ106" s="669"/>
      <c r="QPA106" s="669"/>
      <c r="QPB106" s="669"/>
      <c r="QPC106" s="669"/>
      <c r="QPD106" s="669"/>
      <c r="QPE106" s="669"/>
      <c r="QPF106" s="669"/>
      <c r="QPG106" s="669"/>
      <c r="QPH106" s="669"/>
      <c r="QPI106" s="669"/>
      <c r="QPJ106" s="669"/>
      <c r="QPK106" s="669"/>
      <c r="QPL106" s="669"/>
      <c r="QPM106" s="669"/>
      <c r="QPN106" s="669"/>
      <c r="QPO106" s="669"/>
      <c r="QPP106" s="669"/>
      <c r="QPQ106" s="669"/>
      <c r="QPR106" s="669"/>
      <c r="QPS106" s="669"/>
      <c r="QPT106" s="669"/>
      <c r="QPU106" s="669"/>
      <c r="QPV106" s="669"/>
      <c r="QPW106" s="669"/>
      <c r="QPX106" s="669"/>
      <c r="QPY106" s="669"/>
      <c r="QPZ106" s="669"/>
      <c r="QQA106" s="669"/>
      <c r="QQB106" s="669"/>
      <c r="QQC106" s="669"/>
      <c r="QQD106" s="669"/>
      <c r="QQE106" s="669"/>
      <c r="QQF106" s="669"/>
      <c r="QQG106" s="669"/>
      <c r="QQH106" s="669"/>
      <c r="QQI106" s="669"/>
      <c r="QQJ106" s="669"/>
      <c r="QQK106" s="669"/>
      <c r="QQL106" s="669"/>
      <c r="QQM106" s="669"/>
      <c r="QQN106" s="669"/>
      <c r="QQO106" s="669"/>
      <c r="QQP106" s="669"/>
      <c r="QQQ106" s="669"/>
      <c r="QQR106" s="669"/>
      <c r="QQS106" s="669"/>
      <c r="QQT106" s="669"/>
      <c r="QQU106" s="669"/>
      <c r="QQV106" s="669"/>
      <c r="QQW106" s="669"/>
      <c r="QQX106" s="669"/>
      <c r="QQY106" s="669"/>
      <c r="QQZ106" s="669"/>
      <c r="QRA106" s="669"/>
      <c r="QRB106" s="669"/>
      <c r="QRC106" s="669"/>
      <c r="QRD106" s="669"/>
      <c r="QRE106" s="669"/>
      <c r="QRF106" s="669"/>
      <c r="QRG106" s="669"/>
      <c r="QRH106" s="669"/>
      <c r="QRI106" s="669"/>
      <c r="QRJ106" s="669"/>
      <c r="QRK106" s="669"/>
      <c r="QRL106" s="669"/>
      <c r="QRM106" s="669"/>
      <c r="QRN106" s="669"/>
      <c r="QRO106" s="669"/>
      <c r="QRP106" s="669"/>
      <c r="QRQ106" s="669"/>
      <c r="QRR106" s="669"/>
      <c r="QRS106" s="669"/>
      <c r="QRT106" s="669"/>
      <c r="QRU106" s="669"/>
      <c r="QRV106" s="669"/>
      <c r="QRW106" s="669"/>
      <c r="QRX106" s="669"/>
      <c r="QRY106" s="669"/>
      <c r="QRZ106" s="669"/>
      <c r="QSA106" s="669"/>
      <c r="QSB106" s="669"/>
      <c r="QSC106" s="669"/>
      <c r="QSD106" s="669"/>
      <c r="QSE106" s="669"/>
      <c r="QSF106" s="669"/>
      <c r="QSG106" s="669"/>
      <c r="QSH106" s="669"/>
      <c r="QSI106" s="669"/>
      <c r="QSJ106" s="669"/>
      <c r="QSK106" s="669"/>
      <c r="QSL106" s="669"/>
      <c r="QSM106" s="669"/>
      <c r="QSN106" s="669"/>
      <c r="QSO106" s="669"/>
      <c r="QSP106" s="669"/>
      <c r="QSQ106" s="669"/>
      <c r="QSR106" s="669"/>
      <c r="QSS106" s="669"/>
      <c r="QST106" s="669"/>
      <c r="QSU106" s="669"/>
      <c r="QSV106" s="669"/>
      <c r="QSW106" s="669"/>
      <c r="QSX106" s="669"/>
      <c r="QSY106" s="669"/>
      <c r="QSZ106" s="669"/>
      <c r="QTA106" s="669"/>
      <c r="QTB106" s="669"/>
      <c r="QTC106" s="669"/>
      <c r="QTD106" s="669"/>
      <c r="QTE106" s="669"/>
      <c r="QTF106" s="669"/>
      <c r="QTG106" s="669"/>
      <c r="QTH106" s="669"/>
      <c r="QTI106" s="669"/>
      <c r="QTJ106" s="669"/>
      <c r="QTK106" s="669"/>
      <c r="QTL106" s="669"/>
      <c r="QTM106" s="669"/>
      <c r="QTN106" s="669"/>
      <c r="QTO106" s="669"/>
      <c r="QTP106" s="669"/>
      <c r="QTQ106" s="669"/>
      <c r="QTR106" s="669"/>
      <c r="QTS106" s="669"/>
      <c r="QTT106" s="669"/>
      <c r="QTU106" s="669"/>
      <c r="QTV106" s="669"/>
      <c r="QTW106" s="669"/>
      <c r="QTX106" s="669"/>
      <c r="QTY106" s="669"/>
      <c r="QTZ106" s="669"/>
      <c r="QUA106" s="669"/>
      <c r="QUB106" s="669"/>
      <c r="QUC106" s="669"/>
      <c r="QUD106" s="669"/>
      <c r="QUE106" s="669"/>
      <c r="QUF106" s="669"/>
      <c r="QUG106" s="669"/>
      <c r="QUH106" s="669"/>
      <c r="QUI106" s="669"/>
      <c r="QUJ106" s="669"/>
      <c r="QUK106" s="669"/>
      <c r="QUL106" s="669"/>
      <c r="QUM106" s="669"/>
      <c r="QUN106" s="669"/>
      <c r="QUO106" s="669"/>
      <c r="QUP106" s="669"/>
      <c r="QUQ106" s="669"/>
      <c r="QUR106" s="669"/>
      <c r="QUS106" s="669"/>
      <c r="QUT106" s="669"/>
      <c r="QUU106" s="669"/>
      <c r="QUV106" s="669"/>
      <c r="QUW106" s="669"/>
      <c r="QUX106" s="669"/>
      <c r="QUY106" s="669"/>
      <c r="QUZ106" s="669"/>
      <c r="QVA106" s="669"/>
      <c r="QVB106" s="669"/>
      <c r="QVC106" s="669"/>
      <c r="QVD106" s="669"/>
      <c r="QVE106" s="669"/>
      <c r="QVF106" s="669"/>
      <c r="QVG106" s="669"/>
      <c r="QVH106" s="669"/>
      <c r="QVI106" s="669"/>
      <c r="QVJ106" s="669"/>
      <c r="QVK106" s="669"/>
      <c r="QVL106" s="669"/>
      <c r="QVM106" s="669"/>
      <c r="QVN106" s="669"/>
      <c r="QVO106" s="669"/>
      <c r="QVP106" s="669"/>
      <c r="QVQ106" s="669"/>
      <c r="QVR106" s="669"/>
      <c r="QVS106" s="669"/>
      <c r="QVT106" s="669"/>
      <c r="QVU106" s="669"/>
      <c r="QVV106" s="669"/>
      <c r="QVW106" s="669"/>
      <c r="QVX106" s="669"/>
      <c r="QVY106" s="669"/>
      <c r="QVZ106" s="669"/>
      <c r="QWA106" s="669"/>
      <c r="QWB106" s="669"/>
      <c r="QWC106" s="669"/>
      <c r="QWD106" s="669"/>
      <c r="QWE106" s="669"/>
      <c r="QWF106" s="669"/>
      <c r="QWG106" s="669"/>
      <c r="QWH106" s="669"/>
      <c r="QWI106" s="669"/>
      <c r="QWJ106" s="669"/>
      <c r="QWK106" s="669"/>
      <c r="QWL106" s="669"/>
      <c r="QWM106" s="669"/>
      <c r="QWN106" s="669"/>
      <c r="QWO106" s="669"/>
      <c r="QWP106" s="669"/>
      <c r="QWQ106" s="669"/>
      <c r="QWR106" s="669"/>
      <c r="QWS106" s="669"/>
      <c r="QWT106" s="669"/>
      <c r="QWU106" s="669"/>
      <c r="QWV106" s="669"/>
      <c r="QWW106" s="669"/>
      <c r="QWX106" s="669"/>
      <c r="QWY106" s="669"/>
      <c r="QWZ106" s="669"/>
      <c r="QXA106" s="669"/>
      <c r="QXB106" s="669"/>
      <c r="QXC106" s="669"/>
      <c r="QXD106" s="669"/>
      <c r="QXE106" s="669"/>
      <c r="QXF106" s="669"/>
      <c r="QXG106" s="669"/>
      <c r="QXH106" s="669"/>
      <c r="QXI106" s="669"/>
      <c r="QXJ106" s="669"/>
      <c r="QXK106" s="669"/>
      <c r="QXL106" s="669"/>
      <c r="QXM106" s="669"/>
      <c r="QXN106" s="669"/>
      <c r="QXO106" s="669"/>
      <c r="QXP106" s="669"/>
      <c r="QXQ106" s="669"/>
      <c r="QXR106" s="669"/>
      <c r="QXS106" s="669"/>
      <c r="QXT106" s="669"/>
      <c r="QXU106" s="669"/>
      <c r="QXV106" s="669"/>
      <c r="QXW106" s="669"/>
      <c r="QXX106" s="669"/>
      <c r="QXY106" s="669"/>
      <c r="QXZ106" s="669"/>
      <c r="QYA106" s="669"/>
      <c r="QYB106" s="669"/>
      <c r="QYC106" s="669"/>
      <c r="QYD106" s="669"/>
      <c r="QYE106" s="669"/>
      <c r="QYF106" s="669"/>
      <c r="QYG106" s="669"/>
      <c r="QYH106" s="669"/>
      <c r="QYI106" s="669"/>
      <c r="QYJ106" s="669"/>
      <c r="QYK106" s="669"/>
      <c r="QYL106" s="669"/>
      <c r="QYM106" s="669"/>
      <c r="QYN106" s="669"/>
      <c r="QYO106" s="669"/>
      <c r="QYP106" s="669"/>
      <c r="QYQ106" s="669"/>
      <c r="QYR106" s="669"/>
      <c r="QYS106" s="669"/>
      <c r="QYT106" s="669"/>
      <c r="QYU106" s="669"/>
      <c r="QYV106" s="669"/>
      <c r="QYW106" s="669"/>
      <c r="QYX106" s="669"/>
      <c r="QYY106" s="669"/>
      <c r="QYZ106" s="669"/>
      <c r="QZA106" s="669"/>
      <c r="QZB106" s="669"/>
      <c r="QZC106" s="669"/>
      <c r="QZD106" s="669"/>
      <c r="QZE106" s="669"/>
      <c r="QZF106" s="669"/>
      <c r="QZG106" s="669"/>
      <c r="QZH106" s="669"/>
      <c r="QZI106" s="669"/>
      <c r="QZJ106" s="669"/>
      <c r="QZK106" s="669"/>
      <c r="QZL106" s="669"/>
      <c r="QZM106" s="669"/>
      <c r="QZN106" s="669"/>
      <c r="QZO106" s="669"/>
      <c r="QZP106" s="669"/>
      <c r="QZQ106" s="669"/>
      <c r="QZR106" s="669"/>
      <c r="QZS106" s="669"/>
      <c r="QZT106" s="669"/>
      <c r="QZU106" s="669"/>
      <c r="QZV106" s="669"/>
      <c r="QZW106" s="669"/>
      <c r="QZX106" s="669"/>
      <c r="QZY106" s="669"/>
      <c r="QZZ106" s="669"/>
      <c r="RAA106" s="669"/>
      <c r="RAB106" s="669"/>
      <c r="RAC106" s="669"/>
      <c r="RAD106" s="669"/>
      <c r="RAE106" s="669"/>
      <c r="RAF106" s="669"/>
      <c r="RAG106" s="669"/>
      <c r="RAH106" s="669"/>
      <c r="RAI106" s="669"/>
      <c r="RAJ106" s="669"/>
      <c r="RAK106" s="669"/>
      <c r="RAL106" s="669"/>
      <c r="RAM106" s="669"/>
      <c r="RAN106" s="669"/>
      <c r="RAO106" s="669"/>
      <c r="RAP106" s="669"/>
      <c r="RAQ106" s="669"/>
      <c r="RAR106" s="669"/>
      <c r="RAS106" s="669"/>
      <c r="RAT106" s="669"/>
      <c r="RAU106" s="669"/>
      <c r="RAV106" s="669"/>
      <c r="RAW106" s="669"/>
      <c r="RAX106" s="669"/>
      <c r="RAY106" s="669"/>
      <c r="RAZ106" s="669"/>
      <c r="RBA106" s="669"/>
      <c r="RBB106" s="669"/>
      <c r="RBC106" s="669"/>
      <c r="RBD106" s="669"/>
      <c r="RBE106" s="669"/>
      <c r="RBF106" s="669"/>
      <c r="RBG106" s="669"/>
      <c r="RBH106" s="669"/>
      <c r="RBI106" s="669"/>
      <c r="RBJ106" s="669"/>
      <c r="RBK106" s="669"/>
      <c r="RBL106" s="669"/>
      <c r="RBM106" s="669"/>
      <c r="RBN106" s="669"/>
      <c r="RBO106" s="669"/>
      <c r="RBP106" s="669"/>
      <c r="RBQ106" s="669"/>
      <c r="RBR106" s="669"/>
      <c r="RBS106" s="669"/>
      <c r="RBT106" s="669"/>
      <c r="RBU106" s="669"/>
      <c r="RBV106" s="669"/>
      <c r="RBW106" s="669"/>
      <c r="RBX106" s="669"/>
      <c r="RBY106" s="669"/>
      <c r="RBZ106" s="669"/>
      <c r="RCA106" s="669"/>
      <c r="RCB106" s="669"/>
      <c r="RCC106" s="669"/>
      <c r="RCD106" s="669"/>
      <c r="RCE106" s="669"/>
      <c r="RCF106" s="669"/>
      <c r="RCG106" s="669"/>
      <c r="RCH106" s="669"/>
      <c r="RCI106" s="669"/>
      <c r="RCJ106" s="669"/>
      <c r="RCK106" s="669"/>
      <c r="RCL106" s="669"/>
      <c r="RCM106" s="669"/>
      <c r="RCN106" s="669"/>
      <c r="RCO106" s="669"/>
      <c r="RCP106" s="669"/>
      <c r="RCQ106" s="669"/>
      <c r="RCR106" s="669"/>
      <c r="RCS106" s="669"/>
      <c r="RCT106" s="669"/>
      <c r="RCU106" s="669"/>
      <c r="RCV106" s="669"/>
      <c r="RCW106" s="669"/>
      <c r="RCX106" s="669"/>
      <c r="RCY106" s="669"/>
      <c r="RCZ106" s="669"/>
      <c r="RDA106" s="669"/>
      <c r="RDB106" s="669"/>
      <c r="RDC106" s="669"/>
      <c r="RDD106" s="669"/>
      <c r="RDE106" s="669"/>
      <c r="RDF106" s="669"/>
      <c r="RDG106" s="669"/>
      <c r="RDH106" s="669"/>
      <c r="RDI106" s="669"/>
      <c r="RDJ106" s="669"/>
      <c r="RDK106" s="669"/>
      <c r="RDL106" s="669"/>
      <c r="RDM106" s="669"/>
      <c r="RDN106" s="669"/>
      <c r="RDO106" s="669"/>
      <c r="RDP106" s="669"/>
      <c r="RDQ106" s="669"/>
      <c r="RDR106" s="669"/>
      <c r="RDS106" s="669"/>
      <c r="RDT106" s="669"/>
      <c r="RDU106" s="669"/>
      <c r="RDV106" s="669"/>
      <c r="RDW106" s="669"/>
      <c r="RDX106" s="669"/>
      <c r="RDY106" s="669"/>
      <c r="RDZ106" s="669"/>
      <c r="REA106" s="669"/>
      <c r="REB106" s="669"/>
      <c r="REC106" s="669"/>
      <c r="RED106" s="669"/>
      <c r="REE106" s="669"/>
      <c r="REF106" s="669"/>
      <c r="REG106" s="669"/>
      <c r="REH106" s="669"/>
      <c r="REI106" s="669"/>
      <c r="REJ106" s="669"/>
      <c r="REK106" s="669"/>
      <c r="REL106" s="669"/>
      <c r="REM106" s="669"/>
      <c r="REN106" s="669"/>
      <c r="REO106" s="669"/>
      <c r="REP106" s="669"/>
      <c r="REQ106" s="669"/>
      <c r="RER106" s="669"/>
      <c r="RES106" s="669"/>
      <c r="RET106" s="669"/>
      <c r="REU106" s="669"/>
      <c r="REV106" s="669"/>
      <c r="REW106" s="669"/>
      <c r="REX106" s="669"/>
      <c r="REY106" s="669"/>
      <c r="REZ106" s="669"/>
      <c r="RFA106" s="669"/>
      <c r="RFB106" s="669"/>
      <c r="RFC106" s="669"/>
      <c r="RFD106" s="669"/>
      <c r="RFE106" s="669"/>
      <c r="RFF106" s="669"/>
      <c r="RFG106" s="669"/>
      <c r="RFH106" s="669"/>
      <c r="RFI106" s="669"/>
      <c r="RFJ106" s="669"/>
      <c r="RFK106" s="669"/>
      <c r="RFL106" s="669"/>
      <c r="RFM106" s="669"/>
      <c r="RFN106" s="669"/>
      <c r="RFO106" s="669"/>
      <c r="RFP106" s="669"/>
      <c r="RFQ106" s="669"/>
      <c r="RFR106" s="669"/>
      <c r="RFS106" s="669"/>
      <c r="RFT106" s="669"/>
      <c r="RFU106" s="669"/>
      <c r="RFV106" s="669"/>
      <c r="RFW106" s="669"/>
      <c r="RFX106" s="669"/>
      <c r="RFY106" s="669"/>
      <c r="RFZ106" s="669"/>
      <c r="RGA106" s="669"/>
      <c r="RGB106" s="669"/>
      <c r="RGC106" s="669"/>
      <c r="RGD106" s="669"/>
      <c r="RGE106" s="669"/>
      <c r="RGF106" s="669"/>
      <c r="RGG106" s="669"/>
      <c r="RGH106" s="669"/>
      <c r="RGI106" s="669"/>
      <c r="RGJ106" s="669"/>
      <c r="RGK106" s="669"/>
      <c r="RGL106" s="669"/>
      <c r="RGM106" s="669"/>
      <c r="RGN106" s="669"/>
      <c r="RGO106" s="669"/>
      <c r="RGP106" s="669"/>
      <c r="RGQ106" s="669"/>
      <c r="RGR106" s="669"/>
      <c r="RGS106" s="669"/>
      <c r="RGT106" s="669"/>
      <c r="RGU106" s="669"/>
      <c r="RGV106" s="669"/>
      <c r="RGW106" s="669"/>
      <c r="RGX106" s="669"/>
      <c r="RGY106" s="669"/>
      <c r="RGZ106" s="669"/>
      <c r="RHA106" s="669"/>
      <c r="RHB106" s="669"/>
      <c r="RHC106" s="669"/>
      <c r="RHD106" s="669"/>
      <c r="RHE106" s="669"/>
      <c r="RHF106" s="669"/>
      <c r="RHG106" s="669"/>
      <c r="RHH106" s="669"/>
      <c r="RHI106" s="669"/>
      <c r="RHJ106" s="669"/>
      <c r="RHK106" s="669"/>
      <c r="RHL106" s="669"/>
      <c r="RHM106" s="669"/>
      <c r="RHN106" s="669"/>
      <c r="RHO106" s="669"/>
      <c r="RHP106" s="669"/>
      <c r="RHQ106" s="669"/>
      <c r="RHR106" s="669"/>
      <c r="RHS106" s="669"/>
      <c r="RHT106" s="669"/>
      <c r="RHU106" s="669"/>
      <c r="RHV106" s="669"/>
      <c r="RHW106" s="669"/>
      <c r="RHX106" s="669"/>
      <c r="RHY106" s="669"/>
      <c r="RHZ106" s="669"/>
      <c r="RIA106" s="669"/>
      <c r="RIB106" s="669"/>
      <c r="RIC106" s="669"/>
      <c r="RID106" s="669"/>
      <c r="RIE106" s="669"/>
      <c r="RIF106" s="669"/>
      <c r="RIG106" s="669"/>
      <c r="RIH106" s="669"/>
      <c r="RII106" s="669"/>
      <c r="RIJ106" s="669"/>
      <c r="RIK106" s="669"/>
      <c r="RIL106" s="669"/>
      <c r="RIM106" s="669"/>
      <c r="RIN106" s="669"/>
      <c r="RIO106" s="669"/>
      <c r="RIP106" s="669"/>
      <c r="RIQ106" s="669"/>
      <c r="RIR106" s="669"/>
      <c r="RIS106" s="669"/>
      <c r="RIT106" s="669"/>
      <c r="RIU106" s="669"/>
      <c r="RIV106" s="669"/>
      <c r="RIW106" s="669"/>
      <c r="RIX106" s="669"/>
      <c r="RIY106" s="669"/>
      <c r="RIZ106" s="669"/>
      <c r="RJA106" s="669"/>
      <c r="RJB106" s="669"/>
      <c r="RJC106" s="669"/>
      <c r="RJD106" s="669"/>
      <c r="RJE106" s="669"/>
      <c r="RJF106" s="669"/>
      <c r="RJG106" s="669"/>
      <c r="RJH106" s="669"/>
      <c r="RJI106" s="669"/>
      <c r="RJJ106" s="669"/>
      <c r="RJK106" s="669"/>
      <c r="RJL106" s="669"/>
      <c r="RJM106" s="669"/>
      <c r="RJN106" s="669"/>
      <c r="RJO106" s="669"/>
      <c r="RJP106" s="669"/>
      <c r="RJQ106" s="669"/>
      <c r="RJR106" s="669"/>
      <c r="RJS106" s="669"/>
      <c r="RJT106" s="669"/>
      <c r="RJU106" s="669"/>
      <c r="RJV106" s="669"/>
      <c r="RJW106" s="669"/>
      <c r="RJX106" s="669"/>
      <c r="RJY106" s="669"/>
      <c r="RJZ106" s="669"/>
      <c r="RKA106" s="669"/>
      <c r="RKB106" s="669"/>
      <c r="RKC106" s="669"/>
      <c r="RKD106" s="669"/>
      <c r="RKE106" s="669"/>
      <c r="RKF106" s="669"/>
      <c r="RKG106" s="669"/>
      <c r="RKH106" s="669"/>
      <c r="RKI106" s="669"/>
      <c r="RKJ106" s="669"/>
      <c r="RKK106" s="669"/>
      <c r="RKL106" s="669"/>
      <c r="RKM106" s="669"/>
      <c r="RKN106" s="669"/>
      <c r="RKO106" s="669"/>
      <c r="RKP106" s="669"/>
      <c r="RKQ106" s="669"/>
      <c r="RKR106" s="669"/>
      <c r="RKS106" s="669"/>
      <c r="RKT106" s="669"/>
      <c r="RKU106" s="669"/>
      <c r="RKV106" s="669"/>
      <c r="RKW106" s="669"/>
      <c r="RKX106" s="669"/>
      <c r="RKY106" s="669"/>
      <c r="RKZ106" s="669"/>
      <c r="RLA106" s="669"/>
      <c r="RLB106" s="669"/>
      <c r="RLC106" s="669"/>
      <c r="RLD106" s="669"/>
      <c r="RLE106" s="669"/>
      <c r="RLF106" s="669"/>
      <c r="RLG106" s="669"/>
      <c r="RLH106" s="669"/>
      <c r="RLI106" s="669"/>
      <c r="RLJ106" s="669"/>
      <c r="RLK106" s="669"/>
      <c r="RLL106" s="669"/>
      <c r="RLM106" s="669"/>
      <c r="RLN106" s="669"/>
      <c r="RLO106" s="669"/>
      <c r="RLP106" s="669"/>
      <c r="RLQ106" s="669"/>
      <c r="RLR106" s="669"/>
      <c r="RLS106" s="669"/>
      <c r="RLT106" s="669"/>
      <c r="RLU106" s="669"/>
      <c r="RLV106" s="669"/>
      <c r="RLW106" s="669"/>
      <c r="RLX106" s="669"/>
      <c r="RLY106" s="669"/>
      <c r="RLZ106" s="669"/>
      <c r="RMA106" s="669"/>
      <c r="RMB106" s="669"/>
      <c r="RMC106" s="669"/>
      <c r="RMD106" s="669"/>
      <c r="RME106" s="669"/>
      <c r="RMF106" s="669"/>
      <c r="RMG106" s="669"/>
      <c r="RMH106" s="669"/>
      <c r="RMI106" s="669"/>
      <c r="RMJ106" s="669"/>
      <c r="RMK106" s="669"/>
      <c r="RML106" s="669"/>
      <c r="RMM106" s="669"/>
      <c r="RMN106" s="669"/>
      <c r="RMO106" s="669"/>
      <c r="RMP106" s="669"/>
      <c r="RMQ106" s="669"/>
      <c r="RMR106" s="669"/>
      <c r="RMS106" s="669"/>
      <c r="RMT106" s="669"/>
      <c r="RMU106" s="669"/>
      <c r="RMV106" s="669"/>
      <c r="RMW106" s="669"/>
      <c r="RMX106" s="669"/>
      <c r="RMY106" s="669"/>
      <c r="RMZ106" s="669"/>
      <c r="RNA106" s="669"/>
      <c r="RNB106" s="669"/>
      <c r="RNC106" s="669"/>
      <c r="RND106" s="669"/>
      <c r="RNE106" s="669"/>
      <c r="RNF106" s="669"/>
      <c r="RNG106" s="669"/>
      <c r="RNH106" s="669"/>
      <c r="RNI106" s="669"/>
      <c r="RNJ106" s="669"/>
      <c r="RNK106" s="669"/>
      <c r="RNL106" s="669"/>
      <c r="RNM106" s="669"/>
      <c r="RNN106" s="669"/>
      <c r="RNO106" s="669"/>
      <c r="RNP106" s="669"/>
      <c r="RNQ106" s="669"/>
      <c r="RNR106" s="669"/>
      <c r="RNS106" s="669"/>
      <c r="RNT106" s="669"/>
      <c r="RNU106" s="669"/>
      <c r="RNV106" s="669"/>
      <c r="RNW106" s="669"/>
      <c r="RNX106" s="669"/>
      <c r="RNY106" s="669"/>
      <c r="RNZ106" s="669"/>
      <c r="ROA106" s="669"/>
      <c r="ROB106" s="669"/>
      <c r="ROC106" s="669"/>
      <c r="ROD106" s="669"/>
      <c r="ROE106" s="669"/>
      <c r="ROF106" s="669"/>
      <c r="ROG106" s="669"/>
      <c r="ROH106" s="669"/>
      <c r="ROI106" s="669"/>
      <c r="ROJ106" s="669"/>
      <c r="ROK106" s="669"/>
      <c r="ROL106" s="669"/>
      <c r="ROM106" s="669"/>
      <c r="RON106" s="669"/>
      <c r="ROO106" s="669"/>
      <c r="ROP106" s="669"/>
      <c r="ROQ106" s="669"/>
      <c r="ROR106" s="669"/>
      <c r="ROS106" s="669"/>
      <c r="ROT106" s="669"/>
      <c r="ROU106" s="669"/>
      <c r="ROV106" s="669"/>
      <c r="ROW106" s="669"/>
      <c r="ROX106" s="669"/>
      <c r="ROY106" s="669"/>
      <c r="ROZ106" s="669"/>
      <c r="RPA106" s="669"/>
      <c r="RPB106" s="669"/>
      <c r="RPC106" s="669"/>
      <c r="RPD106" s="669"/>
      <c r="RPE106" s="669"/>
      <c r="RPF106" s="669"/>
      <c r="RPG106" s="669"/>
      <c r="RPH106" s="669"/>
      <c r="RPI106" s="669"/>
      <c r="RPJ106" s="669"/>
      <c r="RPK106" s="669"/>
      <c r="RPL106" s="669"/>
      <c r="RPM106" s="669"/>
      <c r="RPN106" s="669"/>
      <c r="RPO106" s="669"/>
      <c r="RPP106" s="669"/>
      <c r="RPQ106" s="669"/>
      <c r="RPR106" s="669"/>
      <c r="RPS106" s="669"/>
      <c r="RPT106" s="669"/>
      <c r="RPU106" s="669"/>
      <c r="RPV106" s="669"/>
      <c r="RPW106" s="669"/>
      <c r="RPX106" s="669"/>
      <c r="RPY106" s="669"/>
      <c r="RPZ106" s="669"/>
      <c r="RQA106" s="669"/>
      <c r="RQB106" s="669"/>
      <c r="RQC106" s="669"/>
      <c r="RQD106" s="669"/>
      <c r="RQE106" s="669"/>
      <c r="RQF106" s="669"/>
      <c r="RQG106" s="669"/>
      <c r="RQH106" s="669"/>
      <c r="RQI106" s="669"/>
      <c r="RQJ106" s="669"/>
      <c r="RQK106" s="669"/>
      <c r="RQL106" s="669"/>
      <c r="RQM106" s="669"/>
      <c r="RQN106" s="669"/>
      <c r="RQO106" s="669"/>
      <c r="RQP106" s="669"/>
      <c r="RQQ106" s="669"/>
      <c r="RQR106" s="669"/>
      <c r="RQS106" s="669"/>
      <c r="RQT106" s="669"/>
      <c r="RQU106" s="669"/>
      <c r="RQV106" s="669"/>
      <c r="RQW106" s="669"/>
      <c r="RQX106" s="669"/>
      <c r="RQY106" s="669"/>
      <c r="RQZ106" s="669"/>
      <c r="RRA106" s="669"/>
      <c r="RRB106" s="669"/>
      <c r="RRC106" s="669"/>
      <c r="RRD106" s="669"/>
      <c r="RRE106" s="669"/>
      <c r="RRF106" s="669"/>
      <c r="RRG106" s="669"/>
      <c r="RRH106" s="669"/>
      <c r="RRI106" s="669"/>
      <c r="RRJ106" s="669"/>
      <c r="RRK106" s="669"/>
      <c r="RRL106" s="669"/>
      <c r="RRM106" s="669"/>
      <c r="RRN106" s="669"/>
      <c r="RRO106" s="669"/>
      <c r="RRP106" s="669"/>
      <c r="RRQ106" s="669"/>
      <c r="RRR106" s="669"/>
      <c r="RRS106" s="669"/>
      <c r="RRT106" s="669"/>
      <c r="RRU106" s="669"/>
      <c r="RRV106" s="669"/>
      <c r="RRW106" s="669"/>
      <c r="RRX106" s="669"/>
      <c r="RRY106" s="669"/>
      <c r="RRZ106" s="669"/>
      <c r="RSA106" s="669"/>
      <c r="RSB106" s="669"/>
      <c r="RSC106" s="669"/>
      <c r="RSD106" s="669"/>
      <c r="RSE106" s="669"/>
      <c r="RSF106" s="669"/>
      <c r="RSG106" s="669"/>
      <c r="RSH106" s="669"/>
      <c r="RSI106" s="669"/>
      <c r="RSJ106" s="669"/>
      <c r="RSK106" s="669"/>
      <c r="RSL106" s="669"/>
      <c r="RSM106" s="669"/>
      <c r="RSN106" s="669"/>
      <c r="RSO106" s="669"/>
      <c r="RSP106" s="669"/>
      <c r="RSQ106" s="669"/>
      <c r="RSR106" s="669"/>
      <c r="RSS106" s="669"/>
      <c r="RST106" s="669"/>
      <c r="RSU106" s="669"/>
      <c r="RSV106" s="669"/>
      <c r="RSW106" s="669"/>
      <c r="RSX106" s="669"/>
      <c r="RSY106" s="669"/>
      <c r="RSZ106" s="669"/>
      <c r="RTA106" s="669"/>
      <c r="RTB106" s="669"/>
      <c r="RTC106" s="669"/>
      <c r="RTD106" s="669"/>
      <c r="RTE106" s="669"/>
      <c r="RTF106" s="669"/>
      <c r="RTG106" s="669"/>
      <c r="RTH106" s="669"/>
      <c r="RTI106" s="669"/>
      <c r="RTJ106" s="669"/>
      <c r="RTK106" s="669"/>
      <c r="RTL106" s="669"/>
      <c r="RTM106" s="669"/>
      <c r="RTN106" s="669"/>
      <c r="RTO106" s="669"/>
      <c r="RTP106" s="669"/>
      <c r="RTQ106" s="669"/>
      <c r="RTR106" s="669"/>
      <c r="RTS106" s="669"/>
      <c r="RTT106" s="669"/>
      <c r="RTU106" s="669"/>
      <c r="RTV106" s="669"/>
      <c r="RTW106" s="669"/>
      <c r="RTX106" s="669"/>
      <c r="RTY106" s="669"/>
      <c r="RTZ106" s="669"/>
      <c r="RUA106" s="669"/>
      <c r="RUB106" s="669"/>
      <c r="RUC106" s="669"/>
      <c r="RUD106" s="669"/>
      <c r="RUE106" s="669"/>
      <c r="RUF106" s="669"/>
      <c r="RUG106" s="669"/>
      <c r="RUH106" s="669"/>
      <c r="RUI106" s="669"/>
      <c r="RUJ106" s="669"/>
      <c r="RUK106" s="669"/>
      <c r="RUL106" s="669"/>
      <c r="RUM106" s="669"/>
      <c r="RUN106" s="669"/>
      <c r="RUO106" s="669"/>
      <c r="RUP106" s="669"/>
      <c r="RUQ106" s="669"/>
      <c r="RUR106" s="669"/>
      <c r="RUS106" s="669"/>
      <c r="RUT106" s="669"/>
      <c r="RUU106" s="669"/>
      <c r="RUV106" s="669"/>
      <c r="RUW106" s="669"/>
      <c r="RUX106" s="669"/>
      <c r="RUY106" s="669"/>
      <c r="RUZ106" s="669"/>
      <c r="RVA106" s="669"/>
      <c r="RVB106" s="669"/>
      <c r="RVC106" s="669"/>
      <c r="RVD106" s="669"/>
      <c r="RVE106" s="669"/>
      <c r="RVF106" s="669"/>
      <c r="RVG106" s="669"/>
      <c r="RVH106" s="669"/>
      <c r="RVI106" s="669"/>
      <c r="RVJ106" s="669"/>
      <c r="RVK106" s="669"/>
      <c r="RVL106" s="669"/>
      <c r="RVM106" s="669"/>
      <c r="RVN106" s="669"/>
      <c r="RVO106" s="669"/>
      <c r="RVP106" s="669"/>
      <c r="RVQ106" s="669"/>
      <c r="RVR106" s="669"/>
      <c r="RVS106" s="669"/>
      <c r="RVT106" s="669"/>
      <c r="RVU106" s="669"/>
      <c r="RVV106" s="669"/>
      <c r="RVW106" s="669"/>
      <c r="RVX106" s="669"/>
      <c r="RVY106" s="669"/>
      <c r="RVZ106" s="669"/>
      <c r="RWA106" s="669"/>
      <c r="RWB106" s="669"/>
      <c r="RWC106" s="669"/>
      <c r="RWD106" s="669"/>
      <c r="RWE106" s="669"/>
      <c r="RWF106" s="669"/>
      <c r="RWG106" s="669"/>
      <c r="RWH106" s="669"/>
      <c r="RWI106" s="669"/>
      <c r="RWJ106" s="669"/>
      <c r="RWK106" s="669"/>
      <c r="RWL106" s="669"/>
      <c r="RWM106" s="669"/>
      <c r="RWN106" s="669"/>
      <c r="RWO106" s="669"/>
      <c r="RWP106" s="669"/>
      <c r="RWQ106" s="669"/>
      <c r="RWR106" s="669"/>
      <c r="RWS106" s="669"/>
      <c r="RWT106" s="669"/>
      <c r="RWU106" s="669"/>
      <c r="RWV106" s="669"/>
      <c r="RWW106" s="669"/>
      <c r="RWX106" s="669"/>
      <c r="RWY106" s="669"/>
      <c r="RWZ106" s="669"/>
      <c r="RXA106" s="669"/>
      <c r="RXB106" s="669"/>
      <c r="RXC106" s="669"/>
      <c r="RXD106" s="669"/>
      <c r="RXE106" s="669"/>
      <c r="RXF106" s="669"/>
      <c r="RXG106" s="669"/>
      <c r="RXH106" s="669"/>
      <c r="RXI106" s="669"/>
      <c r="RXJ106" s="669"/>
      <c r="RXK106" s="669"/>
      <c r="RXL106" s="669"/>
      <c r="RXM106" s="669"/>
      <c r="RXN106" s="669"/>
      <c r="RXO106" s="669"/>
      <c r="RXP106" s="669"/>
      <c r="RXQ106" s="669"/>
      <c r="RXR106" s="669"/>
      <c r="RXS106" s="669"/>
      <c r="RXT106" s="669"/>
      <c r="RXU106" s="669"/>
      <c r="RXV106" s="669"/>
      <c r="RXW106" s="669"/>
      <c r="RXX106" s="669"/>
      <c r="RXY106" s="669"/>
      <c r="RXZ106" s="669"/>
      <c r="RYA106" s="669"/>
      <c r="RYB106" s="669"/>
      <c r="RYC106" s="669"/>
      <c r="RYD106" s="669"/>
      <c r="RYE106" s="669"/>
      <c r="RYF106" s="669"/>
      <c r="RYG106" s="669"/>
      <c r="RYH106" s="669"/>
      <c r="RYI106" s="669"/>
      <c r="RYJ106" s="669"/>
      <c r="RYK106" s="669"/>
      <c r="RYL106" s="669"/>
      <c r="RYM106" s="669"/>
      <c r="RYN106" s="669"/>
      <c r="RYO106" s="669"/>
      <c r="RYP106" s="669"/>
      <c r="RYQ106" s="669"/>
      <c r="RYR106" s="669"/>
      <c r="RYS106" s="669"/>
      <c r="RYT106" s="669"/>
      <c r="RYU106" s="669"/>
      <c r="RYV106" s="669"/>
      <c r="RYW106" s="669"/>
      <c r="RYX106" s="669"/>
      <c r="RYY106" s="669"/>
      <c r="RYZ106" s="669"/>
      <c r="RZA106" s="669"/>
      <c r="RZB106" s="669"/>
      <c r="RZC106" s="669"/>
      <c r="RZD106" s="669"/>
      <c r="RZE106" s="669"/>
      <c r="RZF106" s="669"/>
      <c r="RZG106" s="669"/>
      <c r="RZH106" s="669"/>
      <c r="RZI106" s="669"/>
      <c r="RZJ106" s="669"/>
      <c r="RZK106" s="669"/>
      <c r="RZL106" s="669"/>
      <c r="RZM106" s="669"/>
      <c r="RZN106" s="669"/>
      <c r="RZO106" s="669"/>
      <c r="RZP106" s="669"/>
      <c r="RZQ106" s="669"/>
      <c r="RZR106" s="669"/>
      <c r="RZS106" s="669"/>
      <c r="RZT106" s="669"/>
      <c r="RZU106" s="669"/>
      <c r="RZV106" s="669"/>
      <c r="RZW106" s="669"/>
      <c r="RZX106" s="669"/>
      <c r="RZY106" s="669"/>
      <c r="RZZ106" s="669"/>
      <c r="SAA106" s="669"/>
      <c r="SAB106" s="669"/>
      <c r="SAC106" s="669"/>
      <c r="SAD106" s="669"/>
      <c r="SAE106" s="669"/>
      <c r="SAF106" s="669"/>
      <c r="SAG106" s="669"/>
      <c r="SAH106" s="669"/>
      <c r="SAI106" s="669"/>
      <c r="SAJ106" s="669"/>
      <c r="SAK106" s="669"/>
      <c r="SAL106" s="669"/>
      <c r="SAM106" s="669"/>
      <c r="SAN106" s="669"/>
      <c r="SAO106" s="669"/>
      <c r="SAP106" s="669"/>
      <c r="SAQ106" s="669"/>
      <c r="SAR106" s="669"/>
      <c r="SAS106" s="669"/>
      <c r="SAT106" s="669"/>
      <c r="SAU106" s="669"/>
      <c r="SAV106" s="669"/>
      <c r="SAW106" s="669"/>
      <c r="SAX106" s="669"/>
      <c r="SAY106" s="669"/>
      <c r="SAZ106" s="669"/>
      <c r="SBA106" s="669"/>
      <c r="SBB106" s="669"/>
      <c r="SBC106" s="669"/>
      <c r="SBD106" s="669"/>
      <c r="SBE106" s="669"/>
      <c r="SBF106" s="669"/>
      <c r="SBG106" s="669"/>
      <c r="SBH106" s="669"/>
      <c r="SBI106" s="669"/>
      <c r="SBJ106" s="669"/>
      <c r="SBK106" s="669"/>
      <c r="SBL106" s="669"/>
      <c r="SBM106" s="669"/>
      <c r="SBN106" s="669"/>
      <c r="SBO106" s="669"/>
      <c r="SBP106" s="669"/>
      <c r="SBQ106" s="669"/>
      <c r="SBR106" s="669"/>
      <c r="SBS106" s="669"/>
      <c r="SBT106" s="669"/>
      <c r="SBU106" s="669"/>
      <c r="SBV106" s="669"/>
      <c r="SBW106" s="669"/>
      <c r="SBX106" s="669"/>
      <c r="SBY106" s="669"/>
      <c r="SBZ106" s="669"/>
      <c r="SCA106" s="669"/>
      <c r="SCB106" s="669"/>
      <c r="SCC106" s="669"/>
      <c r="SCD106" s="669"/>
      <c r="SCE106" s="669"/>
      <c r="SCF106" s="669"/>
      <c r="SCG106" s="669"/>
      <c r="SCH106" s="669"/>
      <c r="SCI106" s="669"/>
      <c r="SCJ106" s="669"/>
      <c r="SCK106" s="669"/>
      <c r="SCL106" s="669"/>
      <c r="SCM106" s="669"/>
      <c r="SCN106" s="669"/>
      <c r="SCO106" s="669"/>
      <c r="SCP106" s="669"/>
      <c r="SCQ106" s="669"/>
      <c r="SCR106" s="669"/>
      <c r="SCS106" s="669"/>
      <c r="SCT106" s="669"/>
      <c r="SCU106" s="669"/>
      <c r="SCV106" s="669"/>
      <c r="SCW106" s="669"/>
      <c r="SCX106" s="669"/>
      <c r="SCY106" s="669"/>
      <c r="SCZ106" s="669"/>
      <c r="SDA106" s="669"/>
      <c r="SDB106" s="669"/>
      <c r="SDC106" s="669"/>
      <c r="SDD106" s="669"/>
      <c r="SDE106" s="669"/>
      <c r="SDF106" s="669"/>
      <c r="SDG106" s="669"/>
      <c r="SDH106" s="669"/>
      <c r="SDI106" s="669"/>
      <c r="SDJ106" s="669"/>
      <c r="SDK106" s="669"/>
      <c r="SDL106" s="669"/>
      <c r="SDM106" s="669"/>
      <c r="SDN106" s="669"/>
      <c r="SDO106" s="669"/>
      <c r="SDP106" s="669"/>
      <c r="SDQ106" s="669"/>
      <c r="SDR106" s="669"/>
      <c r="SDS106" s="669"/>
      <c r="SDT106" s="669"/>
      <c r="SDU106" s="669"/>
      <c r="SDV106" s="669"/>
      <c r="SDW106" s="669"/>
      <c r="SDX106" s="669"/>
      <c r="SDY106" s="669"/>
      <c r="SDZ106" s="669"/>
      <c r="SEA106" s="669"/>
      <c r="SEB106" s="669"/>
      <c r="SEC106" s="669"/>
      <c r="SED106" s="669"/>
      <c r="SEE106" s="669"/>
      <c r="SEF106" s="669"/>
      <c r="SEG106" s="669"/>
      <c r="SEH106" s="669"/>
      <c r="SEI106" s="669"/>
      <c r="SEJ106" s="669"/>
      <c r="SEK106" s="669"/>
      <c r="SEL106" s="669"/>
      <c r="SEM106" s="669"/>
      <c r="SEN106" s="669"/>
      <c r="SEO106" s="669"/>
      <c r="SEP106" s="669"/>
      <c r="SEQ106" s="669"/>
      <c r="SER106" s="669"/>
      <c r="SES106" s="669"/>
      <c r="SET106" s="669"/>
      <c r="SEU106" s="669"/>
      <c r="SEV106" s="669"/>
      <c r="SEW106" s="669"/>
      <c r="SEX106" s="669"/>
      <c r="SEY106" s="669"/>
      <c r="SEZ106" s="669"/>
      <c r="SFA106" s="669"/>
      <c r="SFB106" s="669"/>
      <c r="SFC106" s="669"/>
      <c r="SFD106" s="669"/>
      <c r="SFE106" s="669"/>
      <c r="SFF106" s="669"/>
      <c r="SFG106" s="669"/>
      <c r="SFH106" s="669"/>
      <c r="SFI106" s="669"/>
      <c r="SFJ106" s="669"/>
      <c r="SFK106" s="669"/>
      <c r="SFL106" s="669"/>
      <c r="SFM106" s="669"/>
      <c r="SFN106" s="669"/>
      <c r="SFO106" s="669"/>
      <c r="SFP106" s="669"/>
      <c r="SFQ106" s="669"/>
      <c r="SFR106" s="669"/>
      <c r="SFS106" s="669"/>
      <c r="SFT106" s="669"/>
      <c r="SFU106" s="669"/>
      <c r="SFV106" s="669"/>
      <c r="SFW106" s="669"/>
      <c r="SFX106" s="669"/>
      <c r="SFY106" s="669"/>
      <c r="SFZ106" s="669"/>
      <c r="SGA106" s="669"/>
      <c r="SGB106" s="669"/>
      <c r="SGC106" s="669"/>
      <c r="SGD106" s="669"/>
      <c r="SGE106" s="669"/>
      <c r="SGF106" s="669"/>
      <c r="SGG106" s="669"/>
      <c r="SGH106" s="669"/>
      <c r="SGI106" s="669"/>
      <c r="SGJ106" s="669"/>
      <c r="SGK106" s="669"/>
      <c r="SGL106" s="669"/>
      <c r="SGM106" s="669"/>
      <c r="SGN106" s="669"/>
      <c r="SGO106" s="669"/>
      <c r="SGP106" s="669"/>
      <c r="SGQ106" s="669"/>
      <c r="SGR106" s="669"/>
      <c r="SGS106" s="669"/>
      <c r="SGT106" s="669"/>
      <c r="SGU106" s="669"/>
      <c r="SGV106" s="669"/>
      <c r="SGW106" s="669"/>
      <c r="SGX106" s="669"/>
      <c r="SGY106" s="669"/>
      <c r="SGZ106" s="669"/>
      <c r="SHA106" s="669"/>
      <c r="SHB106" s="669"/>
      <c r="SHC106" s="669"/>
      <c r="SHD106" s="669"/>
      <c r="SHE106" s="669"/>
      <c r="SHF106" s="669"/>
      <c r="SHG106" s="669"/>
      <c r="SHH106" s="669"/>
      <c r="SHI106" s="669"/>
      <c r="SHJ106" s="669"/>
      <c r="SHK106" s="669"/>
      <c r="SHL106" s="669"/>
      <c r="SHM106" s="669"/>
      <c r="SHN106" s="669"/>
      <c r="SHO106" s="669"/>
      <c r="SHP106" s="669"/>
      <c r="SHQ106" s="669"/>
      <c r="SHR106" s="669"/>
      <c r="SHS106" s="669"/>
      <c r="SHT106" s="669"/>
      <c r="SHU106" s="669"/>
      <c r="SHV106" s="669"/>
      <c r="SHW106" s="669"/>
      <c r="SHX106" s="669"/>
      <c r="SHY106" s="669"/>
      <c r="SHZ106" s="669"/>
      <c r="SIA106" s="669"/>
      <c r="SIB106" s="669"/>
      <c r="SIC106" s="669"/>
      <c r="SID106" s="669"/>
      <c r="SIE106" s="669"/>
      <c r="SIF106" s="669"/>
      <c r="SIG106" s="669"/>
      <c r="SIH106" s="669"/>
      <c r="SII106" s="669"/>
      <c r="SIJ106" s="669"/>
      <c r="SIK106" s="669"/>
      <c r="SIL106" s="669"/>
      <c r="SIM106" s="669"/>
      <c r="SIN106" s="669"/>
      <c r="SIO106" s="669"/>
      <c r="SIP106" s="669"/>
      <c r="SIQ106" s="669"/>
      <c r="SIR106" s="669"/>
      <c r="SIS106" s="669"/>
      <c r="SIT106" s="669"/>
      <c r="SIU106" s="669"/>
      <c r="SIV106" s="669"/>
      <c r="SIW106" s="669"/>
      <c r="SIX106" s="669"/>
      <c r="SIY106" s="669"/>
      <c r="SIZ106" s="669"/>
      <c r="SJA106" s="669"/>
      <c r="SJB106" s="669"/>
      <c r="SJC106" s="669"/>
      <c r="SJD106" s="669"/>
      <c r="SJE106" s="669"/>
      <c r="SJF106" s="669"/>
      <c r="SJG106" s="669"/>
      <c r="SJH106" s="669"/>
      <c r="SJI106" s="669"/>
      <c r="SJJ106" s="669"/>
      <c r="SJK106" s="669"/>
      <c r="SJL106" s="669"/>
      <c r="SJM106" s="669"/>
      <c r="SJN106" s="669"/>
      <c r="SJO106" s="669"/>
      <c r="SJP106" s="669"/>
      <c r="SJQ106" s="669"/>
      <c r="SJR106" s="669"/>
      <c r="SJS106" s="669"/>
      <c r="SJT106" s="669"/>
      <c r="SJU106" s="669"/>
      <c r="SJV106" s="669"/>
      <c r="SJW106" s="669"/>
      <c r="SJX106" s="669"/>
      <c r="SJY106" s="669"/>
      <c r="SJZ106" s="669"/>
      <c r="SKA106" s="669"/>
      <c r="SKB106" s="669"/>
      <c r="SKC106" s="669"/>
      <c r="SKD106" s="669"/>
      <c r="SKE106" s="669"/>
      <c r="SKF106" s="669"/>
      <c r="SKG106" s="669"/>
      <c r="SKH106" s="669"/>
      <c r="SKI106" s="669"/>
      <c r="SKJ106" s="669"/>
      <c r="SKK106" s="669"/>
      <c r="SKL106" s="669"/>
      <c r="SKM106" s="669"/>
      <c r="SKN106" s="669"/>
      <c r="SKO106" s="669"/>
      <c r="SKP106" s="669"/>
      <c r="SKQ106" s="669"/>
      <c r="SKR106" s="669"/>
      <c r="SKS106" s="669"/>
      <c r="SKT106" s="669"/>
      <c r="SKU106" s="669"/>
      <c r="SKV106" s="669"/>
      <c r="SKW106" s="669"/>
      <c r="SKX106" s="669"/>
      <c r="SKY106" s="669"/>
      <c r="SKZ106" s="669"/>
      <c r="SLA106" s="669"/>
      <c r="SLB106" s="669"/>
      <c r="SLC106" s="669"/>
      <c r="SLD106" s="669"/>
      <c r="SLE106" s="669"/>
      <c r="SLF106" s="669"/>
      <c r="SLG106" s="669"/>
      <c r="SLH106" s="669"/>
      <c r="SLI106" s="669"/>
      <c r="SLJ106" s="669"/>
      <c r="SLK106" s="669"/>
      <c r="SLL106" s="669"/>
      <c r="SLM106" s="669"/>
      <c r="SLN106" s="669"/>
      <c r="SLO106" s="669"/>
      <c r="SLP106" s="669"/>
      <c r="SLQ106" s="669"/>
      <c r="SLR106" s="669"/>
      <c r="SLS106" s="669"/>
      <c r="SLT106" s="669"/>
      <c r="SLU106" s="669"/>
      <c r="SLV106" s="669"/>
      <c r="SLW106" s="669"/>
      <c r="SLX106" s="669"/>
      <c r="SLY106" s="669"/>
      <c r="SLZ106" s="669"/>
      <c r="SMA106" s="669"/>
      <c r="SMB106" s="669"/>
      <c r="SMC106" s="669"/>
      <c r="SMD106" s="669"/>
      <c r="SME106" s="669"/>
      <c r="SMF106" s="669"/>
      <c r="SMG106" s="669"/>
      <c r="SMH106" s="669"/>
      <c r="SMI106" s="669"/>
      <c r="SMJ106" s="669"/>
      <c r="SMK106" s="669"/>
      <c r="SML106" s="669"/>
      <c r="SMM106" s="669"/>
      <c r="SMN106" s="669"/>
      <c r="SMO106" s="669"/>
      <c r="SMP106" s="669"/>
      <c r="SMQ106" s="669"/>
      <c r="SMR106" s="669"/>
      <c r="SMS106" s="669"/>
      <c r="SMT106" s="669"/>
      <c r="SMU106" s="669"/>
      <c r="SMV106" s="669"/>
      <c r="SMW106" s="669"/>
      <c r="SMX106" s="669"/>
      <c r="SMY106" s="669"/>
      <c r="SMZ106" s="669"/>
      <c r="SNA106" s="669"/>
      <c r="SNB106" s="669"/>
      <c r="SNC106" s="669"/>
      <c r="SND106" s="669"/>
      <c r="SNE106" s="669"/>
      <c r="SNF106" s="669"/>
      <c r="SNG106" s="669"/>
      <c r="SNH106" s="669"/>
      <c r="SNI106" s="669"/>
      <c r="SNJ106" s="669"/>
      <c r="SNK106" s="669"/>
      <c r="SNL106" s="669"/>
      <c r="SNM106" s="669"/>
      <c r="SNN106" s="669"/>
      <c r="SNO106" s="669"/>
      <c r="SNP106" s="669"/>
      <c r="SNQ106" s="669"/>
      <c r="SNR106" s="669"/>
      <c r="SNS106" s="669"/>
      <c r="SNT106" s="669"/>
      <c r="SNU106" s="669"/>
      <c r="SNV106" s="669"/>
      <c r="SNW106" s="669"/>
      <c r="SNX106" s="669"/>
      <c r="SNY106" s="669"/>
      <c r="SNZ106" s="669"/>
      <c r="SOA106" s="669"/>
      <c r="SOB106" s="669"/>
      <c r="SOC106" s="669"/>
      <c r="SOD106" s="669"/>
      <c r="SOE106" s="669"/>
      <c r="SOF106" s="669"/>
      <c r="SOG106" s="669"/>
      <c r="SOH106" s="669"/>
      <c r="SOI106" s="669"/>
      <c r="SOJ106" s="669"/>
      <c r="SOK106" s="669"/>
      <c r="SOL106" s="669"/>
      <c r="SOM106" s="669"/>
      <c r="SON106" s="669"/>
      <c r="SOO106" s="669"/>
      <c r="SOP106" s="669"/>
      <c r="SOQ106" s="669"/>
      <c r="SOR106" s="669"/>
      <c r="SOS106" s="669"/>
      <c r="SOT106" s="669"/>
      <c r="SOU106" s="669"/>
      <c r="SOV106" s="669"/>
      <c r="SOW106" s="669"/>
      <c r="SOX106" s="669"/>
      <c r="SOY106" s="669"/>
      <c r="SOZ106" s="669"/>
      <c r="SPA106" s="669"/>
      <c r="SPB106" s="669"/>
      <c r="SPC106" s="669"/>
      <c r="SPD106" s="669"/>
      <c r="SPE106" s="669"/>
      <c r="SPF106" s="669"/>
      <c r="SPG106" s="669"/>
      <c r="SPH106" s="669"/>
      <c r="SPI106" s="669"/>
      <c r="SPJ106" s="669"/>
      <c r="SPK106" s="669"/>
      <c r="SPL106" s="669"/>
      <c r="SPM106" s="669"/>
      <c r="SPN106" s="669"/>
      <c r="SPO106" s="669"/>
      <c r="SPP106" s="669"/>
      <c r="SPQ106" s="669"/>
      <c r="SPR106" s="669"/>
      <c r="SPS106" s="669"/>
      <c r="SPT106" s="669"/>
      <c r="SPU106" s="669"/>
      <c r="SPV106" s="669"/>
      <c r="SPW106" s="669"/>
      <c r="SPX106" s="669"/>
      <c r="SPY106" s="669"/>
      <c r="SPZ106" s="669"/>
      <c r="SQA106" s="669"/>
      <c r="SQB106" s="669"/>
      <c r="SQC106" s="669"/>
      <c r="SQD106" s="669"/>
      <c r="SQE106" s="669"/>
      <c r="SQF106" s="669"/>
      <c r="SQG106" s="669"/>
      <c r="SQH106" s="669"/>
      <c r="SQI106" s="669"/>
      <c r="SQJ106" s="669"/>
      <c r="SQK106" s="669"/>
      <c r="SQL106" s="669"/>
      <c r="SQM106" s="669"/>
      <c r="SQN106" s="669"/>
      <c r="SQO106" s="669"/>
      <c r="SQP106" s="669"/>
      <c r="SQQ106" s="669"/>
      <c r="SQR106" s="669"/>
      <c r="SQS106" s="669"/>
      <c r="SQT106" s="669"/>
      <c r="SQU106" s="669"/>
      <c r="SQV106" s="669"/>
      <c r="SQW106" s="669"/>
      <c r="SQX106" s="669"/>
      <c r="SQY106" s="669"/>
      <c r="SQZ106" s="669"/>
      <c r="SRA106" s="669"/>
      <c r="SRB106" s="669"/>
      <c r="SRC106" s="669"/>
      <c r="SRD106" s="669"/>
      <c r="SRE106" s="669"/>
      <c r="SRF106" s="669"/>
      <c r="SRG106" s="669"/>
      <c r="SRH106" s="669"/>
      <c r="SRI106" s="669"/>
      <c r="SRJ106" s="669"/>
      <c r="SRK106" s="669"/>
      <c r="SRL106" s="669"/>
      <c r="SRM106" s="669"/>
      <c r="SRN106" s="669"/>
      <c r="SRO106" s="669"/>
      <c r="SRP106" s="669"/>
      <c r="SRQ106" s="669"/>
      <c r="SRR106" s="669"/>
      <c r="SRS106" s="669"/>
      <c r="SRT106" s="669"/>
      <c r="SRU106" s="669"/>
      <c r="SRV106" s="669"/>
      <c r="SRW106" s="669"/>
      <c r="SRX106" s="669"/>
      <c r="SRY106" s="669"/>
      <c r="SRZ106" s="669"/>
      <c r="SSA106" s="669"/>
      <c r="SSB106" s="669"/>
      <c r="SSC106" s="669"/>
      <c r="SSD106" s="669"/>
      <c r="SSE106" s="669"/>
      <c r="SSF106" s="669"/>
      <c r="SSG106" s="669"/>
      <c r="SSH106" s="669"/>
      <c r="SSI106" s="669"/>
      <c r="SSJ106" s="669"/>
      <c r="SSK106" s="669"/>
      <c r="SSL106" s="669"/>
      <c r="SSM106" s="669"/>
      <c r="SSN106" s="669"/>
      <c r="SSO106" s="669"/>
      <c r="SSP106" s="669"/>
      <c r="SSQ106" s="669"/>
      <c r="SSR106" s="669"/>
      <c r="SSS106" s="669"/>
      <c r="SST106" s="669"/>
      <c r="SSU106" s="669"/>
      <c r="SSV106" s="669"/>
      <c r="SSW106" s="669"/>
      <c r="SSX106" s="669"/>
      <c r="SSY106" s="669"/>
      <c r="SSZ106" s="669"/>
      <c r="STA106" s="669"/>
      <c r="STB106" s="669"/>
      <c r="STC106" s="669"/>
      <c r="STD106" s="669"/>
      <c r="STE106" s="669"/>
      <c r="STF106" s="669"/>
      <c r="STG106" s="669"/>
      <c r="STH106" s="669"/>
      <c r="STI106" s="669"/>
      <c r="STJ106" s="669"/>
      <c r="STK106" s="669"/>
      <c r="STL106" s="669"/>
      <c r="STM106" s="669"/>
      <c r="STN106" s="669"/>
      <c r="STO106" s="669"/>
      <c r="STP106" s="669"/>
      <c r="STQ106" s="669"/>
      <c r="STR106" s="669"/>
      <c r="STS106" s="669"/>
      <c r="STT106" s="669"/>
      <c r="STU106" s="669"/>
      <c r="STV106" s="669"/>
      <c r="STW106" s="669"/>
      <c r="STX106" s="669"/>
      <c r="STY106" s="669"/>
      <c r="STZ106" s="669"/>
      <c r="SUA106" s="669"/>
      <c r="SUB106" s="669"/>
      <c r="SUC106" s="669"/>
      <c r="SUD106" s="669"/>
      <c r="SUE106" s="669"/>
      <c r="SUF106" s="669"/>
      <c r="SUG106" s="669"/>
      <c r="SUH106" s="669"/>
      <c r="SUI106" s="669"/>
      <c r="SUJ106" s="669"/>
      <c r="SUK106" s="669"/>
      <c r="SUL106" s="669"/>
      <c r="SUM106" s="669"/>
      <c r="SUN106" s="669"/>
      <c r="SUO106" s="669"/>
      <c r="SUP106" s="669"/>
      <c r="SUQ106" s="669"/>
      <c r="SUR106" s="669"/>
      <c r="SUS106" s="669"/>
      <c r="SUT106" s="669"/>
      <c r="SUU106" s="669"/>
      <c r="SUV106" s="669"/>
      <c r="SUW106" s="669"/>
      <c r="SUX106" s="669"/>
      <c r="SUY106" s="669"/>
      <c r="SUZ106" s="669"/>
      <c r="SVA106" s="669"/>
      <c r="SVB106" s="669"/>
      <c r="SVC106" s="669"/>
      <c r="SVD106" s="669"/>
      <c r="SVE106" s="669"/>
      <c r="SVF106" s="669"/>
      <c r="SVG106" s="669"/>
      <c r="SVH106" s="669"/>
      <c r="SVI106" s="669"/>
      <c r="SVJ106" s="669"/>
      <c r="SVK106" s="669"/>
      <c r="SVL106" s="669"/>
      <c r="SVM106" s="669"/>
      <c r="SVN106" s="669"/>
      <c r="SVO106" s="669"/>
      <c r="SVP106" s="669"/>
      <c r="SVQ106" s="669"/>
      <c r="SVR106" s="669"/>
      <c r="SVS106" s="669"/>
      <c r="SVT106" s="669"/>
      <c r="SVU106" s="669"/>
      <c r="SVV106" s="669"/>
      <c r="SVW106" s="669"/>
      <c r="SVX106" s="669"/>
      <c r="SVY106" s="669"/>
      <c r="SVZ106" s="669"/>
      <c r="SWA106" s="669"/>
      <c r="SWB106" s="669"/>
      <c r="SWC106" s="669"/>
      <c r="SWD106" s="669"/>
      <c r="SWE106" s="669"/>
      <c r="SWF106" s="669"/>
      <c r="SWG106" s="669"/>
      <c r="SWH106" s="669"/>
      <c r="SWI106" s="669"/>
      <c r="SWJ106" s="669"/>
      <c r="SWK106" s="669"/>
      <c r="SWL106" s="669"/>
      <c r="SWM106" s="669"/>
      <c r="SWN106" s="669"/>
      <c r="SWO106" s="669"/>
      <c r="SWP106" s="669"/>
      <c r="SWQ106" s="669"/>
      <c r="SWR106" s="669"/>
      <c r="SWS106" s="669"/>
      <c r="SWT106" s="669"/>
      <c r="SWU106" s="669"/>
      <c r="SWV106" s="669"/>
      <c r="SWW106" s="669"/>
      <c r="SWX106" s="669"/>
      <c r="SWY106" s="669"/>
      <c r="SWZ106" s="669"/>
      <c r="SXA106" s="669"/>
      <c r="SXB106" s="669"/>
      <c r="SXC106" s="669"/>
      <c r="SXD106" s="669"/>
      <c r="SXE106" s="669"/>
      <c r="SXF106" s="669"/>
      <c r="SXG106" s="669"/>
      <c r="SXH106" s="669"/>
      <c r="SXI106" s="669"/>
      <c r="SXJ106" s="669"/>
      <c r="SXK106" s="669"/>
      <c r="SXL106" s="669"/>
      <c r="SXM106" s="669"/>
      <c r="SXN106" s="669"/>
      <c r="SXO106" s="669"/>
      <c r="SXP106" s="669"/>
      <c r="SXQ106" s="669"/>
      <c r="SXR106" s="669"/>
      <c r="SXS106" s="669"/>
      <c r="SXT106" s="669"/>
      <c r="SXU106" s="669"/>
      <c r="SXV106" s="669"/>
      <c r="SXW106" s="669"/>
      <c r="SXX106" s="669"/>
      <c r="SXY106" s="669"/>
      <c r="SXZ106" s="669"/>
      <c r="SYA106" s="669"/>
      <c r="SYB106" s="669"/>
      <c r="SYC106" s="669"/>
      <c r="SYD106" s="669"/>
      <c r="SYE106" s="669"/>
      <c r="SYF106" s="669"/>
      <c r="SYG106" s="669"/>
      <c r="SYH106" s="669"/>
      <c r="SYI106" s="669"/>
      <c r="SYJ106" s="669"/>
      <c r="SYK106" s="669"/>
      <c r="SYL106" s="669"/>
      <c r="SYM106" s="669"/>
      <c r="SYN106" s="669"/>
      <c r="SYO106" s="669"/>
      <c r="SYP106" s="669"/>
      <c r="SYQ106" s="669"/>
      <c r="SYR106" s="669"/>
      <c r="SYS106" s="669"/>
      <c r="SYT106" s="669"/>
      <c r="SYU106" s="669"/>
      <c r="SYV106" s="669"/>
      <c r="SYW106" s="669"/>
      <c r="SYX106" s="669"/>
      <c r="SYY106" s="669"/>
      <c r="SYZ106" s="669"/>
      <c r="SZA106" s="669"/>
      <c r="SZB106" s="669"/>
      <c r="SZC106" s="669"/>
      <c r="SZD106" s="669"/>
      <c r="SZE106" s="669"/>
      <c r="SZF106" s="669"/>
      <c r="SZG106" s="669"/>
      <c r="SZH106" s="669"/>
      <c r="SZI106" s="669"/>
      <c r="SZJ106" s="669"/>
      <c r="SZK106" s="669"/>
      <c r="SZL106" s="669"/>
      <c r="SZM106" s="669"/>
      <c r="SZN106" s="669"/>
      <c r="SZO106" s="669"/>
      <c r="SZP106" s="669"/>
      <c r="SZQ106" s="669"/>
      <c r="SZR106" s="669"/>
      <c r="SZS106" s="669"/>
      <c r="SZT106" s="669"/>
      <c r="SZU106" s="669"/>
      <c r="SZV106" s="669"/>
      <c r="SZW106" s="669"/>
      <c r="SZX106" s="669"/>
      <c r="SZY106" s="669"/>
      <c r="SZZ106" s="669"/>
      <c r="TAA106" s="669"/>
      <c r="TAB106" s="669"/>
      <c r="TAC106" s="669"/>
      <c r="TAD106" s="669"/>
      <c r="TAE106" s="669"/>
      <c r="TAF106" s="669"/>
      <c r="TAG106" s="669"/>
      <c r="TAH106" s="669"/>
      <c r="TAI106" s="669"/>
      <c r="TAJ106" s="669"/>
      <c r="TAK106" s="669"/>
      <c r="TAL106" s="669"/>
      <c r="TAM106" s="669"/>
      <c r="TAN106" s="669"/>
      <c r="TAO106" s="669"/>
      <c r="TAP106" s="669"/>
      <c r="TAQ106" s="669"/>
      <c r="TAR106" s="669"/>
      <c r="TAS106" s="669"/>
      <c r="TAT106" s="669"/>
      <c r="TAU106" s="669"/>
      <c r="TAV106" s="669"/>
      <c r="TAW106" s="669"/>
      <c r="TAX106" s="669"/>
      <c r="TAY106" s="669"/>
      <c r="TAZ106" s="669"/>
      <c r="TBA106" s="669"/>
      <c r="TBB106" s="669"/>
      <c r="TBC106" s="669"/>
      <c r="TBD106" s="669"/>
      <c r="TBE106" s="669"/>
      <c r="TBF106" s="669"/>
      <c r="TBG106" s="669"/>
      <c r="TBH106" s="669"/>
      <c r="TBI106" s="669"/>
      <c r="TBJ106" s="669"/>
      <c r="TBK106" s="669"/>
      <c r="TBL106" s="669"/>
      <c r="TBM106" s="669"/>
      <c r="TBN106" s="669"/>
      <c r="TBO106" s="669"/>
      <c r="TBP106" s="669"/>
      <c r="TBQ106" s="669"/>
      <c r="TBR106" s="669"/>
      <c r="TBS106" s="669"/>
      <c r="TBT106" s="669"/>
      <c r="TBU106" s="669"/>
      <c r="TBV106" s="669"/>
      <c r="TBW106" s="669"/>
      <c r="TBX106" s="669"/>
      <c r="TBY106" s="669"/>
      <c r="TBZ106" s="669"/>
      <c r="TCA106" s="669"/>
      <c r="TCB106" s="669"/>
      <c r="TCC106" s="669"/>
      <c r="TCD106" s="669"/>
      <c r="TCE106" s="669"/>
      <c r="TCF106" s="669"/>
      <c r="TCG106" s="669"/>
      <c r="TCH106" s="669"/>
      <c r="TCI106" s="669"/>
      <c r="TCJ106" s="669"/>
      <c r="TCK106" s="669"/>
      <c r="TCL106" s="669"/>
      <c r="TCM106" s="669"/>
      <c r="TCN106" s="669"/>
      <c r="TCO106" s="669"/>
      <c r="TCP106" s="669"/>
      <c r="TCQ106" s="669"/>
      <c r="TCR106" s="669"/>
      <c r="TCS106" s="669"/>
      <c r="TCT106" s="669"/>
      <c r="TCU106" s="669"/>
      <c r="TCV106" s="669"/>
      <c r="TCW106" s="669"/>
      <c r="TCX106" s="669"/>
      <c r="TCY106" s="669"/>
      <c r="TCZ106" s="669"/>
      <c r="TDA106" s="669"/>
      <c r="TDB106" s="669"/>
      <c r="TDC106" s="669"/>
      <c r="TDD106" s="669"/>
      <c r="TDE106" s="669"/>
      <c r="TDF106" s="669"/>
      <c r="TDG106" s="669"/>
      <c r="TDH106" s="669"/>
      <c r="TDI106" s="669"/>
      <c r="TDJ106" s="669"/>
      <c r="TDK106" s="669"/>
      <c r="TDL106" s="669"/>
      <c r="TDM106" s="669"/>
      <c r="TDN106" s="669"/>
      <c r="TDO106" s="669"/>
      <c r="TDP106" s="669"/>
      <c r="TDQ106" s="669"/>
      <c r="TDR106" s="669"/>
      <c r="TDS106" s="669"/>
      <c r="TDT106" s="669"/>
      <c r="TDU106" s="669"/>
      <c r="TDV106" s="669"/>
      <c r="TDW106" s="669"/>
      <c r="TDX106" s="669"/>
      <c r="TDY106" s="669"/>
      <c r="TDZ106" s="669"/>
      <c r="TEA106" s="669"/>
      <c r="TEB106" s="669"/>
      <c r="TEC106" s="669"/>
      <c r="TED106" s="669"/>
      <c r="TEE106" s="669"/>
      <c r="TEF106" s="669"/>
      <c r="TEG106" s="669"/>
      <c r="TEH106" s="669"/>
      <c r="TEI106" s="669"/>
      <c r="TEJ106" s="669"/>
      <c r="TEK106" s="669"/>
      <c r="TEL106" s="669"/>
      <c r="TEM106" s="669"/>
      <c r="TEN106" s="669"/>
      <c r="TEO106" s="669"/>
      <c r="TEP106" s="669"/>
      <c r="TEQ106" s="669"/>
      <c r="TER106" s="669"/>
      <c r="TES106" s="669"/>
      <c r="TET106" s="669"/>
      <c r="TEU106" s="669"/>
      <c r="TEV106" s="669"/>
      <c r="TEW106" s="669"/>
      <c r="TEX106" s="669"/>
      <c r="TEY106" s="669"/>
      <c r="TEZ106" s="669"/>
      <c r="TFA106" s="669"/>
      <c r="TFB106" s="669"/>
      <c r="TFC106" s="669"/>
      <c r="TFD106" s="669"/>
      <c r="TFE106" s="669"/>
      <c r="TFF106" s="669"/>
      <c r="TFG106" s="669"/>
      <c r="TFH106" s="669"/>
      <c r="TFI106" s="669"/>
      <c r="TFJ106" s="669"/>
      <c r="TFK106" s="669"/>
      <c r="TFL106" s="669"/>
      <c r="TFM106" s="669"/>
      <c r="TFN106" s="669"/>
      <c r="TFO106" s="669"/>
      <c r="TFP106" s="669"/>
      <c r="TFQ106" s="669"/>
      <c r="TFR106" s="669"/>
      <c r="TFS106" s="669"/>
      <c r="TFT106" s="669"/>
      <c r="TFU106" s="669"/>
      <c r="TFV106" s="669"/>
      <c r="TFW106" s="669"/>
      <c r="TFX106" s="669"/>
      <c r="TFY106" s="669"/>
      <c r="TFZ106" s="669"/>
      <c r="TGA106" s="669"/>
      <c r="TGB106" s="669"/>
      <c r="TGC106" s="669"/>
      <c r="TGD106" s="669"/>
      <c r="TGE106" s="669"/>
      <c r="TGF106" s="669"/>
      <c r="TGG106" s="669"/>
      <c r="TGH106" s="669"/>
      <c r="TGI106" s="669"/>
      <c r="TGJ106" s="669"/>
      <c r="TGK106" s="669"/>
      <c r="TGL106" s="669"/>
      <c r="TGM106" s="669"/>
      <c r="TGN106" s="669"/>
      <c r="TGO106" s="669"/>
      <c r="TGP106" s="669"/>
      <c r="TGQ106" s="669"/>
      <c r="TGR106" s="669"/>
      <c r="TGS106" s="669"/>
      <c r="TGT106" s="669"/>
      <c r="TGU106" s="669"/>
      <c r="TGV106" s="669"/>
      <c r="TGW106" s="669"/>
      <c r="TGX106" s="669"/>
      <c r="TGY106" s="669"/>
      <c r="TGZ106" s="669"/>
      <c r="THA106" s="669"/>
      <c r="THB106" s="669"/>
      <c r="THC106" s="669"/>
      <c r="THD106" s="669"/>
      <c r="THE106" s="669"/>
      <c r="THF106" s="669"/>
      <c r="THG106" s="669"/>
      <c r="THH106" s="669"/>
      <c r="THI106" s="669"/>
      <c r="THJ106" s="669"/>
      <c r="THK106" s="669"/>
      <c r="THL106" s="669"/>
      <c r="THM106" s="669"/>
      <c r="THN106" s="669"/>
      <c r="THO106" s="669"/>
      <c r="THP106" s="669"/>
      <c r="THQ106" s="669"/>
      <c r="THR106" s="669"/>
      <c r="THS106" s="669"/>
      <c r="THT106" s="669"/>
      <c r="THU106" s="669"/>
      <c r="THV106" s="669"/>
      <c r="THW106" s="669"/>
      <c r="THX106" s="669"/>
      <c r="THY106" s="669"/>
      <c r="THZ106" s="669"/>
      <c r="TIA106" s="669"/>
      <c r="TIB106" s="669"/>
      <c r="TIC106" s="669"/>
      <c r="TID106" s="669"/>
      <c r="TIE106" s="669"/>
      <c r="TIF106" s="669"/>
      <c r="TIG106" s="669"/>
      <c r="TIH106" s="669"/>
      <c r="TII106" s="669"/>
      <c r="TIJ106" s="669"/>
      <c r="TIK106" s="669"/>
      <c r="TIL106" s="669"/>
      <c r="TIM106" s="669"/>
      <c r="TIN106" s="669"/>
      <c r="TIO106" s="669"/>
      <c r="TIP106" s="669"/>
      <c r="TIQ106" s="669"/>
      <c r="TIR106" s="669"/>
      <c r="TIS106" s="669"/>
      <c r="TIT106" s="669"/>
      <c r="TIU106" s="669"/>
      <c r="TIV106" s="669"/>
      <c r="TIW106" s="669"/>
      <c r="TIX106" s="669"/>
      <c r="TIY106" s="669"/>
      <c r="TIZ106" s="669"/>
      <c r="TJA106" s="669"/>
      <c r="TJB106" s="669"/>
      <c r="TJC106" s="669"/>
      <c r="TJD106" s="669"/>
      <c r="TJE106" s="669"/>
      <c r="TJF106" s="669"/>
      <c r="TJG106" s="669"/>
      <c r="TJH106" s="669"/>
      <c r="TJI106" s="669"/>
      <c r="TJJ106" s="669"/>
      <c r="TJK106" s="669"/>
      <c r="TJL106" s="669"/>
      <c r="TJM106" s="669"/>
      <c r="TJN106" s="669"/>
      <c r="TJO106" s="669"/>
      <c r="TJP106" s="669"/>
      <c r="TJQ106" s="669"/>
      <c r="TJR106" s="669"/>
      <c r="TJS106" s="669"/>
      <c r="TJT106" s="669"/>
      <c r="TJU106" s="669"/>
      <c r="TJV106" s="669"/>
      <c r="TJW106" s="669"/>
      <c r="TJX106" s="669"/>
      <c r="TJY106" s="669"/>
      <c r="TJZ106" s="669"/>
      <c r="TKA106" s="669"/>
      <c r="TKB106" s="669"/>
      <c r="TKC106" s="669"/>
      <c r="TKD106" s="669"/>
      <c r="TKE106" s="669"/>
      <c r="TKF106" s="669"/>
      <c r="TKG106" s="669"/>
      <c r="TKH106" s="669"/>
      <c r="TKI106" s="669"/>
      <c r="TKJ106" s="669"/>
      <c r="TKK106" s="669"/>
      <c r="TKL106" s="669"/>
      <c r="TKM106" s="669"/>
      <c r="TKN106" s="669"/>
      <c r="TKO106" s="669"/>
      <c r="TKP106" s="669"/>
      <c r="TKQ106" s="669"/>
      <c r="TKR106" s="669"/>
      <c r="TKS106" s="669"/>
      <c r="TKT106" s="669"/>
      <c r="TKU106" s="669"/>
      <c r="TKV106" s="669"/>
      <c r="TKW106" s="669"/>
      <c r="TKX106" s="669"/>
      <c r="TKY106" s="669"/>
      <c r="TKZ106" s="669"/>
      <c r="TLA106" s="669"/>
      <c r="TLB106" s="669"/>
      <c r="TLC106" s="669"/>
      <c r="TLD106" s="669"/>
      <c r="TLE106" s="669"/>
      <c r="TLF106" s="669"/>
      <c r="TLG106" s="669"/>
      <c r="TLH106" s="669"/>
      <c r="TLI106" s="669"/>
      <c r="TLJ106" s="669"/>
      <c r="TLK106" s="669"/>
      <c r="TLL106" s="669"/>
      <c r="TLM106" s="669"/>
      <c r="TLN106" s="669"/>
      <c r="TLO106" s="669"/>
      <c r="TLP106" s="669"/>
      <c r="TLQ106" s="669"/>
      <c r="TLR106" s="669"/>
      <c r="TLS106" s="669"/>
      <c r="TLT106" s="669"/>
      <c r="TLU106" s="669"/>
      <c r="TLV106" s="669"/>
      <c r="TLW106" s="669"/>
      <c r="TLX106" s="669"/>
      <c r="TLY106" s="669"/>
      <c r="TLZ106" s="669"/>
      <c r="TMA106" s="669"/>
      <c r="TMB106" s="669"/>
      <c r="TMC106" s="669"/>
      <c r="TMD106" s="669"/>
      <c r="TME106" s="669"/>
      <c r="TMF106" s="669"/>
      <c r="TMG106" s="669"/>
      <c r="TMH106" s="669"/>
      <c r="TMI106" s="669"/>
      <c r="TMJ106" s="669"/>
      <c r="TMK106" s="669"/>
      <c r="TML106" s="669"/>
      <c r="TMM106" s="669"/>
      <c r="TMN106" s="669"/>
      <c r="TMO106" s="669"/>
      <c r="TMP106" s="669"/>
      <c r="TMQ106" s="669"/>
      <c r="TMR106" s="669"/>
      <c r="TMS106" s="669"/>
      <c r="TMT106" s="669"/>
      <c r="TMU106" s="669"/>
      <c r="TMV106" s="669"/>
      <c r="TMW106" s="669"/>
      <c r="TMX106" s="669"/>
      <c r="TMY106" s="669"/>
      <c r="TMZ106" s="669"/>
      <c r="TNA106" s="669"/>
      <c r="TNB106" s="669"/>
      <c r="TNC106" s="669"/>
      <c r="TND106" s="669"/>
      <c r="TNE106" s="669"/>
      <c r="TNF106" s="669"/>
      <c r="TNG106" s="669"/>
      <c r="TNH106" s="669"/>
      <c r="TNI106" s="669"/>
      <c r="TNJ106" s="669"/>
      <c r="TNK106" s="669"/>
      <c r="TNL106" s="669"/>
      <c r="TNM106" s="669"/>
      <c r="TNN106" s="669"/>
      <c r="TNO106" s="669"/>
      <c r="TNP106" s="669"/>
      <c r="TNQ106" s="669"/>
      <c r="TNR106" s="669"/>
      <c r="TNS106" s="669"/>
      <c r="TNT106" s="669"/>
      <c r="TNU106" s="669"/>
      <c r="TNV106" s="669"/>
      <c r="TNW106" s="669"/>
      <c r="TNX106" s="669"/>
      <c r="TNY106" s="669"/>
      <c r="TNZ106" s="669"/>
      <c r="TOA106" s="669"/>
      <c r="TOB106" s="669"/>
      <c r="TOC106" s="669"/>
      <c r="TOD106" s="669"/>
      <c r="TOE106" s="669"/>
      <c r="TOF106" s="669"/>
      <c r="TOG106" s="669"/>
      <c r="TOH106" s="669"/>
      <c r="TOI106" s="669"/>
      <c r="TOJ106" s="669"/>
      <c r="TOK106" s="669"/>
      <c r="TOL106" s="669"/>
      <c r="TOM106" s="669"/>
      <c r="TON106" s="669"/>
      <c r="TOO106" s="669"/>
      <c r="TOP106" s="669"/>
      <c r="TOQ106" s="669"/>
      <c r="TOR106" s="669"/>
      <c r="TOS106" s="669"/>
      <c r="TOT106" s="669"/>
      <c r="TOU106" s="669"/>
      <c r="TOV106" s="669"/>
      <c r="TOW106" s="669"/>
      <c r="TOX106" s="669"/>
      <c r="TOY106" s="669"/>
      <c r="TOZ106" s="669"/>
      <c r="TPA106" s="669"/>
      <c r="TPB106" s="669"/>
      <c r="TPC106" s="669"/>
      <c r="TPD106" s="669"/>
      <c r="TPE106" s="669"/>
      <c r="TPF106" s="669"/>
      <c r="TPG106" s="669"/>
      <c r="TPH106" s="669"/>
      <c r="TPI106" s="669"/>
      <c r="TPJ106" s="669"/>
      <c r="TPK106" s="669"/>
      <c r="TPL106" s="669"/>
      <c r="TPM106" s="669"/>
      <c r="TPN106" s="669"/>
      <c r="TPO106" s="669"/>
      <c r="TPP106" s="669"/>
      <c r="TPQ106" s="669"/>
      <c r="TPR106" s="669"/>
      <c r="TPS106" s="669"/>
      <c r="TPT106" s="669"/>
      <c r="TPU106" s="669"/>
      <c r="TPV106" s="669"/>
      <c r="TPW106" s="669"/>
      <c r="TPX106" s="669"/>
      <c r="TPY106" s="669"/>
      <c r="TPZ106" s="669"/>
      <c r="TQA106" s="669"/>
      <c r="TQB106" s="669"/>
      <c r="TQC106" s="669"/>
      <c r="TQD106" s="669"/>
      <c r="TQE106" s="669"/>
      <c r="TQF106" s="669"/>
      <c r="TQG106" s="669"/>
      <c r="TQH106" s="669"/>
      <c r="TQI106" s="669"/>
      <c r="TQJ106" s="669"/>
      <c r="TQK106" s="669"/>
      <c r="TQL106" s="669"/>
      <c r="TQM106" s="669"/>
      <c r="TQN106" s="669"/>
      <c r="TQO106" s="669"/>
      <c r="TQP106" s="669"/>
      <c r="TQQ106" s="669"/>
      <c r="TQR106" s="669"/>
      <c r="TQS106" s="669"/>
      <c r="TQT106" s="669"/>
      <c r="TQU106" s="669"/>
      <c r="TQV106" s="669"/>
      <c r="TQW106" s="669"/>
      <c r="TQX106" s="669"/>
      <c r="TQY106" s="669"/>
      <c r="TQZ106" s="669"/>
      <c r="TRA106" s="669"/>
      <c r="TRB106" s="669"/>
      <c r="TRC106" s="669"/>
      <c r="TRD106" s="669"/>
      <c r="TRE106" s="669"/>
      <c r="TRF106" s="669"/>
      <c r="TRG106" s="669"/>
      <c r="TRH106" s="669"/>
      <c r="TRI106" s="669"/>
      <c r="TRJ106" s="669"/>
      <c r="TRK106" s="669"/>
      <c r="TRL106" s="669"/>
      <c r="TRM106" s="669"/>
      <c r="TRN106" s="669"/>
      <c r="TRO106" s="669"/>
      <c r="TRP106" s="669"/>
      <c r="TRQ106" s="669"/>
      <c r="TRR106" s="669"/>
      <c r="TRS106" s="669"/>
      <c r="TRT106" s="669"/>
      <c r="TRU106" s="669"/>
      <c r="TRV106" s="669"/>
      <c r="TRW106" s="669"/>
      <c r="TRX106" s="669"/>
      <c r="TRY106" s="669"/>
      <c r="TRZ106" s="669"/>
      <c r="TSA106" s="669"/>
      <c r="TSB106" s="669"/>
      <c r="TSC106" s="669"/>
      <c r="TSD106" s="669"/>
      <c r="TSE106" s="669"/>
      <c r="TSF106" s="669"/>
      <c r="TSG106" s="669"/>
      <c r="TSH106" s="669"/>
      <c r="TSI106" s="669"/>
      <c r="TSJ106" s="669"/>
      <c r="TSK106" s="669"/>
      <c r="TSL106" s="669"/>
      <c r="TSM106" s="669"/>
      <c r="TSN106" s="669"/>
      <c r="TSO106" s="669"/>
      <c r="TSP106" s="669"/>
      <c r="TSQ106" s="669"/>
      <c r="TSR106" s="669"/>
      <c r="TSS106" s="669"/>
      <c r="TST106" s="669"/>
      <c r="TSU106" s="669"/>
      <c r="TSV106" s="669"/>
      <c r="TSW106" s="669"/>
      <c r="TSX106" s="669"/>
      <c r="TSY106" s="669"/>
      <c r="TSZ106" s="669"/>
      <c r="TTA106" s="669"/>
      <c r="TTB106" s="669"/>
      <c r="TTC106" s="669"/>
      <c r="TTD106" s="669"/>
      <c r="TTE106" s="669"/>
      <c r="TTF106" s="669"/>
      <c r="TTG106" s="669"/>
      <c r="TTH106" s="669"/>
      <c r="TTI106" s="669"/>
      <c r="TTJ106" s="669"/>
      <c r="TTK106" s="669"/>
      <c r="TTL106" s="669"/>
      <c r="TTM106" s="669"/>
      <c r="TTN106" s="669"/>
      <c r="TTO106" s="669"/>
      <c r="TTP106" s="669"/>
      <c r="TTQ106" s="669"/>
      <c r="TTR106" s="669"/>
      <c r="TTS106" s="669"/>
      <c r="TTT106" s="669"/>
      <c r="TTU106" s="669"/>
      <c r="TTV106" s="669"/>
      <c r="TTW106" s="669"/>
      <c r="TTX106" s="669"/>
      <c r="TTY106" s="669"/>
      <c r="TTZ106" s="669"/>
      <c r="TUA106" s="669"/>
      <c r="TUB106" s="669"/>
      <c r="TUC106" s="669"/>
      <c r="TUD106" s="669"/>
      <c r="TUE106" s="669"/>
      <c r="TUF106" s="669"/>
      <c r="TUG106" s="669"/>
      <c r="TUH106" s="669"/>
      <c r="TUI106" s="669"/>
      <c r="TUJ106" s="669"/>
      <c r="TUK106" s="669"/>
      <c r="TUL106" s="669"/>
      <c r="TUM106" s="669"/>
      <c r="TUN106" s="669"/>
      <c r="TUO106" s="669"/>
      <c r="TUP106" s="669"/>
      <c r="TUQ106" s="669"/>
      <c r="TUR106" s="669"/>
      <c r="TUS106" s="669"/>
      <c r="TUT106" s="669"/>
      <c r="TUU106" s="669"/>
      <c r="TUV106" s="669"/>
      <c r="TUW106" s="669"/>
      <c r="TUX106" s="669"/>
      <c r="TUY106" s="669"/>
      <c r="TUZ106" s="669"/>
      <c r="TVA106" s="669"/>
      <c r="TVB106" s="669"/>
      <c r="TVC106" s="669"/>
      <c r="TVD106" s="669"/>
      <c r="TVE106" s="669"/>
      <c r="TVF106" s="669"/>
      <c r="TVG106" s="669"/>
      <c r="TVH106" s="669"/>
      <c r="TVI106" s="669"/>
      <c r="TVJ106" s="669"/>
      <c r="TVK106" s="669"/>
      <c r="TVL106" s="669"/>
      <c r="TVM106" s="669"/>
      <c r="TVN106" s="669"/>
      <c r="TVO106" s="669"/>
      <c r="TVP106" s="669"/>
      <c r="TVQ106" s="669"/>
      <c r="TVR106" s="669"/>
      <c r="TVS106" s="669"/>
      <c r="TVT106" s="669"/>
      <c r="TVU106" s="669"/>
      <c r="TVV106" s="669"/>
      <c r="TVW106" s="669"/>
      <c r="TVX106" s="669"/>
      <c r="TVY106" s="669"/>
      <c r="TVZ106" s="669"/>
      <c r="TWA106" s="669"/>
      <c r="TWB106" s="669"/>
      <c r="TWC106" s="669"/>
      <c r="TWD106" s="669"/>
      <c r="TWE106" s="669"/>
      <c r="TWF106" s="669"/>
      <c r="TWG106" s="669"/>
      <c r="TWH106" s="669"/>
      <c r="TWI106" s="669"/>
      <c r="TWJ106" s="669"/>
      <c r="TWK106" s="669"/>
      <c r="TWL106" s="669"/>
      <c r="TWM106" s="669"/>
      <c r="TWN106" s="669"/>
      <c r="TWO106" s="669"/>
      <c r="TWP106" s="669"/>
      <c r="TWQ106" s="669"/>
      <c r="TWR106" s="669"/>
      <c r="TWS106" s="669"/>
      <c r="TWT106" s="669"/>
      <c r="TWU106" s="669"/>
      <c r="TWV106" s="669"/>
      <c r="TWW106" s="669"/>
      <c r="TWX106" s="669"/>
      <c r="TWY106" s="669"/>
      <c r="TWZ106" s="669"/>
      <c r="TXA106" s="669"/>
      <c r="TXB106" s="669"/>
      <c r="TXC106" s="669"/>
      <c r="TXD106" s="669"/>
      <c r="TXE106" s="669"/>
      <c r="TXF106" s="669"/>
      <c r="TXG106" s="669"/>
      <c r="TXH106" s="669"/>
      <c r="TXI106" s="669"/>
      <c r="TXJ106" s="669"/>
      <c r="TXK106" s="669"/>
      <c r="TXL106" s="669"/>
      <c r="TXM106" s="669"/>
      <c r="TXN106" s="669"/>
      <c r="TXO106" s="669"/>
      <c r="TXP106" s="669"/>
      <c r="TXQ106" s="669"/>
      <c r="TXR106" s="669"/>
      <c r="TXS106" s="669"/>
      <c r="TXT106" s="669"/>
      <c r="TXU106" s="669"/>
      <c r="TXV106" s="669"/>
      <c r="TXW106" s="669"/>
      <c r="TXX106" s="669"/>
      <c r="TXY106" s="669"/>
      <c r="TXZ106" s="669"/>
      <c r="TYA106" s="669"/>
      <c r="TYB106" s="669"/>
      <c r="TYC106" s="669"/>
      <c r="TYD106" s="669"/>
      <c r="TYE106" s="669"/>
      <c r="TYF106" s="669"/>
      <c r="TYG106" s="669"/>
      <c r="TYH106" s="669"/>
      <c r="TYI106" s="669"/>
      <c r="TYJ106" s="669"/>
      <c r="TYK106" s="669"/>
      <c r="TYL106" s="669"/>
      <c r="TYM106" s="669"/>
      <c r="TYN106" s="669"/>
      <c r="TYO106" s="669"/>
      <c r="TYP106" s="669"/>
      <c r="TYQ106" s="669"/>
      <c r="TYR106" s="669"/>
      <c r="TYS106" s="669"/>
      <c r="TYT106" s="669"/>
      <c r="TYU106" s="669"/>
      <c r="TYV106" s="669"/>
      <c r="TYW106" s="669"/>
      <c r="TYX106" s="669"/>
      <c r="TYY106" s="669"/>
      <c r="TYZ106" s="669"/>
      <c r="TZA106" s="669"/>
      <c r="TZB106" s="669"/>
      <c r="TZC106" s="669"/>
      <c r="TZD106" s="669"/>
      <c r="TZE106" s="669"/>
      <c r="TZF106" s="669"/>
      <c r="TZG106" s="669"/>
      <c r="TZH106" s="669"/>
      <c r="TZI106" s="669"/>
      <c r="TZJ106" s="669"/>
      <c r="TZK106" s="669"/>
      <c r="TZL106" s="669"/>
      <c r="TZM106" s="669"/>
      <c r="TZN106" s="669"/>
      <c r="TZO106" s="669"/>
      <c r="TZP106" s="669"/>
      <c r="TZQ106" s="669"/>
      <c r="TZR106" s="669"/>
      <c r="TZS106" s="669"/>
      <c r="TZT106" s="669"/>
      <c r="TZU106" s="669"/>
      <c r="TZV106" s="669"/>
      <c r="TZW106" s="669"/>
      <c r="TZX106" s="669"/>
      <c r="TZY106" s="669"/>
      <c r="TZZ106" s="669"/>
      <c r="UAA106" s="669"/>
      <c r="UAB106" s="669"/>
      <c r="UAC106" s="669"/>
      <c r="UAD106" s="669"/>
      <c r="UAE106" s="669"/>
      <c r="UAF106" s="669"/>
      <c r="UAG106" s="669"/>
      <c r="UAH106" s="669"/>
      <c r="UAI106" s="669"/>
      <c r="UAJ106" s="669"/>
      <c r="UAK106" s="669"/>
      <c r="UAL106" s="669"/>
      <c r="UAM106" s="669"/>
      <c r="UAN106" s="669"/>
      <c r="UAO106" s="669"/>
      <c r="UAP106" s="669"/>
      <c r="UAQ106" s="669"/>
      <c r="UAR106" s="669"/>
      <c r="UAS106" s="669"/>
      <c r="UAT106" s="669"/>
      <c r="UAU106" s="669"/>
      <c r="UAV106" s="669"/>
      <c r="UAW106" s="669"/>
      <c r="UAX106" s="669"/>
      <c r="UAY106" s="669"/>
      <c r="UAZ106" s="669"/>
      <c r="UBA106" s="669"/>
      <c r="UBB106" s="669"/>
      <c r="UBC106" s="669"/>
      <c r="UBD106" s="669"/>
      <c r="UBE106" s="669"/>
      <c r="UBF106" s="669"/>
      <c r="UBG106" s="669"/>
      <c r="UBH106" s="669"/>
      <c r="UBI106" s="669"/>
      <c r="UBJ106" s="669"/>
      <c r="UBK106" s="669"/>
      <c r="UBL106" s="669"/>
      <c r="UBM106" s="669"/>
      <c r="UBN106" s="669"/>
      <c r="UBO106" s="669"/>
      <c r="UBP106" s="669"/>
      <c r="UBQ106" s="669"/>
      <c r="UBR106" s="669"/>
      <c r="UBS106" s="669"/>
      <c r="UBT106" s="669"/>
      <c r="UBU106" s="669"/>
      <c r="UBV106" s="669"/>
      <c r="UBW106" s="669"/>
      <c r="UBX106" s="669"/>
      <c r="UBY106" s="669"/>
      <c r="UBZ106" s="669"/>
      <c r="UCA106" s="669"/>
      <c r="UCB106" s="669"/>
      <c r="UCC106" s="669"/>
      <c r="UCD106" s="669"/>
      <c r="UCE106" s="669"/>
      <c r="UCF106" s="669"/>
      <c r="UCG106" s="669"/>
      <c r="UCH106" s="669"/>
      <c r="UCI106" s="669"/>
      <c r="UCJ106" s="669"/>
      <c r="UCK106" s="669"/>
      <c r="UCL106" s="669"/>
      <c r="UCM106" s="669"/>
      <c r="UCN106" s="669"/>
      <c r="UCO106" s="669"/>
      <c r="UCP106" s="669"/>
      <c r="UCQ106" s="669"/>
      <c r="UCR106" s="669"/>
      <c r="UCS106" s="669"/>
      <c r="UCT106" s="669"/>
      <c r="UCU106" s="669"/>
      <c r="UCV106" s="669"/>
      <c r="UCW106" s="669"/>
      <c r="UCX106" s="669"/>
      <c r="UCY106" s="669"/>
      <c r="UCZ106" s="669"/>
      <c r="UDA106" s="669"/>
      <c r="UDB106" s="669"/>
      <c r="UDC106" s="669"/>
      <c r="UDD106" s="669"/>
      <c r="UDE106" s="669"/>
      <c r="UDF106" s="669"/>
      <c r="UDG106" s="669"/>
      <c r="UDH106" s="669"/>
      <c r="UDI106" s="669"/>
      <c r="UDJ106" s="669"/>
      <c r="UDK106" s="669"/>
      <c r="UDL106" s="669"/>
      <c r="UDM106" s="669"/>
      <c r="UDN106" s="669"/>
      <c r="UDO106" s="669"/>
      <c r="UDP106" s="669"/>
      <c r="UDQ106" s="669"/>
      <c r="UDR106" s="669"/>
      <c r="UDS106" s="669"/>
      <c r="UDT106" s="669"/>
      <c r="UDU106" s="669"/>
      <c r="UDV106" s="669"/>
      <c r="UDW106" s="669"/>
      <c r="UDX106" s="669"/>
      <c r="UDY106" s="669"/>
      <c r="UDZ106" s="669"/>
      <c r="UEA106" s="669"/>
      <c r="UEB106" s="669"/>
      <c r="UEC106" s="669"/>
      <c r="UED106" s="669"/>
      <c r="UEE106" s="669"/>
      <c r="UEF106" s="669"/>
      <c r="UEG106" s="669"/>
      <c r="UEH106" s="669"/>
      <c r="UEI106" s="669"/>
      <c r="UEJ106" s="669"/>
      <c r="UEK106" s="669"/>
      <c r="UEL106" s="669"/>
      <c r="UEM106" s="669"/>
      <c r="UEN106" s="669"/>
      <c r="UEO106" s="669"/>
      <c r="UEP106" s="669"/>
      <c r="UEQ106" s="669"/>
      <c r="UER106" s="669"/>
      <c r="UES106" s="669"/>
      <c r="UET106" s="669"/>
      <c r="UEU106" s="669"/>
      <c r="UEV106" s="669"/>
      <c r="UEW106" s="669"/>
      <c r="UEX106" s="669"/>
      <c r="UEY106" s="669"/>
      <c r="UEZ106" s="669"/>
      <c r="UFA106" s="669"/>
      <c r="UFB106" s="669"/>
      <c r="UFC106" s="669"/>
      <c r="UFD106" s="669"/>
      <c r="UFE106" s="669"/>
      <c r="UFF106" s="669"/>
      <c r="UFG106" s="669"/>
      <c r="UFH106" s="669"/>
      <c r="UFI106" s="669"/>
      <c r="UFJ106" s="669"/>
      <c r="UFK106" s="669"/>
      <c r="UFL106" s="669"/>
      <c r="UFM106" s="669"/>
      <c r="UFN106" s="669"/>
      <c r="UFO106" s="669"/>
      <c r="UFP106" s="669"/>
      <c r="UFQ106" s="669"/>
      <c r="UFR106" s="669"/>
      <c r="UFS106" s="669"/>
      <c r="UFT106" s="669"/>
      <c r="UFU106" s="669"/>
      <c r="UFV106" s="669"/>
      <c r="UFW106" s="669"/>
      <c r="UFX106" s="669"/>
      <c r="UFY106" s="669"/>
      <c r="UFZ106" s="669"/>
      <c r="UGA106" s="669"/>
      <c r="UGB106" s="669"/>
      <c r="UGC106" s="669"/>
      <c r="UGD106" s="669"/>
      <c r="UGE106" s="669"/>
      <c r="UGF106" s="669"/>
      <c r="UGG106" s="669"/>
      <c r="UGH106" s="669"/>
      <c r="UGI106" s="669"/>
      <c r="UGJ106" s="669"/>
      <c r="UGK106" s="669"/>
      <c r="UGL106" s="669"/>
      <c r="UGM106" s="669"/>
      <c r="UGN106" s="669"/>
      <c r="UGO106" s="669"/>
      <c r="UGP106" s="669"/>
      <c r="UGQ106" s="669"/>
      <c r="UGR106" s="669"/>
      <c r="UGS106" s="669"/>
      <c r="UGT106" s="669"/>
      <c r="UGU106" s="669"/>
      <c r="UGV106" s="669"/>
      <c r="UGW106" s="669"/>
      <c r="UGX106" s="669"/>
      <c r="UGY106" s="669"/>
      <c r="UGZ106" s="669"/>
      <c r="UHA106" s="669"/>
      <c r="UHB106" s="669"/>
      <c r="UHC106" s="669"/>
      <c r="UHD106" s="669"/>
      <c r="UHE106" s="669"/>
      <c r="UHF106" s="669"/>
      <c r="UHG106" s="669"/>
      <c r="UHH106" s="669"/>
      <c r="UHI106" s="669"/>
      <c r="UHJ106" s="669"/>
      <c r="UHK106" s="669"/>
      <c r="UHL106" s="669"/>
      <c r="UHM106" s="669"/>
      <c r="UHN106" s="669"/>
      <c r="UHO106" s="669"/>
      <c r="UHP106" s="669"/>
      <c r="UHQ106" s="669"/>
      <c r="UHR106" s="669"/>
      <c r="UHS106" s="669"/>
      <c r="UHT106" s="669"/>
      <c r="UHU106" s="669"/>
      <c r="UHV106" s="669"/>
      <c r="UHW106" s="669"/>
      <c r="UHX106" s="669"/>
      <c r="UHY106" s="669"/>
      <c r="UHZ106" s="669"/>
      <c r="UIA106" s="669"/>
      <c r="UIB106" s="669"/>
      <c r="UIC106" s="669"/>
      <c r="UID106" s="669"/>
      <c r="UIE106" s="669"/>
      <c r="UIF106" s="669"/>
      <c r="UIG106" s="669"/>
      <c r="UIH106" s="669"/>
      <c r="UII106" s="669"/>
      <c r="UIJ106" s="669"/>
      <c r="UIK106" s="669"/>
      <c r="UIL106" s="669"/>
      <c r="UIM106" s="669"/>
      <c r="UIN106" s="669"/>
      <c r="UIO106" s="669"/>
      <c r="UIP106" s="669"/>
      <c r="UIQ106" s="669"/>
      <c r="UIR106" s="669"/>
      <c r="UIS106" s="669"/>
      <c r="UIT106" s="669"/>
      <c r="UIU106" s="669"/>
      <c r="UIV106" s="669"/>
      <c r="UIW106" s="669"/>
      <c r="UIX106" s="669"/>
      <c r="UIY106" s="669"/>
      <c r="UIZ106" s="669"/>
      <c r="UJA106" s="669"/>
      <c r="UJB106" s="669"/>
      <c r="UJC106" s="669"/>
      <c r="UJD106" s="669"/>
      <c r="UJE106" s="669"/>
      <c r="UJF106" s="669"/>
      <c r="UJG106" s="669"/>
      <c r="UJH106" s="669"/>
      <c r="UJI106" s="669"/>
      <c r="UJJ106" s="669"/>
      <c r="UJK106" s="669"/>
      <c r="UJL106" s="669"/>
      <c r="UJM106" s="669"/>
      <c r="UJN106" s="669"/>
      <c r="UJO106" s="669"/>
      <c r="UJP106" s="669"/>
      <c r="UJQ106" s="669"/>
      <c r="UJR106" s="669"/>
      <c r="UJS106" s="669"/>
      <c r="UJT106" s="669"/>
      <c r="UJU106" s="669"/>
      <c r="UJV106" s="669"/>
      <c r="UJW106" s="669"/>
      <c r="UJX106" s="669"/>
      <c r="UJY106" s="669"/>
      <c r="UJZ106" s="669"/>
      <c r="UKA106" s="669"/>
      <c r="UKB106" s="669"/>
      <c r="UKC106" s="669"/>
      <c r="UKD106" s="669"/>
      <c r="UKE106" s="669"/>
      <c r="UKF106" s="669"/>
      <c r="UKG106" s="669"/>
      <c r="UKH106" s="669"/>
      <c r="UKI106" s="669"/>
      <c r="UKJ106" s="669"/>
      <c r="UKK106" s="669"/>
      <c r="UKL106" s="669"/>
      <c r="UKM106" s="669"/>
      <c r="UKN106" s="669"/>
      <c r="UKO106" s="669"/>
      <c r="UKP106" s="669"/>
      <c r="UKQ106" s="669"/>
      <c r="UKR106" s="669"/>
      <c r="UKS106" s="669"/>
      <c r="UKT106" s="669"/>
      <c r="UKU106" s="669"/>
      <c r="UKV106" s="669"/>
      <c r="UKW106" s="669"/>
      <c r="UKX106" s="669"/>
      <c r="UKY106" s="669"/>
      <c r="UKZ106" s="669"/>
      <c r="ULA106" s="669"/>
      <c r="ULB106" s="669"/>
      <c r="ULC106" s="669"/>
      <c r="ULD106" s="669"/>
      <c r="ULE106" s="669"/>
      <c r="ULF106" s="669"/>
      <c r="ULG106" s="669"/>
      <c r="ULH106" s="669"/>
      <c r="ULI106" s="669"/>
      <c r="ULJ106" s="669"/>
      <c r="ULK106" s="669"/>
      <c r="ULL106" s="669"/>
      <c r="ULM106" s="669"/>
      <c r="ULN106" s="669"/>
      <c r="ULO106" s="669"/>
      <c r="ULP106" s="669"/>
      <c r="ULQ106" s="669"/>
      <c r="ULR106" s="669"/>
      <c r="ULS106" s="669"/>
      <c r="ULT106" s="669"/>
      <c r="ULU106" s="669"/>
      <c r="ULV106" s="669"/>
      <c r="ULW106" s="669"/>
      <c r="ULX106" s="669"/>
      <c r="ULY106" s="669"/>
      <c r="ULZ106" s="669"/>
      <c r="UMA106" s="669"/>
      <c r="UMB106" s="669"/>
      <c r="UMC106" s="669"/>
      <c r="UMD106" s="669"/>
      <c r="UME106" s="669"/>
      <c r="UMF106" s="669"/>
      <c r="UMG106" s="669"/>
      <c r="UMH106" s="669"/>
      <c r="UMI106" s="669"/>
      <c r="UMJ106" s="669"/>
      <c r="UMK106" s="669"/>
      <c r="UML106" s="669"/>
      <c r="UMM106" s="669"/>
      <c r="UMN106" s="669"/>
      <c r="UMO106" s="669"/>
      <c r="UMP106" s="669"/>
      <c r="UMQ106" s="669"/>
      <c r="UMR106" s="669"/>
      <c r="UMS106" s="669"/>
      <c r="UMT106" s="669"/>
      <c r="UMU106" s="669"/>
      <c r="UMV106" s="669"/>
      <c r="UMW106" s="669"/>
      <c r="UMX106" s="669"/>
      <c r="UMY106" s="669"/>
      <c r="UMZ106" s="669"/>
      <c r="UNA106" s="669"/>
      <c r="UNB106" s="669"/>
      <c r="UNC106" s="669"/>
      <c r="UND106" s="669"/>
      <c r="UNE106" s="669"/>
      <c r="UNF106" s="669"/>
      <c r="UNG106" s="669"/>
      <c r="UNH106" s="669"/>
      <c r="UNI106" s="669"/>
      <c r="UNJ106" s="669"/>
      <c r="UNK106" s="669"/>
      <c r="UNL106" s="669"/>
      <c r="UNM106" s="669"/>
      <c r="UNN106" s="669"/>
      <c r="UNO106" s="669"/>
      <c r="UNP106" s="669"/>
      <c r="UNQ106" s="669"/>
      <c r="UNR106" s="669"/>
      <c r="UNS106" s="669"/>
      <c r="UNT106" s="669"/>
      <c r="UNU106" s="669"/>
      <c r="UNV106" s="669"/>
      <c r="UNW106" s="669"/>
      <c r="UNX106" s="669"/>
      <c r="UNY106" s="669"/>
      <c r="UNZ106" s="669"/>
      <c r="UOA106" s="669"/>
      <c r="UOB106" s="669"/>
      <c r="UOC106" s="669"/>
      <c r="UOD106" s="669"/>
      <c r="UOE106" s="669"/>
      <c r="UOF106" s="669"/>
      <c r="UOG106" s="669"/>
      <c r="UOH106" s="669"/>
      <c r="UOI106" s="669"/>
      <c r="UOJ106" s="669"/>
      <c r="UOK106" s="669"/>
      <c r="UOL106" s="669"/>
      <c r="UOM106" s="669"/>
      <c r="UON106" s="669"/>
      <c r="UOO106" s="669"/>
      <c r="UOP106" s="669"/>
      <c r="UOQ106" s="669"/>
      <c r="UOR106" s="669"/>
      <c r="UOS106" s="669"/>
      <c r="UOT106" s="669"/>
      <c r="UOU106" s="669"/>
      <c r="UOV106" s="669"/>
      <c r="UOW106" s="669"/>
      <c r="UOX106" s="669"/>
      <c r="UOY106" s="669"/>
      <c r="UOZ106" s="669"/>
      <c r="UPA106" s="669"/>
      <c r="UPB106" s="669"/>
      <c r="UPC106" s="669"/>
      <c r="UPD106" s="669"/>
      <c r="UPE106" s="669"/>
      <c r="UPF106" s="669"/>
      <c r="UPG106" s="669"/>
      <c r="UPH106" s="669"/>
      <c r="UPI106" s="669"/>
      <c r="UPJ106" s="669"/>
      <c r="UPK106" s="669"/>
      <c r="UPL106" s="669"/>
      <c r="UPM106" s="669"/>
      <c r="UPN106" s="669"/>
      <c r="UPO106" s="669"/>
      <c r="UPP106" s="669"/>
      <c r="UPQ106" s="669"/>
      <c r="UPR106" s="669"/>
      <c r="UPS106" s="669"/>
      <c r="UPT106" s="669"/>
      <c r="UPU106" s="669"/>
      <c r="UPV106" s="669"/>
      <c r="UPW106" s="669"/>
      <c r="UPX106" s="669"/>
      <c r="UPY106" s="669"/>
      <c r="UPZ106" s="669"/>
      <c r="UQA106" s="669"/>
      <c r="UQB106" s="669"/>
      <c r="UQC106" s="669"/>
      <c r="UQD106" s="669"/>
      <c r="UQE106" s="669"/>
      <c r="UQF106" s="669"/>
      <c r="UQG106" s="669"/>
      <c r="UQH106" s="669"/>
      <c r="UQI106" s="669"/>
      <c r="UQJ106" s="669"/>
      <c r="UQK106" s="669"/>
      <c r="UQL106" s="669"/>
      <c r="UQM106" s="669"/>
      <c r="UQN106" s="669"/>
      <c r="UQO106" s="669"/>
      <c r="UQP106" s="669"/>
      <c r="UQQ106" s="669"/>
      <c r="UQR106" s="669"/>
      <c r="UQS106" s="669"/>
      <c r="UQT106" s="669"/>
      <c r="UQU106" s="669"/>
      <c r="UQV106" s="669"/>
      <c r="UQW106" s="669"/>
      <c r="UQX106" s="669"/>
      <c r="UQY106" s="669"/>
      <c r="UQZ106" s="669"/>
      <c r="URA106" s="669"/>
      <c r="URB106" s="669"/>
      <c r="URC106" s="669"/>
      <c r="URD106" s="669"/>
      <c r="URE106" s="669"/>
      <c r="URF106" s="669"/>
      <c r="URG106" s="669"/>
      <c r="URH106" s="669"/>
      <c r="URI106" s="669"/>
      <c r="URJ106" s="669"/>
      <c r="URK106" s="669"/>
      <c r="URL106" s="669"/>
      <c r="URM106" s="669"/>
      <c r="URN106" s="669"/>
      <c r="URO106" s="669"/>
      <c r="URP106" s="669"/>
      <c r="URQ106" s="669"/>
      <c r="URR106" s="669"/>
      <c r="URS106" s="669"/>
      <c r="URT106" s="669"/>
      <c r="URU106" s="669"/>
      <c r="URV106" s="669"/>
      <c r="URW106" s="669"/>
      <c r="URX106" s="669"/>
      <c r="URY106" s="669"/>
      <c r="URZ106" s="669"/>
      <c r="USA106" s="669"/>
      <c r="USB106" s="669"/>
      <c r="USC106" s="669"/>
      <c r="USD106" s="669"/>
      <c r="USE106" s="669"/>
      <c r="USF106" s="669"/>
      <c r="USG106" s="669"/>
      <c r="USH106" s="669"/>
      <c r="USI106" s="669"/>
      <c r="USJ106" s="669"/>
      <c r="USK106" s="669"/>
      <c r="USL106" s="669"/>
      <c r="USM106" s="669"/>
      <c r="USN106" s="669"/>
      <c r="USO106" s="669"/>
      <c r="USP106" s="669"/>
      <c r="USQ106" s="669"/>
      <c r="USR106" s="669"/>
      <c r="USS106" s="669"/>
      <c r="UST106" s="669"/>
      <c r="USU106" s="669"/>
      <c r="USV106" s="669"/>
      <c r="USW106" s="669"/>
      <c r="USX106" s="669"/>
      <c r="USY106" s="669"/>
      <c r="USZ106" s="669"/>
      <c r="UTA106" s="669"/>
      <c r="UTB106" s="669"/>
      <c r="UTC106" s="669"/>
      <c r="UTD106" s="669"/>
      <c r="UTE106" s="669"/>
      <c r="UTF106" s="669"/>
      <c r="UTG106" s="669"/>
      <c r="UTH106" s="669"/>
      <c r="UTI106" s="669"/>
      <c r="UTJ106" s="669"/>
      <c r="UTK106" s="669"/>
      <c r="UTL106" s="669"/>
      <c r="UTM106" s="669"/>
      <c r="UTN106" s="669"/>
      <c r="UTO106" s="669"/>
      <c r="UTP106" s="669"/>
      <c r="UTQ106" s="669"/>
      <c r="UTR106" s="669"/>
      <c r="UTS106" s="669"/>
      <c r="UTT106" s="669"/>
      <c r="UTU106" s="669"/>
      <c r="UTV106" s="669"/>
      <c r="UTW106" s="669"/>
      <c r="UTX106" s="669"/>
      <c r="UTY106" s="669"/>
      <c r="UTZ106" s="669"/>
      <c r="UUA106" s="669"/>
      <c r="UUB106" s="669"/>
      <c r="UUC106" s="669"/>
      <c r="UUD106" s="669"/>
      <c r="UUE106" s="669"/>
      <c r="UUF106" s="669"/>
      <c r="UUG106" s="669"/>
      <c r="UUH106" s="669"/>
      <c r="UUI106" s="669"/>
      <c r="UUJ106" s="669"/>
      <c r="UUK106" s="669"/>
      <c r="UUL106" s="669"/>
      <c r="UUM106" s="669"/>
      <c r="UUN106" s="669"/>
      <c r="UUO106" s="669"/>
      <c r="UUP106" s="669"/>
      <c r="UUQ106" s="669"/>
      <c r="UUR106" s="669"/>
      <c r="UUS106" s="669"/>
      <c r="UUT106" s="669"/>
      <c r="UUU106" s="669"/>
      <c r="UUV106" s="669"/>
      <c r="UUW106" s="669"/>
      <c r="UUX106" s="669"/>
      <c r="UUY106" s="669"/>
      <c r="UUZ106" s="669"/>
      <c r="UVA106" s="669"/>
      <c r="UVB106" s="669"/>
      <c r="UVC106" s="669"/>
      <c r="UVD106" s="669"/>
      <c r="UVE106" s="669"/>
      <c r="UVF106" s="669"/>
      <c r="UVG106" s="669"/>
      <c r="UVH106" s="669"/>
      <c r="UVI106" s="669"/>
      <c r="UVJ106" s="669"/>
      <c r="UVK106" s="669"/>
      <c r="UVL106" s="669"/>
      <c r="UVM106" s="669"/>
      <c r="UVN106" s="669"/>
      <c r="UVO106" s="669"/>
      <c r="UVP106" s="669"/>
      <c r="UVQ106" s="669"/>
      <c r="UVR106" s="669"/>
      <c r="UVS106" s="669"/>
      <c r="UVT106" s="669"/>
      <c r="UVU106" s="669"/>
      <c r="UVV106" s="669"/>
      <c r="UVW106" s="669"/>
      <c r="UVX106" s="669"/>
      <c r="UVY106" s="669"/>
      <c r="UVZ106" s="669"/>
      <c r="UWA106" s="669"/>
      <c r="UWB106" s="669"/>
      <c r="UWC106" s="669"/>
      <c r="UWD106" s="669"/>
      <c r="UWE106" s="669"/>
      <c r="UWF106" s="669"/>
      <c r="UWG106" s="669"/>
      <c r="UWH106" s="669"/>
      <c r="UWI106" s="669"/>
      <c r="UWJ106" s="669"/>
      <c r="UWK106" s="669"/>
      <c r="UWL106" s="669"/>
      <c r="UWM106" s="669"/>
      <c r="UWN106" s="669"/>
      <c r="UWO106" s="669"/>
      <c r="UWP106" s="669"/>
      <c r="UWQ106" s="669"/>
      <c r="UWR106" s="669"/>
      <c r="UWS106" s="669"/>
      <c r="UWT106" s="669"/>
      <c r="UWU106" s="669"/>
      <c r="UWV106" s="669"/>
      <c r="UWW106" s="669"/>
      <c r="UWX106" s="669"/>
      <c r="UWY106" s="669"/>
      <c r="UWZ106" s="669"/>
      <c r="UXA106" s="669"/>
      <c r="UXB106" s="669"/>
      <c r="UXC106" s="669"/>
      <c r="UXD106" s="669"/>
      <c r="UXE106" s="669"/>
      <c r="UXF106" s="669"/>
      <c r="UXG106" s="669"/>
      <c r="UXH106" s="669"/>
      <c r="UXI106" s="669"/>
      <c r="UXJ106" s="669"/>
      <c r="UXK106" s="669"/>
      <c r="UXL106" s="669"/>
      <c r="UXM106" s="669"/>
      <c r="UXN106" s="669"/>
      <c r="UXO106" s="669"/>
      <c r="UXP106" s="669"/>
      <c r="UXQ106" s="669"/>
      <c r="UXR106" s="669"/>
      <c r="UXS106" s="669"/>
      <c r="UXT106" s="669"/>
      <c r="UXU106" s="669"/>
      <c r="UXV106" s="669"/>
      <c r="UXW106" s="669"/>
      <c r="UXX106" s="669"/>
      <c r="UXY106" s="669"/>
      <c r="UXZ106" s="669"/>
      <c r="UYA106" s="669"/>
      <c r="UYB106" s="669"/>
      <c r="UYC106" s="669"/>
      <c r="UYD106" s="669"/>
      <c r="UYE106" s="669"/>
      <c r="UYF106" s="669"/>
      <c r="UYG106" s="669"/>
      <c r="UYH106" s="669"/>
      <c r="UYI106" s="669"/>
      <c r="UYJ106" s="669"/>
      <c r="UYK106" s="669"/>
      <c r="UYL106" s="669"/>
      <c r="UYM106" s="669"/>
      <c r="UYN106" s="669"/>
      <c r="UYO106" s="669"/>
      <c r="UYP106" s="669"/>
      <c r="UYQ106" s="669"/>
      <c r="UYR106" s="669"/>
      <c r="UYS106" s="669"/>
      <c r="UYT106" s="669"/>
      <c r="UYU106" s="669"/>
      <c r="UYV106" s="669"/>
      <c r="UYW106" s="669"/>
      <c r="UYX106" s="669"/>
      <c r="UYY106" s="669"/>
      <c r="UYZ106" s="669"/>
      <c r="UZA106" s="669"/>
      <c r="UZB106" s="669"/>
      <c r="UZC106" s="669"/>
      <c r="UZD106" s="669"/>
      <c r="UZE106" s="669"/>
      <c r="UZF106" s="669"/>
      <c r="UZG106" s="669"/>
      <c r="UZH106" s="669"/>
      <c r="UZI106" s="669"/>
      <c r="UZJ106" s="669"/>
      <c r="UZK106" s="669"/>
      <c r="UZL106" s="669"/>
      <c r="UZM106" s="669"/>
      <c r="UZN106" s="669"/>
      <c r="UZO106" s="669"/>
      <c r="UZP106" s="669"/>
      <c r="UZQ106" s="669"/>
      <c r="UZR106" s="669"/>
      <c r="UZS106" s="669"/>
      <c r="UZT106" s="669"/>
      <c r="UZU106" s="669"/>
      <c r="UZV106" s="669"/>
      <c r="UZW106" s="669"/>
      <c r="UZX106" s="669"/>
      <c r="UZY106" s="669"/>
      <c r="UZZ106" s="669"/>
      <c r="VAA106" s="669"/>
      <c r="VAB106" s="669"/>
      <c r="VAC106" s="669"/>
      <c r="VAD106" s="669"/>
      <c r="VAE106" s="669"/>
      <c r="VAF106" s="669"/>
      <c r="VAG106" s="669"/>
      <c r="VAH106" s="669"/>
      <c r="VAI106" s="669"/>
      <c r="VAJ106" s="669"/>
      <c r="VAK106" s="669"/>
      <c r="VAL106" s="669"/>
      <c r="VAM106" s="669"/>
      <c r="VAN106" s="669"/>
      <c r="VAO106" s="669"/>
      <c r="VAP106" s="669"/>
      <c r="VAQ106" s="669"/>
      <c r="VAR106" s="669"/>
      <c r="VAS106" s="669"/>
      <c r="VAT106" s="669"/>
      <c r="VAU106" s="669"/>
      <c r="VAV106" s="669"/>
      <c r="VAW106" s="669"/>
      <c r="VAX106" s="669"/>
      <c r="VAY106" s="669"/>
      <c r="VAZ106" s="669"/>
      <c r="VBA106" s="669"/>
      <c r="VBB106" s="669"/>
      <c r="VBC106" s="669"/>
      <c r="VBD106" s="669"/>
      <c r="VBE106" s="669"/>
      <c r="VBF106" s="669"/>
      <c r="VBG106" s="669"/>
      <c r="VBH106" s="669"/>
      <c r="VBI106" s="669"/>
      <c r="VBJ106" s="669"/>
      <c r="VBK106" s="669"/>
      <c r="VBL106" s="669"/>
      <c r="VBM106" s="669"/>
      <c r="VBN106" s="669"/>
      <c r="VBO106" s="669"/>
      <c r="VBP106" s="669"/>
      <c r="VBQ106" s="669"/>
      <c r="VBR106" s="669"/>
      <c r="VBS106" s="669"/>
      <c r="VBT106" s="669"/>
      <c r="VBU106" s="669"/>
      <c r="VBV106" s="669"/>
      <c r="VBW106" s="669"/>
      <c r="VBX106" s="669"/>
      <c r="VBY106" s="669"/>
      <c r="VBZ106" s="669"/>
      <c r="VCA106" s="669"/>
      <c r="VCB106" s="669"/>
      <c r="VCC106" s="669"/>
      <c r="VCD106" s="669"/>
      <c r="VCE106" s="669"/>
      <c r="VCF106" s="669"/>
      <c r="VCG106" s="669"/>
      <c r="VCH106" s="669"/>
      <c r="VCI106" s="669"/>
      <c r="VCJ106" s="669"/>
      <c r="VCK106" s="669"/>
      <c r="VCL106" s="669"/>
      <c r="VCM106" s="669"/>
      <c r="VCN106" s="669"/>
      <c r="VCO106" s="669"/>
      <c r="VCP106" s="669"/>
      <c r="VCQ106" s="669"/>
      <c r="VCR106" s="669"/>
      <c r="VCS106" s="669"/>
      <c r="VCT106" s="669"/>
      <c r="VCU106" s="669"/>
      <c r="VCV106" s="669"/>
      <c r="VCW106" s="669"/>
      <c r="VCX106" s="669"/>
      <c r="VCY106" s="669"/>
      <c r="VCZ106" s="669"/>
      <c r="VDA106" s="669"/>
      <c r="VDB106" s="669"/>
      <c r="VDC106" s="669"/>
      <c r="VDD106" s="669"/>
      <c r="VDE106" s="669"/>
      <c r="VDF106" s="669"/>
      <c r="VDG106" s="669"/>
      <c r="VDH106" s="669"/>
      <c r="VDI106" s="669"/>
      <c r="VDJ106" s="669"/>
      <c r="VDK106" s="669"/>
      <c r="VDL106" s="669"/>
      <c r="VDM106" s="669"/>
      <c r="VDN106" s="669"/>
      <c r="VDO106" s="669"/>
      <c r="VDP106" s="669"/>
      <c r="VDQ106" s="669"/>
      <c r="VDR106" s="669"/>
      <c r="VDS106" s="669"/>
      <c r="VDT106" s="669"/>
      <c r="VDU106" s="669"/>
      <c r="VDV106" s="669"/>
      <c r="VDW106" s="669"/>
      <c r="VDX106" s="669"/>
      <c r="VDY106" s="669"/>
      <c r="VDZ106" s="669"/>
      <c r="VEA106" s="669"/>
      <c r="VEB106" s="669"/>
      <c r="VEC106" s="669"/>
      <c r="VED106" s="669"/>
      <c r="VEE106" s="669"/>
      <c r="VEF106" s="669"/>
      <c r="VEG106" s="669"/>
      <c r="VEH106" s="669"/>
      <c r="VEI106" s="669"/>
      <c r="VEJ106" s="669"/>
      <c r="VEK106" s="669"/>
      <c r="VEL106" s="669"/>
      <c r="VEM106" s="669"/>
      <c r="VEN106" s="669"/>
      <c r="VEO106" s="669"/>
      <c r="VEP106" s="669"/>
      <c r="VEQ106" s="669"/>
      <c r="VER106" s="669"/>
      <c r="VES106" s="669"/>
      <c r="VET106" s="669"/>
      <c r="VEU106" s="669"/>
      <c r="VEV106" s="669"/>
      <c r="VEW106" s="669"/>
      <c r="VEX106" s="669"/>
      <c r="VEY106" s="669"/>
      <c r="VEZ106" s="669"/>
      <c r="VFA106" s="669"/>
      <c r="VFB106" s="669"/>
      <c r="VFC106" s="669"/>
      <c r="VFD106" s="669"/>
      <c r="VFE106" s="669"/>
      <c r="VFF106" s="669"/>
      <c r="VFG106" s="669"/>
      <c r="VFH106" s="669"/>
      <c r="VFI106" s="669"/>
      <c r="VFJ106" s="669"/>
      <c r="VFK106" s="669"/>
      <c r="VFL106" s="669"/>
      <c r="VFM106" s="669"/>
      <c r="VFN106" s="669"/>
      <c r="VFO106" s="669"/>
      <c r="VFP106" s="669"/>
      <c r="VFQ106" s="669"/>
      <c r="VFR106" s="669"/>
      <c r="VFS106" s="669"/>
      <c r="VFT106" s="669"/>
      <c r="VFU106" s="669"/>
      <c r="VFV106" s="669"/>
      <c r="VFW106" s="669"/>
      <c r="VFX106" s="669"/>
      <c r="VFY106" s="669"/>
      <c r="VFZ106" s="669"/>
      <c r="VGA106" s="669"/>
      <c r="VGB106" s="669"/>
      <c r="VGC106" s="669"/>
      <c r="VGD106" s="669"/>
      <c r="VGE106" s="669"/>
      <c r="VGF106" s="669"/>
      <c r="VGG106" s="669"/>
      <c r="VGH106" s="669"/>
      <c r="VGI106" s="669"/>
      <c r="VGJ106" s="669"/>
      <c r="VGK106" s="669"/>
      <c r="VGL106" s="669"/>
      <c r="VGM106" s="669"/>
      <c r="VGN106" s="669"/>
      <c r="VGO106" s="669"/>
      <c r="VGP106" s="669"/>
      <c r="VGQ106" s="669"/>
      <c r="VGR106" s="669"/>
      <c r="VGS106" s="669"/>
      <c r="VGT106" s="669"/>
      <c r="VGU106" s="669"/>
      <c r="VGV106" s="669"/>
      <c r="VGW106" s="669"/>
      <c r="VGX106" s="669"/>
      <c r="VGY106" s="669"/>
      <c r="VGZ106" s="669"/>
      <c r="VHA106" s="669"/>
      <c r="VHB106" s="669"/>
      <c r="VHC106" s="669"/>
      <c r="VHD106" s="669"/>
      <c r="VHE106" s="669"/>
      <c r="VHF106" s="669"/>
      <c r="VHG106" s="669"/>
      <c r="VHH106" s="669"/>
      <c r="VHI106" s="669"/>
      <c r="VHJ106" s="669"/>
      <c r="VHK106" s="669"/>
      <c r="VHL106" s="669"/>
      <c r="VHM106" s="669"/>
      <c r="VHN106" s="669"/>
      <c r="VHO106" s="669"/>
      <c r="VHP106" s="669"/>
      <c r="VHQ106" s="669"/>
      <c r="VHR106" s="669"/>
      <c r="VHS106" s="669"/>
      <c r="VHT106" s="669"/>
      <c r="VHU106" s="669"/>
      <c r="VHV106" s="669"/>
      <c r="VHW106" s="669"/>
      <c r="VHX106" s="669"/>
      <c r="VHY106" s="669"/>
      <c r="VHZ106" s="669"/>
      <c r="VIA106" s="669"/>
      <c r="VIB106" s="669"/>
      <c r="VIC106" s="669"/>
      <c r="VID106" s="669"/>
      <c r="VIE106" s="669"/>
      <c r="VIF106" s="669"/>
      <c r="VIG106" s="669"/>
      <c r="VIH106" s="669"/>
      <c r="VII106" s="669"/>
      <c r="VIJ106" s="669"/>
      <c r="VIK106" s="669"/>
      <c r="VIL106" s="669"/>
      <c r="VIM106" s="669"/>
      <c r="VIN106" s="669"/>
      <c r="VIO106" s="669"/>
      <c r="VIP106" s="669"/>
      <c r="VIQ106" s="669"/>
      <c r="VIR106" s="669"/>
      <c r="VIS106" s="669"/>
      <c r="VIT106" s="669"/>
      <c r="VIU106" s="669"/>
      <c r="VIV106" s="669"/>
      <c r="VIW106" s="669"/>
      <c r="VIX106" s="669"/>
      <c r="VIY106" s="669"/>
      <c r="VIZ106" s="669"/>
      <c r="VJA106" s="669"/>
      <c r="VJB106" s="669"/>
      <c r="VJC106" s="669"/>
      <c r="VJD106" s="669"/>
      <c r="VJE106" s="669"/>
      <c r="VJF106" s="669"/>
      <c r="VJG106" s="669"/>
      <c r="VJH106" s="669"/>
      <c r="VJI106" s="669"/>
      <c r="VJJ106" s="669"/>
      <c r="VJK106" s="669"/>
      <c r="VJL106" s="669"/>
      <c r="VJM106" s="669"/>
      <c r="VJN106" s="669"/>
      <c r="VJO106" s="669"/>
      <c r="VJP106" s="669"/>
      <c r="VJQ106" s="669"/>
      <c r="VJR106" s="669"/>
      <c r="VJS106" s="669"/>
      <c r="VJT106" s="669"/>
      <c r="VJU106" s="669"/>
      <c r="VJV106" s="669"/>
      <c r="VJW106" s="669"/>
      <c r="VJX106" s="669"/>
      <c r="VJY106" s="669"/>
      <c r="VJZ106" s="669"/>
      <c r="VKA106" s="669"/>
      <c r="VKB106" s="669"/>
      <c r="VKC106" s="669"/>
      <c r="VKD106" s="669"/>
      <c r="VKE106" s="669"/>
      <c r="VKF106" s="669"/>
      <c r="VKG106" s="669"/>
      <c r="VKH106" s="669"/>
      <c r="VKI106" s="669"/>
      <c r="VKJ106" s="669"/>
      <c r="VKK106" s="669"/>
      <c r="VKL106" s="669"/>
      <c r="VKM106" s="669"/>
      <c r="VKN106" s="669"/>
      <c r="VKO106" s="669"/>
      <c r="VKP106" s="669"/>
      <c r="VKQ106" s="669"/>
      <c r="VKR106" s="669"/>
      <c r="VKS106" s="669"/>
      <c r="VKT106" s="669"/>
      <c r="VKU106" s="669"/>
      <c r="VKV106" s="669"/>
      <c r="VKW106" s="669"/>
      <c r="VKX106" s="669"/>
      <c r="VKY106" s="669"/>
      <c r="VKZ106" s="669"/>
      <c r="VLA106" s="669"/>
      <c r="VLB106" s="669"/>
      <c r="VLC106" s="669"/>
      <c r="VLD106" s="669"/>
      <c r="VLE106" s="669"/>
      <c r="VLF106" s="669"/>
      <c r="VLG106" s="669"/>
      <c r="VLH106" s="669"/>
      <c r="VLI106" s="669"/>
      <c r="VLJ106" s="669"/>
      <c r="VLK106" s="669"/>
      <c r="VLL106" s="669"/>
      <c r="VLM106" s="669"/>
      <c r="VLN106" s="669"/>
      <c r="VLO106" s="669"/>
      <c r="VLP106" s="669"/>
      <c r="VLQ106" s="669"/>
      <c r="VLR106" s="669"/>
      <c r="VLS106" s="669"/>
      <c r="VLT106" s="669"/>
      <c r="VLU106" s="669"/>
      <c r="VLV106" s="669"/>
      <c r="VLW106" s="669"/>
      <c r="VLX106" s="669"/>
      <c r="VLY106" s="669"/>
      <c r="VLZ106" s="669"/>
      <c r="VMA106" s="669"/>
      <c r="VMB106" s="669"/>
      <c r="VMC106" s="669"/>
      <c r="VMD106" s="669"/>
      <c r="VME106" s="669"/>
      <c r="VMF106" s="669"/>
      <c r="VMG106" s="669"/>
      <c r="VMH106" s="669"/>
      <c r="VMI106" s="669"/>
      <c r="VMJ106" s="669"/>
      <c r="VMK106" s="669"/>
      <c r="VML106" s="669"/>
      <c r="VMM106" s="669"/>
      <c r="VMN106" s="669"/>
      <c r="VMO106" s="669"/>
      <c r="VMP106" s="669"/>
      <c r="VMQ106" s="669"/>
      <c r="VMR106" s="669"/>
      <c r="VMS106" s="669"/>
      <c r="VMT106" s="669"/>
      <c r="VMU106" s="669"/>
      <c r="VMV106" s="669"/>
      <c r="VMW106" s="669"/>
      <c r="VMX106" s="669"/>
      <c r="VMY106" s="669"/>
      <c r="VMZ106" s="669"/>
      <c r="VNA106" s="669"/>
      <c r="VNB106" s="669"/>
      <c r="VNC106" s="669"/>
      <c r="VND106" s="669"/>
      <c r="VNE106" s="669"/>
      <c r="VNF106" s="669"/>
      <c r="VNG106" s="669"/>
      <c r="VNH106" s="669"/>
      <c r="VNI106" s="669"/>
      <c r="VNJ106" s="669"/>
      <c r="VNK106" s="669"/>
      <c r="VNL106" s="669"/>
      <c r="VNM106" s="669"/>
      <c r="VNN106" s="669"/>
      <c r="VNO106" s="669"/>
      <c r="VNP106" s="669"/>
      <c r="VNQ106" s="669"/>
      <c r="VNR106" s="669"/>
      <c r="VNS106" s="669"/>
      <c r="VNT106" s="669"/>
      <c r="VNU106" s="669"/>
      <c r="VNV106" s="669"/>
      <c r="VNW106" s="669"/>
      <c r="VNX106" s="669"/>
      <c r="VNY106" s="669"/>
      <c r="VNZ106" s="669"/>
      <c r="VOA106" s="669"/>
      <c r="VOB106" s="669"/>
      <c r="VOC106" s="669"/>
      <c r="VOD106" s="669"/>
      <c r="VOE106" s="669"/>
      <c r="VOF106" s="669"/>
      <c r="VOG106" s="669"/>
      <c r="VOH106" s="669"/>
      <c r="VOI106" s="669"/>
      <c r="VOJ106" s="669"/>
      <c r="VOK106" s="669"/>
      <c r="VOL106" s="669"/>
      <c r="VOM106" s="669"/>
      <c r="VON106" s="669"/>
      <c r="VOO106" s="669"/>
      <c r="VOP106" s="669"/>
      <c r="VOQ106" s="669"/>
      <c r="VOR106" s="669"/>
      <c r="VOS106" s="669"/>
      <c r="VOT106" s="669"/>
      <c r="VOU106" s="669"/>
      <c r="VOV106" s="669"/>
      <c r="VOW106" s="669"/>
      <c r="VOX106" s="669"/>
      <c r="VOY106" s="669"/>
      <c r="VOZ106" s="669"/>
      <c r="VPA106" s="669"/>
      <c r="VPB106" s="669"/>
      <c r="VPC106" s="669"/>
      <c r="VPD106" s="669"/>
      <c r="VPE106" s="669"/>
      <c r="VPF106" s="669"/>
      <c r="VPG106" s="669"/>
      <c r="VPH106" s="669"/>
      <c r="VPI106" s="669"/>
      <c r="VPJ106" s="669"/>
      <c r="VPK106" s="669"/>
      <c r="VPL106" s="669"/>
      <c r="VPM106" s="669"/>
      <c r="VPN106" s="669"/>
      <c r="VPO106" s="669"/>
      <c r="VPP106" s="669"/>
      <c r="VPQ106" s="669"/>
      <c r="VPR106" s="669"/>
      <c r="VPS106" s="669"/>
      <c r="VPT106" s="669"/>
      <c r="VPU106" s="669"/>
      <c r="VPV106" s="669"/>
      <c r="VPW106" s="669"/>
      <c r="VPX106" s="669"/>
      <c r="VPY106" s="669"/>
      <c r="VPZ106" s="669"/>
      <c r="VQA106" s="669"/>
      <c r="VQB106" s="669"/>
      <c r="VQC106" s="669"/>
      <c r="VQD106" s="669"/>
      <c r="VQE106" s="669"/>
      <c r="VQF106" s="669"/>
      <c r="VQG106" s="669"/>
      <c r="VQH106" s="669"/>
      <c r="VQI106" s="669"/>
      <c r="VQJ106" s="669"/>
      <c r="VQK106" s="669"/>
      <c r="VQL106" s="669"/>
      <c r="VQM106" s="669"/>
      <c r="VQN106" s="669"/>
      <c r="VQO106" s="669"/>
      <c r="VQP106" s="669"/>
      <c r="VQQ106" s="669"/>
      <c r="VQR106" s="669"/>
      <c r="VQS106" s="669"/>
      <c r="VQT106" s="669"/>
      <c r="VQU106" s="669"/>
      <c r="VQV106" s="669"/>
      <c r="VQW106" s="669"/>
      <c r="VQX106" s="669"/>
      <c r="VQY106" s="669"/>
      <c r="VQZ106" s="669"/>
      <c r="VRA106" s="669"/>
      <c r="VRB106" s="669"/>
      <c r="VRC106" s="669"/>
      <c r="VRD106" s="669"/>
      <c r="VRE106" s="669"/>
      <c r="VRF106" s="669"/>
      <c r="VRG106" s="669"/>
      <c r="VRH106" s="669"/>
      <c r="VRI106" s="669"/>
      <c r="VRJ106" s="669"/>
      <c r="VRK106" s="669"/>
      <c r="VRL106" s="669"/>
      <c r="VRM106" s="669"/>
      <c r="VRN106" s="669"/>
      <c r="VRO106" s="669"/>
      <c r="VRP106" s="669"/>
      <c r="VRQ106" s="669"/>
      <c r="VRR106" s="669"/>
      <c r="VRS106" s="669"/>
      <c r="VRT106" s="669"/>
      <c r="VRU106" s="669"/>
      <c r="VRV106" s="669"/>
      <c r="VRW106" s="669"/>
      <c r="VRX106" s="669"/>
      <c r="VRY106" s="669"/>
      <c r="VRZ106" s="669"/>
      <c r="VSA106" s="669"/>
      <c r="VSB106" s="669"/>
      <c r="VSC106" s="669"/>
      <c r="VSD106" s="669"/>
      <c r="VSE106" s="669"/>
      <c r="VSF106" s="669"/>
      <c r="VSG106" s="669"/>
      <c r="VSH106" s="669"/>
      <c r="VSI106" s="669"/>
      <c r="VSJ106" s="669"/>
      <c r="VSK106" s="669"/>
      <c r="VSL106" s="669"/>
      <c r="VSM106" s="669"/>
      <c r="VSN106" s="669"/>
      <c r="VSO106" s="669"/>
      <c r="VSP106" s="669"/>
      <c r="VSQ106" s="669"/>
      <c r="VSR106" s="669"/>
      <c r="VSS106" s="669"/>
      <c r="VST106" s="669"/>
      <c r="VSU106" s="669"/>
      <c r="VSV106" s="669"/>
      <c r="VSW106" s="669"/>
      <c r="VSX106" s="669"/>
      <c r="VSY106" s="669"/>
      <c r="VSZ106" s="669"/>
      <c r="VTA106" s="669"/>
      <c r="VTB106" s="669"/>
      <c r="VTC106" s="669"/>
      <c r="VTD106" s="669"/>
      <c r="VTE106" s="669"/>
      <c r="VTF106" s="669"/>
      <c r="VTG106" s="669"/>
      <c r="VTH106" s="669"/>
      <c r="VTI106" s="669"/>
      <c r="VTJ106" s="669"/>
      <c r="VTK106" s="669"/>
      <c r="VTL106" s="669"/>
      <c r="VTM106" s="669"/>
      <c r="VTN106" s="669"/>
      <c r="VTO106" s="669"/>
      <c r="VTP106" s="669"/>
      <c r="VTQ106" s="669"/>
      <c r="VTR106" s="669"/>
      <c r="VTS106" s="669"/>
      <c r="VTT106" s="669"/>
      <c r="VTU106" s="669"/>
      <c r="VTV106" s="669"/>
      <c r="VTW106" s="669"/>
      <c r="VTX106" s="669"/>
      <c r="VTY106" s="669"/>
      <c r="VTZ106" s="669"/>
      <c r="VUA106" s="669"/>
      <c r="VUB106" s="669"/>
      <c r="VUC106" s="669"/>
      <c r="VUD106" s="669"/>
      <c r="VUE106" s="669"/>
      <c r="VUF106" s="669"/>
      <c r="VUG106" s="669"/>
      <c r="VUH106" s="669"/>
      <c r="VUI106" s="669"/>
      <c r="VUJ106" s="669"/>
      <c r="VUK106" s="669"/>
      <c r="VUL106" s="669"/>
      <c r="VUM106" s="669"/>
      <c r="VUN106" s="669"/>
      <c r="VUO106" s="669"/>
      <c r="VUP106" s="669"/>
      <c r="VUQ106" s="669"/>
      <c r="VUR106" s="669"/>
      <c r="VUS106" s="669"/>
      <c r="VUT106" s="669"/>
      <c r="VUU106" s="669"/>
      <c r="VUV106" s="669"/>
      <c r="VUW106" s="669"/>
      <c r="VUX106" s="669"/>
      <c r="VUY106" s="669"/>
      <c r="VUZ106" s="669"/>
      <c r="VVA106" s="669"/>
      <c r="VVB106" s="669"/>
      <c r="VVC106" s="669"/>
      <c r="VVD106" s="669"/>
      <c r="VVE106" s="669"/>
      <c r="VVF106" s="669"/>
      <c r="VVG106" s="669"/>
      <c r="VVH106" s="669"/>
      <c r="VVI106" s="669"/>
      <c r="VVJ106" s="669"/>
      <c r="VVK106" s="669"/>
      <c r="VVL106" s="669"/>
      <c r="VVM106" s="669"/>
      <c r="VVN106" s="669"/>
      <c r="VVO106" s="669"/>
      <c r="VVP106" s="669"/>
      <c r="VVQ106" s="669"/>
      <c r="VVR106" s="669"/>
      <c r="VVS106" s="669"/>
      <c r="VVT106" s="669"/>
      <c r="VVU106" s="669"/>
      <c r="VVV106" s="669"/>
      <c r="VVW106" s="669"/>
      <c r="VVX106" s="669"/>
      <c r="VVY106" s="669"/>
      <c r="VVZ106" s="669"/>
      <c r="VWA106" s="669"/>
      <c r="VWB106" s="669"/>
      <c r="VWC106" s="669"/>
      <c r="VWD106" s="669"/>
      <c r="VWE106" s="669"/>
      <c r="VWF106" s="669"/>
      <c r="VWG106" s="669"/>
      <c r="VWH106" s="669"/>
      <c r="VWI106" s="669"/>
      <c r="VWJ106" s="669"/>
      <c r="VWK106" s="669"/>
      <c r="VWL106" s="669"/>
      <c r="VWM106" s="669"/>
      <c r="VWN106" s="669"/>
      <c r="VWO106" s="669"/>
      <c r="VWP106" s="669"/>
      <c r="VWQ106" s="669"/>
      <c r="VWR106" s="669"/>
      <c r="VWS106" s="669"/>
      <c r="VWT106" s="669"/>
      <c r="VWU106" s="669"/>
      <c r="VWV106" s="669"/>
      <c r="VWW106" s="669"/>
      <c r="VWX106" s="669"/>
      <c r="VWY106" s="669"/>
      <c r="VWZ106" s="669"/>
      <c r="VXA106" s="669"/>
      <c r="VXB106" s="669"/>
      <c r="VXC106" s="669"/>
      <c r="VXD106" s="669"/>
      <c r="VXE106" s="669"/>
      <c r="VXF106" s="669"/>
      <c r="VXG106" s="669"/>
      <c r="VXH106" s="669"/>
      <c r="VXI106" s="669"/>
      <c r="VXJ106" s="669"/>
      <c r="VXK106" s="669"/>
      <c r="VXL106" s="669"/>
      <c r="VXM106" s="669"/>
      <c r="VXN106" s="669"/>
      <c r="VXO106" s="669"/>
      <c r="VXP106" s="669"/>
      <c r="VXQ106" s="669"/>
      <c r="VXR106" s="669"/>
      <c r="VXS106" s="669"/>
      <c r="VXT106" s="669"/>
      <c r="VXU106" s="669"/>
      <c r="VXV106" s="669"/>
      <c r="VXW106" s="669"/>
      <c r="VXX106" s="669"/>
      <c r="VXY106" s="669"/>
      <c r="VXZ106" s="669"/>
      <c r="VYA106" s="669"/>
      <c r="VYB106" s="669"/>
      <c r="VYC106" s="669"/>
      <c r="VYD106" s="669"/>
      <c r="VYE106" s="669"/>
      <c r="VYF106" s="669"/>
      <c r="VYG106" s="669"/>
      <c r="VYH106" s="669"/>
      <c r="VYI106" s="669"/>
      <c r="VYJ106" s="669"/>
      <c r="VYK106" s="669"/>
      <c r="VYL106" s="669"/>
      <c r="VYM106" s="669"/>
      <c r="VYN106" s="669"/>
      <c r="VYO106" s="669"/>
      <c r="VYP106" s="669"/>
      <c r="VYQ106" s="669"/>
      <c r="VYR106" s="669"/>
      <c r="VYS106" s="669"/>
      <c r="VYT106" s="669"/>
      <c r="VYU106" s="669"/>
      <c r="VYV106" s="669"/>
      <c r="VYW106" s="669"/>
      <c r="VYX106" s="669"/>
      <c r="VYY106" s="669"/>
      <c r="VYZ106" s="669"/>
      <c r="VZA106" s="669"/>
      <c r="VZB106" s="669"/>
      <c r="VZC106" s="669"/>
      <c r="VZD106" s="669"/>
      <c r="VZE106" s="669"/>
      <c r="VZF106" s="669"/>
      <c r="VZG106" s="669"/>
      <c r="VZH106" s="669"/>
      <c r="VZI106" s="669"/>
      <c r="VZJ106" s="669"/>
      <c r="VZK106" s="669"/>
      <c r="VZL106" s="669"/>
      <c r="VZM106" s="669"/>
      <c r="VZN106" s="669"/>
      <c r="VZO106" s="669"/>
      <c r="VZP106" s="669"/>
      <c r="VZQ106" s="669"/>
      <c r="VZR106" s="669"/>
      <c r="VZS106" s="669"/>
      <c r="VZT106" s="669"/>
      <c r="VZU106" s="669"/>
      <c r="VZV106" s="669"/>
      <c r="VZW106" s="669"/>
      <c r="VZX106" s="669"/>
      <c r="VZY106" s="669"/>
      <c r="VZZ106" s="669"/>
      <c r="WAA106" s="669"/>
      <c r="WAB106" s="669"/>
      <c r="WAC106" s="669"/>
      <c r="WAD106" s="669"/>
      <c r="WAE106" s="669"/>
      <c r="WAF106" s="669"/>
      <c r="WAG106" s="669"/>
      <c r="WAH106" s="669"/>
      <c r="WAI106" s="669"/>
      <c r="WAJ106" s="669"/>
      <c r="WAK106" s="669"/>
      <c r="WAL106" s="669"/>
      <c r="WAM106" s="669"/>
      <c r="WAN106" s="669"/>
      <c r="WAO106" s="669"/>
      <c r="WAP106" s="669"/>
      <c r="WAQ106" s="669"/>
      <c r="WAR106" s="669"/>
      <c r="WAS106" s="669"/>
      <c r="WAT106" s="669"/>
      <c r="WAU106" s="669"/>
      <c r="WAV106" s="669"/>
      <c r="WAW106" s="669"/>
      <c r="WAX106" s="669"/>
      <c r="WAY106" s="669"/>
      <c r="WAZ106" s="669"/>
      <c r="WBA106" s="669"/>
      <c r="WBB106" s="669"/>
      <c r="WBC106" s="669"/>
      <c r="WBD106" s="669"/>
      <c r="WBE106" s="669"/>
      <c r="WBF106" s="669"/>
      <c r="WBG106" s="669"/>
      <c r="WBH106" s="669"/>
      <c r="WBI106" s="669"/>
      <c r="WBJ106" s="669"/>
      <c r="WBK106" s="669"/>
      <c r="WBL106" s="669"/>
      <c r="WBM106" s="669"/>
      <c r="WBN106" s="669"/>
      <c r="WBO106" s="669"/>
      <c r="WBP106" s="669"/>
      <c r="WBQ106" s="669"/>
      <c r="WBR106" s="669"/>
      <c r="WBS106" s="669"/>
      <c r="WBT106" s="669"/>
      <c r="WBU106" s="669"/>
      <c r="WBV106" s="669"/>
      <c r="WBW106" s="669"/>
      <c r="WBX106" s="669"/>
      <c r="WBY106" s="669"/>
      <c r="WBZ106" s="669"/>
      <c r="WCA106" s="669"/>
      <c r="WCB106" s="669"/>
      <c r="WCC106" s="669"/>
      <c r="WCD106" s="669"/>
      <c r="WCE106" s="669"/>
      <c r="WCF106" s="669"/>
      <c r="WCG106" s="669"/>
      <c r="WCH106" s="669"/>
      <c r="WCI106" s="669"/>
      <c r="WCJ106" s="669"/>
      <c r="WCK106" s="669"/>
      <c r="WCL106" s="669"/>
      <c r="WCM106" s="669"/>
      <c r="WCN106" s="669"/>
      <c r="WCO106" s="669"/>
      <c r="WCP106" s="669"/>
      <c r="WCQ106" s="669"/>
      <c r="WCR106" s="669"/>
      <c r="WCS106" s="669"/>
      <c r="WCT106" s="669"/>
      <c r="WCU106" s="669"/>
      <c r="WCV106" s="669"/>
      <c r="WCW106" s="669"/>
      <c r="WCX106" s="669"/>
      <c r="WCY106" s="669"/>
      <c r="WCZ106" s="669"/>
      <c r="WDA106" s="669"/>
      <c r="WDB106" s="669"/>
      <c r="WDC106" s="669"/>
      <c r="WDD106" s="669"/>
      <c r="WDE106" s="669"/>
      <c r="WDF106" s="669"/>
      <c r="WDG106" s="669"/>
      <c r="WDH106" s="669"/>
      <c r="WDI106" s="669"/>
      <c r="WDJ106" s="669"/>
      <c r="WDK106" s="669"/>
      <c r="WDL106" s="669"/>
      <c r="WDM106" s="669"/>
      <c r="WDN106" s="669"/>
      <c r="WDO106" s="669"/>
      <c r="WDP106" s="669"/>
      <c r="WDQ106" s="669"/>
      <c r="WDR106" s="669"/>
      <c r="WDS106" s="669"/>
      <c r="WDT106" s="669"/>
      <c r="WDU106" s="669"/>
      <c r="WDV106" s="669"/>
      <c r="WDW106" s="669"/>
      <c r="WDX106" s="669"/>
      <c r="WDY106" s="669"/>
      <c r="WDZ106" s="669"/>
      <c r="WEA106" s="669"/>
      <c r="WEB106" s="669"/>
      <c r="WEC106" s="669"/>
      <c r="WED106" s="669"/>
      <c r="WEE106" s="669"/>
      <c r="WEF106" s="669"/>
      <c r="WEG106" s="669"/>
      <c r="WEH106" s="669"/>
      <c r="WEI106" s="669"/>
      <c r="WEJ106" s="669"/>
      <c r="WEK106" s="669"/>
      <c r="WEL106" s="669"/>
      <c r="WEM106" s="669"/>
      <c r="WEN106" s="669"/>
      <c r="WEO106" s="669"/>
      <c r="WEP106" s="669"/>
      <c r="WEQ106" s="669"/>
      <c r="WER106" s="669"/>
      <c r="WES106" s="669"/>
      <c r="WET106" s="669"/>
      <c r="WEU106" s="669"/>
      <c r="WEV106" s="669"/>
      <c r="WEW106" s="669"/>
      <c r="WEX106" s="669"/>
      <c r="WEY106" s="669"/>
      <c r="WEZ106" s="669"/>
      <c r="WFA106" s="669"/>
      <c r="WFB106" s="669"/>
      <c r="WFC106" s="669"/>
      <c r="WFD106" s="669"/>
      <c r="WFE106" s="669"/>
      <c r="WFF106" s="669"/>
      <c r="WFG106" s="669"/>
      <c r="WFH106" s="669"/>
      <c r="WFI106" s="669"/>
      <c r="WFJ106" s="669"/>
      <c r="WFK106" s="669"/>
      <c r="WFL106" s="669"/>
      <c r="WFM106" s="669"/>
      <c r="WFN106" s="669"/>
      <c r="WFO106" s="669"/>
      <c r="WFP106" s="669"/>
      <c r="WFQ106" s="669"/>
      <c r="WFR106" s="669"/>
      <c r="WFS106" s="669"/>
      <c r="WFT106" s="669"/>
      <c r="WFU106" s="669"/>
      <c r="WFV106" s="669"/>
      <c r="WFW106" s="669"/>
      <c r="WFX106" s="669"/>
      <c r="WFY106" s="669"/>
      <c r="WFZ106" s="669"/>
      <c r="WGA106" s="669"/>
      <c r="WGB106" s="669"/>
      <c r="WGC106" s="669"/>
      <c r="WGD106" s="669"/>
      <c r="WGE106" s="669"/>
      <c r="WGF106" s="669"/>
      <c r="WGG106" s="669"/>
      <c r="WGH106" s="669"/>
      <c r="WGI106" s="669"/>
      <c r="WGJ106" s="669"/>
      <c r="WGK106" s="669"/>
      <c r="WGL106" s="669"/>
      <c r="WGM106" s="669"/>
      <c r="WGN106" s="669"/>
      <c r="WGO106" s="669"/>
      <c r="WGP106" s="669"/>
      <c r="WGQ106" s="669"/>
      <c r="WGR106" s="669"/>
      <c r="WGS106" s="669"/>
      <c r="WGT106" s="669"/>
      <c r="WGU106" s="669"/>
      <c r="WGV106" s="669"/>
      <c r="WGW106" s="669"/>
      <c r="WGX106" s="669"/>
      <c r="WGY106" s="669"/>
      <c r="WGZ106" s="669"/>
      <c r="WHA106" s="669"/>
      <c r="WHB106" s="669"/>
      <c r="WHC106" s="669"/>
      <c r="WHD106" s="669"/>
      <c r="WHE106" s="669"/>
      <c r="WHF106" s="669"/>
      <c r="WHG106" s="669"/>
      <c r="WHH106" s="669"/>
      <c r="WHI106" s="669"/>
      <c r="WHJ106" s="669"/>
      <c r="WHK106" s="669"/>
      <c r="WHL106" s="669"/>
      <c r="WHM106" s="669"/>
      <c r="WHN106" s="669"/>
      <c r="WHO106" s="669"/>
      <c r="WHP106" s="669"/>
      <c r="WHQ106" s="669"/>
      <c r="WHR106" s="669"/>
      <c r="WHS106" s="669"/>
      <c r="WHT106" s="669"/>
      <c r="WHU106" s="669"/>
      <c r="WHV106" s="669"/>
      <c r="WHW106" s="669"/>
      <c r="WHX106" s="669"/>
      <c r="WHY106" s="669"/>
      <c r="WHZ106" s="669"/>
      <c r="WIA106" s="669"/>
      <c r="WIB106" s="669"/>
      <c r="WIC106" s="669"/>
      <c r="WID106" s="669"/>
      <c r="WIE106" s="669"/>
      <c r="WIF106" s="669"/>
      <c r="WIG106" s="669"/>
      <c r="WIH106" s="669"/>
      <c r="WII106" s="669"/>
      <c r="WIJ106" s="669"/>
      <c r="WIK106" s="669"/>
      <c r="WIL106" s="669"/>
      <c r="WIM106" s="669"/>
      <c r="WIN106" s="669"/>
      <c r="WIO106" s="669"/>
      <c r="WIP106" s="669"/>
      <c r="WIQ106" s="669"/>
      <c r="WIR106" s="669"/>
      <c r="WIS106" s="669"/>
      <c r="WIT106" s="669"/>
      <c r="WIU106" s="669"/>
      <c r="WIV106" s="669"/>
      <c r="WIW106" s="669"/>
      <c r="WIX106" s="669"/>
      <c r="WIY106" s="669"/>
      <c r="WIZ106" s="669"/>
      <c r="WJA106" s="669"/>
      <c r="WJB106" s="669"/>
      <c r="WJC106" s="669"/>
      <c r="WJD106" s="669"/>
      <c r="WJE106" s="669"/>
      <c r="WJF106" s="669"/>
      <c r="WJG106" s="669"/>
      <c r="WJH106" s="669"/>
      <c r="WJI106" s="669"/>
      <c r="WJJ106" s="669"/>
      <c r="WJK106" s="669"/>
      <c r="WJL106" s="669"/>
      <c r="WJM106" s="669"/>
      <c r="WJN106" s="669"/>
      <c r="WJO106" s="669"/>
      <c r="WJP106" s="669"/>
      <c r="WJQ106" s="669"/>
      <c r="WJR106" s="669"/>
      <c r="WJS106" s="669"/>
      <c r="WJT106" s="669"/>
      <c r="WJU106" s="669"/>
      <c r="WJV106" s="669"/>
      <c r="WJW106" s="669"/>
      <c r="WJX106" s="669"/>
      <c r="WJY106" s="669"/>
      <c r="WJZ106" s="669"/>
      <c r="WKA106" s="669"/>
      <c r="WKB106" s="669"/>
      <c r="WKC106" s="669"/>
      <c r="WKD106" s="669"/>
      <c r="WKE106" s="669"/>
      <c r="WKF106" s="669"/>
      <c r="WKG106" s="669"/>
      <c r="WKH106" s="669"/>
      <c r="WKI106" s="669"/>
      <c r="WKJ106" s="669"/>
      <c r="WKK106" s="669"/>
      <c r="WKL106" s="669"/>
      <c r="WKM106" s="669"/>
      <c r="WKN106" s="669"/>
      <c r="WKO106" s="669"/>
      <c r="WKP106" s="669"/>
      <c r="WKQ106" s="669"/>
      <c r="WKR106" s="669"/>
      <c r="WKS106" s="669"/>
      <c r="WKT106" s="669"/>
      <c r="WKU106" s="669"/>
      <c r="WKV106" s="669"/>
      <c r="WKW106" s="669"/>
      <c r="WKX106" s="669"/>
      <c r="WKY106" s="669"/>
      <c r="WKZ106" s="669"/>
      <c r="WLA106" s="669"/>
      <c r="WLB106" s="669"/>
      <c r="WLC106" s="669"/>
      <c r="WLD106" s="669"/>
      <c r="WLE106" s="669"/>
      <c r="WLF106" s="669"/>
      <c r="WLG106" s="669"/>
      <c r="WLH106" s="669"/>
      <c r="WLI106" s="669"/>
      <c r="WLJ106" s="669"/>
      <c r="WLK106" s="669"/>
      <c r="WLL106" s="669"/>
      <c r="WLM106" s="669"/>
      <c r="WLN106" s="669"/>
      <c r="WLO106" s="669"/>
      <c r="WLP106" s="669"/>
      <c r="WLQ106" s="669"/>
      <c r="WLR106" s="669"/>
      <c r="WLS106" s="669"/>
      <c r="WLT106" s="669"/>
      <c r="WLU106" s="669"/>
      <c r="WLV106" s="669"/>
      <c r="WLW106" s="669"/>
      <c r="WLX106" s="669"/>
      <c r="WLY106" s="669"/>
      <c r="WLZ106" s="669"/>
      <c r="WMA106" s="669"/>
      <c r="WMB106" s="669"/>
      <c r="WMC106" s="669"/>
      <c r="WMD106" s="669"/>
      <c r="WME106" s="669"/>
      <c r="WMF106" s="669"/>
      <c r="WMG106" s="669"/>
      <c r="WMH106" s="669"/>
      <c r="WMI106" s="669"/>
      <c r="WMJ106" s="669"/>
      <c r="WMK106" s="669"/>
      <c r="WML106" s="669"/>
      <c r="WMM106" s="669"/>
      <c r="WMN106" s="669"/>
      <c r="WMO106" s="669"/>
      <c r="WMP106" s="669"/>
      <c r="WMQ106" s="669"/>
      <c r="WMR106" s="669"/>
      <c r="WMS106" s="669"/>
      <c r="WMT106" s="669"/>
      <c r="WMU106" s="669"/>
      <c r="WMV106" s="669"/>
      <c r="WMW106" s="669"/>
      <c r="WMX106" s="669"/>
      <c r="WMY106" s="669"/>
      <c r="WMZ106" s="669"/>
      <c r="WNA106" s="669"/>
      <c r="WNB106" s="669"/>
      <c r="WNC106" s="669"/>
      <c r="WND106" s="669"/>
      <c r="WNE106" s="669"/>
      <c r="WNF106" s="669"/>
      <c r="WNG106" s="669"/>
      <c r="WNH106" s="669"/>
      <c r="WNI106" s="669"/>
      <c r="WNJ106" s="669"/>
      <c r="WNK106" s="669"/>
      <c r="WNL106" s="669"/>
      <c r="WNM106" s="669"/>
      <c r="WNN106" s="669"/>
      <c r="WNO106" s="669"/>
      <c r="WNP106" s="669"/>
      <c r="WNQ106" s="669"/>
      <c r="WNR106" s="669"/>
      <c r="WNS106" s="669"/>
      <c r="WNT106" s="669"/>
      <c r="WNU106" s="669"/>
      <c r="WNV106" s="669"/>
      <c r="WNW106" s="669"/>
      <c r="WNX106" s="669"/>
      <c r="WNY106" s="669"/>
      <c r="WNZ106" s="669"/>
      <c r="WOA106" s="669"/>
      <c r="WOB106" s="669"/>
      <c r="WOC106" s="669"/>
      <c r="WOD106" s="669"/>
      <c r="WOE106" s="669"/>
      <c r="WOF106" s="669"/>
      <c r="WOG106" s="669"/>
      <c r="WOH106" s="669"/>
      <c r="WOI106" s="669"/>
      <c r="WOJ106" s="669"/>
      <c r="WOK106" s="669"/>
      <c r="WOL106" s="669"/>
      <c r="WOM106" s="669"/>
      <c r="WON106" s="669"/>
      <c r="WOO106" s="669"/>
      <c r="WOP106" s="669"/>
      <c r="WOQ106" s="669"/>
      <c r="WOR106" s="669"/>
      <c r="WOS106" s="669"/>
      <c r="WOT106" s="669"/>
      <c r="WOU106" s="669"/>
      <c r="WOV106" s="669"/>
      <c r="WOW106" s="669"/>
      <c r="WOX106" s="669"/>
      <c r="WOY106" s="669"/>
      <c r="WOZ106" s="669"/>
      <c r="WPA106" s="669"/>
      <c r="WPB106" s="669"/>
      <c r="WPC106" s="669"/>
      <c r="WPD106" s="669"/>
      <c r="WPE106" s="669"/>
      <c r="WPF106" s="669"/>
      <c r="WPG106" s="669"/>
      <c r="WPH106" s="669"/>
      <c r="WPI106" s="669"/>
      <c r="WPJ106" s="669"/>
      <c r="WPK106" s="669"/>
      <c r="WPL106" s="669"/>
      <c r="WPM106" s="669"/>
      <c r="WPN106" s="669"/>
      <c r="WPO106" s="669"/>
      <c r="WPP106" s="669"/>
      <c r="WPQ106" s="669"/>
      <c r="WPR106" s="669"/>
      <c r="WPS106" s="669"/>
      <c r="WPT106" s="669"/>
      <c r="WPU106" s="669"/>
      <c r="WPV106" s="669"/>
      <c r="WPW106" s="669"/>
      <c r="WPX106" s="669"/>
      <c r="WPY106" s="669"/>
      <c r="WPZ106" s="669"/>
      <c r="WQA106" s="669"/>
      <c r="WQB106" s="669"/>
      <c r="WQC106" s="669"/>
      <c r="WQD106" s="669"/>
      <c r="WQE106" s="669"/>
      <c r="WQF106" s="669"/>
      <c r="WQG106" s="669"/>
      <c r="WQH106" s="669"/>
      <c r="WQI106" s="669"/>
      <c r="WQJ106" s="669"/>
      <c r="WQK106" s="669"/>
      <c r="WQL106" s="669"/>
      <c r="WQM106" s="669"/>
      <c r="WQN106" s="669"/>
      <c r="WQO106" s="669"/>
      <c r="WQP106" s="669"/>
      <c r="WQQ106" s="669"/>
      <c r="WQR106" s="669"/>
      <c r="WQS106" s="669"/>
      <c r="WQT106" s="669"/>
      <c r="WQU106" s="669"/>
      <c r="WQV106" s="669"/>
      <c r="WQW106" s="669"/>
      <c r="WQX106" s="669"/>
      <c r="WQY106" s="669"/>
      <c r="WQZ106" s="669"/>
      <c r="WRA106" s="669"/>
      <c r="WRB106" s="669"/>
      <c r="WRC106" s="669"/>
      <c r="WRD106" s="669"/>
      <c r="WRE106" s="669"/>
      <c r="WRF106" s="669"/>
      <c r="WRG106" s="669"/>
      <c r="WRH106" s="669"/>
      <c r="WRI106" s="669"/>
      <c r="WRJ106" s="669"/>
      <c r="WRK106" s="669"/>
      <c r="WRL106" s="669"/>
      <c r="WRM106" s="669"/>
      <c r="WRN106" s="669"/>
      <c r="WRO106" s="669"/>
      <c r="WRP106" s="669"/>
      <c r="WRQ106" s="669"/>
      <c r="WRR106" s="669"/>
      <c r="WRS106" s="669"/>
      <c r="WRT106" s="669"/>
      <c r="WRU106" s="669"/>
      <c r="WRV106" s="669"/>
      <c r="WRW106" s="669"/>
      <c r="WRX106" s="669"/>
      <c r="WRY106" s="669"/>
      <c r="WRZ106" s="669"/>
      <c r="WSA106" s="669"/>
      <c r="WSB106" s="669"/>
      <c r="WSC106" s="669"/>
      <c r="WSD106" s="669"/>
      <c r="WSE106" s="669"/>
      <c r="WSF106" s="669"/>
      <c r="WSG106" s="669"/>
      <c r="WSH106" s="669"/>
      <c r="WSI106" s="669"/>
      <c r="WSJ106" s="669"/>
      <c r="WSK106" s="669"/>
      <c r="WSL106" s="669"/>
      <c r="WSM106" s="669"/>
      <c r="WSN106" s="669"/>
      <c r="WSO106" s="669"/>
      <c r="WSP106" s="669"/>
      <c r="WSQ106" s="669"/>
      <c r="WSR106" s="669"/>
      <c r="WSS106" s="669"/>
      <c r="WST106" s="669"/>
      <c r="WSU106" s="669"/>
      <c r="WSV106" s="669"/>
      <c r="WSW106" s="669"/>
      <c r="WSX106" s="669"/>
      <c r="WSY106" s="669"/>
      <c r="WSZ106" s="669"/>
      <c r="WTA106" s="669"/>
      <c r="WTB106" s="669"/>
      <c r="WTC106" s="669"/>
      <c r="WTD106" s="669"/>
      <c r="WTE106" s="669"/>
      <c r="WTF106" s="669"/>
      <c r="WTG106" s="669"/>
      <c r="WTH106" s="669"/>
      <c r="WTI106" s="669"/>
      <c r="WTJ106" s="669"/>
      <c r="WTK106" s="669"/>
      <c r="WTL106" s="669"/>
      <c r="WTM106" s="669"/>
      <c r="WTN106" s="669"/>
      <c r="WTO106" s="669"/>
      <c r="WTP106" s="669"/>
      <c r="WTQ106" s="669"/>
      <c r="WTR106" s="669"/>
      <c r="WTS106" s="669"/>
      <c r="WTT106" s="669"/>
      <c r="WTU106" s="669"/>
      <c r="WTV106" s="669"/>
      <c r="WTW106" s="669"/>
      <c r="WTX106" s="669"/>
      <c r="WTY106" s="669"/>
      <c r="WTZ106" s="669"/>
      <c r="WUA106" s="669"/>
      <c r="WUB106" s="669"/>
      <c r="WUC106" s="669"/>
      <c r="WUD106" s="669"/>
      <c r="WUE106" s="669"/>
      <c r="WUF106" s="669"/>
      <c r="WUG106" s="669"/>
      <c r="WUH106" s="669"/>
      <c r="WUI106" s="669"/>
      <c r="WUJ106" s="669"/>
      <c r="WUK106" s="669"/>
      <c r="WUL106" s="669"/>
      <c r="WUM106" s="669"/>
      <c r="WUN106" s="669"/>
      <c r="WUO106" s="669"/>
      <c r="WUP106" s="669"/>
      <c r="WUQ106" s="669"/>
      <c r="WUR106" s="669"/>
      <c r="WUS106" s="669"/>
      <c r="WUT106" s="669"/>
      <c r="WUU106" s="669"/>
      <c r="WUV106" s="669"/>
      <c r="WUW106" s="669"/>
      <c r="WUX106" s="669"/>
      <c r="WUY106" s="669"/>
      <c r="WUZ106" s="669"/>
      <c r="WVA106" s="669"/>
      <c r="WVB106" s="669"/>
      <c r="WVC106" s="669"/>
      <c r="WVD106" s="669"/>
      <c r="WVE106" s="669"/>
      <c r="WVF106" s="669"/>
      <c r="WVG106" s="669"/>
      <c r="WVH106" s="669"/>
      <c r="WVI106" s="669"/>
      <c r="WVJ106" s="669"/>
      <c r="WVK106" s="669"/>
      <c r="WVL106" s="669"/>
      <c r="WVM106" s="669"/>
      <c r="WVN106" s="669"/>
      <c r="WVO106" s="669"/>
      <c r="WVP106" s="669"/>
      <c r="WVQ106" s="669"/>
      <c r="WVR106" s="669"/>
      <c r="WVS106" s="669"/>
      <c r="WVT106" s="669"/>
      <c r="WVU106" s="669"/>
      <c r="WVV106" s="669"/>
      <c r="WVW106" s="669"/>
      <c r="WVX106" s="669"/>
      <c r="WVY106" s="669"/>
      <c r="WVZ106" s="669"/>
      <c r="WWA106" s="669"/>
      <c r="WWB106" s="669"/>
      <c r="WWC106" s="669"/>
      <c r="WWD106" s="669"/>
      <c r="WWE106" s="669"/>
      <c r="WWF106" s="669"/>
      <c r="WWG106" s="669"/>
      <c r="WWH106" s="669"/>
      <c r="WWI106" s="669"/>
      <c r="WWJ106" s="669"/>
      <c r="WWK106" s="669"/>
      <c r="WWL106" s="669"/>
      <c r="WWM106" s="669"/>
      <c r="WWN106" s="669"/>
      <c r="WWO106" s="669"/>
      <c r="WWP106" s="669"/>
      <c r="WWQ106" s="669"/>
      <c r="WWR106" s="669"/>
      <c r="WWS106" s="669"/>
      <c r="WWT106" s="669"/>
      <c r="WWU106" s="669"/>
      <c r="WWV106" s="669"/>
      <c r="WWW106" s="669"/>
      <c r="WWX106" s="669"/>
      <c r="WWY106" s="669"/>
      <c r="WWZ106" s="669"/>
      <c r="WXA106" s="669"/>
      <c r="WXB106" s="669"/>
      <c r="WXC106" s="669"/>
      <c r="WXD106" s="669"/>
      <c r="WXE106" s="669"/>
      <c r="WXF106" s="669"/>
      <c r="WXG106" s="669"/>
      <c r="WXH106" s="669"/>
      <c r="WXI106" s="669"/>
      <c r="WXJ106" s="669"/>
      <c r="WXK106" s="669"/>
      <c r="WXL106" s="669"/>
      <c r="WXM106" s="669"/>
      <c r="WXN106" s="669"/>
      <c r="WXO106" s="669"/>
      <c r="WXP106" s="669"/>
      <c r="WXQ106" s="669"/>
      <c r="WXR106" s="669"/>
      <c r="WXS106" s="669"/>
      <c r="WXT106" s="669"/>
      <c r="WXU106" s="669"/>
      <c r="WXV106" s="669"/>
      <c r="WXW106" s="669"/>
      <c r="WXX106" s="669"/>
      <c r="WXY106" s="669"/>
      <c r="WXZ106" s="669"/>
      <c r="WYA106" s="669"/>
      <c r="WYB106" s="669"/>
      <c r="WYC106" s="669"/>
      <c r="WYD106" s="669"/>
      <c r="WYE106" s="669"/>
      <c r="WYF106" s="669"/>
      <c r="WYG106" s="669"/>
      <c r="WYH106" s="669"/>
      <c r="WYI106" s="669"/>
      <c r="WYJ106" s="669"/>
      <c r="WYK106" s="669"/>
      <c r="WYL106" s="669"/>
      <c r="WYM106" s="669"/>
      <c r="WYN106" s="669"/>
      <c r="WYO106" s="669"/>
      <c r="WYP106" s="669"/>
      <c r="WYQ106" s="669"/>
      <c r="WYR106" s="669"/>
      <c r="WYS106" s="669"/>
      <c r="WYT106" s="669"/>
      <c r="WYU106" s="669"/>
      <c r="WYV106" s="669"/>
      <c r="WYW106" s="669"/>
      <c r="WYX106" s="669"/>
      <c r="WYY106" s="669"/>
      <c r="WYZ106" s="669"/>
      <c r="WZA106" s="669"/>
      <c r="WZB106" s="669"/>
      <c r="WZC106" s="669"/>
      <c r="WZD106" s="669"/>
      <c r="WZE106" s="669"/>
      <c r="WZF106" s="669"/>
      <c r="WZG106" s="669"/>
      <c r="WZH106" s="669"/>
      <c r="WZI106" s="669"/>
      <c r="WZJ106" s="669"/>
      <c r="WZK106" s="669"/>
      <c r="WZL106" s="669"/>
      <c r="WZM106" s="669"/>
      <c r="WZN106" s="669"/>
      <c r="WZO106" s="669"/>
      <c r="WZP106" s="669"/>
      <c r="WZQ106" s="669"/>
      <c r="WZR106" s="669"/>
      <c r="WZS106" s="669"/>
      <c r="WZT106" s="669"/>
      <c r="WZU106" s="669"/>
      <c r="WZV106" s="669"/>
      <c r="WZW106" s="669"/>
      <c r="WZX106" s="669"/>
      <c r="WZY106" s="669"/>
      <c r="WZZ106" s="669"/>
      <c r="XAA106" s="669"/>
      <c r="XAB106" s="669"/>
      <c r="XAC106" s="669"/>
      <c r="XAD106" s="669"/>
      <c r="XAE106" s="669"/>
      <c r="XAF106" s="669"/>
      <c r="XAG106" s="669"/>
      <c r="XAH106" s="669"/>
      <c r="XAI106" s="669"/>
      <c r="XAJ106" s="669"/>
      <c r="XAK106" s="669"/>
      <c r="XAL106" s="669"/>
      <c r="XAM106" s="669"/>
      <c r="XAN106" s="669"/>
      <c r="XAO106" s="669"/>
      <c r="XAP106" s="669"/>
      <c r="XAQ106" s="669"/>
      <c r="XAR106" s="669"/>
      <c r="XAS106" s="669"/>
      <c r="XAT106" s="669"/>
      <c r="XAU106" s="669"/>
      <c r="XAV106" s="669"/>
      <c r="XAW106" s="669"/>
      <c r="XAX106" s="669"/>
      <c r="XAY106" s="669"/>
      <c r="XAZ106" s="669"/>
      <c r="XBA106" s="669"/>
      <c r="XBB106" s="669"/>
      <c r="XBC106" s="669"/>
      <c r="XBD106" s="669"/>
      <c r="XBE106" s="669"/>
      <c r="XBF106" s="669"/>
      <c r="XBG106" s="669"/>
      <c r="XBH106" s="669"/>
      <c r="XBI106" s="669"/>
      <c r="XBJ106" s="669"/>
      <c r="XBK106" s="669"/>
      <c r="XBL106" s="669"/>
      <c r="XBM106" s="669"/>
      <c r="XBN106" s="669"/>
      <c r="XBO106" s="669"/>
      <c r="XBP106" s="669"/>
      <c r="XBQ106" s="669"/>
      <c r="XBR106" s="669"/>
      <c r="XBS106" s="669"/>
      <c r="XBT106" s="669"/>
      <c r="XBU106" s="669"/>
      <c r="XBV106" s="669"/>
      <c r="XBW106" s="669"/>
      <c r="XBX106" s="669"/>
      <c r="XBY106" s="669"/>
      <c r="XBZ106" s="669"/>
      <c r="XCA106" s="669"/>
      <c r="XCB106" s="669"/>
      <c r="XCC106" s="669"/>
      <c r="XCD106" s="669"/>
      <c r="XCE106" s="669"/>
      <c r="XCF106" s="669"/>
      <c r="XCG106" s="669"/>
      <c r="XCH106" s="669"/>
      <c r="XCI106" s="669"/>
      <c r="XCJ106" s="669"/>
      <c r="XCK106" s="669"/>
      <c r="XCL106" s="669"/>
      <c r="XCM106" s="669"/>
      <c r="XCN106" s="669"/>
      <c r="XCO106" s="669"/>
      <c r="XCP106" s="669"/>
      <c r="XCQ106" s="669"/>
      <c r="XCR106" s="669"/>
      <c r="XCS106" s="669"/>
      <c r="XCT106" s="669"/>
      <c r="XCU106" s="669"/>
      <c r="XCV106" s="669"/>
      <c r="XCW106" s="669"/>
      <c r="XCX106" s="669"/>
      <c r="XCY106" s="669"/>
      <c r="XCZ106" s="669"/>
      <c r="XDA106" s="669"/>
      <c r="XDB106" s="669"/>
      <c r="XDC106" s="669"/>
      <c r="XDD106" s="669"/>
      <c r="XDE106" s="669"/>
      <c r="XDF106" s="669"/>
      <c r="XDG106" s="669"/>
      <c r="XDH106" s="669"/>
      <c r="XDI106" s="669"/>
      <c r="XDJ106" s="669"/>
      <c r="XDK106" s="669"/>
      <c r="XDL106" s="669"/>
      <c r="XDM106" s="669"/>
      <c r="XDN106" s="669"/>
      <c r="XDO106" s="669"/>
      <c r="XDP106" s="669"/>
      <c r="XDQ106" s="669"/>
      <c r="XDR106" s="669"/>
      <c r="XDS106" s="669"/>
      <c r="XDT106" s="669"/>
      <c r="XDU106" s="669"/>
      <c r="XDV106" s="669"/>
      <c r="XDW106" s="669"/>
      <c r="XDX106" s="669"/>
      <c r="XDY106" s="669"/>
      <c r="XDZ106" s="669"/>
      <c r="XEA106" s="669"/>
      <c r="XEB106" s="669"/>
      <c r="XEC106" s="669"/>
      <c r="XED106" s="669"/>
      <c r="XEE106" s="669"/>
      <c r="XEF106" s="669"/>
      <c r="XEG106" s="669"/>
      <c r="XEH106" s="669"/>
      <c r="XEI106" s="669"/>
      <c r="XEJ106" s="669"/>
      <c r="XEK106" s="669"/>
      <c r="XEL106" s="669"/>
      <c r="XEM106" s="669"/>
      <c r="XEN106" s="669"/>
      <c r="XEO106" s="669"/>
      <c r="XEP106" s="669"/>
      <c r="XEQ106" s="669"/>
      <c r="XER106" s="669"/>
      <c r="XES106" s="669"/>
      <c r="XET106" s="669"/>
      <c r="XEU106" s="669"/>
      <c r="XEV106" s="669"/>
      <c r="XEW106" s="669"/>
      <c r="XEX106" s="669"/>
      <c r="XEY106" s="669"/>
      <c r="XEZ106" s="669"/>
      <c r="XFA106" s="669"/>
      <c r="XFB106" s="669"/>
      <c r="XFC106" s="669"/>
      <c r="XFD106" s="669"/>
    </row>
    <row r="107" spans="1:16384" customFormat="1" ht="14.45" customHeight="1" x14ac:dyDescent="0.25">
      <c r="A107" s="601"/>
      <c r="B107" s="668" t="s">
        <v>1821</v>
      </c>
      <c r="C107" s="668"/>
      <c r="D107" s="668"/>
      <c r="E107" s="668"/>
      <c r="F107" s="669"/>
      <c r="G107" s="669"/>
      <c r="H107" s="669"/>
      <c r="I107" s="669"/>
      <c r="J107" s="669"/>
      <c r="K107" s="601"/>
      <c r="L107" s="601"/>
      <c r="M107" s="603"/>
      <c r="N107" s="601"/>
      <c r="O107" s="601"/>
      <c r="P107" s="669"/>
      <c r="Q107" s="669"/>
      <c r="R107" s="669"/>
      <c r="S107" s="669"/>
      <c r="T107" s="670"/>
      <c r="U107" s="669"/>
      <c r="V107" s="669"/>
      <c r="W107" s="669"/>
      <c r="X107" s="669"/>
      <c r="Y107" s="669"/>
      <c r="Z107" s="669"/>
      <c r="AA107" s="669"/>
      <c r="AB107" s="669"/>
      <c r="AC107" s="669"/>
      <c r="AD107" s="669"/>
      <c r="AE107" s="669"/>
      <c r="AF107" s="669"/>
      <c r="AG107" s="669"/>
      <c r="AH107" s="669"/>
      <c r="AI107" s="669"/>
      <c r="AJ107" s="669"/>
      <c r="AK107" s="669"/>
      <c r="AL107" s="669"/>
      <c r="AM107" s="669"/>
      <c r="AN107" s="669"/>
      <c r="AO107" s="669"/>
      <c r="AP107" s="669"/>
      <c r="AQ107" s="669"/>
      <c r="AR107" s="669"/>
      <c r="AS107" s="669"/>
      <c r="AT107" s="669"/>
      <c r="AU107" s="669"/>
      <c r="AV107" s="669"/>
      <c r="AW107" s="669"/>
      <c r="AX107" s="669"/>
      <c r="AY107" s="669"/>
      <c r="AZ107" s="669"/>
      <c r="BA107" s="669"/>
      <c r="BB107" s="669"/>
      <c r="BC107" s="669"/>
      <c r="BD107" s="669"/>
      <c r="BE107" s="669"/>
      <c r="BF107" s="669"/>
      <c r="BG107" s="669"/>
      <c r="BH107" s="669"/>
      <c r="BI107" s="669"/>
      <c r="BJ107" s="669"/>
      <c r="BK107" s="669"/>
      <c r="BL107" s="669"/>
      <c r="BM107" s="669"/>
      <c r="BN107" s="669"/>
      <c r="BO107" s="669"/>
      <c r="BP107" s="669"/>
      <c r="BQ107" s="669"/>
      <c r="BR107" s="669"/>
      <c r="BS107" s="669"/>
      <c r="BT107" s="669"/>
      <c r="BU107" s="669"/>
      <c r="BV107" s="669"/>
      <c r="BW107" s="669"/>
      <c r="BX107" s="669"/>
      <c r="BY107" s="669"/>
      <c r="BZ107" s="669"/>
      <c r="CA107" s="669"/>
      <c r="CB107" s="669"/>
      <c r="CC107" s="669"/>
      <c r="CD107" s="669"/>
      <c r="CE107" s="669"/>
      <c r="CF107" s="669"/>
      <c r="CG107" s="669"/>
      <c r="CH107" s="669"/>
      <c r="CI107" s="669"/>
      <c r="CJ107" s="669"/>
      <c r="CK107" s="669"/>
      <c r="CL107" s="669"/>
      <c r="CM107" s="669"/>
      <c r="CN107" s="669"/>
      <c r="CO107" s="669"/>
      <c r="CP107" s="669"/>
      <c r="CQ107" s="669"/>
      <c r="CR107" s="669"/>
      <c r="CS107" s="669"/>
      <c r="CT107" s="669"/>
      <c r="CU107" s="669"/>
      <c r="CV107" s="669"/>
      <c r="CW107" s="669"/>
      <c r="CX107" s="669"/>
      <c r="CY107" s="669"/>
      <c r="CZ107" s="669"/>
      <c r="DA107" s="669"/>
      <c r="DB107" s="669"/>
      <c r="DC107" s="669"/>
      <c r="DD107" s="669"/>
      <c r="DE107" s="669"/>
      <c r="DF107" s="669"/>
      <c r="DG107" s="669"/>
      <c r="DH107" s="669"/>
      <c r="DI107" s="669"/>
      <c r="DJ107" s="669"/>
      <c r="DK107" s="669"/>
      <c r="DL107" s="669"/>
      <c r="DM107" s="669"/>
      <c r="DN107" s="669"/>
      <c r="DO107" s="669"/>
      <c r="DP107" s="669"/>
      <c r="DQ107" s="669"/>
      <c r="DR107" s="669"/>
      <c r="DS107" s="669"/>
      <c r="DT107" s="669"/>
      <c r="DU107" s="669"/>
      <c r="DV107" s="669"/>
      <c r="DW107" s="669"/>
      <c r="DX107" s="669"/>
      <c r="DY107" s="669"/>
      <c r="DZ107" s="669"/>
      <c r="EA107" s="669"/>
      <c r="EB107" s="669"/>
      <c r="EC107" s="669"/>
      <c r="ED107" s="669"/>
      <c r="EE107" s="669"/>
      <c r="EF107" s="669"/>
      <c r="EG107" s="669"/>
      <c r="EH107" s="669"/>
      <c r="EI107" s="669"/>
      <c r="EJ107" s="669"/>
      <c r="EK107" s="669"/>
      <c r="EL107" s="669"/>
      <c r="EM107" s="669"/>
      <c r="EN107" s="669"/>
      <c r="EO107" s="669"/>
      <c r="EP107" s="669"/>
      <c r="EQ107" s="669"/>
      <c r="ER107" s="669"/>
      <c r="ES107" s="669"/>
      <c r="ET107" s="669"/>
      <c r="EU107" s="669"/>
      <c r="EV107" s="669"/>
      <c r="EW107" s="669"/>
      <c r="EX107" s="669"/>
      <c r="EY107" s="669"/>
      <c r="EZ107" s="669"/>
      <c r="FA107" s="669"/>
      <c r="FB107" s="669"/>
      <c r="FC107" s="669"/>
      <c r="FD107" s="669"/>
      <c r="FE107" s="669"/>
      <c r="FF107" s="669"/>
      <c r="FG107" s="669"/>
      <c r="FH107" s="669"/>
      <c r="FI107" s="669"/>
      <c r="FJ107" s="669"/>
      <c r="FK107" s="669"/>
      <c r="FL107" s="669"/>
      <c r="FM107" s="669"/>
      <c r="FN107" s="669"/>
      <c r="FO107" s="669"/>
      <c r="FP107" s="669"/>
      <c r="FQ107" s="669"/>
      <c r="FR107" s="669"/>
      <c r="FS107" s="669"/>
      <c r="FT107" s="669"/>
      <c r="FU107" s="669"/>
      <c r="FV107" s="669"/>
      <c r="FW107" s="669"/>
      <c r="FX107" s="669"/>
      <c r="FY107" s="669"/>
      <c r="FZ107" s="669"/>
      <c r="GA107" s="669"/>
      <c r="GB107" s="669"/>
      <c r="GC107" s="669"/>
      <c r="GD107" s="669"/>
      <c r="GE107" s="669"/>
      <c r="GF107" s="669"/>
      <c r="GG107" s="669"/>
      <c r="GH107" s="669"/>
      <c r="GI107" s="669"/>
      <c r="GJ107" s="669"/>
      <c r="GK107" s="669"/>
      <c r="GL107" s="669"/>
      <c r="GM107" s="669"/>
      <c r="GN107" s="669"/>
      <c r="GO107" s="669"/>
      <c r="GP107" s="669"/>
      <c r="GQ107" s="669"/>
      <c r="GR107" s="669"/>
      <c r="GS107" s="669"/>
      <c r="GT107" s="669"/>
      <c r="GU107" s="669"/>
      <c r="GV107" s="669"/>
      <c r="GW107" s="669"/>
      <c r="GX107" s="669"/>
      <c r="GY107" s="669"/>
      <c r="GZ107" s="669"/>
      <c r="HA107" s="669"/>
      <c r="HB107" s="669"/>
      <c r="HC107" s="669"/>
      <c r="HD107" s="669"/>
      <c r="HE107" s="669"/>
      <c r="HF107" s="669"/>
      <c r="HG107" s="669"/>
      <c r="HH107" s="669"/>
      <c r="HI107" s="669"/>
      <c r="HJ107" s="669"/>
      <c r="HK107" s="669"/>
      <c r="HL107" s="669"/>
      <c r="HM107" s="669"/>
      <c r="HN107" s="669"/>
      <c r="HO107" s="669"/>
      <c r="HP107" s="669"/>
      <c r="HQ107" s="669"/>
      <c r="HR107" s="669"/>
      <c r="HS107" s="669"/>
      <c r="HT107" s="669"/>
      <c r="HU107" s="669"/>
      <c r="HV107" s="669"/>
      <c r="HW107" s="669"/>
      <c r="HX107" s="669"/>
      <c r="HY107" s="669"/>
      <c r="HZ107" s="669"/>
      <c r="IA107" s="669"/>
      <c r="IB107" s="669"/>
      <c r="IC107" s="669"/>
      <c r="ID107" s="669"/>
      <c r="IE107" s="669"/>
      <c r="IF107" s="669"/>
      <c r="IG107" s="669"/>
      <c r="IH107" s="669"/>
      <c r="II107" s="669"/>
      <c r="IJ107" s="669"/>
      <c r="IK107" s="669"/>
      <c r="IL107" s="669"/>
      <c r="IM107" s="669"/>
      <c r="IN107" s="669"/>
      <c r="IO107" s="669"/>
      <c r="IP107" s="669"/>
      <c r="IQ107" s="669"/>
      <c r="IR107" s="669"/>
      <c r="IS107" s="669"/>
      <c r="IT107" s="669"/>
      <c r="IU107" s="669"/>
      <c r="IV107" s="669"/>
      <c r="IW107" s="669"/>
      <c r="IX107" s="669"/>
      <c r="IY107" s="669"/>
      <c r="IZ107" s="669"/>
      <c r="JA107" s="669"/>
      <c r="JB107" s="669"/>
      <c r="JC107" s="669"/>
      <c r="JD107" s="669"/>
      <c r="JE107" s="669"/>
      <c r="JF107" s="669"/>
      <c r="JG107" s="669"/>
      <c r="JH107" s="669"/>
      <c r="JI107" s="669"/>
      <c r="JJ107" s="669"/>
      <c r="JK107" s="669"/>
      <c r="JL107" s="669"/>
      <c r="JM107" s="669"/>
      <c r="JN107" s="669"/>
      <c r="JO107" s="669"/>
      <c r="JP107" s="669"/>
      <c r="JQ107" s="669"/>
      <c r="JR107" s="669"/>
      <c r="JS107" s="669"/>
      <c r="JT107" s="669"/>
      <c r="JU107" s="669"/>
      <c r="JV107" s="669"/>
      <c r="JW107" s="669"/>
      <c r="JX107" s="669"/>
      <c r="JY107" s="669"/>
      <c r="JZ107" s="669"/>
      <c r="KA107" s="669"/>
      <c r="KB107" s="669"/>
      <c r="KC107" s="669"/>
      <c r="KD107" s="669"/>
      <c r="KE107" s="669"/>
      <c r="KF107" s="669"/>
      <c r="KG107" s="669"/>
      <c r="KH107" s="669"/>
      <c r="KI107" s="669"/>
      <c r="KJ107" s="669"/>
      <c r="KK107" s="669"/>
      <c r="KL107" s="669"/>
      <c r="KM107" s="669"/>
      <c r="KN107" s="669"/>
      <c r="KO107" s="669"/>
      <c r="KP107" s="669"/>
      <c r="KQ107" s="669"/>
      <c r="KR107" s="669"/>
      <c r="KS107" s="669"/>
      <c r="KT107" s="669"/>
      <c r="KU107" s="669"/>
      <c r="KV107" s="669"/>
      <c r="KW107" s="669"/>
      <c r="KX107" s="669"/>
      <c r="KY107" s="669"/>
      <c r="KZ107" s="669"/>
      <c r="LA107" s="669"/>
      <c r="LB107" s="669"/>
      <c r="LC107" s="669"/>
      <c r="LD107" s="669"/>
      <c r="LE107" s="669"/>
      <c r="LF107" s="669"/>
      <c r="LG107" s="669"/>
      <c r="LH107" s="669"/>
      <c r="LI107" s="669"/>
      <c r="LJ107" s="669"/>
      <c r="LK107" s="669"/>
      <c r="LL107" s="669"/>
      <c r="LM107" s="669"/>
      <c r="LN107" s="669"/>
      <c r="LO107" s="669"/>
      <c r="LP107" s="669"/>
      <c r="LQ107" s="669"/>
      <c r="LR107" s="669"/>
      <c r="LS107" s="669"/>
      <c r="LT107" s="669"/>
      <c r="LU107" s="669"/>
      <c r="LV107" s="669"/>
      <c r="LW107" s="669"/>
      <c r="LX107" s="669"/>
      <c r="LY107" s="669"/>
      <c r="LZ107" s="669"/>
      <c r="MA107" s="669"/>
      <c r="MB107" s="669"/>
      <c r="MC107" s="669"/>
      <c r="MD107" s="669"/>
      <c r="ME107" s="669"/>
      <c r="MF107" s="669"/>
      <c r="MG107" s="669"/>
      <c r="MH107" s="669"/>
      <c r="MI107" s="669"/>
      <c r="MJ107" s="669"/>
      <c r="MK107" s="669"/>
      <c r="ML107" s="669"/>
      <c r="MM107" s="669"/>
      <c r="MN107" s="669"/>
      <c r="MO107" s="669"/>
      <c r="MP107" s="669"/>
      <c r="MQ107" s="669"/>
      <c r="MR107" s="669"/>
      <c r="MS107" s="669"/>
      <c r="MT107" s="669"/>
      <c r="MU107" s="669"/>
      <c r="MV107" s="669"/>
      <c r="MW107" s="669"/>
      <c r="MX107" s="669"/>
      <c r="MY107" s="669"/>
      <c r="MZ107" s="669"/>
      <c r="NA107" s="669"/>
      <c r="NB107" s="669"/>
      <c r="NC107" s="669"/>
      <c r="ND107" s="669"/>
      <c r="NE107" s="669"/>
      <c r="NF107" s="669"/>
      <c r="NG107" s="669"/>
      <c r="NH107" s="669"/>
      <c r="NI107" s="669"/>
      <c r="NJ107" s="669"/>
      <c r="NK107" s="669"/>
      <c r="NL107" s="669"/>
      <c r="NM107" s="669"/>
      <c r="NN107" s="669"/>
      <c r="NO107" s="669"/>
      <c r="NP107" s="669"/>
      <c r="NQ107" s="669"/>
      <c r="NR107" s="669"/>
      <c r="NS107" s="669"/>
      <c r="NT107" s="669"/>
      <c r="NU107" s="669"/>
      <c r="NV107" s="669"/>
      <c r="NW107" s="669"/>
      <c r="NX107" s="669"/>
      <c r="NY107" s="669"/>
      <c r="NZ107" s="669"/>
      <c r="OA107" s="669"/>
      <c r="OB107" s="669"/>
      <c r="OC107" s="669"/>
      <c r="OD107" s="669"/>
      <c r="OE107" s="669"/>
      <c r="OF107" s="669"/>
      <c r="OG107" s="669"/>
      <c r="OH107" s="669"/>
      <c r="OI107" s="669"/>
      <c r="OJ107" s="669"/>
      <c r="OK107" s="669"/>
      <c r="OL107" s="669"/>
      <c r="OM107" s="669"/>
      <c r="ON107" s="669"/>
      <c r="OO107" s="669"/>
      <c r="OP107" s="669"/>
      <c r="OQ107" s="669"/>
      <c r="OR107" s="669"/>
      <c r="OS107" s="669"/>
      <c r="OT107" s="669"/>
      <c r="OU107" s="669"/>
      <c r="OV107" s="669"/>
      <c r="OW107" s="669"/>
      <c r="OX107" s="669"/>
      <c r="OY107" s="669"/>
      <c r="OZ107" s="669"/>
      <c r="PA107" s="669"/>
      <c r="PB107" s="669"/>
      <c r="PC107" s="669"/>
      <c r="PD107" s="669"/>
      <c r="PE107" s="669"/>
      <c r="PF107" s="669"/>
      <c r="PG107" s="669"/>
      <c r="PH107" s="669"/>
      <c r="PI107" s="669"/>
      <c r="PJ107" s="669"/>
      <c r="PK107" s="669"/>
      <c r="PL107" s="669"/>
      <c r="PM107" s="669"/>
      <c r="PN107" s="669"/>
      <c r="PO107" s="669"/>
      <c r="PP107" s="669"/>
      <c r="PQ107" s="669"/>
      <c r="PR107" s="669"/>
      <c r="PS107" s="669"/>
      <c r="PT107" s="669"/>
      <c r="PU107" s="669"/>
      <c r="PV107" s="669"/>
      <c r="PW107" s="669"/>
      <c r="PX107" s="669"/>
      <c r="PY107" s="669"/>
      <c r="PZ107" s="669"/>
      <c r="QA107" s="669"/>
      <c r="QB107" s="669"/>
      <c r="QC107" s="669"/>
      <c r="QD107" s="669"/>
      <c r="QE107" s="669"/>
      <c r="QF107" s="669"/>
      <c r="QG107" s="669"/>
      <c r="QH107" s="669"/>
      <c r="QI107" s="669"/>
      <c r="QJ107" s="669"/>
      <c r="QK107" s="669"/>
      <c r="QL107" s="669"/>
      <c r="QM107" s="669"/>
      <c r="QN107" s="669"/>
      <c r="QO107" s="669"/>
      <c r="QP107" s="669"/>
      <c r="QQ107" s="669"/>
      <c r="QR107" s="669"/>
      <c r="QS107" s="669"/>
      <c r="QT107" s="669"/>
      <c r="QU107" s="669"/>
      <c r="QV107" s="669"/>
      <c r="QW107" s="669"/>
      <c r="QX107" s="669"/>
      <c r="QY107" s="669"/>
      <c r="QZ107" s="669"/>
      <c r="RA107" s="669"/>
      <c r="RB107" s="669"/>
      <c r="RC107" s="669"/>
      <c r="RD107" s="669"/>
      <c r="RE107" s="669"/>
      <c r="RF107" s="669"/>
      <c r="RG107" s="669"/>
      <c r="RH107" s="669"/>
      <c r="RI107" s="669"/>
      <c r="RJ107" s="669"/>
      <c r="RK107" s="669"/>
      <c r="RL107" s="669"/>
      <c r="RM107" s="669"/>
      <c r="RN107" s="669"/>
      <c r="RO107" s="669"/>
      <c r="RP107" s="669"/>
      <c r="RQ107" s="669"/>
      <c r="RR107" s="669"/>
      <c r="RS107" s="669"/>
      <c r="RT107" s="669"/>
      <c r="RU107" s="669"/>
      <c r="RV107" s="669"/>
      <c r="RW107" s="669"/>
      <c r="RX107" s="669"/>
      <c r="RY107" s="669"/>
      <c r="RZ107" s="669"/>
      <c r="SA107" s="669"/>
      <c r="SB107" s="669"/>
      <c r="SC107" s="669"/>
      <c r="SD107" s="669"/>
      <c r="SE107" s="669"/>
      <c r="SF107" s="669"/>
      <c r="SG107" s="669"/>
      <c r="SH107" s="669"/>
      <c r="SI107" s="669"/>
      <c r="SJ107" s="669"/>
      <c r="SK107" s="669"/>
      <c r="SL107" s="669"/>
      <c r="SM107" s="669"/>
      <c r="SN107" s="669"/>
      <c r="SO107" s="669"/>
      <c r="SP107" s="669"/>
      <c r="SQ107" s="669"/>
      <c r="SR107" s="669"/>
      <c r="SS107" s="669"/>
      <c r="ST107" s="669"/>
      <c r="SU107" s="669"/>
      <c r="SV107" s="669"/>
      <c r="SW107" s="669"/>
      <c r="SX107" s="669"/>
      <c r="SY107" s="669"/>
      <c r="SZ107" s="669"/>
      <c r="TA107" s="669"/>
      <c r="TB107" s="669"/>
      <c r="TC107" s="669"/>
      <c r="TD107" s="669"/>
      <c r="TE107" s="669"/>
      <c r="TF107" s="669"/>
      <c r="TG107" s="669"/>
      <c r="TH107" s="669"/>
      <c r="TI107" s="669"/>
      <c r="TJ107" s="669"/>
      <c r="TK107" s="669"/>
      <c r="TL107" s="669"/>
      <c r="TM107" s="669"/>
      <c r="TN107" s="669"/>
      <c r="TO107" s="669"/>
      <c r="TP107" s="669"/>
      <c r="TQ107" s="669"/>
      <c r="TR107" s="669"/>
      <c r="TS107" s="669"/>
      <c r="TT107" s="669"/>
      <c r="TU107" s="669"/>
      <c r="TV107" s="669"/>
      <c r="TW107" s="669"/>
      <c r="TX107" s="669"/>
      <c r="TY107" s="669"/>
      <c r="TZ107" s="669"/>
      <c r="UA107" s="669"/>
      <c r="UB107" s="669"/>
      <c r="UC107" s="669"/>
      <c r="UD107" s="669"/>
      <c r="UE107" s="669"/>
      <c r="UF107" s="669"/>
      <c r="UG107" s="669"/>
      <c r="UH107" s="669"/>
      <c r="UI107" s="669"/>
      <c r="UJ107" s="669"/>
      <c r="UK107" s="669"/>
      <c r="UL107" s="669"/>
      <c r="UM107" s="669"/>
      <c r="UN107" s="669"/>
      <c r="UO107" s="669"/>
      <c r="UP107" s="669"/>
      <c r="UQ107" s="669"/>
      <c r="UR107" s="669"/>
      <c r="US107" s="669"/>
      <c r="UT107" s="669"/>
      <c r="UU107" s="669"/>
      <c r="UV107" s="669"/>
      <c r="UW107" s="669"/>
      <c r="UX107" s="669"/>
      <c r="UY107" s="669"/>
      <c r="UZ107" s="669"/>
      <c r="VA107" s="669"/>
      <c r="VB107" s="669"/>
      <c r="VC107" s="669"/>
      <c r="VD107" s="669"/>
      <c r="VE107" s="669"/>
      <c r="VF107" s="669"/>
      <c r="VG107" s="669"/>
      <c r="VH107" s="669"/>
      <c r="VI107" s="669"/>
      <c r="VJ107" s="669"/>
      <c r="VK107" s="669"/>
      <c r="VL107" s="669"/>
      <c r="VM107" s="669"/>
      <c r="VN107" s="669"/>
      <c r="VO107" s="669"/>
      <c r="VP107" s="669"/>
      <c r="VQ107" s="669"/>
      <c r="VR107" s="669"/>
      <c r="VS107" s="669"/>
      <c r="VT107" s="669"/>
      <c r="VU107" s="669"/>
      <c r="VV107" s="669"/>
      <c r="VW107" s="669"/>
      <c r="VX107" s="669"/>
      <c r="VY107" s="669"/>
      <c r="VZ107" s="669"/>
      <c r="WA107" s="669"/>
      <c r="WB107" s="669"/>
      <c r="WC107" s="669"/>
      <c r="WD107" s="669"/>
      <c r="WE107" s="669"/>
      <c r="WF107" s="669"/>
      <c r="WG107" s="669"/>
      <c r="WH107" s="669"/>
      <c r="WI107" s="669"/>
      <c r="WJ107" s="669"/>
      <c r="WK107" s="669"/>
      <c r="WL107" s="669"/>
      <c r="WM107" s="669"/>
      <c r="WN107" s="669"/>
      <c r="WO107" s="669"/>
      <c r="WP107" s="669"/>
      <c r="WQ107" s="669"/>
      <c r="WR107" s="669"/>
      <c r="WS107" s="669"/>
      <c r="WT107" s="669"/>
      <c r="WU107" s="669"/>
      <c r="WV107" s="669"/>
      <c r="WW107" s="669"/>
      <c r="WX107" s="669"/>
      <c r="WY107" s="669"/>
      <c r="WZ107" s="669"/>
      <c r="XA107" s="669"/>
      <c r="XB107" s="669"/>
      <c r="XC107" s="669"/>
      <c r="XD107" s="669"/>
      <c r="XE107" s="669"/>
      <c r="XF107" s="669"/>
      <c r="XG107" s="669"/>
      <c r="XH107" s="669"/>
      <c r="XI107" s="669"/>
      <c r="XJ107" s="669"/>
      <c r="XK107" s="669"/>
      <c r="XL107" s="669"/>
      <c r="XM107" s="669"/>
      <c r="XN107" s="669"/>
      <c r="XO107" s="669"/>
      <c r="XP107" s="669"/>
      <c r="XQ107" s="669"/>
      <c r="XR107" s="669"/>
      <c r="XS107" s="669"/>
      <c r="XT107" s="669"/>
      <c r="XU107" s="669"/>
      <c r="XV107" s="669"/>
      <c r="XW107" s="669"/>
      <c r="XX107" s="669"/>
      <c r="XY107" s="669"/>
      <c r="XZ107" s="669"/>
      <c r="YA107" s="669"/>
      <c r="YB107" s="669"/>
      <c r="YC107" s="669"/>
      <c r="YD107" s="669"/>
      <c r="YE107" s="669"/>
      <c r="YF107" s="669"/>
      <c r="YG107" s="669"/>
      <c r="YH107" s="669"/>
      <c r="YI107" s="669"/>
      <c r="YJ107" s="669"/>
      <c r="YK107" s="669"/>
      <c r="YL107" s="669"/>
      <c r="YM107" s="669"/>
      <c r="YN107" s="669"/>
      <c r="YO107" s="669"/>
      <c r="YP107" s="669"/>
      <c r="YQ107" s="669"/>
      <c r="YR107" s="669"/>
      <c r="YS107" s="669"/>
      <c r="YT107" s="669"/>
      <c r="YU107" s="669"/>
      <c r="YV107" s="669"/>
      <c r="YW107" s="669"/>
      <c r="YX107" s="669"/>
      <c r="YY107" s="669"/>
      <c r="YZ107" s="669"/>
      <c r="ZA107" s="669"/>
      <c r="ZB107" s="669"/>
      <c r="ZC107" s="669"/>
      <c r="ZD107" s="669"/>
      <c r="ZE107" s="669"/>
      <c r="ZF107" s="669"/>
      <c r="ZG107" s="669"/>
      <c r="ZH107" s="669"/>
      <c r="ZI107" s="669"/>
      <c r="ZJ107" s="669"/>
      <c r="ZK107" s="669"/>
      <c r="ZL107" s="669"/>
      <c r="ZM107" s="669"/>
      <c r="ZN107" s="669"/>
      <c r="ZO107" s="669"/>
      <c r="ZP107" s="669"/>
      <c r="ZQ107" s="669"/>
      <c r="ZR107" s="669"/>
      <c r="ZS107" s="669"/>
      <c r="ZT107" s="669"/>
      <c r="ZU107" s="669"/>
      <c r="ZV107" s="669"/>
      <c r="ZW107" s="669"/>
      <c r="ZX107" s="669"/>
      <c r="ZY107" s="669"/>
      <c r="ZZ107" s="669"/>
      <c r="AAA107" s="669"/>
      <c r="AAB107" s="669"/>
      <c r="AAC107" s="669"/>
      <c r="AAD107" s="669"/>
      <c r="AAE107" s="669"/>
      <c r="AAF107" s="669"/>
      <c r="AAG107" s="669"/>
      <c r="AAH107" s="669"/>
      <c r="AAI107" s="669"/>
      <c r="AAJ107" s="669"/>
      <c r="AAK107" s="669"/>
      <c r="AAL107" s="669"/>
      <c r="AAM107" s="669"/>
      <c r="AAN107" s="669"/>
      <c r="AAO107" s="669"/>
      <c r="AAP107" s="669"/>
      <c r="AAQ107" s="669"/>
      <c r="AAR107" s="669"/>
      <c r="AAS107" s="669"/>
      <c r="AAT107" s="669"/>
      <c r="AAU107" s="669"/>
      <c r="AAV107" s="669"/>
      <c r="AAW107" s="669"/>
      <c r="AAX107" s="669"/>
      <c r="AAY107" s="669"/>
      <c r="AAZ107" s="669"/>
      <c r="ABA107" s="669"/>
      <c r="ABB107" s="669"/>
      <c r="ABC107" s="669"/>
      <c r="ABD107" s="669"/>
      <c r="ABE107" s="669"/>
      <c r="ABF107" s="669"/>
      <c r="ABG107" s="669"/>
      <c r="ABH107" s="669"/>
      <c r="ABI107" s="669"/>
      <c r="ABJ107" s="669"/>
      <c r="ABK107" s="669"/>
      <c r="ABL107" s="669"/>
      <c r="ABM107" s="669"/>
      <c r="ABN107" s="669"/>
      <c r="ABO107" s="669"/>
      <c r="ABP107" s="669"/>
      <c r="ABQ107" s="669"/>
      <c r="ABR107" s="669"/>
      <c r="ABS107" s="669"/>
      <c r="ABT107" s="669"/>
      <c r="ABU107" s="669"/>
      <c r="ABV107" s="669"/>
      <c r="ABW107" s="669"/>
      <c r="ABX107" s="669"/>
      <c r="ABY107" s="669"/>
      <c r="ABZ107" s="669"/>
      <c r="ACA107" s="669"/>
      <c r="ACB107" s="669"/>
      <c r="ACC107" s="669"/>
      <c r="ACD107" s="669"/>
      <c r="ACE107" s="669"/>
      <c r="ACF107" s="669"/>
      <c r="ACG107" s="669"/>
      <c r="ACH107" s="669"/>
      <c r="ACI107" s="669"/>
      <c r="ACJ107" s="669"/>
      <c r="ACK107" s="669"/>
      <c r="ACL107" s="669"/>
      <c r="ACM107" s="669"/>
      <c r="ACN107" s="669"/>
      <c r="ACO107" s="669"/>
      <c r="ACP107" s="669"/>
      <c r="ACQ107" s="669"/>
      <c r="ACR107" s="669"/>
      <c r="ACS107" s="669"/>
      <c r="ACT107" s="669"/>
      <c r="ACU107" s="669"/>
      <c r="ACV107" s="669"/>
      <c r="ACW107" s="669"/>
      <c r="ACX107" s="669"/>
      <c r="ACY107" s="669"/>
      <c r="ACZ107" s="669"/>
      <c r="ADA107" s="669"/>
      <c r="ADB107" s="669"/>
      <c r="ADC107" s="669"/>
      <c r="ADD107" s="669"/>
      <c r="ADE107" s="669"/>
      <c r="ADF107" s="669"/>
      <c r="ADG107" s="669"/>
      <c r="ADH107" s="669"/>
      <c r="ADI107" s="669"/>
      <c r="ADJ107" s="669"/>
      <c r="ADK107" s="669"/>
      <c r="ADL107" s="669"/>
      <c r="ADM107" s="669"/>
      <c r="ADN107" s="669"/>
      <c r="ADO107" s="669"/>
      <c r="ADP107" s="669"/>
      <c r="ADQ107" s="669"/>
      <c r="ADR107" s="669"/>
      <c r="ADS107" s="669"/>
      <c r="ADT107" s="669"/>
      <c r="ADU107" s="669"/>
      <c r="ADV107" s="669"/>
      <c r="ADW107" s="669"/>
      <c r="ADX107" s="669"/>
      <c r="ADY107" s="669"/>
      <c r="ADZ107" s="669"/>
      <c r="AEA107" s="669"/>
      <c r="AEB107" s="669"/>
      <c r="AEC107" s="669"/>
      <c r="AED107" s="669"/>
      <c r="AEE107" s="669"/>
      <c r="AEF107" s="669"/>
      <c r="AEG107" s="669"/>
      <c r="AEH107" s="669"/>
      <c r="AEI107" s="669"/>
      <c r="AEJ107" s="669"/>
      <c r="AEK107" s="669"/>
      <c r="AEL107" s="669"/>
      <c r="AEM107" s="669"/>
      <c r="AEN107" s="669"/>
      <c r="AEO107" s="669"/>
      <c r="AEP107" s="669"/>
      <c r="AEQ107" s="669"/>
      <c r="AER107" s="669"/>
      <c r="AES107" s="669"/>
      <c r="AET107" s="669"/>
      <c r="AEU107" s="669"/>
      <c r="AEV107" s="669"/>
      <c r="AEW107" s="669"/>
      <c r="AEX107" s="669"/>
      <c r="AEY107" s="669"/>
      <c r="AEZ107" s="669"/>
      <c r="AFA107" s="669"/>
      <c r="AFB107" s="669"/>
      <c r="AFC107" s="669"/>
      <c r="AFD107" s="669"/>
      <c r="AFE107" s="669"/>
      <c r="AFF107" s="669"/>
      <c r="AFG107" s="669"/>
      <c r="AFH107" s="669"/>
      <c r="AFI107" s="669"/>
      <c r="AFJ107" s="669"/>
      <c r="AFK107" s="669"/>
      <c r="AFL107" s="669"/>
      <c r="AFM107" s="669"/>
      <c r="AFN107" s="669"/>
      <c r="AFO107" s="669"/>
      <c r="AFP107" s="669"/>
      <c r="AFQ107" s="669"/>
      <c r="AFR107" s="669"/>
      <c r="AFS107" s="669"/>
      <c r="AFT107" s="669"/>
      <c r="AFU107" s="669"/>
      <c r="AFV107" s="669"/>
      <c r="AFW107" s="669"/>
      <c r="AFX107" s="669"/>
      <c r="AFY107" s="669"/>
      <c r="AFZ107" s="669"/>
      <c r="AGA107" s="669"/>
      <c r="AGB107" s="669"/>
      <c r="AGC107" s="669"/>
      <c r="AGD107" s="669"/>
      <c r="AGE107" s="669"/>
      <c r="AGF107" s="669"/>
      <c r="AGG107" s="669"/>
      <c r="AGH107" s="669"/>
      <c r="AGI107" s="669"/>
      <c r="AGJ107" s="669"/>
      <c r="AGK107" s="669"/>
      <c r="AGL107" s="669"/>
      <c r="AGM107" s="669"/>
      <c r="AGN107" s="669"/>
      <c r="AGO107" s="669"/>
      <c r="AGP107" s="669"/>
      <c r="AGQ107" s="669"/>
      <c r="AGR107" s="669"/>
      <c r="AGS107" s="669"/>
      <c r="AGT107" s="669"/>
      <c r="AGU107" s="669"/>
      <c r="AGV107" s="669"/>
      <c r="AGW107" s="669"/>
      <c r="AGX107" s="669"/>
      <c r="AGY107" s="669"/>
      <c r="AGZ107" s="669"/>
      <c r="AHA107" s="669"/>
      <c r="AHB107" s="669"/>
      <c r="AHC107" s="669"/>
      <c r="AHD107" s="669"/>
      <c r="AHE107" s="669"/>
      <c r="AHF107" s="669"/>
      <c r="AHG107" s="669"/>
      <c r="AHH107" s="669"/>
      <c r="AHI107" s="669"/>
      <c r="AHJ107" s="669"/>
      <c r="AHK107" s="669"/>
      <c r="AHL107" s="669"/>
      <c r="AHM107" s="669"/>
      <c r="AHN107" s="669"/>
      <c r="AHO107" s="669"/>
      <c r="AHP107" s="669"/>
      <c r="AHQ107" s="669"/>
      <c r="AHR107" s="669"/>
      <c r="AHS107" s="669"/>
      <c r="AHT107" s="669"/>
      <c r="AHU107" s="669"/>
      <c r="AHV107" s="669"/>
      <c r="AHW107" s="669"/>
      <c r="AHX107" s="669"/>
      <c r="AHY107" s="669"/>
      <c r="AHZ107" s="669"/>
      <c r="AIA107" s="669"/>
      <c r="AIB107" s="669"/>
      <c r="AIC107" s="669"/>
      <c r="AID107" s="669"/>
      <c r="AIE107" s="669"/>
      <c r="AIF107" s="669"/>
      <c r="AIG107" s="669"/>
      <c r="AIH107" s="669"/>
      <c r="AII107" s="669"/>
      <c r="AIJ107" s="669"/>
      <c r="AIK107" s="669"/>
      <c r="AIL107" s="669"/>
      <c r="AIM107" s="669"/>
      <c r="AIN107" s="669"/>
      <c r="AIO107" s="669"/>
      <c r="AIP107" s="669"/>
      <c r="AIQ107" s="669"/>
      <c r="AIR107" s="669"/>
      <c r="AIS107" s="669"/>
      <c r="AIT107" s="669"/>
      <c r="AIU107" s="669"/>
      <c r="AIV107" s="669"/>
      <c r="AIW107" s="669"/>
      <c r="AIX107" s="669"/>
      <c r="AIY107" s="669"/>
      <c r="AIZ107" s="669"/>
      <c r="AJA107" s="669"/>
      <c r="AJB107" s="669"/>
      <c r="AJC107" s="669"/>
      <c r="AJD107" s="669"/>
      <c r="AJE107" s="669"/>
      <c r="AJF107" s="669"/>
      <c r="AJG107" s="669"/>
      <c r="AJH107" s="669"/>
      <c r="AJI107" s="669"/>
      <c r="AJJ107" s="669"/>
      <c r="AJK107" s="669"/>
      <c r="AJL107" s="669"/>
      <c r="AJM107" s="669"/>
      <c r="AJN107" s="669"/>
      <c r="AJO107" s="669"/>
      <c r="AJP107" s="669"/>
      <c r="AJQ107" s="669"/>
      <c r="AJR107" s="669"/>
      <c r="AJS107" s="669"/>
      <c r="AJT107" s="669"/>
      <c r="AJU107" s="669"/>
      <c r="AJV107" s="669"/>
      <c r="AJW107" s="669"/>
      <c r="AJX107" s="669"/>
      <c r="AJY107" s="669"/>
      <c r="AJZ107" s="669"/>
      <c r="AKA107" s="669"/>
      <c r="AKB107" s="669"/>
      <c r="AKC107" s="669"/>
      <c r="AKD107" s="669"/>
      <c r="AKE107" s="669"/>
      <c r="AKF107" s="669"/>
      <c r="AKG107" s="669"/>
      <c r="AKH107" s="669"/>
      <c r="AKI107" s="669"/>
      <c r="AKJ107" s="669"/>
      <c r="AKK107" s="669"/>
      <c r="AKL107" s="669"/>
      <c r="AKM107" s="669"/>
      <c r="AKN107" s="669"/>
      <c r="AKO107" s="669"/>
      <c r="AKP107" s="669"/>
      <c r="AKQ107" s="669"/>
      <c r="AKR107" s="669"/>
      <c r="AKS107" s="669"/>
      <c r="AKT107" s="669"/>
      <c r="AKU107" s="669"/>
      <c r="AKV107" s="669"/>
      <c r="AKW107" s="669"/>
      <c r="AKX107" s="669"/>
      <c r="AKY107" s="669"/>
      <c r="AKZ107" s="669"/>
      <c r="ALA107" s="669"/>
      <c r="ALB107" s="669"/>
      <c r="ALC107" s="669"/>
      <c r="ALD107" s="669"/>
      <c r="ALE107" s="669"/>
      <c r="ALF107" s="669"/>
      <c r="ALG107" s="669"/>
      <c r="ALH107" s="669"/>
      <c r="ALI107" s="669"/>
      <c r="ALJ107" s="669"/>
      <c r="ALK107" s="669"/>
      <c r="ALL107" s="669"/>
      <c r="ALM107" s="669"/>
      <c r="ALN107" s="669"/>
      <c r="ALO107" s="669"/>
      <c r="ALP107" s="669"/>
      <c r="ALQ107" s="669"/>
      <c r="ALR107" s="669"/>
      <c r="ALS107" s="669"/>
      <c r="ALT107" s="669"/>
      <c r="ALU107" s="669"/>
      <c r="ALV107" s="669"/>
      <c r="ALW107" s="669"/>
      <c r="ALX107" s="669"/>
      <c r="ALY107" s="669"/>
      <c r="ALZ107" s="669"/>
      <c r="AMA107" s="669"/>
      <c r="AMB107" s="669"/>
      <c r="AMC107" s="669"/>
      <c r="AMD107" s="669"/>
      <c r="AME107" s="669"/>
      <c r="AMF107" s="669"/>
      <c r="AMG107" s="669"/>
      <c r="AMH107" s="669"/>
      <c r="AMI107" s="669"/>
      <c r="AMJ107" s="669"/>
      <c r="AMK107" s="669"/>
      <c r="AML107" s="669"/>
      <c r="AMM107" s="669"/>
      <c r="AMN107" s="669"/>
      <c r="AMO107" s="669"/>
      <c r="AMP107" s="669"/>
      <c r="AMQ107" s="669"/>
      <c r="AMR107" s="669"/>
      <c r="AMS107" s="669"/>
      <c r="AMT107" s="669"/>
      <c r="AMU107" s="669"/>
      <c r="AMV107" s="669"/>
      <c r="AMW107" s="669"/>
      <c r="AMX107" s="669"/>
      <c r="AMY107" s="669"/>
      <c r="AMZ107" s="669"/>
      <c r="ANA107" s="669"/>
      <c r="ANB107" s="669"/>
      <c r="ANC107" s="669"/>
      <c r="AND107" s="669"/>
      <c r="ANE107" s="669"/>
      <c r="ANF107" s="669"/>
      <c r="ANG107" s="669"/>
      <c r="ANH107" s="669"/>
      <c r="ANI107" s="669"/>
      <c r="ANJ107" s="669"/>
      <c r="ANK107" s="669"/>
      <c r="ANL107" s="669"/>
      <c r="ANM107" s="669"/>
      <c r="ANN107" s="669"/>
      <c r="ANO107" s="669"/>
      <c r="ANP107" s="669"/>
      <c r="ANQ107" s="669"/>
      <c r="ANR107" s="669"/>
      <c r="ANS107" s="669"/>
      <c r="ANT107" s="669"/>
      <c r="ANU107" s="669"/>
      <c r="ANV107" s="669"/>
      <c r="ANW107" s="669"/>
      <c r="ANX107" s="669"/>
      <c r="ANY107" s="669"/>
      <c r="ANZ107" s="669"/>
      <c r="AOA107" s="669"/>
      <c r="AOB107" s="669"/>
      <c r="AOC107" s="669"/>
      <c r="AOD107" s="669"/>
      <c r="AOE107" s="669"/>
      <c r="AOF107" s="669"/>
      <c r="AOG107" s="669"/>
      <c r="AOH107" s="669"/>
      <c r="AOI107" s="669"/>
      <c r="AOJ107" s="669"/>
      <c r="AOK107" s="669"/>
      <c r="AOL107" s="669"/>
      <c r="AOM107" s="669"/>
      <c r="AON107" s="669"/>
      <c r="AOO107" s="669"/>
      <c r="AOP107" s="669"/>
      <c r="AOQ107" s="669"/>
      <c r="AOR107" s="669"/>
      <c r="AOS107" s="669"/>
      <c r="AOT107" s="669"/>
      <c r="AOU107" s="669"/>
      <c r="AOV107" s="669"/>
      <c r="AOW107" s="669"/>
      <c r="AOX107" s="669"/>
      <c r="AOY107" s="669"/>
      <c r="AOZ107" s="669"/>
      <c r="APA107" s="669"/>
      <c r="APB107" s="669"/>
      <c r="APC107" s="669"/>
      <c r="APD107" s="669"/>
      <c r="APE107" s="669"/>
      <c r="APF107" s="669"/>
      <c r="APG107" s="669"/>
      <c r="APH107" s="669"/>
      <c r="API107" s="669"/>
      <c r="APJ107" s="669"/>
      <c r="APK107" s="669"/>
      <c r="APL107" s="669"/>
      <c r="APM107" s="669"/>
      <c r="APN107" s="669"/>
      <c r="APO107" s="669"/>
      <c r="APP107" s="669"/>
      <c r="APQ107" s="669"/>
      <c r="APR107" s="669"/>
      <c r="APS107" s="669"/>
      <c r="APT107" s="669"/>
      <c r="APU107" s="669"/>
      <c r="APV107" s="669"/>
      <c r="APW107" s="669"/>
      <c r="APX107" s="669"/>
      <c r="APY107" s="669"/>
      <c r="APZ107" s="669"/>
      <c r="AQA107" s="669"/>
      <c r="AQB107" s="669"/>
      <c r="AQC107" s="669"/>
      <c r="AQD107" s="669"/>
      <c r="AQE107" s="669"/>
      <c r="AQF107" s="669"/>
      <c r="AQG107" s="669"/>
      <c r="AQH107" s="669"/>
      <c r="AQI107" s="669"/>
      <c r="AQJ107" s="669"/>
      <c r="AQK107" s="669"/>
      <c r="AQL107" s="669"/>
      <c r="AQM107" s="669"/>
      <c r="AQN107" s="669"/>
      <c r="AQO107" s="669"/>
      <c r="AQP107" s="669"/>
      <c r="AQQ107" s="669"/>
      <c r="AQR107" s="669"/>
      <c r="AQS107" s="669"/>
      <c r="AQT107" s="669"/>
      <c r="AQU107" s="669"/>
      <c r="AQV107" s="669"/>
      <c r="AQW107" s="669"/>
      <c r="AQX107" s="669"/>
      <c r="AQY107" s="669"/>
      <c r="AQZ107" s="669"/>
      <c r="ARA107" s="669"/>
      <c r="ARB107" s="669"/>
      <c r="ARC107" s="669"/>
      <c r="ARD107" s="669"/>
      <c r="ARE107" s="669"/>
      <c r="ARF107" s="669"/>
      <c r="ARG107" s="669"/>
      <c r="ARH107" s="669"/>
      <c r="ARI107" s="669"/>
      <c r="ARJ107" s="669"/>
      <c r="ARK107" s="669"/>
      <c r="ARL107" s="669"/>
      <c r="ARM107" s="669"/>
      <c r="ARN107" s="669"/>
      <c r="ARO107" s="669"/>
      <c r="ARP107" s="669"/>
      <c r="ARQ107" s="669"/>
      <c r="ARR107" s="669"/>
      <c r="ARS107" s="669"/>
      <c r="ART107" s="669"/>
      <c r="ARU107" s="669"/>
      <c r="ARV107" s="669"/>
      <c r="ARW107" s="669"/>
      <c r="ARX107" s="669"/>
      <c r="ARY107" s="669"/>
      <c r="ARZ107" s="669"/>
      <c r="ASA107" s="669"/>
      <c r="ASB107" s="669"/>
      <c r="ASC107" s="669"/>
      <c r="ASD107" s="669"/>
      <c r="ASE107" s="669"/>
      <c r="ASF107" s="669"/>
      <c r="ASG107" s="669"/>
      <c r="ASH107" s="669"/>
      <c r="ASI107" s="669"/>
      <c r="ASJ107" s="669"/>
      <c r="ASK107" s="669"/>
      <c r="ASL107" s="669"/>
      <c r="ASM107" s="669"/>
      <c r="ASN107" s="669"/>
      <c r="ASO107" s="669"/>
      <c r="ASP107" s="669"/>
      <c r="ASQ107" s="669"/>
      <c r="ASR107" s="669"/>
      <c r="ASS107" s="669"/>
      <c r="AST107" s="669"/>
      <c r="ASU107" s="669"/>
      <c r="ASV107" s="669"/>
      <c r="ASW107" s="669"/>
      <c r="ASX107" s="669"/>
      <c r="ASY107" s="669"/>
      <c r="ASZ107" s="669"/>
      <c r="ATA107" s="669"/>
      <c r="ATB107" s="669"/>
      <c r="ATC107" s="669"/>
      <c r="ATD107" s="669"/>
      <c r="ATE107" s="669"/>
      <c r="ATF107" s="669"/>
      <c r="ATG107" s="669"/>
      <c r="ATH107" s="669"/>
      <c r="ATI107" s="669"/>
      <c r="ATJ107" s="669"/>
      <c r="ATK107" s="669"/>
      <c r="ATL107" s="669"/>
      <c r="ATM107" s="669"/>
      <c r="ATN107" s="669"/>
      <c r="ATO107" s="669"/>
      <c r="ATP107" s="669"/>
      <c r="ATQ107" s="669"/>
      <c r="ATR107" s="669"/>
      <c r="ATS107" s="669"/>
      <c r="ATT107" s="669"/>
      <c r="ATU107" s="669"/>
      <c r="ATV107" s="669"/>
      <c r="ATW107" s="669"/>
      <c r="ATX107" s="669"/>
      <c r="ATY107" s="669"/>
      <c r="ATZ107" s="669"/>
      <c r="AUA107" s="669"/>
      <c r="AUB107" s="669"/>
      <c r="AUC107" s="669"/>
      <c r="AUD107" s="669"/>
      <c r="AUE107" s="669"/>
      <c r="AUF107" s="669"/>
      <c r="AUG107" s="669"/>
      <c r="AUH107" s="669"/>
      <c r="AUI107" s="669"/>
      <c r="AUJ107" s="669"/>
      <c r="AUK107" s="669"/>
      <c r="AUL107" s="669"/>
      <c r="AUM107" s="669"/>
      <c r="AUN107" s="669"/>
      <c r="AUO107" s="669"/>
      <c r="AUP107" s="669"/>
      <c r="AUQ107" s="669"/>
      <c r="AUR107" s="669"/>
      <c r="AUS107" s="669"/>
      <c r="AUT107" s="669"/>
      <c r="AUU107" s="669"/>
      <c r="AUV107" s="669"/>
      <c r="AUW107" s="669"/>
      <c r="AUX107" s="669"/>
      <c r="AUY107" s="669"/>
      <c r="AUZ107" s="669"/>
      <c r="AVA107" s="669"/>
      <c r="AVB107" s="669"/>
      <c r="AVC107" s="669"/>
      <c r="AVD107" s="669"/>
      <c r="AVE107" s="669"/>
      <c r="AVF107" s="669"/>
      <c r="AVG107" s="669"/>
      <c r="AVH107" s="669"/>
      <c r="AVI107" s="669"/>
      <c r="AVJ107" s="669"/>
      <c r="AVK107" s="669"/>
      <c r="AVL107" s="669"/>
      <c r="AVM107" s="669"/>
      <c r="AVN107" s="669"/>
      <c r="AVO107" s="669"/>
      <c r="AVP107" s="669"/>
      <c r="AVQ107" s="669"/>
      <c r="AVR107" s="669"/>
      <c r="AVS107" s="669"/>
      <c r="AVT107" s="669"/>
      <c r="AVU107" s="669"/>
      <c r="AVV107" s="669"/>
      <c r="AVW107" s="669"/>
      <c r="AVX107" s="669"/>
      <c r="AVY107" s="669"/>
      <c r="AVZ107" s="669"/>
      <c r="AWA107" s="669"/>
      <c r="AWB107" s="669"/>
      <c r="AWC107" s="669"/>
      <c r="AWD107" s="669"/>
      <c r="AWE107" s="669"/>
      <c r="AWF107" s="669"/>
      <c r="AWG107" s="669"/>
      <c r="AWH107" s="669"/>
      <c r="AWI107" s="669"/>
      <c r="AWJ107" s="669"/>
      <c r="AWK107" s="669"/>
      <c r="AWL107" s="669"/>
      <c r="AWM107" s="669"/>
      <c r="AWN107" s="669"/>
      <c r="AWO107" s="669"/>
      <c r="AWP107" s="669"/>
      <c r="AWQ107" s="669"/>
      <c r="AWR107" s="669"/>
      <c r="AWS107" s="669"/>
      <c r="AWT107" s="669"/>
      <c r="AWU107" s="669"/>
      <c r="AWV107" s="669"/>
      <c r="AWW107" s="669"/>
      <c r="AWX107" s="669"/>
      <c r="AWY107" s="669"/>
      <c r="AWZ107" s="669"/>
      <c r="AXA107" s="669"/>
      <c r="AXB107" s="669"/>
      <c r="AXC107" s="669"/>
      <c r="AXD107" s="669"/>
      <c r="AXE107" s="669"/>
      <c r="AXF107" s="669"/>
      <c r="AXG107" s="669"/>
      <c r="AXH107" s="669"/>
      <c r="AXI107" s="669"/>
      <c r="AXJ107" s="669"/>
      <c r="AXK107" s="669"/>
      <c r="AXL107" s="669"/>
      <c r="AXM107" s="669"/>
      <c r="AXN107" s="669"/>
      <c r="AXO107" s="669"/>
      <c r="AXP107" s="669"/>
      <c r="AXQ107" s="669"/>
      <c r="AXR107" s="669"/>
      <c r="AXS107" s="669"/>
      <c r="AXT107" s="669"/>
      <c r="AXU107" s="669"/>
      <c r="AXV107" s="669"/>
      <c r="AXW107" s="669"/>
      <c r="AXX107" s="669"/>
      <c r="AXY107" s="669"/>
      <c r="AXZ107" s="669"/>
      <c r="AYA107" s="669"/>
      <c r="AYB107" s="669"/>
      <c r="AYC107" s="669"/>
      <c r="AYD107" s="669"/>
      <c r="AYE107" s="669"/>
      <c r="AYF107" s="669"/>
      <c r="AYG107" s="669"/>
      <c r="AYH107" s="669"/>
      <c r="AYI107" s="669"/>
      <c r="AYJ107" s="669"/>
      <c r="AYK107" s="669"/>
      <c r="AYL107" s="669"/>
      <c r="AYM107" s="669"/>
      <c r="AYN107" s="669"/>
      <c r="AYO107" s="669"/>
      <c r="AYP107" s="669"/>
      <c r="AYQ107" s="669"/>
      <c r="AYR107" s="669"/>
      <c r="AYS107" s="669"/>
      <c r="AYT107" s="669"/>
      <c r="AYU107" s="669"/>
      <c r="AYV107" s="669"/>
      <c r="AYW107" s="669"/>
      <c r="AYX107" s="669"/>
      <c r="AYY107" s="669"/>
      <c r="AYZ107" s="669"/>
      <c r="AZA107" s="669"/>
      <c r="AZB107" s="669"/>
      <c r="AZC107" s="669"/>
      <c r="AZD107" s="669"/>
      <c r="AZE107" s="669"/>
      <c r="AZF107" s="669"/>
      <c r="AZG107" s="669"/>
      <c r="AZH107" s="669"/>
      <c r="AZI107" s="669"/>
      <c r="AZJ107" s="669"/>
      <c r="AZK107" s="669"/>
      <c r="AZL107" s="669"/>
      <c r="AZM107" s="669"/>
      <c r="AZN107" s="669"/>
      <c r="AZO107" s="669"/>
      <c r="AZP107" s="669"/>
      <c r="AZQ107" s="669"/>
      <c r="AZR107" s="669"/>
      <c r="AZS107" s="669"/>
      <c r="AZT107" s="669"/>
      <c r="AZU107" s="669"/>
      <c r="AZV107" s="669"/>
      <c r="AZW107" s="669"/>
      <c r="AZX107" s="669"/>
      <c r="AZY107" s="669"/>
      <c r="AZZ107" s="669"/>
      <c r="BAA107" s="669"/>
      <c r="BAB107" s="669"/>
      <c r="BAC107" s="669"/>
      <c r="BAD107" s="669"/>
      <c r="BAE107" s="669"/>
      <c r="BAF107" s="669"/>
      <c r="BAG107" s="669"/>
      <c r="BAH107" s="669"/>
      <c r="BAI107" s="669"/>
      <c r="BAJ107" s="669"/>
      <c r="BAK107" s="669"/>
      <c r="BAL107" s="669"/>
      <c r="BAM107" s="669"/>
      <c r="BAN107" s="669"/>
      <c r="BAO107" s="669"/>
      <c r="BAP107" s="669"/>
      <c r="BAQ107" s="669"/>
      <c r="BAR107" s="669"/>
      <c r="BAS107" s="669"/>
      <c r="BAT107" s="669"/>
      <c r="BAU107" s="669"/>
      <c r="BAV107" s="669"/>
      <c r="BAW107" s="669"/>
      <c r="BAX107" s="669"/>
      <c r="BAY107" s="669"/>
      <c r="BAZ107" s="669"/>
      <c r="BBA107" s="669"/>
      <c r="BBB107" s="669"/>
      <c r="BBC107" s="669"/>
      <c r="BBD107" s="669"/>
      <c r="BBE107" s="669"/>
      <c r="BBF107" s="669"/>
      <c r="BBG107" s="669"/>
      <c r="BBH107" s="669"/>
      <c r="BBI107" s="669"/>
      <c r="BBJ107" s="669"/>
      <c r="BBK107" s="669"/>
      <c r="BBL107" s="669"/>
      <c r="BBM107" s="669"/>
      <c r="BBN107" s="669"/>
      <c r="BBO107" s="669"/>
      <c r="BBP107" s="669"/>
      <c r="BBQ107" s="669"/>
      <c r="BBR107" s="669"/>
      <c r="BBS107" s="669"/>
      <c r="BBT107" s="669"/>
      <c r="BBU107" s="669"/>
      <c r="BBV107" s="669"/>
      <c r="BBW107" s="669"/>
      <c r="BBX107" s="669"/>
      <c r="BBY107" s="669"/>
      <c r="BBZ107" s="669"/>
      <c r="BCA107" s="669"/>
      <c r="BCB107" s="669"/>
      <c r="BCC107" s="669"/>
      <c r="BCD107" s="669"/>
      <c r="BCE107" s="669"/>
      <c r="BCF107" s="669"/>
      <c r="BCG107" s="669"/>
      <c r="BCH107" s="669"/>
      <c r="BCI107" s="669"/>
      <c r="BCJ107" s="669"/>
      <c r="BCK107" s="669"/>
      <c r="BCL107" s="669"/>
      <c r="BCM107" s="669"/>
      <c r="BCN107" s="669"/>
      <c r="BCO107" s="669"/>
      <c r="BCP107" s="669"/>
      <c r="BCQ107" s="669"/>
      <c r="BCR107" s="669"/>
      <c r="BCS107" s="669"/>
      <c r="BCT107" s="669"/>
      <c r="BCU107" s="669"/>
      <c r="BCV107" s="669"/>
      <c r="BCW107" s="669"/>
      <c r="BCX107" s="669"/>
      <c r="BCY107" s="669"/>
      <c r="BCZ107" s="669"/>
      <c r="BDA107" s="669"/>
      <c r="BDB107" s="669"/>
      <c r="BDC107" s="669"/>
      <c r="BDD107" s="669"/>
      <c r="BDE107" s="669"/>
      <c r="BDF107" s="669"/>
      <c r="BDG107" s="669"/>
      <c r="BDH107" s="669"/>
      <c r="BDI107" s="669"/>
      <c r="BDJ107" s="669"/>
      <c r="BDK107" s="669"/>
      <c r="BDL107" s="669"/>
      <c r="BDM107" s="669"/>
      <c r="BDN107" s="669"/>
      <c r="BDO107" s="669"/>
      <c r="BDP107" s="669"/>
      <c r="BDQ107" s="669"/>
      <c r="BDR107" s="669"/>
      <c r="BDS107" s="669"/>
      <c r="BDT107" s="669"/>
      <c r="BDU107" s="669"/>
      <c r="BDV107" s="669"/>
      <c r="BDW107" s="669"/>
      <c r="BDX107" s="669"/>
      <c r="BDY107" s="669"/>
      <c r="BDZ107" s="669"/>
      <c r="BEA107" s="669"/>
      <c r="BEB107" s="669"/>
      <c r="BEC107" s="669"/>
      <c r="BED107" s="669"/>
      <c r="BEE107" s="669"/>
      <c r="BEF107" s="669"/>
      <c r="BEG107" s="669"/>
      <c r="BEH107" s="669"/>
      <c r="BEI107" s="669"/>
      <c r="BEJ107" s="669"/>
      <c r="BEK107" s="669"/>
      <c r="BEL107" s="669"/>
      <c r="BEM107" s="669"/>
      <c r="BEN107" s="669"/>
      <c r="BEO107" s="669"/>
      <c r="BEP107" s="669"/>
      <c r="BEQ107" s="669"/>
      <c r="BER107" s="669"/>
      <c r="BES107" s="669"/>
      <c r="BET107" s="669"/>
      <c r="BEU107" s="669"/>
      <c r="BEV107" s="669"/>
      <c r="BEW107" s="669"/>
      <c r="BEX107" s="669"/>
      <c r="BEY107" s="669"/>
      <c r="BEZ107" s="669"/>
      <c r="BFA107" s="669"/>
      <c r="BFB107" s="669"/>
      <c r="BFC107" s="669"/>
      <c r="BFD107" s="669"/>
      <c r="BFE107" s="669"/>
      <c r="BFF107" s="669"/>
      <c r="BFG107" s="669"/>
      <c r="BFH107" s="669"/>
      <c r="BFI107" s="669"/>
      <c r="BFJ107" s="669"/>
      <c r="BFK107" s="669"/>
      <c r="BFL107" s="669"/>
      <c r="BFM107" s="669"/>
      <c r="BFN107" s="669"/>
      <c r="BFO107" s="669"/>
      <c r="BFP107" s="669"/>
      <c r="BFQ107" s="669"/>
      <c r="BFR107" s="669"/>
      <c r="BFS107" s="669"/>
      <c r="BFT107" s="669"/>
      <c r="BFU107" s="669"/>
      <c r="BFV107" s="669"/>
      <c r="BFW107" s="669"/>
      <c r="BFX107" s="669"/>
      <c r="BFY107" s="669"/>
      <c r="BFZ107" s="669"/>
      <c r="BGA107" s="669"/>
      <c r="BGB107" s="669"/>
      <c r="BGC107" s="669"/>
      <c r="BGD107" s="669"/>
      <c r="BGE107" s="669"/>
      <c r="BGF107" s="669"/>
      <c r="BGG107" s="669"/>
      <c r="BGH107" s="669"/>
      <c r="BGI107" s="669"/>
      <c r="BGJ107" s="669"/>
      <c r="BGK107" s="669"/>
      <c r="BGL107" s="669"/>
      <c r="BGM107" s="669"/>
      <c r="BGN107" s="669"/>
      <c r="BGO107" s="669"/>
      <c r="BGP107" s="669"/>
      <c r="BGQ107" s="669"/>
      <c r="BGR107" s="669"/>
      <c r="BGS107" s="669"/>
      <c r="BGT107" s="669"/>
      <c r="BGU107" s="669"/>
      <c r="BGV107" s="669"/>
      <c r="BGW107" s="669"/>
      <c r="BGX107" s="669"/>
      <c r="BGY107" s="669"/>
      <c r="BGZ107" s="669"/>
      <c r="BHA107" s="669"/>
      <c r="BHB107" s="669"/>
      <c r="BHC107" s="669"/>
      <c r="BHD107" s="669"/>
      <c r="BHE107" s="669"/>
      <c r="BHF107" s="669"/>
      <c r="BHG107" s="669"/>
      <c r="BHH107" s="669"/>
      <c r="BHI107" s="669"/>
      <c r="BHJ107" s="669"/>
      <c r="BHK107" s="669"/>
      <c r="BHL107" s="669"/>
      <c r="BHM107" s="669"/>
      <c r="BHN107" s="669"/>
      <c r="BHO107" s="669"/>
      <c r="BHP107" s="669"/>
      <c r="BHQ107" s="669"/>
      <c r="BHR107" s="669"/>
      <c r="BHS107" s="669"/>
      <c r="BHT107" s="669"/>
      <c r="BHU107" s="669"/>
      <c r="BHV107" s="669"/>
      <c r="BHW107" s="669"/>
      <c r="BHX107" s="669"/>
      <c r="BHY107" s="669"/>
      <c r="BHZ107" s="669"/>
      <c r="BIA107" s="669"/>
      <c r="BIB107" s="669"/>
      <c r="BIC107" s="669"/>
      <c r="BID107" s="669"/>
      <c r="BIE107" s="669"/>
      <c r="BIF107" s="669"/>
      <c r="BIG107" s="669"/>
      <c r="BIH107" s="669"/>
      <c r="BII107" s="669"/>
      <c r="BIJ107" s="669"/>
      <c r="BIK107" s="669"/>
      <c r="BIL107" s="669"/>
      <c r="BIM107" s="669"/>
      <c r="BIN107" s="669"/>
      <c r="BIO107" s="669"/>
      <c r="BIP107" s="669"/>
      <c r="BIQ107" s="669"/>
      <c r="BIR107" s="669"/>
      <c r="BIS107" s="669"/>
      <c r="BIT107" s="669"/>
      <c r="BIU107" s="669"/>
      <c r="BIV107" s="669"/>
      <c r="BIW107" s="669"/>
      <c r="BIX107" s="669"/>
      <c r="BIY107" s="669"/>
      <c r="BIZ107" s="669"/>
      <c r="BJA107" s="669"/>
      <c r="BJB107" s="669"/>
      <c r="BJC107" s="669"/>
      <c r="BJD107" s="669"/>
      <c r="BJE107" s="669"/>
      <c r="BJF107" s="669"/>
      <c r="BJG107" s="669"/>
      <c r="BJH107" s="669"/>
      <c r="BJI107" s="669"/>
      <c r="BJJ107" s="669"/>
      <c r="BJK107" s="669"/>
      <c r="BJL107" s="669"/>
      <c r="BJM107" s="669"/>
      <c r="BJN107" s="669"/>
      <c r="BJO107" s="669"/>
      <c r="BJP107" s="669"/>
      <c r="BJQ107" s="669"/>
      <c r="BJR107" s="669"/>
      <c r="BJS107" s="669"/>
      <c r="BJT107" s="669"/>
      <c r="BJU107" s="669"/>
      <c r="BJV107" s="669"/>
      <c r="BJW107" s="669"/>
      <c r="BJX107" s="669"/>
      <c r="BJY107" s="669"/>
      <c r="BJZ107" s="669"/>
      <c r="BKA107" s="669"/>
      <c r="BKB107" s="669"/>
      <c r="BKC107" s="669"/>
      <c r="BKD107" s="669"/>
      <c r="BKE107" s="669"/>
      <c r="BKF107" s="669"/>
      <c r="BKG107" s="669"/>
      <c r="BKH107" s="669"/>
      <c r="BKI107" s="669"/>
      <c r="BKJ107" s="669"/>
      <c r="BKK107" s="669"/>
      <c r="BKL107" s="669"/>
      <c r="BKM107" s="669"/>
      <c r="BKN107" s="669"/>
      <c r="BKO107" s="669"/>
      <c r="BKP107" s="669"/>
      <c r="BKQ107" s="669"/>
      <c r="BKR107" s="669"/>
      <c r="BKS107" s="669"/>
      <c r="BKT107" s="669"/>
      <c r="BKU107" s="669"/>
      <c r="BKV107" s="669"/>
      <c r="BKW107" s="669"/>
      <c r="BKX107" s="669"/>
      <c r="BKY107" s="669"/>
      <c r="BKZ107" s="669"/>
      <c r="BLA107" s="669"/>
      <c r="BLB107" s="669"/>
      <c r="BLC107" s="669"/>
      <c r="BLD107" s="669"/>
      <c r="BLE107" s="669"/>
      <c r="BLF107" s="669"/>
      <c r="BLG107" s="669"/>
      <c r="BLH107" s="669"/>
      <c r="BLI107" s="669"/>
      <c r="BLJ107" s="669"/>
      <c r="BLK107" s="669"/>
      <c r="BLL107" s="669"/>
      <c r="BLM107" s="669"/>
      <c r="BLN107" s="669"/>
      <c r="BLO107" s="669"/>
      <c r="BLP107" s="669"/>
      <c r="BLQ107" s="669"/>
      <c r="BLR107" s="669"/>
      <c r="BLS107" s="669"/>
      <c r="BLT107" s="669"/>
      <c r="BLU107" s="669"/>
      <c r="BLV107" s="669"/>
      <c r="BLW107" s="669"/>
      <c r="BLX107" s="669"/>
      <c r="BLY107" s="669"/>
      <c r="BLZ107" s="669"/>
      <c r="BMA107" s="669"/>
      <c r="BMB107" s="669"/>
      <c r="BMC107" s="669"/>
      <c r="BMD107" s="669"/>
      <c r="BME107" s="669"/>
      <c r="BMF107" s="669"/>
      <c r="BMG107" s="669"/>
      <c r="BMH107" s="669"/>
      <c r="BMI107" s="669"/>
      <c r="BMJ107" s="669"/>
      <c r="BMK107" s="669"/>
      <c r="BML107" s="669"/>
      <c r="BMM107" s="669"/>
      <c r="BMN107" s="669"/>
      <c r="BMO107" s="669"/>
      <c r="BMP107" s="669"/>
      <c r="BMQ107" s="669"/>
      <c r="BMR107" s="669"/>
      <c r="BMS107" s="669"/>
      <c r="BMT107" s="669"/>
      <c r="BMU107" s="669"/>
      <c r="BMV107" s="669"/>
      <c r="BMW107" s="669"/>
      <c r="BMX107" s="669"/>
      <c r="BMY107" s="669"/>
      <c r="BMZ107" s="669"/>
      <c r="BNA107" s="669"/>
      <c r="BNB107" s="669"/>
      <c r="BNC107" s="669"/>
      <c r="BND107" s="669"/>
      <c r="BNE107" s="669"/>
      <c r="BNF107" s="669"/>
      <c r="BNG107" s="669"/>
      <c r="BNH107" s="669"/>
      <c r="BNI107" s="669"/>
      <c r="BNJ107" s="669"/>
      <c r="BNK107" s="669"/>
      <c r="BNL107" s="669"/>
      <c r="BNM107" s="669"/>
      <c r="BNN107" s="669"/>
      <c r="BNO107" s="669"/>
      <c r="BNP107" s="669"/>
      <c r="BNQ107" s="669"/>
      <c r="BNR107" s="669"/>
      <c r="BNS107" s="669"/>
      <c r="BNT107" s="669"/>
      <c r="BNU107" s="669"/>
      <c r="BNV107" s="669"/>
      <c r="BNW107" s="669"/>
      <c r="BNX107" s="669"/>
      <c r="BNY107" s="669"/>
      <c r="BNZ107" s="669"/>
      <c r="BOA107" s="669"/>
      <c r="BOB107" s="669"/>
      <c r="BOC107" s="669"/>
      <c r="BOD107" s="669"/>
      <c r="BOE107" s="669"/>
      <c r="BOF107" s="669"/>
      <c r="BOG107" s="669"/>
      <c r="BOH107" s="669"/>
      <c r="BOI107" s="669"/>
      <c r="BOJ107" s="669"/>
      <c r="BOK107" s="669"/>
      <c r="BOL107" s="669"/>
      <c r="BOM107" s="669"/>
      <c r="BON107" s="669"/>
      <c r="BOO107" s="669"/>
      <c r="BOP107" s="669"/>
      <c r="BOQ107" s="669"/>
      <c r="BOR107" s="669"/>
      <c r="BOS107" s="669"/>
      <c r="BOT107" s="669"/>
      <c r="BOU107" s="669"/>
      <c r="BOV107" s="669"/>
      <c r="BOW107" s="669"/>
      <c r="BOX107" s="669"/>
      <c r="BOY107" s="669"/>
      <c r="BOZ107" s="669"/>
      <c r="BPA107" s="669"/>
      <c r="BPB107" s="669"/>
      <c r="BPC107" s="669"/>
      <c r="BPD107" s="669"/>
      <c r="BPE107" s="669"/>
      <c r="BPF107" s="669"/>
      <c r="BPG107" s="669"/>
      <c r="BPH107" s="669"/>
      <c r="BPI107" s="669"/>
      <c r="BPJ107" s="669"/>
      <c r="BPK107" s="669"/>
      <c r="BPL107" s="669"/>
      <c r="BPM107" s="669"/>
      <c r="BPN107" s="669"/>
      <c r="BPO107" s="669"/>
      <c r="BPP107" s="669"/>
      <c r="BPQ107" s="669"/>
      <c r="BPR107" s="669"/>
      <c r="BPS107" s="669"/>
      <c r="BPT107" s="669"/>
      <c r="BPU107" s="669"/>
      <c r="BPV107" s="669"/>
      <c r="BPW107" s="669"/>
      <c r="BPX107" s="669"/>
      <c r="BPY107" s="669"/>
      <c r="BPZ107" s="669"/>
      <c r="BQA107" s="669"/>
      <c r="BQB107" s="669"/>
      <c r="BQC107" s="669"/>
      <c r="BQD107" s="669"/>
      <c r="BQE107" s="669"/>
      <c r="BQF107" s="669"/>
      <c r="BQG107" s="669"/>
      <c r="BQH107" s="669"/>
      <c r="BQI107" s="669"/>
      <c r="BQJ107" s="669"/>
      <c r="BQK107" s="669"/>
      <c r="BQL107" s="669"/>
      <c r="BQM107" s="669"/>
      <c r="BQN107" s="669"/>
      <c r="BQO107" s="669"/>
      <c r="BQP107" s="669"/>
      <c r="BQQ107" s="669"/>
      <c r="BQR107" s="669"/>
      <c r="BQS107" s="669"/>
      <c r="BQT107" s="669"/>
      <c r="BQU107" s="669"/>
      <c r="BQV107" s="669"/>
      <c r="BQW107" s="669"/>
      <c r="BQX107" s="669"/>
      <c r="BQY107" s="669"/>
      <c r="BQZ107" s="669"/>
      <c r="BRA107" s="669"/>
      <c r="BRB107" s="669"/>
      <c r="BRC107" s="669"/>
      <c r="BRD107" s="669"/>
      <c r="BRE107" s="669"/>
      <c r="BRF107" s="669"/>
      <c r="BRG107" s="669"/>
      <c r="BRH107" s="669"/>
      <c r="BRI107" s="669"/>
      <c r="BRJ107" s="669"/>
      <c r="BRK107" s="669"/>
      <c r="BRL107" s="669"/>
      <c r="BRM107" s="669"/>
      <c r="BRN107" s="669"/>
      <c r="BRO107" s="669"/>
      <c r="BRP107" s="669"/>
      <c r="BRQ107" s="669"/>
      <c r="BRR107" s="669"/>
      <c r="BRS107" s="669"/>
      <c r="BRT107" s="669"/>
      <c r="BRU107" s="669"/>
      <c r="BRV107" s="669"/>
      <c r="BRW107" s="669"/>
      <c r="BRX107" s="669"/>
      <c r="BRY107" s="669"/>
      <c r="BRZ107" s="669"/>
      <c r="BSA107" s="669"/>
      <c r="BSB107" s="669"/>
      <c r="BSC107" s="669"/>
      <c r="BSD107" s="669"/>
      <c r="BSE107" s="669"/>
      <c r="BSF107" s="669"/>
      <c r="BSG107" s="669"/>
      <c r="BSH107" s="669"/>
      <c r="BSI107" s="669"/>
      <c r="BSJ107" s="669"/>
      <c r="BSK107" s="669"/>
      <c r="BSL107" s="669"/>
      <c r="BSM107" s="669"/>
      <c r="BSN107" s="669"/>
      <c r="BSO107" s="669"/>
      <c r="BSP107" s="669"/>
      <c r="BSQ107" s="669"/>
      <c r="BSR107" s="669"/>
      <c r="BSS107" s="669"/>
      <c r="BST107" s="669"/>
      <c r="BSU107" s="669"/>
      <c r="BSV107" s="669"/>
      <c r="BSW107" s="669"/>
      <c r="BSX107" s="669"/>
      <c r="BSY107" s="669"/>
      <c r="BSZ107" s="669"/>
      <c r="BTA107" s="669"/>
      <c r="BTB107" s="669"/>
      <c r="BTC107" s="669"/>
      <c r="BTD107" s="669"/>
      <c r="BTE107" s="669"/>
      <c r="BTF107" s="669"/>
      <c r="BTG107" s="669"/>
      <c r="BTH107" s="669"/>
      <c r="BTI107" s="669"/>
      <c r="BTJ107" s="669"/>
      <c r="BTK107" s="669"/>
      <c r="BTL107" s="669"/>
      <c r="BTM107" s="669"/>
      <c r="BTN107" s="669"/>
      <c r="BTO107" s="669"/>
      <c r="BTP107" s="669"/>
      <c r="BTQ107" s="669"/>
      <c r="BTR107" s="669"/>
      <c r="BTS107" s="669"/>
      <c r="BTT107" s="669"/>
      <c r="BTU107" s="669"/>
      <c r="BTV107" s="669"/>
      <c r="BTW107" s="669"/>
      <c r="BTX107" s="669"/>
      <c r="BTY107" s="669"/>
      <c r="BTZ107" s="669"/>
      <c r="BUA107" s="669"/>
      <c r="BUB107" s="669"/>
      <c r="BUC107" s="669"/>
      <c r="BUD107" s="669"/>
      <c r="BUE107" s="669"/>
      <c r="BUF107" s="669"/>
      <c r="BUG107" s="669"/>
      <c r="BUH107" s="669"/>
      <c r="BUI107" s="669"/>
      <c r="BUJ107" s="669"/>
      <c r="BUK107" s="669"/>
      <c r="BUL107" s="669"/>
      <c r="BUM107" s="669"/>
      <c r="BUN107" s="669"/>
      <c r="BUO107" s="669"/>
      <c r="BUP107" s="669"/>
      <c r="BUQ107" s="669"/>
      <c r="BUR107" s="669"/>
      <c r="BUS107" s="669"/>
      <c r="BUT107" s="669"/>
      <c r="BUU107" s="669"/>
      <c r="BUV107" s="669"/>
      <c r="BUW107" s="669"/>
      <c r="BUX107" s="669"/>
      <c r="BUY107" s="669"/>
      <c r="BUZ107" s="669"/>
      <c r="BVA107" s="669"/>
      <c r="BVB107" s="669"/>
      <c r="BVC107" s="669"/>
      <c r="BVD107" s="669"/>
      <c r="BVE107" s="669"/>
      <c r="BVF107" s="669"/>
      <c r="BVG107" s="669"/>
      <c r="BVH107" s="669"/>
      <c r="BVI107" s="669"/>
      <c r="BVJ107" s="669"/>
      <c r="BVK107" s="669"/>
      <c r="BVL107" s="669"/>
      <c r="BVM107" s="669"/>
      <c r="BVN107" s="669"/>
      <c r="BVO107" s="669"/>
      <c r="BVP107" s="669"/>
      <c r="BVQ107" s="669"/>
      <c r="BVR107" s="669"/>
      <c r="BVS107" s="669"/>
      <c r="BVT107" s="669"/>
      <c r="BVU107" s="669"/>
      <c r="BVV107" s="669"/>
      <c r="BVW107" s="669"/>
      <c r="BVX107" s="669"/>
      <c r="BVY107" s="669"/>
      <c r="BVZ107" s="669"/>
      <c r="BWA107" s="669"/>
      <c r="BWB107" s="669"/>
      <c r="BWC107" s="669"/>
      <c r="BWD107" s="669"/>
      <c r="BWE107" s="669"/>
      <c r="BWF107" s="669"/>
      <c r="BWG107" s="669"/>
      <c r="BWH107" s="669"/>
      <c r="BWI107" s="669"/>
      <c r="BWJ107" s="669"/>
      <c r="BWK107" s="669"/>
      <c r="BWL107" s="669"/>
      <c r="BWM107" s="669"/>
      <c r="BWN107" s="669"/>
      <c r="BWO107" s="669"/>
      <c r="BWP107" s="669"/>
      <c r="BWQ107" s="669"/>
      <c r="BWR107" s="669"/>
      <c r="BWS107" s="669"/>
      <c r="BWT107" s="669"/>
      <c r="BWU107" s="669"/>
      <c r="BWV107" s="669"/>
      <c r="BWW107" s="669"/>
      <c r="BWX107" s="669"/>
      <c r="BWY107" s="669"/>
      <c r="BWZ107" s="669"/>
      <c r="BXA107" s="669"/>
      <c r="BXB107" s="669"/>
      <c r="BXC107" s="669"/>
      <c r="BXD107" s="669"/>
      <c r="BXE107" s="669"/>
      <c r="BXF107" s="669"/>
      <c r="BXG107" s="669"/>
      <c r="BXH107" s="669"/>
      <c r="BXI107" s="669"/>
      <c r="BXJ107" s="669"/>
      <c r="BXK107" s="669"/>
      <c r="BXL107" s="669"/>
      <c r="BXM107" s="669"/>
      <c r="BXN107" s="669"/>
      <c r="BXO107" s="669"/>
      <c r="BXP107" s="669"/>
      <c r="BXQ107" s="669"/>
      <c r="BXR107" s="669"/>
      <c r="BXS107" s="669"/>
      <c r="BXT107" s="669"/>
      <c r="BXU107" s="669"/>
      <c r="BXV107" s="669"/>
      <c r="BXW107" s="669"/>
      <c r="BXX107" s="669"/>
      <c r="BXY107" s="669"/>
      <c r="BXZ107" s="669"/>
      <c r="BYA107" s="669"/>
      <c r="BYB107" s="669"/>
      <c r="BYC107" s="669"/>
      <c r="BYD107" s="669"/>
      <c r="BYE107" s="669"/>
      <c r="BYF107" s="669"/>
      <c r="BYG107" s="669"/>
      <c r="BYH107" s="669"/>
      <c r="BYI107" s="669"/>
      <c r="BYJ107" s="669"/>
      <c r="BYK107" s="669"/>
      <c r="BYL107" s="669"/>
      <c r="BYM107" s="669"/>
      <c r="BYN107" s="669"/>
      <c r="BYO107" s="669"/>
      <c r="BYP107" s="669"/>
      <c r="BYQ107" s="669"/>
      <c r="BYR107" s="669"/>
      <c r="BYS107" s="669"/>
      <c r="BYT107" s="669"/>
      <c r="BYU107" s="669"/>
      <c r="BYV107" s="669"/>
      <c r="BYW107" s="669"/>
      <c r="BYX107" s="669"/>
      <c r="BYY107" s="669"/>
      <c r="BYZ107" s="669"/>
      <c r="BZA107" s="669"/>
      <c r="BZB107" s="669"/>
      <c r="BZC107" s="669"/>
      <c r="BZD107" s="669"/>
      <c r="BZE107" s="669"/>
      <c r="BZF107" s="669"/>
      <c r="BZG107" s="669"/>
      <c r="BZH107" s="669"/>
      <c r="BZI107" s="669"/>
      <c r="BZJ107" s="669"/>
      <c r="BZK107" s="669"/>
      <c r="BZL107" s="669"/>
      <c r="BZM107" s="669"/>
      <c r="BZN107" s="669"/>
      <c r="BZO107" s="669"/>
      <c r="BZP107" s="669"/>
      <c r="BZQ107" s="669"/>
      <c r="BZR107" s="669"/>
      <c r="BZS107" s="669"/>
      <c r="BZT107" s="669"/>
      <c r="BZU107" s="669"/>
      <c r="BZV107" s="669"/>
      <c r="BZW107" s="669"/>
      <c r="BZX107" s="669"/>
      <c r="BZY107" s="669"/>
      <c r="BZZ107" s="669"/>
      <c r="CAA107" s="669"/>
      <c r="CAB107" s="669"/>
      <c r="CAC107" s="669"/>
      <c r="CAD107" s="669"/>
      <c r="CAE107" s="669"/>
      <c r="CAF107" s="669"/>
      <c r="CAG107" s="669"/>
      <c r="CAH107" s="669"/>
      <c r="CAI107" s="669"/>
      <c r="CAJ107" s="669"/>
      <c r="CAK107" s="669"/>
      <c r="CAL107" s="669"/>
      <c r="CAM107" s="669"/>
      <c r="CAN107" s="669"/>
      <c r="CAO107" s="669"/>
      <c r="CAP107" s="669"/>
      <c r="CAQ107" s="669"/>
      <c r="CAR107" s="669"/>
      <c r="CAS107" s="669"/>
      <c r="CAT107" s="669"/>
      <c r="CAU107" s="669"/>
      <c r="CAV107" s="669"/>
      <c r="CAW107" s="669"/>
      <c r="CAX107" s="669"/>
      <c r="CAY107" s="669"/>
      <c r="CAZ107" s="669"/>
      <c r="CBA107" s="669"/>
      <c r="CBB107" s="669"/>
      <c r="CBC107" s="669"/>
      <c r="CBD107" s="669"/>
      <c r="CBE107" s="669"/>
      <c r="CBF107" s="669"/>
      <c r="CBG107" s="669"/>
      <c r="CBH107" s="669"/>
      <c r="CBI107" s="669"/>
      <c r="CBJ107" s="669"/>
      <c r="CBK107" s="669"/>
      <c r="CBL107" s="669"/>
      <c r="CBM107" s="669"/>
      <c r="CBN107" s="669"/>
      <c r="CBO107" s="669"/>
      <c r="CBP107" s="669"/>
      <c r="CBQ107" s="669"/>
      <c r="CBR107" s="669"/>
      <c r="CBS107" s="669"/>
      <c r="CBT107" s="669"/>
      <c r="CBU107" s="669"/>
      <c r="CBV107" s="669"/>
      <c r="CBW107" s="669"/>
      <c r="CBX107" s="669"/>
      <c r="CBY107" s="669"/>
      <c r="CBZ107" s="669"/>
      <c r="CCA107" s="669"/>
      <c r="CCB107" s="669"/>
      <c r="CCC107" s="669"/>
      <c r="CCD107" s="669"/>
      <c r="CCE107" s="669"/>
      <c r="CCF107" s="669"/>
      <c r="CCG107" s="669"/>
      <c r="CCH107" s="669"/>
      <c r="CCI107" s="669"/>
      <c r="CCJ107" s="669"/>
      <c r="CCK107" s="669"/>
      <c r="CCL107" s="669"/>
      <c r="CCM107" s="669"/>
      <c r="CCN107" s="669"/>
      <c r="CCO107" s="669"/>
      <c r="CCP107" s="669"/>
      <c r="CCQ107" s="669"/>
      <c r="CCR107" s="669"/>
      <c r="CCS107" s="669"/>
      <c r="CCT107" s="669"/>
      <c r="CCU107" s="669"/>
      <c r="CCV107" s="669"/>
      <c r="CCW107" s="669"/>
      <c r="CCX107" s="669"/>
      <c r="CCY107" s="669"/>
      <c r="CCZ107" s="669"/>
      <c r="CDA107" s="669"/>
      <c r="CDB107" s="669"/>
      <c r="CDC107" s="669"/>
      <c r="CDD107" s="669"/>
      <c r="CDE107" s="669"/>
      <c r="CDF107" s="669"/>
      <c r="CDG107" s="669"/>
      <c r="CDH107" s="669"/>
      <c r="CDI107" s="669"/>
      <c r="CDJ107" s="669"/>
      <c r="CDK107" s="669"/>
      <c r="CDL107" s="669"/>
      <c r="CDM107" s="669"/>
      <c r="CDN107" s="669"/>
      <c r="CDO107" s="669"/>
      <c r="CDP107" s="669"/>
      <c r="CDQ107" s="669"/>
      <c r="CDR107" s="669"/>
      <c r="CDS107" s="669"/>
      <c r="CDT107" s="669"/>
      <c r="CDU107" s="669"/>
      <c r="CDV107" s="669"/>
      <c r="CDW107" s="669"/>
      <c r="CDX107" s="669"/>
      <c r="CDY107" s="669"/>
      <c r="CDZ107" s="669"/>
      <c r="CEA107" s="669"/>
      <c r="CEB107" s="669"/>
      <c r="CEC107" s="669"/>
      <c r="CED107" s="669"/>
      <c r="CEE107" s="669"/>
      <c r="CEF107" s="669"/>
      <c r="CEG107" s="669"/>
      <c r="CEH107" s="669"/>
      <c r="CEI107" s="669"/>
      <c r="CEJ107" s="669"/>
      <c r="CEK107" s="669"/>
      <c r="CEL107" s="669"/>
      <c r="CEM107" s="669"/>
      <c r="CEN107" s="669"/>
      <c r="CEO107" s="669"/>
      <c r="CEP107" s="669"/>
      <c r="CEQ107" s="669"/>
      <c r="CER107" s="669"/>
      <c r="CES107" s="669"/>
      <c r="CET107" s="669"/>
      <c r="CEU107" s="669"/>
      <c r="CEV107" s="669"/>
      <c r="CEW107" s="669"/>
      <c r="CEX107" s="669"/>
      <c r="CEY107" s="669"/>
      <c r="CEZ107" s="669"/>
      <c r="CFA107" s="669"/>
      <c r="CFB107" s="669"/>
      <c r="CFC107" s="669"/>
      <c r="CFD107" s="669"/>
      <c r="CFE107" s="669"/>
      <c r="CFF107" s="669"/>
      <c r="CFG107" s="669"/>
      <c r="CFH107" s="669"/>
      <c r="CFI107" s="669"/>
      <c r="CFJ107" s="669"/>
      <c r="CFK107" s="669"/>
      <c r="CFL107" s="669"/>
      <c r="CFM107" s="669"/>
      <c r="CFN107" s="669"/>
      <c r="CFO107" s="669"/>
      <c r="CFP107" s="669"/>
      <c r="CFQ107" s="669"/>
      <c r="CFR107" s="669"/>
      <c r="CFS107" s="669"/>
      <c r="CFT107" s="669"/>
      <c r="CFU107" s="669"/>
      <c r="CFV107" s="669"/>
      <c r="CFW107" s="669"/>
      <c r="CFX107" s="669"/>
      <c r="CFY107" s="669"/>
      <c r="CFZ107" s="669"/>
      <c r="CGA107" s="669"/>
      <c r="CGB107" s="669"/>
      <c r="CGC107" s="669"/>
      <c r="CGD107" s="669"/>
      <c r="CGE107" s="669"/>
      <c r="CGF107" s="669"/>
      <c r="CGG107" s="669"/>
      <c r="CGH107" s="669"/>
      <c r="CGI107" s="669"/>
      <c r="CGJ107" s="669"/>
      <c r="CGK107" s="669"/>
      <c r="CGL107" s="669"/>
      <c r="CGM107" s="669"/>
      <c r="CGN107" s="669"/>
      <c r="CGO107" s="669"/>
      <c r="CGP107" s="669"/>
      <c r="CGQ107" s="669"/>
      <c r="CGR107" s="669"/>
      <c r="CGS107" s="669"/>
      <c r="CGT107" s="669"/>
      <c r="CGU107" s="669"/>
      <c r="CGV107" s="669"/>
      <c r="CGW107" s="669"/>
      <c r="CGX107" s="669"/>
      <c r="CGY107" s="669"/>
      <c r="CGZ107" s="669"/>
      <c r="CHA107" s="669"/>
      <c r="CHB107" s="669"/>
      <c r="CHC107" s="669"/>
      <c r="CHD107" s="669"/>
      <c r="CHE107" s="669"/>
      <c r="CHF107" s="669"/>
      <c r="CHG107" s="669"/>
      <c r="CHH107" s="669"/>
      <c r="CHI107" s="669"/>
      <c r="CHJ107" s="669"/>
      <c r="CHK107" s="669"/>
      <c r="CHL107" s="669"/>
      <c r="CHM107" s="669"/>
      <c r="CHN107" s="669"/>
      <c r="CHO107" s="669"/>
      <c r="CHP107" s="669"/>
      <c r="CHQ107" s="669"/>
      <c r="CHR107" s="669"/>
      <c r="CHS107" s="669"/>
      <c r="CHT107" s="669"/>
      <c r="CHU107" s="669"/>
      <c r="CHV107" s="669"/>
      <c r="CHW107" s="669"/>
      <c r="CHX107" s="669"/>
      <c r="CHY107" s="669"/>
      <c r="CHZ107" s="669"/>
      <c r="CIA107" s="669"/>
      <c r="CIB107" s="669"/>
      <c r="CIC107" s="669"/>
      <c r="CID107" s="669"/>
      <c r="CIE107" s="669"/>
      <c r="CIF107" s="669"/>
      <c r="CIG107" s="669"/>
      <c r="CIH107" s="669"/>
      <c r="CII107" s="669"/>
      <c r="CIJ107" s="669"/>
      <c r="CIK107" s="669"/>
      <c r="CIL107" s="669"/>
      <c r="CIM107" s="669"/>
      <c r="CIN107" s="669"/>
      <c r="CIO107" s="669"/>
      <c r="CIP107" s="669"/>
      <c r="CIQ107" s="669"/>
      <c r="CIR107" s="669"/>
      <c r="CIS107" s="669"/>
      <c r="CIT107" s="669"/>
      <c r="CIU107" s="669"/>
      <c r="CIV107" s="669"/>
      <c r="CIW107" s="669"/>
      <c r="CIX107" s="669"/>
      <c r="CIY107" s="669"/>
      <c r="CIZ107" s="669"/>
      <c r="CJA107" s="669"/>
      <c r="CJB107" s="669"/>
      <c r="CJC107" s="669"/>
      <c r="CJD107" s="669"/>
      <c r="CJE107" s="669"/>
      <c r="CJF107" s="669"/>
      <c r="CJG107" s="669"/>
      <c r="CJH107" s="669"/>
      <c r="CJI107" s="669"/>
      <c r="CJJ107" s="669"/>
      <c r="CJK107" s="669"/>
      <c r="CJL107" s="669"/>
      <c r="CJM107" s="669"/>
      <c r="CJN107" s="669"/>
      <c r="CJO107" s="669"/>
      <c r="CJP107" s="669"/>
      <c r="CJQ107" s="669"/>
      <c r="CJR107" s="669"/>
      <c r="CJS107" s="669"/>
      <c r="CJT107" s="669"/>
      <c r="CJU107" s="669"/>
      <c r="CJV107" s="669"/>
      <c r="CJW107" s="669"/>
      <c r="CJX107" s="669"/>
      <c r="CJY107" s="669"/>
      <c r="CJZ107" s="669"/>
      <c r="CKA107" s="669"/>
      <c r="CKB107" s="669"/>
      <c r="CKC107" s="669"/>
      <c r="CKD107" s="669"/>
      <c r="CKE107" s="669"/>
      <c r="CKF107" s="669"/>
      <c r="CKG107" s="669"/>
      <c r="CKH107" s="669"/>
      <c r="CKI107" s="669"/>
      <c r="CKJ107" s="669"/>
      <c r="CKK107" s="669"/>
      <c r="CKL107" s="669"/>
      <c r="CKM107" s="669"/>
      <c r="CKN107" s="669"/>
      <c r="CKO107" s="669"/>
      <c r="CKP107" s="669"/>
      <c r="CKQ107" s="669"/>
      <c r="CKR107" s="669"/>
      <c r="CKS107" s="669"/>
      <c r="CKT107" s="669"/>
      <c r="CKU107" s="669"/>
      <c r="CKV107" s="669"/>
      <c r="CKW107" s="669"/>
      <c r="CKX107" s="669"/>
      <c r="CKY107" s="669"/>
      <c r="CKZ107" s="669"/>
      <c r="CLA107" s="669"/>
      <c r="CLB107" s="669"/>
      <c r="CLC107" s="669"/>
      <c r="CLD107" s="669"/>
      <c r="CLE107" s="669"/>
      <c r="CLF107" s="669"/>
      <c r="CLG107" s="669"/>
      <c r="CLH107" s="669"/>
      <c r="CLI107" s="669"/>
      <c r="CLJ107" s="669"/>
      <c r="CLK107" s="669"/>
      <c r="CLL107" s="669"/>
      <c r="CLM107" s="669"/>
      <c r="CLN107" s="669"/>
      <c r="CLO107" s="669"/>
      <c r="CLP107" s="669"/>
      <c r="CLQ107" s="669"/>
      <c r="CLR107" s="669"/>
      <c r="CLS107" s="669"/>
      <c r="CLT107" s="669"/>
      <c r="CLU107" s="669"/>
      <c r="CLV107" s="669"/>
      <c r="CLW107" s="669"/>
      <c r="CLX107" s="669"/>
      <c r="CLY107" s="669"/>
      <c r="CLZ107" s="669"/>
      <c r="CMA107" s="669"/>
      <c r="CMB107" s="669"/>
      <c r="CMC107" s="669"/>
      <c r="CMD107" s="669"/>
      <c r="CME107" s="669"/>
      <c r="CMF107" s="669"/>
      <c r="CMG107" s="669"/>
      <c r="CMH107" s="669"/>
      <c r="CMI107" s="669"/>
      <c r="CMJ107" s="669"/>
      <c r="CMK107" s="669"/>
      <c r="CML107" s="669"/>
      <c r="CMM107" s="669"/>
      <c r="CMN107" s="669"/>
      <c r="CMO107" s="669"/>
      <c r="CMP107" s="669"/>
      <c r="CMQ107" s="669"/>
      <c r="CMR107" s="669"/>
      <c r="CMS107" s="669"/>
      <c r="CMT107" s="669"/>
      <c r="CMU107" s="669"/>
      <c r="CMV107" s="669"/>
      <c r="CMW107" s="669"/>
      <c r="CMX107" s="669"/>
      <c r="CMY107" s="669"/>
      <c r="CMZ107" s="669"/>
      <c r="CNA107" s="669"/>
      <c r="CNB107" s="669"/>
      <c r="CNC107" s="669"/>
      <c r="CND107" s="669"/>
      <c r="CNE107" s="669"/>
      <c r="CNF107" s="669"/>
      <c r="CNG107" s="669"/>
      <c r="CNH107" s="669"/>
      <c r="CNI107" s="669"/>
      <c r="CNJ107" s="669"/>
      <c r="CNK107" s="669"/>
      <c r="CNL107" s="669"/>
      <c r="CNM107" s="669"/>
      <c r="CNN107" s="669"/>
      <c r="CNO107" s="669"/>
      <c r="CNP107" s="669"/>
      <c r="CNQ107" s="669"/>
      <c r="CNR107" s="669"/>
      <c r="CNS107" s="669"/>
      <c r="CNT107" s="669"/>
      <c r="CNU107" s="669"/>
      <c r="CNV107" s="669"/>
      <c r="CNW107" s="669"/>
      <c r="CNX107" s="669"/>
      <c r="CNY107" s="669"/>
      <c r="CNZ107" s="669"/>
      <c r="COA107" s="669"/>
      <c r="COB107" s="669"/>
      <c r="COC107" s="669"/>
      <c r="COD107" s="669"/>
      <c r="COE107" s="669"/>
      <c r="COF107" s="669"/>
      <c r="COG107" s="669"/>
      <c r="COH107" s="669"/>
      <c r="COI107" s="669"/>
      <c r="COJ107" s="669"/>
      <c r="COK107" s="669"/>
      <c r="COL107" s="669"/>
      <c r="COM107" s="669"/>
      <c r="CON107" s="669"/>
      <c r="COO107" s="669"/>
      <c r="COP107" s="669"/>
      <c r="COQ107" s="669"/>
      <c r="COR107" s="669"/>
      <c r="COS107" s="669"/>
      <c r="COT107" s="669"/>
      <c r="COU107" s="669"/>
      <c r="COV107" s="669"/>
      <c r="COW107" s="669"/>
      <c r="COX107" s="669"/>
      <c r="COY107" s="669"/>
      <c r="COZ107" s="669"/>
      <c r="CPA107" s="669"/>
      <c r="CPB107" s="669"/>
      <c r="CPC107" s="669"/>
      <c r="CPD107" s="669"/>
      <c r="CPE107" s="669"/>
      <c r="CPF107" s="669"/>
      <c r="CPG107" s="669"/>
      <c r="CPH107" s="669"/>
      <c r="CPI107" s="669"/>
      <c r="CPJ107" s="669"/>
      <c r="CPK107" s="669"/>
      <c r="CPL107" s="669"/>
      <c r="CPM107" s="669"/>
      <c r="CPN107" s="669"/>
      <c r="CPO107" s="669"/>
      <c r="CPP107" s="669"/>
      <c r="CPQ107" s="669"/>
      <c r="CPR107" s="669"/>
      <c r="CPS107" s="669"/>
      <c r="CPT107" s="669"/>
      <c r="CPU107" s="669"/>
      <c r="CPV107" s="669"/>
      <c r="CPW107" s="669"/>
      <c r="CPX107" s="669"/>
      <c r="CPY107" s="669"/>
      <c r="CPZ107" s="669"/>
      <c r="CQA107" s="669"/>
      <c r="CQB107" s="669"/>
      <c r="CQC107" s="669"/>
      <c r="CQD107" s="669"/>
      <c r="CQE107" s="669"/>
      <c r="CQF107" s="669"/>
      <c r="CQG107" s="669"/>
      <c r="CQH107" s="669"/>
      <c r="CQI107" s="669"/>
      <c r="CQJ107" s="669"/>
      <c r="CQK107" s="669"/>
      <c r="CQL107" s="669"/>
      <c r="CQM107" s="669"/>
      <c r="CQN107" s="669"/>
      <c r="CQO107" s="669"/>
      <c r="CQP107" s="669"/>
      <c r="CQQ107" s="669"/>
      <c r="CQR107" s="669"/>
      <c r="CQS107" s="669"/>
      <c r="CQT107" s="669"/>
      <c r="CQU107" s="669"/>
      <c r="CQV107" s="669"/>
      <c r="CQW107" s="669"/>
      <c r="CQX107" s="669"/>
      <c r="CQY107" s="669"/>
      <c r="CQZ107" s="669"/>
      <c r="CRA107" s="669"/>
      <c r="CRB107" s="669"/>
      <c r="CRC107" s="669"/>
      <c r="CRD107" s="669"/>
      <c r="CRE107" s="669"/>
      <c r="CRF107" s="669"/>
      <c r="CRG107" s="669"/>
      <c r="CRH107" s="669"/>
      <c r="CRI107" s="669"/>
      <c r="CRJ107" s="669"/>
      <c r="CRK107" s="669"/>
      <c r="CRL107" s="669"/>
      <c r="CRM107" s="669"/>
      <c r="CRN107" s="669"/>
      <c r="CRO107" s="669"/>
      <c r="CRP107" s="669"/>
      <c r="CRQ107" s="669"/>
      <c r="CRR107" s="669"/>
      <c r="CRS107" s="669"/>
      <c r="CRT107" s="669"/>
      <c r="CRU107" s="669"/>
      <c r="CRV107" s="669"/>
      <c r="CRW107" s="669"/>
      <c r="CRX107" s="669"/>
      <c r="CRY107" s="669"/>
      <c r="CRZ107" s="669"/>
      <c r="CSA107" s="669"/>
      <c r="CSB107" s="669"/>
      <c r="CSC107" s="669"/>
      <c r="CSD107" s="669"/>
      <c r="CSE107" s="669"/>
      <c r="CSF107" s="669"/>
      <c r="CSG107" s="669"/>
      <c r="CSH107" s="669"/>
      <c r="CSI107" s="669"/>
      <c r="CSJ107" s="669"/>
      <c r="CSK107" s="669"/>
      <c r="CSL107" s="669"/>
      <c r="CSM107" s="669"/>
      <c r="CSN107" s="669"/>
      <c r="CSO107" s="669"/>
      <c r="CSP107" s="669"/>
      <c r="CSQ107" s="669"/>
      <c r="CSR107" s="669"/>
      <c r="CSS107" s="669"/>
      <c r="CST107" s="669"/>
      <c r="CSU107" s="669"/>
      <c r="CSV107" s="669"/>
      <c r="CSW107" s="669"/>
      <c r="CSX107" s="669"/>
      <c r="CSY107" s="669"/>
      <c r="CSZ107" s="669"/>
      <c r="CTA107" s="669"/>
      <c r="CTB107" s="669"/>
      <c r="CTC107" s="669"/>
      <c r="CTD107" s="669"/>
      <c r="CTE107" s="669"/>
      <c r="CTF107" s="669"/>
      <c r="CTG107" s="669"/>
      <c r="CTH107" s="669"/>
      <c r="CTI107" s="669"/>
      <c r="CTJ107" s="669"/>
      <c r="CTK107" s="669"/>
      <c r="CTL107" s="669"/>
      <c r="CTM107" s="669"/>
      <c r="CTN107" s="669"/>
      <c r="CTO107" s="669"/>
      <c r="CTP107" s="669"/>
      <c r="CTQ107" s="669"/>
      <c r="CTR107" s="669"/>
      <c r="CTS107" s="669"/>
      <c r="CTT107" s="669"/>
      <c r="CTU107" s="669"/>
      <c r="CTV107" s="669"/>
      <c r="CTW107" s="669"/>
      <c r="CTX107" s="669"/>
      <c r="CTY107" s="669"/>
      <c r="CTZ107" s="669"/>
      <c r="CUA107" s="669"/>
      <c r="CUB107" s="669"/>
      <c r="CUC107" s="669"/>
      <c r="CUD107" s="669"/>
      <c r="CUE107" s="669"/>
      <c r="CUF107" s="669"/>
      <c r="CUG107" s="669"/>
      <c r="CUH107" s="669"/>
      <c r="CUI107" s="669"/>
      <c r="CUJ107" s="669"/>
      <c r="CUK107" s="669"/>
      <c r="CUL107" s="669"/>
      <c r="CUM107" s="669"/>
      <c r="CUN107" s="669"/>
      <c r="CUO107" s="669"/>
      <c r="CUP107" s="669"/>
      <c r="CUQ107" s="669"/>
      <c r="CUR107" s="669"/>
      <c r="CUS107" s="669"/>
      <c r="CUT107" s="669"/>
      <c r="CUU107" s="669"/>
      <c r="CUV107" s="669"/>
      <c r="CUW107" s="669"/>
      <c r="CUX107" s="669"/>
      <c r="CUY107" s="669"/>
      <c r="CUZ107" s="669"/>
      <c r="CVA107" s="669"/>
      <c r="CVB107" s="669"/>
      <c r="CVC107" s="669"/>
      <c r="CVD107" s="669"/>
      <c r="CVE107" s="669"/>
      <c r="CVF107" s="669"/>
      <c r="CVG107" s="669"/>
      <c r="CVH107" s="669"/>
      <c r="CVI107" s="669"/>
      <c r="CVJ107" s="669"/>
      <c r="CVK107" s="669"/>
      <c r="CVL107" s="669"/>
      <c r="CVM107" s="669"/>
      <c r="CVN107" s="669"/>
      <c r="CVO107" s="669"/>
      <c r="CVP107" s="669"/>
      <c r="CVQ107" s="669"/>
      <c r="CVR107" s="669"/>
      <c r="CVS107" s="669"/>
      <c r="CVT107" s="669"/>
      <c r="CVU107" s="669"/>
      <c r="CVV107" s="669"/>
      <c r="CVW107" s="669"/>
      <c r="CVX107" s="669"/>
      <c r="CVY107" s="669"/>
      <c r="CVZ107" s="669"/>
      <c r="CWA107" s="669"/>
      <c r="CWB107" s="669"/>
      <c r="CWC107" s="669"/>
      <c r="CWD107" s="669"/>
      <c r="CWE107" s="669"/>
      <c r="CWF107" s="669"/>
      <c r="CWG107" s="669"/>
      <c r="CWH107" s="669"/>
      <c r="CWI107" s="669"/>
      <c r="CWJ107" s="669"/>
      <c r="CWK107" s="669"/>
      <c r="CWL107" s="669"/>
      <c r="CWM107" s="669"/>
      <c r="CWN107" s="669"/>
      <c r="CWO107" s="669"/>
      <c r="CWP107" s="669"/>
      <c r="CWQ107" s="669"/>
      <c r="CWR107" s="669"/>
      <c r="CWS107" s="669"/>
      <c r="CWT107" s="669"/>
      <c r="CWU107" s="669"/>
      <c r="CWV107" s="669"/>
      <c r="CWW107" s="669"/>
      <c r="CWX107" s="669"/>
      <c r="CWY107" s="669"/>
      <c r="CWZ107" s="669"/>
      <c r="CXA107" s="669"/>
      <c r="CXB107" s="669"/>
      <c r="CXC107" s="669"/>
      <c r="CXD107" s="669"/>
      <c r="CXE107" s="669"/>
      <c r="CXF107" s="669"/>
      <c r="CXG107" s="669"/>
      <c r="CXH107" s="669"/>
      <c r="CXI107" s="669"/>
      <c r="CXJ107" s="669"/>
      <c r="CXK107" s="669"/>
      <c r="CXL107" s="669"/>
      <c r="CXM107" s="669"/>
      <c r="CXN107" s="669"/>
      <c r="CXO107" s="669"/>
      <c r="CXP107" s="669"/>
      <c r="CXQ107" s="669"/>
      <c r="CXR107" s="669"/>
      <c r="CXS107" s="669"/>
      <c r="CXT107" s="669"/>
      <c r="CXU107" s="669"/>
      <c r="CXV107" s="669"/>
      <c r="CXW107" s="669"/>
      <c r="CXX107" s="669"/>
      <c r="CXY107" s="669"/>
      <c r="CXZ107" s="669"/>
      <c r="CYA107" s="669"/>
      <c r="CYB107" s="669"/>
      <c r="CYC107" s="669"/>
      <c r="CYD107" s="669"/>
      <c r="CYE107" s="669"/>
      <c r="CYF107" s="669"/>
      <c r="CYG107" s="669"/>
      <c r="CYH107" s="669"/>
      <c r="CYI107" s="669"/>
      <c r="CYJ107" s="669"/>
      <c r="CYK107" s="669"/>
      <c r="CYL107" s="669"/>
      <c r="CYM107" s="669"/>
      <c r="CYN107" s="669"/>
      <c r="CYO107" s="669"/>
      <c r="CYP107" s="669"/>
      <c r="CYQ107" s="669"/>
      <c r="CYR107" s="669"/>
      <c r="CYS107" s="669"/>
      <c r="CYT107" s="669"/>
      <c r="CYU107" s="669"/>
      <c r="CYV107" s="669"/>
      <c r="CYW107" s="669"/>
      <c r="CYX107" s="669"/>
      <c r="CYY107" s="669"/>
      <c r="CYZ107" s="669"/>
      <c r="CZA107" s="669"/>
      <c r="CZB107" s="669"/>
      <c r="CZC107" s="669"/>
      <c r="CZD107" s="669"/>
      <c r="CZE107" s="669"/>
      <c r="CZF107" s="669"/>
      <c r="CZG107" s="669"/>
      <c r="CZH107" s="669"/>
      <c r="CZI107" s="669"/>
      <c r="CZJ107" s="669"/>
      <c r="CZK107" s="669"/>
      <c r="CZL107" s="669"/>
      <c r="CZM107" s="669"/>
      <c r="CZN107" s="669"/>
      <c r="CZO107" s="669"/>
      <c r="CZP107" s="669"/>
      <c r="CZQ107" s="669"/>
      <c r="CZR107" s="669"/>
      <c r="CZS107" s="669"/>
      <c r="CZT107" s="669"/>
      <c r="CZU107" s="669"/>
      <c r="CZV107" s="669"/>
      <c r="CZW107" s="669"/>
      <c r="CZX107" s="669"/>
      <c r="CZY107" s="669"/>
      <c r="CZZ107" s="669"/>
      <c r="DAA107" s="669"/>
      <c r="DAB107" s="669"/>
      <c r="DAC107" s="669"/>
      <c r="DAD107" s="669"/>
      <c r="DAE107" s="669"/>
      <c r="DAF107" s="669"/>
      <c r="DAG107" s="669"/>
      <c r="DAH107" s="669"/>
      <c r="DAI107" s="669"/>
      <c r="DAJ107" s="669"/>
      <c r="DAK107" s="669"/>
      <c r="DAL107" s="669"/>
      <c r="DAM107" s="669"/>
      <c r="DAN107" s="669"/>
      <c r="DAO107" s="669"/>
      <c r="DAP107" s="669"/>
      <c r="DAQ107" s="669"/>
      <c r="DAR107" s="669"/>
      <c r="DAS107" s="669"/>
      <c r="DAT107" s="669"/>
      <c r="DAU107" s="669"/>
      <c r="DAV107" s="669"/>
      <c r="DAW107" s="669"/>
      <c r="DAX107" s="669"/>
      <c r="DAY107" s="669"/>
      <c r="DAZ107" s="669"/>
      <c r="DBA107" s="669"/>
      <c r="DBB107" s="669"/>
      <c r="DBC107" s="669"/>
      <c r="DBD107" s="669"/>
      <c r="DBE107" s="669"/>
      <c r="DBF107" s="669"/>
      <c r="DBG107" s="669"/>
      <c r="DBH107" s="669"/>
      <c r="DBI107" s="669"/>
      <c r="DBJ107" s="669"/>
      <c r="DBK107" s="669"/>
      <c r="DBL107" s="669"/>
      <c r="DBM107" s="669"/>
      <c r="DBN107" s="669"/>
      <c r="DBO107" s="669"/>
      <c r="DBP107" s="669"/>
      <c r="DBQ107" s="669"/>
      <c r="DBR107" s="669"/>
      <c r="DBS107" s="669"/>
      <c r="DBT107" s="669"/>
      <c r="DBU107" s="669"/>
      <c r="DBV107" s="669"/>
      <c r="DBW107" s="669"/>
      <c r="DBX107" s="669"/>
      <c r="DBY107" s="669"/>
      <c r="DBZ107" s="669"/>
      <c r="DCA107" s="669"/>
      <c r="DCB107" s="669"/>
      <c r="DCC107" s="669"/>
      <c r="DCD107" s="669"/>
      <c r="DCE107" s="669"/>
      <c r="DCF107" s="669"/>
      <c r="DCG107" s="669"/>
      <c r="DCH107" s="669"/>
      <c r="DCI107" s="669"/>
      <c r="DCJ107" s="669"/>
      <c r="DCK107" s="669"/>
      <c r="DCL107" s="669"/>
      <c r="DCM107" s="669"/>
      <c r="DCN107" s="669"/>
      <c r="DCO107" s="669"/>
      <c r="DCP107" s="669"/>
      <c r="DCQ107" s="669"/>
      <c r="DCR107" s="669"/>
      <c r="DCS107" s="669"/>
      <c r="DCT107" s="669"/>
      <c r="DCU107" s="669"/>
      <c r="DCV107" s="669"/>
      <c r="DCW107" s="669"/>
      <c r="DCX107" s="669"/>
      <c r="DCY107" s="669"/>
      <c r="DCZ107" s="669"/>
      <c r="DDA107" s="669"/>
      <c r="DDB107" s="669"/>
      <c r="DDC107" s="669"/>
      <c r="DDD107" s="669"/>
      <c r="DDE107" s="669"/>
      <c r="DDF107" s="669"/>
      <c r="DDG107" s="669"/>
      <c r="DDH107" s="669"/>
      <c r="DDI107" s="669"/>
      <c r="DDJ107" s="669"/>
      <c r="DDK107" s="669"/>
      <c r="DDL107" s="669"/>
      <c r="DDM107" s="669"/>
      <c r="DDN107" s="669"/>
      <c r="DDO107" s="669"/>
      <c r="DDP107" s="669"/>
      <c r="DDQ107" s="669"/>
      <c r="DDR107" s="669"/>
      <c r="DDS107" s="669"/>
      <c r="DDT107" s="669"/>
      <c r="DDU107" s="669"/>
      <c r="DDV107" s="669"/>
      <c r="DDW107" s="669"/>
      <c r="DDX107" s="669"/>
      <c r="DDY107" s="669"/>
      <c r="DDZ107" s="669"/>
      <c r="DEA107" s="669"/>
      <c r="DEB107" s="669"/>
      <c r="DEC107" s="669"/>
      <c r="DED107" s="669"/>
      <c r="DEE107" s="669"/>
      <c r="DEF107" s="669"/>
      <c r="DEG107" s="669"/>
      <c r="DEH107" s="669"/>
      <c r="DEI107" s="669"/>
      <c r="DEJ107" s="669"/>
      <c r="DEK107" s="669"/>
      <c r="DEL107" s="669"/>
      <c r="DEM107" s="669"/>
      <c r="DEN107" s="669"/>
      <c r="DEO107" s="669"/>
      <c r="DEP107" s="669"/>
      <c r="DEQ107" s="669"/>
      <c r="DER107" s="669"/>
      <c r="DES107" s="669"/>
      <c r="DET107" s="669"/>
      <c r="DEU107" s="669"/>
      <c r="DEV107" s="669"/>
      <c r="DEW107" s="669"/>
      <c r="DEX107" s="669"/>
      <c r="DEY107" s="669"/>
      <c r="DEZ107" s="669"/>
      <c r="DFA107" s="669"/>
      <c r="DFB107" s="669"/>
      <c r="DFC107" s="669"/>
      <c r="DFD107" s="669"/>
      <c r="DFE107" s="669"/>
      <c r="DFF107" s="669"/>
      <c r="DFG107" s="669"/>
      <c r="DFH107" s="669"/>
      <c r="DFI107" s="669"/>
      <c r="DFJ107" s="669"/>
      <c r="DFK107" s="669"/>
      <c r="DFL107" s="669"/>
      <c r="DFM107" s="669"/>
      <c r="DFN107" s="669"/>
      <c r="DFO107" s="669"/>
      <c r="DFP107" s="669"/>
      <c r="DFQ107" s="669"/>
      <c r="DFR107" s="669"/>
      <c r="DFS107" s="669"/>
      <c r="DFT107" s="669"/>
      <c r="DFU107" s="669"/>
      <c r="DFV107" s="669"/>
      <c r="DFW107" s="669"/>
      <c r="DFX107" s="669"/>
      <c r="DFY107" s="669"/>
      <c r="DFZ107" s="669"/>
      <c r="DGA107" s="669"/>
      <c r="DGB107" s="669"/>
      <c r="DGC107" s="669"/>
      <c r="DGD107" s="669"/>
      <c r="DGE107" s="669"/>
      <c r="DGF107" s="669"/>
      <c r="DGG107" s="669"/>
      <c r="DGH107" s="669"/>
      <c r="DGI107" s="669"/>
      <c r="DGJ107" s="669"/>
      <c r="DGK107" s="669"/>
      <c r="DGL107" s="669"/>
      <c r="DGM107" s="669"/>
      <c r="DGN107" s="669"/>
      <c r="DGO107" s="669"/>
      <c r="DGP107" s="669"/>
      <c r="DGQ107" s="669"/>
      <c r="DGR107" s="669"/>
      <c r="DGS107" s="669"/>
      <c r="DGT107" s="669"/>
      <c r="DGU107" s="669"/>
      <c r="DGV107" s="669"/>
      <c r="DGW107" s="669"/>
      <c r="DGX107" s="669"/>
      <c r="DGY107" s="669"/>
      <c r="DGZ107" s="669"/>
      <c r="DHA107" s="669"/>
      <c r="DHB107" s="669"/>
      <c r="DHC107" s="669"/>
      <c r="DHD107" s="669"/>
      <c r="DHE107" s="669"/>
      <c r="DHF107" s="669"/>
      <c r="DHG107" s="669"/>
      <c r="DHH107" s="669"/>
      <c r="DHI107" s="669"/>
      <c r="DHJ107" s="669"/>
      <c r="DHK107" s="669"/>
      <c r="DHL107" s="669"/>
      <c r="DHM107" s="669"/>
      <c r="DHN107" s="669"/>
      <c r="DHO107" s="669"/>
      <c r="DHP107" s="669"/>
      <c r="DHQ107" s="669"/>
      <c r="DHR107" s="669"/>
      <c r="DHS107" s="669"/>
      <c r="DHT107" s="669"/>
      <c r="DHU107" s="669"/>
      <c r="DHV107" s="669"/>
      <c r="DHW107" s="669"/>
      <c r="DHX107" s="669"/>
      <c r="DHY107" s="669"/>
      <c r="DHZ107" s="669"/>
      <c r="DIA107" s="669"/>
      <c r="DIB107" s="669"/>
      <c r="DIC107" s="669"/>
      <c r="DID107" s="669"/>
      <c r="DIE107" s="669"/>
      <c r="DIF107" s="669"/>
      <c r="DIG107" s="669"/>
      <c r="DIH107" s="669"/>
      <c r="DII107" s="669"/>
      <c r="DIJ107" s="669"/>
      <c r="DIK107" s="669"/>
      <c r="DIL107" s="669"/>
      <c r="DIM107" s="669"/>
      <c r="DIN107" s="669"/>
      <c r="DIO107" s="669"/>
      <c r="DIP107" s="669"/>
      <c r="DIQ107" s="669"/>
      <c r="DIR107" s="669"/>
      <c r="DIS107" s="669"/>
      <c r="DIT107" s="669"/>
      <c r="DIU107" s="669"/>
      <c r="DIV107" s="669"/>
      <c r="DIW107" s="669"/>
      <c r="DIX107" s="669"/>
      <c r="DIY107" s="669"/>
      <c r="DIZ107" s="669"/>
      <c r="DJA107" s="669"/>
      <c r="DJB107" s="669"/>
      <c r="DJC107" s="669"/>
      <c r="DJD107" s="669"/>
      <c r="DJE107" s="669"/>
      <c r="DJF107" s="669"/>
      <c r="DJG107" s="669"/>
      <c r="DJH107" s="669"/>
      <c r="DJI107" s="669"/>
      <c r="DJJ107" s="669"/>
      <c r="DJK107" s="669"/>
      <c r="DJL107" s="669"/>
      <c r="DJM107" s="669"/>
      <c r="DJN107" s="669"/>
      <c r="DJO107" s="669"/>
      <c r="DJP107" s="669"/>
      <c r="DJQ107" s="669"/>
      <c r="DJR107" s="669"/>
      <c r="DJS107" s="669"/>
      <c r="DJT107" s="669"/>
      <c r="DJU107" s="669"/>
      <c r="DJV107" s="669"/>
      <c r="DJW107" s="669"/>
      <c r="DJX107" s="669"/>
      <c r="DJY107" s="669"/>
      <c r="DJZ107" s="669"/>
      <c r="DKA107" s="669"/>
      <c r="DKB107" s="669"/>
      <c r="DKC107" s="669"/>
      <c r="DKD107" s="669"/>
      <c r="DKE107" s="669"/>
      <c r="DKF107" s="669"/>
      <c r="DKG107" s="669"/>
      <c r="DKH107" s="669"/>
      <c r="DKI107" s="669"/>
      <c r="DKJ107" s="669"/>
      <c r="DKK107" s="669"/>
      <c r="DKL107" s="669"/>
      <c r="DKM107" s="669"/>
      <c r="DKN107" s="669"/>
      <c r="DKO107" s="669"/>
      <c r="DKP107" s="669"/>
      <c r="DKQ107" s="669"/>
      <c r="DKR107" s="669"/>
      <c r="DKS107" s="669"/>
      <c r="DKT107" s="669"/>
      <c r="DKU107" s="669"/>
      <c r="DKV107" s="669"/>
      <c r="DKW107" s="669"/>
      <c r="DKX107" s="669"/>
      <c r="DKY107" s="669"/>
      <c r="DKZ107" s="669"/>
      <c r="DLA107" s="669"/>
      <c r="DLB107" s="669"/>
      <c r="DLC107" s="669"/>
      <c r="DLD107" s="669"/>
      <c r="DLE107" s="669"/>
      <c r="DLF107" s="669"/>
      <c r="DLG107" s="669"/>
      <c r="DLH107" s="669"/>
      <c r="DLI107" s="669"/>
      <c r="DLJ107" s="669"/>
      <c r="DLK107" s="669"/>
      <c r="DLL107" s="669"/>
      <c r="DLM107" s="669"/>
      <c r="DLN107" s="669"/>
      <c r="DLO107" s="669"/>
      <c r="DLP107" s="669"/>
      <c r="DLQ107" s="669"/>
      <c r="DLR107" s="669"/>
      <c r="DLS107" s="669"/>
      <c r="DLT107" s="669"/>
      <c r="DLU107" s="669"/>
      <c r="DLV107" s="669"/>
      <c r="DLW107" s="669"/>
      <c r="DLX107" s="669"/>
      <c r="DLY107" s="669"/>
      <c r="DLZ107" s="669"/>
      <c r="DMA107" s="669"/>
      <c r="DMB107" s="669"/>
      <c r="DMC107" s="669"/>
      <c r="DMD107" s="669"/>
      <c r="DME107" s="669"/>
      <c r="DMF107" s="669"/>
      <c r="DMG107" s="669"/>
      <c r="DMH107" s="669"/>
      <c r="DMI107" s="669"/>
      <c r="DMJ107" s="669"/>
      <c r="DMK107" s="669"/>
      <c r="DML107" s="669"/>
      <c r="DMM107" s="669"/>
      <c r="DMN107" s="669"/>
      <c r="DMO107" s="669"/>
      <c r="DMP107" s="669"/>
      <c r="DMQ107" s="669"/>
      <c r="DMR107" s="669"/>
      <c r="DMS107" s="669"/>
      <c r="DMT107" s="669"/>
      <c r="DMU107" s="669"/>
      <c r="DMV107" s="669"/>
      <c r="DMW107" s="669"/>
      <c r="DMX107" s="669"/>
      <c r="DMY107" s="669"/>
      <c r="DMZ107" s="669"/>
      <c r="DNA107" s="669"/>
      <c r="DNB107" s="669"/>
      <c r="DNC107" s="669"/>
      <c r="DND107" s="669"/>
      <c r="DNE107" s="669"/>
      <c r="DNF107" s="669"/>
      <c r="DNG107" s="669"/>
      <c r="DNH107" s="669"/>
      <c r="DNI107" s="669"/>
      <c r="DNJ107" s="669"/>
      <c r="DNK107" s="669"/>
      <c r="DNL107" s="669"/>
      <c r="DNM107" s="669"/>
      <c r="DNN107" s="669"/>
      <c r="DNO107" s="669"/>
      <c r="DNP107" s="669"/>
      <c r="DNQ107" s="669"/>
      <c r="DNR107" s="669"/>
      <c r="DNS107" s="669"/>
      <c r="DNT107" s="669"/>
      <c r="DNU107" s="669"/>
      <c r="DNV107" s="669"/>
      <c r="DNW107" s="669"/>
      <c r="DNX107" s="669"/>
      <c r="DNY107" s="669"/>
      <c r="DNZ107" s="669"/>
      <c r="DOA107" s="669"/>
      <c r="DOB107" s="669"/>
      <c r="DOC107" s="669"/>
      <c r="DOD107" s="669"/>
      <c r="DOE107" s="669"/>
      <c r="DOF107" s="669"/>
      <c r="DOG107" s="669"/>
      <c r="DOH107" s="669"/>
      <c r="DOI107" s="669"/>
      <c r="DOJ107" s="669"/>
      <c r="DOK107" s="669"/>
      <c r="DOL107" s="669"/>
      <c r="DOM107" s="669"/>
      <c r="DON107" s="669"/>
      <c r="DOO107" s="669"/>
      <c r="DOP107" s="669"/>
      <c r="DOQ107" s="669"/>
      <c r="DOR107" s="669"/>
      <c r="DOS107" s="669"/>
      <c r="DOT107" s="669"/>
      <c r="DOU107" s="669"/>
      <c r="DOV107" s="669"/>
      <c r="DOW107" s="669"/>
      <c r="DOX107" s="669"/>
      <c r="DOY107" s="669"/>
      <c r="DOZ107" s="669"/>
      <c r="DPA107" s="669"/>
      <c r="DPB107" s="669"/>
      <c r="DPC107" s="669"/>
      <c r="DPD107" s="669"/>
      <c r="DPE107" s="669"/>
      <c r="DPF107" s="669"/>
      <c r="DPG107" s="669"/>
      <c r="DPH107" s="669"/>
      <c r="DPI107" s="669"/>
      <c r="DPJ107" s="669"/>
      <c r="DPK107" s="669"/>
      <c r="DPL107" s="669"/>
      <c r="DPM107" s="669"/>
      <c r="DPN107" s="669"/>
      <c r="DPO107" s="669"/>
      <c r="DPP107" s="669"/>
      <c r="DPQ107" s="669"/>
      <c r="DPR107" s="669"/>
      <c r="DPS107" s="669"/>
      <c r="DPT107" s="669"/>
      <c r="DPU107" s="669"/>
      <c r="DPV107" s="669"/>
      <c r="DPW107" s="669"/>
      <c r="DPX107" s="669"/>
      <c r="DPY107" s="669"/>
      <c r="DPZ107" s="669"/>
      <c r="DQA107" s="669"/>
      <c r="DQB107" s="669"/>
      <c r="DQC107" s="669"/>
      <c r="DQD107" s="669"/>
      <c r="DQE107" s="669"/>
      <c r="DQF107" s="669"/>
      <c r="DQG107" s="669"/>
      <c r="DQH107" s="669"/>
      <c r="DQI107" s="669"/>
      <c r="DQJ107" s="669"/>
      <c r="DQK107" s="669"/>
      <c r="DQL107" s="669"/>
      <c r="DQM107" s="669"/>
      <c r="DQN107" s="669"/>
      <c r="DQO107" s="669"/>
      <c r="DQP107" s="669"/>
      <c r="DQQ107" s="669"/>
      <c r="DQR107" s="669"/>
      <c r="DQS107" s="669"/>
      <c r="DQT107" s="669"/>
      <c r="DQU107" s="669"/>
      <c r="DQV107" s="669"/>
      <c r="DQW107" s="669"/>
      <c r="DQX107" s="669"/>
      <c r="DQY107" s="669"/>
      <c r="DQZ107" s="669"/>
      <c r="DRA107" s="669"/>
      <c r="DRB107" s="669"/>
      <c r="DRC107" s="669"/>
      <c r="DRD107" s="669"/>
      <c r="DRE107" s="669"/>
      <c r="DRF107" s="669"/>
      <c r="DRG107" s="669"/>
      <c r="DRH107" s="669"/>
      <c r="DRI107" s="669"/>
      <c r="DRJ107" s="669"/>
      <c r="DRK107" s="669"/>
      <c r="DRL107" s="669"/>
      <c r="DRM107" s="669"/>
      <c r="DRN107" s="669"/>
      <c r="DRO107" s="669"/>
      <c r="DRP107" s="669"/>
      <c r="DRQ107" s="669"/>
      <c r="DRR107" s="669"/>
      <c r="DRS107" s="669"/>
      <c r="DRT107" s="669"/>
      <c r="DRU107" s="669"/>
      <c r="DRV107" s="669"/>
      <c r="DRW107" s="669"/>
      <c r="DRX107" s="669"/>
      <c r="DRY107" s="669"/>
      <c r="DRZ107" s="669"/>
      <c r="DSA107" s="669"/>
      <c r="DSB107" s="669"/>
      <c r="DSC107" s="669"/>
      <c r="DSD107" s="669"/>
      <c r="DSE107" s="669"/>
      <c r="DSF107" s="669"/>
      <c r="DSG107" s="669"/>
      <c r="DSH107" s="669"/>
      <c r="DSI107" s="669"/>
      <c r="DSJ107" s="669"/>
      <c r="DSK107" s="669"/>
      <c r="DSL107" s="669"/>
      <c r="DSM107" s="669"/>
      <c r="DSN107" s="669"/>
      <c r="DSO107" s="669"/>
      <c r="DSP107" s="669"/>
      <c r="DSQ107" s="669"/>
      <c r="DSR107" s="669"/>
      <c r="DSS107" s="669"/>
      <c r="DST107" s="669"/>
      <c r="DSU107" s="669"/>
      <c r="DSV107" s="669"/>
      <c r="DSW107" s="669"/>
      <c r="DSX107" s="669"/>
      <c r="DSY107" s="669"/>
      <c r="DSZ107" s="669"/>
      <c r="DTA107" s="669"/>
      <c r="DTB107" s="669"/>
      <c r="DTC107" s="669"/>
      <c r="DTD107" s="669"/>
      <c r="DTE107" s="669"/>
      <c r="DTF107" s="669"/>
      <c r="DTG107" s="669"/>
      <c r="DTH107" s="669"/>
      <c r="DTI107" s="669"/>
      <c r="DTJ107" s="669"/>
      <c r="DTK107" s="669"/>
      <c r="DTL107" s="669"/>
      <c r="DTM107" s="669"/>
      <c r="DTN107" s="669"/>
      <c r="DTO107" s="669"/>
      <c r="DTP107" s="669"/>
      <c r="DTQ107" s="669"/>
      <c r="DTR107" s="669"/>
      <c r="DTS107" s="669"/>
      <c r="DTT107" s="669"/>
      <c r="DTU107" s="669"/>
      <c r="DTV107" s="669"/>
      <c r="DTW107" s="669"/>
      <c r="DTX107" s="669"/>
      <c r="DTY107" s="669"/>
      <c r="DTZ107" s="669"/>
      <c r="DUA107" s="669"/>
      <c r="DUB107" s="669"/>
      <c r="DUC107" s="669"/>
      <c r="DUD107" s="669"/>
      <c r="DUE107" s="669"/>
      <c r="DUF107" s="669"/>
      <c r="DUG107" s="669"/>
      <c r="DUH107" s="669"/>
      <c r="DUI107" s="669"/>
      <c r="DUJ107" s="669"/>
      <c r="DUK107" s="669"/>
      <c r="DUL107" s="669"/>
      <c r="DUM107" s="669"/>
      <c r="DUN107" s="669"/>
      <c r="DUO107" s="669"/>
      <c r="DUP107" s="669"/>
      <c r="DUQ107" s="669"/>
      <c r="DUR107" s="669"/>
      <c r="DUS107" s="669"/>
      <c r="DUT107" s="669"/>
      <c r="DUU107" s="669"/>
      <c r="DUV107" s="669"/>
      <c r="DUW107" s="669"/>
      <c r="DUX107" s="669"/>
      <c r="DUY107" s="669"/>
      <c r="DUZ107" s="669"/>
      <c r="DVA107" s="669"/>
      <c r="DVB107" s="669"/>
      <c r="DVC107" s="669"/>
      <c r="DVD107" s="669"/>
      <c r="DVE107" s="669"/>
      <c r="DVF107" s="669"/>
      <c r="DVG107" s="669"/>
      <c r="DVH107" s="669"/>
      <c r="DVI107" s="669"/>
      <c r="DVJ107" s="669"/>
      <c r="DVK107" s="669"/>
      <c r="DVL107" s="669"/>
      <c r="DVM107" s="669"/>
      <c r="DVN107" s="669"/>
      <c r="DVO107" s="669"/>
      <c r="DVP107" s="669"/>
      <c r="DVQ107" s="669"/>
      <c r="DVR107" s="669"/>
      <c r="DVS107" s="669"/>
      <c r="DVT107" s="669"/>
      <c r="DVU107" s="669"/>
      <c r="DVV107" s="669"/>
      <c r="DVW107" s="669"/>
      <c r="DVX107" s="669"/>
      <c r="DVY107" s="669"/>
      <c r="DVZ107" s="669"/>
      <c r="DWA107" s="669"/>
      <c r="DWB107" s="669"/>
      <c r="DWC107" s="669"/>
      <c r="DWD107" s="669"/>
      <c r="DWE107" s="669"/>
      <c r="DWF107" s="669"/>
      <c r="DWG107" s="669"/>
      <c r="DWH107" s="669"/>
      <c r="DWI107" s="669"/>
      <c r="DWJ107" s="669"/>
      <c r="DWK107" s="669"/>
      <c r="DWL107" s="669"/>
      <c r="DWM107" s="669"/>
      <c r="DWN107" s="669"/>
      <c r="DWO107" s="669"/>
      <c r="DWP107" s="669"/>
      <c r="DWQ107" s="669"/>
      <c r="DWR107" s="669"/>
      <c r="DWS107" s="669"/>
      <c r="DWT107" s="669"/>
      <c r="DWU107" s="669"/>
      <c r="DWV107" s="669"/>
      <c r="DWW107" s="669"/>
      <c r="DWX107" s="669"/>
      <c r="DWY107" s="669"/>
      <c r="DWZ107" s="669"/>
      <c r="DXA107" s="669"/>
      <c r="DXB107" s="669"/>
      <c r="DXC107" s="669"/>
      <c r="DXD107" s="669"/>
      <c r="DXE107" s="669"/>
      <c r="DXF107" s="669"/>
      <c r="DXG107" s="669"/>
      <c r="DXH107" s="669"/>
      <c r="DXI107" s="669"/>
      <c r="DXJ107" s="669"/>
      <c r="DXK107" s="669"/>
      <c r="DXL107" s="669"/>
      <c r="DXM107" s="669"/>
      <c r="DXN107" s="669"/>
      <c r="DXO107" s="669"/>
      <c r="DXP107" s="669"/>
      <c r="DXQ107" s="669"/>
      <c r="DXR107" s="669"/>
      <c r="DXS107" s="669"/>
      <c r="DXT107" s="669"/>
      <c r="DXU107" s="669"/>
      <c r="DXV107" s="669"/>
      <c r="DXW107" s="669"/>
      <c r="DXX107" s="669"/>
      <c r="DXY107" s="669"/>
      <c r="DXZ107" s="669"/>
      <c r="DYA107" s="669"/>
      <c r="DYB107" s="669"/>
      <c r="DYC107" s="669"/>
      <c r="DYD107" s="669"/>
      <c r="DYE107" s="669"/>
      <c r="DYF107" s="669"/>
      <c r="DYG107" s="669"/>
      <c r="DYH107" s="669"/>
      <c r="DYI107" s="669"/>
      <c r="DYJ107" s="669"/>
      <c r="DYK107" s="669"/>
      <c r="DYL107" s="669"/>
      <c r="DYM107" s="669"/>
      <c r="DYN107" s="669"/>
      <c r="DYO107" s="669"/>
      <c r="DYP107" s="669"/>
      <c r="DYQ107" s="669"/>
      <c r="DYR107" s="669"/>
      <c r="DYS107" s="669"/>
      <c r="DYT107" s="669"/>
      <c r="DYU107" s="669"/>
      <c r="DYV107" s="669"/>
      <c r="DYW107" s="669"/>
      <c r="DYX107" s="669"/>
      <c r="DYY107" s="669"/>
      <c r="DYZ107" s="669"/>
      <c r="DZA107" s="669"/>
      <c r="DZB107" s="669"/>
      <c r="DZC107" s="669"/>
      <c r="DZD107" s="669"/>
      <c r="DZE107" s="669"/>
      <c r="DZF107" s="669"/>
      <c r="DZG107" s="669"/>
      <c r="DZH107" s="669"/>
      <c r="DZI107" s="669"/>
      <c r="DZJ107" s="669"/>
      <c r="DZK107" s="669"/>
      <c r="DZL107" s="669"/>
      <c r="DZM107" s="669"/>
      <c r="DZN107" s="669"/>
      <c r="DZO107" s="669"/>
      <c r="DZP107" s="669"/>
      <c r="DZQ107" s="669"/>
      <c r="DZR107" s="669"/>
      <c r="DZS107" s="669"/>
      <c r="DZT107" s="669"/>
      <c r="DZU107" s="669"/>
      <c r="DZV107" s="669"/>
      <c r="DZW107" s="669"/>
      <c r="DZX107" s="669"/>
      <c r="DZY107" s="669"/>
      <c r="DZZ107" s="669"/>
      <c r="EAA107" s="669"/>
      <c r="EAB107" s="669"/>
      <c r="EAC107" s="669"/>
      <c r="EAD107" s="669"/>
      <c r="EAE107" s="669"/>
      <c r="EAF107" s="669"/>
      <c r="EAG107" s="669"/>
      <c r="EAH107" s="669"/>
      <c r="EAI107" s="669"/>
      <c r="EAJ107" s="669"/>
      <c r="EAK107" s="669"/>
      <c r="EAL107" s="669"/>
      <c r="EAM107" s="669"/>
      <c r="EAN107" s="669"/>
      <c r="EAO107" s="669"/>
      <c r="EAP107" s="669"/>
      <c r="EAQ107" s="669"/>
      <c r="EAR107" s="669"/>
      <c r="EAS107" s="669"/>
      <c r="EAT107" s="669"/>
      <c r="EAU107" s="669"/>
      <c r="EAV107" s="669"/>
      <c r="EAW107" s="669"/>
      <c r="EAX107" s="669"/>
      <c r="EAY107" s="669"/>
      <c r="EAZ107" s="669"/>
      <c r="EBA107" s="669"/>
      <c r="EBB107" s="669"/>
      <c r="EBC107" s="669"/>
      <c r="EBD107" s="669"/>
      <c r="EBE107" s="669"/>
      <c r="EBF107" s="669"/>
      <c r="EBG107" s="669"/>
      <c r="EBH107" s="669"/>
      <c r="EBI107" s="669"/>
      <c r="EBJ107" s="669"/>
      <c r="EBK107" s="669"/>
      <c r="EBL107" s="669"/>
      <c r="EBM107" s="669"/>
      <c r="EBN107" s="669"/>
      <c r="EBO107" s="669"/>
      <c r="EBP107" s="669"/>
      <c r="EBQ107" s="669"/>
      <c r="EBR107" s="669"/>
      <c r="EBS107" s="669"/>
      <c r="EBT107" s="669"/>
      <c r="EBU107" s="669"/>
      <c r="EBV107" s="669"/>
      <c r="EBW107" s="669"/>
      <c r="EBX107" s="669"/>
      <c r="EBY107" s="669"/>
      <c r="EBZ107" s="669"/>
      <c r="ECA107" s="669"/>
      <c r="ECB107" s="669"/>
      <c r="ECC107" s="669"/>
      <c r="ECD107" s="669"/>
      <c r="ECE107" s="669"/>
      <c r="ECF107" s="669"/>
      <c r="ECG107" s="669"/>
      <c r="ECH107" s="669"/>
      <c r="ECI107" s="669"/>
      <c r="ECJ107" s="669"/>
      <c r="ECK107" s="669"/>
      <c r="ECL107" s="669"/>
      <c r="ECM107" s="669"/>
      <c r="ECN107" s="669"/>
      <c r="ECO107" s="669"/>
      <c r="ECP107" s="669"/>
      <c r="ECQ107" s="669"/>
      <c r="ECR107" s="669"/>
      <c r="ECS107" s="669"/>
      <c r="ECT107" s="669"/>
      <c r="ECU107" s="669"/>
      <c r="ECV107" s="669"/>
      <c r="ECW107" s="669"/>
      <c r="ECX107" s="669"/>
      <c r="ECY107" s="669"/>
      <c r="ECZ107" s="669"/>
      <c r="EDA107" s="669"/>
      <c r="EDB107" s="669"/>
      <c r="EDC107" s="669"/>
      <c r="EDD107" s="669"/>
      <c r="EDE107" s="669"/>
      <c r="EDF107" s="669"/>
      <c r="EDG107" s="669"/>
      <c r="EDH107" s="669"/>
      <c r="EDI107" s="669"/>
      <c r="EDJ107" s="669"/>
      <c r="EDK107" s="669"/>
      <c r="EDL107" s="669"/>
      <c r="EDM107" s="669"/>
      <c r="EDN107" s="669"/>
      <c r="EDO107" s="669"/>
      <c r="EDP107" s="669"/>
      <c r="EDQ107" s="669"/>
      <c r="EDR107" s="669"/>
      <c r="EDS107" s="669"/>
      <c r="EDT107" s="669"/>
      <c r="EDU107" s="669"/>
      <c r="EDV107" s="669"/>
      <c r="EDW107" s="669"/>
      <c r="EDX107" s="669"/>
      <c r="EDY107" s="669"/>
      <c r="EDZ107" s="669"/>
      <c r="EEA107" s="669"/>
      <c r="EEB107" s="669"/>
      <c r="EEC107" s="669"/>
      <c r="EED107" s="669"/>
      <c r="EEE107" s="669"/>
      <c r="EEF107" s="669"/>
      <c r="EEG107" s="669"/>
      <c r="EEH107" s="669"/>
      <c r="EEI107" s="669"/>
      <c r="EEJ107" s="669"/>
      <c r="EEK107" s="669"/>
      <c r="EEL107" s="669"/>
      <c r="EEM107" s="669"/>
      <c r="EEN107" s="669"/>
      <c r="EEO107" s="669"/>
      <c r="EEP107" s="669"/>
      <c r="EEQ107" s="669"/>
      <c r="EER107" s="669"/>
      <c r="EES107" s="669"/>
      <c r="EET107" s="669"/>
      <c r="EEU107" s="669"/>
      <c r="EEV107" s="669"/>
      <c r="EEW107" s="669"/>
      <c r="EEX107" s="669"/>
      <c r="EEY107" s="669"/>
      <c r="EEZ107" s="669"/>
      <c r="EFA107" s="669"/>
      <c r="EFB107" s="669"/>
      <c r="EFC107" s="669"/>
      <c r="EFD107" s="669"/>
      <c r="EFE107" s="669"/>
      <c r="EFF107" s="669"/>
      <c r="EFG107" s="669"/>
      <c r="EFH107" s="669"/>
      <c r="EFI107" s="669"/>
      <c r="EFJ107" s="669"/>
      <c r="EFK107" s="669"/>
      <c r="EFL107" s="669"/>
      <c r="EFM107" s="669"/>
      <c r="EFN107" s="669"/>
      <c r="EFO107" s="669"/>
      <c r="EFP107" s="669"/>
      <c r="EFQ107" s="669"/>
      <c r="EFR107" s="669"/>
      <c r="EFS107" s="669"/>
      <c r="EFT107" s="669"/>
      <c r="EFU107" s="669"/>
      <c r="EFV107" s="669"/>
      <c r="EFW107" s="669"/>
      <c r="EFX107" s="669"/>
      <c r="EFY107" s="669"/>
      <c r="EFZ107" s="669"/>
      <c r="EGA107" s="669"/>
      <c r="EGB107" s="669"/>
      <c r="EGC107" s="669"/>
      <c r="EGD107" s="669"/>
      <c r="EGE107" s="669"/>
      <c r="EGF107" s="669"/>
      <c r="EGG107" s="669"/>
      <c r="EGH107" s="669"/>
      <c r="EGI107" s="669"/>
      <c r="EGJ107" s="669"/>
      <c r="EGK107" s="669"/>
      <c r="EGL107" s="669"/>
      <c r="EGM107" s="669"/>
      <c r="EGN107" s="669"/>
      <c r="EGO107" s="669"/>
      <c r="EGP107" s="669"/>
      <c r="EGQ107" s="669"/>
      <c r="EGR107" s="669"/>
      <c r="EGS107" s="669"/>
      <c r="EGT107" s="669"/>
      <c r="EGU107" s="669"/>
      <c r="EGV107" s="669"/>
      <c r="EGW107" s="669"/>
      <c r="EGX107" s="669"/>
      <c r="EGY107" s="669"/>
      <c r="EGZ107" s="669"/>
      <c r="EHA107" s="669"/>
      <c r="EHB107" s="669"/>
      <c r="EHC107" s="669"/>
      <c r="EHD107" s="669"/>
      <c r="EHE107" s="669"/>
      <c r="EHF107" s="669"/>
      <c r="EHG107" s="669"/>
      <c r="EHH107" s="669"/>
      <c r="EHI107" s="669"/>
      <c r="EHJ107" s="669"/>
      <c r="EHK107" s="669"/>
      <c r="EHL107" s="669"/>
      <c r="EHM107" s="669"/>
      <c r="EHN107" s="669"/>
      <c r="EHO107" s="669"/>
      <c r="EHP107" s="669"/>
      <c r="EHQ107" s="669"/>
      <c r="EHR107" s="669"/>
      <c r="EHS107" s="669"/>
      <c r="EHT107" s="669"/>
      <c r="EHU107" s="669"/>
      <c r="EHV107" s="669"/>
      <c r="EHW107" s="669"/>
      <c r="EHX107" s="669"/>
      <c r="EHY107" s="669"/>
      <c r="EHZ107" s="669"/>
      <c r="EIA107" s="669"/>
      <c r="EIB107" s="669"/>
      <c r="EIC107" s="669"/>
      <c r="EID107" s="669"/>
      <c r="EIE107" s="669"/>
      <c r="EIF107" s="669"/>
      <c r="EIG107" s="669"/>
      <c r="EIH107" s="669"/>
      <c r="EII107" s="669"/>
      <c r="EIJ107" s="669"/>
      <c r="EIK107" s="669"/>
      <c r="EIL107" s="669"/>
      <c r="EIM107" s="669"/>
      <c r="EIN107" s="669"/>
      <c r="EIO107" s="669"/>
      <c r="EIP107" s="669"/>
      <c r="EIQ107" s="669"/>
      <c r="EIR107" s="669"/>
      <c r="EIS107" s="669"/>
      <c r="EIT107" s="669"/>
      <c r="EIU107" s="669"/>
      <c r="EIV107" s="669"/>
      <c r="EIW107" s="669"/>
      <c r="EIX107" s="669"/>
      <c r="EIY107" s="669"/>
      <c r="EIZ107" s="669"/>
      <c r="EJA107" s="669"/>
      <c r="EJB107" s="669"/>
      <c r="EJC107" s="669"/>
      <c r="EJD107" s="669"/>
      <c r="EJE107" s="669"/>
      <c r="EJF107" s="669"/>
      <c r="EJG107" s="669"/>
      <c r="EJH107" s="669"/>
      <c r="EJI107" s="669"/>
      <c r="EJJ107" s="669"/>
      <c r="EJK107" s="669"/>
      <c r="EJL107" s="669"/>
      <c r="EJM107" s="669"/>
      <c r="EJN107" s="669"/>
      <c r="EJO107" s="669"/>
      <c r="EJP107" s="669"/>
      <c r="EJQ107" s="669"/>
      <c r="EJR107" s="669"/>
      <c r="EJS107" s="669"/>
      <c r="EJT107" s="669"/>
      <c r="EJU107" s="669"/>
      <c r="EJV107" s="669"/>
      <c r="EJW107" s="669"/>
      <c r="EJX107" s="669"/>
      <c r="EJY107" s="669"/>
      <c r="EJZ107" s="669"/>
      <c r="EKA107" s="669"/>
      <c r="EKB107" s="669"/>
      <c r="EKC107" s="669"/>
      <c r="EKD107" s="669"/>
      <c r="EKE107" s="669"/>
      <c r="EKF107" s="669"/>
      <c r="EKG107" s="669"/>
      <c r="EKH107" s="669"/>
      <c r="EKI107" s="669"/>
      <c r="EKJ107" s="669"/>
      <c r="EKK107" s="669"/>
      <c r="EKL107" s="669"/>
      <c r="EKM107" s="669"/>
      <c r="EKN107" s="669"/>
      <c r="EKO107" s="669"/>
      <c r="EKP107" s="669"/>
      <c r="EKQ107" s="669"/>
      <c r="EKR107" s="669"/>
      <c r="EKS107" s="669"/>
      <c r="EKT107" s="669"/>
      <c r="EKU107" s="669"/>
      <c r="EKV107" s="669"/>
      <c r="EKW107" s="669"/>
      <c r="EKX107" s="669"/>
      <c r="EKY107" s="669"/>
      <c r="EKZ107" s="669"/>
      <c r="ELA107" s="669"/>
      <c r="ELB107" s="669"/>
      <c r="ELC107" s="669"/>
      <c r="ELD107" s="669"/>
      <c r="ELE107" s="669"/>
      <c r="ELF107" s="669"/>
      <c r="ELG107" s="669"/>
      <c r="ELH107" s="669"/>
      <c r="ELI107" s="669"/>
      <c r="ELJ107" s="669"/>
      <c r="ELK107" s="669"/>
      <c r="ELL107" s="669"/>
      <c r="ELM107" s="669"/>
      <c r="ELN107" s="669"/>
      <c r="ELO107" s="669"/>
      <c r="ELP107" s="669"/>
      <c r="ELQ107" s="669"/>
      <c r="ELR107" s="669"/>
      <c r="ELS107" s="669"/>
      <c r="ELT107" s="669"/>
      <c r="ELU107" s="669"/>
      <c r="ELV107" s="669"/>
      <c r="ELW107" s="669"/>
      <c r="ELX107" s="669"/>
      <c r="ELY107" s="669"/>
      <c r="ELZ107" s="669"/>
      <c r="EMA107" s="669"/>
      <c r="EMB107" s="669"/>
      <c r="EMC107" s="669"/>
      <c r="EMD107" s="669"/>
      <c r="EME107" s="669"/>
      <c r="EMF107" s="669"/>
      <c r="EMG107" s="669"/>
      <c r="EMH107" s="669"/>
      <c r="EMI107" s="669"/>
      <c r="EMJ107" s="669"/>
      <c r="EMK107" s="669"/>
      <c r="EML107" s="669"/>
      <c r="EMM107" s="669"/>
      <c r="EMN107" s="669"/>
      <c r="EMO107" s="669"/>
      <c r="EMP107" s="669"/>
      <c r="EMQ107" s="669"/>
      <c r="EMR107" s="669"/>
      <c r="EMS107" s="669"/>
      <c r="EMT107" s="669"/>
      <c r="EMU107" s="669"/>
      <c r="EMV107" s="669"/>
      <c r="EMW107" s="669"/>
      <c r="EMX107" s="669"/>
      <c r="EMY107" s="669"/>
      <c r="EMZ107" s="669"/>
      <c r="ENA107" s="669"/>
      <c r="ENB107" s="669"/>
      <c r="ENC107" s="669"/>
      <c r="END107" s="669"/>
      <c r="ENE107" s="669"/>
      <c r="ENF107" s="669"/>
      <c r="ENG107" s="669"/>
      <c r="ENH107" s="669"/>
      <c r="ENI107" s="669"/>
      <c r="ENJ107" s="669"/>
      <c r="ENK107" s="669"/>
      <c r="ENL107" s="669"/>
      <c r="ENM107" s="669"/>
      <c r="ENN107" s="669"/>
      <c r="ENO107" s="669"/>
      <c r="ENP107" s="669"/>
      <c r="ENQ107" s="669"/>
      <c r="ENR107" s="669"/>
      <c r="ENS107" s="669"/>
      <c r="ENT107" s="669"/>
      <c r="ENU107" s="669"/>
      <c r="ENV107" s="669"/>
      <c r="ENW107" s="669"/>
      <c r="ENX107" s="669"/>
      <c r="ENY107" s="669"/>
      <c r="ENZ107" s="669"/>
      <c r="EOA107" s="669"/>
      <c r="EOB107" s="669"/>
      <c r="EOC107" s="669"/>
      <c r="EOD107" s="669"/>
      <c r="EOE107" s="669"/>
      <c r="EOF107" s="669"/>
      <c r="EOG107" s="669"/>
      <c r="EOH107" s="669"/>
      <c r="EOI107" s="669"/>
      <c r="EOJ107" s="669"/>
      <c r="EOK107" s="669"/>
      <c r="EOL107" s="669"/>
      <c r="EOM107" s="669"/>
      <c r="EON107" s="669"/>
      <c r="EOO107" s="669"/>
      <c r="EOP107" s="669"/>
      <c r="EOQ107" s="669"/>
      <c r="EOR107" s="669"/>
      <c r="EOS107" s="669"/>
      <c r="EOT107" s="669"/>
      <c r="EOU107" s="669"/>
      <c r="EOV107" s="669"/>
      <c r="EOW107" s="669"/>
      <c r="EOX107" s="669"/>
      <c r="EOY107" s="669"/>
      <c r="EOZ107" s="669"/>
      <c r="EPA107" s="669"/>
      <c r="EPB107" s="669"/>
      <c r="EPC107" s="669"/>
      <c r="EPD107" s="669"/>
      <c r="EPE107" s="669"/>
      <c r="EPF107" s="669"/>
      <c r="EPG107" s="669"/>
      <c r="EPH107" s="669"/>
      <c r="EPI107" s="669"/>
      <c r="EPJ107" s="669"/>
      <c r="EPK107" s="669"/>
      <c r="EPL107" s="669"/>
      <c r="EPM107" s="669"/>
      <c r="EPN107" s="669"/>
      <c r="EPO107" s="669"/>
      <c r="EPP107" s="669"/>
      <c r="EPQ107" s="669"/>
      <c r="EPR107" s="669"/>
      <c r="EPS107" s="669"/>
      <c r="EPT107" s="669"/>
      <c r="EPU107" s="669"/>
      <c r="EPV107" s="669"/>
      <c r="EPW107" s="669"/>
      <c r="EPX107" s="669"/>
      <c r="EPY107" s="669"/>
      <c r="EPZ107" s="669"/>
      <c r="EQA107" s="669"/>
      <c r="EQB107" s="669"/>
      <c r="EQC107" s="669"/>
      <c r="EQD107" s="669"/>
      <c r="EQE107" s="669"/>
      <c r="EQF107" s="669"/>
      <c r="EQG107" s="669"/>
      <c r="EQH107" s="669"/>
      <c r="EQI107" s="669"/>
      <c r="EQJ107" s="669"/>
      <c r="EQK107" s="669"/>
      <c r="EQL107" s="669"/>
      <c r="EQM107" s="669"/>
      <c r="EQN107" s="669"/>
      <c r="EQO107" s="669"/>
      <c r="EQP107" s="669"/>
      <c r="EQQ107" s="669"/>
      <c r="EQR107" s="669"/>
      <c r="EQS107" s="669"/>
      <c r="EQT107" s="669"/>
      <c r="EQU107" s="669"/>
      <c r="EQV107" s="669"/>
      <c r="EQW107" s="669"/>
      <c r="EQX107" s="669"/>
      <c r="EQY107" s="669"/>
      <c r="EQZ107" s="669"/>
      <c r="ERA107" s="669"/>
      <c r="ERB107" s="669"/>
      <c r="ERC107" s="669"/>
      <c r="ERD107" s="669"/>
      <c r="ERE107" s="669"/>
      <c r="ERF107" s="669"/>
      <c r="ERG107" s="669"/>
      <c r="ERH107" s="669"/>
      <c r="ERI107" s="669"/>
      <c r="ERJ107" s="669"/>
      <c r="ERK107" s="669"/>
      <c r="ERL107" s="669"/>
      <c r="ERM107" s="669"/>
      <c r="ERN107" s="669"/>
      <c r="ERO107" s="669"/>
      <c r="ERP107" s="669"/>
      <c r="ERQ107" s="669"/>
      <c r="ERR107" s="669"/>
      <c r="ERS107" s="669"/>
      <c r="ERT107" s="669"/>
      <c r="ERU107" s="669"/>
      <c r="ERV107" s="669"/>
      <c r="ERW107" s="669"/>
      <c r="ERX107" s="669"/>
      <c r="ERY107" s="669"/>
      <c r="ERZ107" s="669"/>
      <c r="ESA107" s="669"/>
      <c r="ESB107" s="669"/>
      <c r="ESC107" s="669"/>
      <c r="ESD107" s="669"/>
      <c r="ESE107" s="669"/>
      <c r="ESF107" s="669"/>
      <c r="ESG107" s="669"/>
      <c r="ESH107" s="669"/>
      <c r="ESI107" s="669"/>
      <c r="ESJ107" s="669"/>
      <c r="ESK107" s="669"/>
      <c r="ESL107" s="669"/>
      <c r="ESM107" s="669"/>
      <c r="ESN107" s="669"/>
      <c r="ESO107" s="669"/>
      <c r="ESP107" s="669"/>
      <c r="ESQ107" s="669"/>
      <c r="ESR107" s="669"/>
      <c r="ESS107" s="669"/>
      <c r="EST107" s="669"/>
      <c r="ESU107" s="669"/>
      <c r="ESV107" s="669"/>
      <c r="ESW107" s="669"/>
      <c r="ESX107" s="669"/>
      <c r="ESY107" s="669"/>
      <c r="ESZ107" s="669"/>
      <c r="ETA107" s="669"/>
      <c r="ETB107" s="669"/>
      <c r="ETC107" s="669"/>
      <c r="ETD107" s="669"/>
      <c r="ETE107" s="669"/>
      <c r="ETF107" s="669"/>
      <c r="ETG107" s="669"/>
      <c r="ETH107" s="669"/>
      <c r="ETI107" s="669"/>
      <c r="ETJ107" s="669"/>
      <c r="ETK107" s="669"/>
      <c r="ETL107" s="669"/>
      <c r="ETM107" s="669"/>
      <c r="ETN107" s="669"/>
      <c r="ETO107" s="669"/>
      <c r="ETP107" s="669"/>
      <c r="ETQ107" s="669"/>
      <c r="ETR107" s="669"/>
      <c r="ETS107" s="669"/>
      <c r="ETT107" s="669"/>
      <c r="ETU107" s="669"/>
      <c r="ETV107" s="669"/>
      <c r="ETW107" s="669"/>
      <c r="ETX107" s="669"/>
      <c r="ETY107" s="669"/>
      <c r="ETZ107" s="669"/>
      <c r="EUA107" s="669"/>
      <c r="EUB107" s="669"/>
      <c r="EUC107" s="669"/>
      <c r="EUD107" s="669"/>
      <c r="EUE107" s="669"/>
      <c r="EUF107" s="669"/>
      <c r="EUG107" s="669"/>
      <c r="EUH107" s="669"/>
      <c r="EUI107" s="669"/>
      <c r="EUJ107" s="669"/>
      <c r="EUK107" s="669"/>
      <c r="EUL107" s="669"/>
      <c r="EUM107" s="669"/>
      <c r="EUN107" s="669"/>
      <c r="EUO107" s="669"/>
      <c r="EUP107" s="669"/>
      <c r="EUQ107" s="669"/>
      <c r="EUR107" s="669"/>
      <c r="EUS107" s="669"/>
      <c r="EUT107" s="669"/>
      <c r="EUU107" s="669"/>
      <c r="EUV107" s="669"/>
      <c r="EUW107" s="669"/>
      <c r="EUX107" s="669"/>
      <c r="EUY107" s="669"/>
      <c r="EUZ107" s="669"/>
      <c r="EVA107" s="669"/>
      <c r="EVB107" s="669"/>
      <c r="EVC107" s="669"/>
      <c r="EVD107" s="669"/>
      <c r="EVE107" s="669"/>
      <c r="EVF107" s="669"/>
      <c r="EVG107" s="669"/>
      <c r="EVH107" s="669"/>
      <c r="EVI107" s="669"/>
      <c r="EVJ107" s="669"/>
      <c r="EVK107" s="669"/>
      <c r="EVL107" s="669"/>
      <c r="EVM107" s="669"/>
      <c r="EVN107" s="669"/>
      <c r="EVO107" s="669"/>
      <c r="EVP107" s="669"/>
      <c r="EVQ107" s="669"/>
      <c r="EVR107" s="669"/>
      <c r="EVS107" s="669"/>
      <c r="EVT107" s="669"/>
      <c r="EVU107" s="669"/>
      <c r="EVV107" s="669"/>
      <c r="EVW107" s="669"/>
      <c r="EVX107" s="669"/>
      <c r="EVY107" s="669"/>
      <c r="EVZ107" s="669"/>
      <c r="EWA107" s="669"/>
      <c r="EWB107" s="669"/>
      <c r="EWC107" s="669"/>
      <c r="EWD107" s="669"/>
      <c r="EWE107" s="669"/>
      <c r="EWF107" s="669"/>
      <c r="EWG107" s="669"/>
      <c r="EWH107" s="669"/>
      <c r="EWI107" s="669"/>
      <c r="EWJ107" s="669"/>
      <c r="EWK107" s="669"/>
      <c r="EWL107" s="669"/>
      <c r="EWM107" s="669"/>
      <c r="EWN107" s="669"/>
      <c r="EWO107" s="669"/>
      <c r="EWP107" s="669"/>
      <c r="EWQ107" s="669"/>
      <c r="EWR107" s="669"/>
      <c r="EWS107" s="669"/>
      <c r="EWT107" s="669"/>
      <c r="EWU107" s="669"/>
      <c r="EWV107" s="669"/>
      <c r="EWW107" s="669"/>
      <c r="EWX107" s="669"/>
      <c r="EWY107" s="669"/>
      <c r="EWZ107" s="669"/>
      <c r="EXA107" s="669"/>
      <c r="EXB107" s="669"/>
      <c r="EXC107" s="669"/>
      <c r="EXD107" s="669"/>
      <c r="EXE107" s="669"/>
      <c r="EXF107" s="669"/>
      <c r="EXG107" s="669"/>
      <c r="EXH107" s="669"/>
      <c r="EXI107" s="669"/>
      <c r="EXJ107" s="669"/>
      <c r="EXK107" s="669"/>
      <c r="EXL107" s="669"/>
      <c r="EXM107" s="669"/>
      <c r="EXN107" s="669"/>
      <c r="EXO107" s="669"/>
      <c r="EXP107" s="669"/>
      <c r="EXQ107" s="669"/>
      <c r="EXR107" s="669"/>
      <c r="EXS107" s="669"/>
      <c r="EXT107" s="669"/>
      <c r="EXU107" s="669"/>
      <c r="EXV107" s="669"/>
      <c r="EXW107" s="669"/>
      <c r="EXX107" s="669"/>
      <c r="EXY107" s="669"/>
      <c r="EXZ107" s="669"/>
      <c r="EYA107" s="669"/>
      <c r="EYB107" s="669"/>
      <c r="EYC107" s="669"/>
      <c r="EYD107" s="669"/>
      <c r="EYE107" s="669"/>
      <c r="EYF107" s="669"/>
      <c r="EYG107" s="669"/>
      <c r="EYH107" s="669"/>
      <c r="EYI107" s="669"/>
      <c r="EYJ107" s="669"/>
      <c r="EYK107" s="669"/>
      <c r="EYL107" s="669"/>
      <c r="EYM107" s="669"/>
      <c r="EYN107" s="669"/>
      <c r="EYO107" s="669"/>
      <c r="EYP107" s="669"/>
      <c r="EYQ107" s="669"/>
      <c r="EYR107" s="669"/>
      <c r="EYS107" s="669"/>
      <c r="EYT107" s="669"/>
      <c r="EYU107" s="669"/>
      <c r="EYV107" s="669"/>
      <c r="EYW107" s="669"/>
      <c r="EYX107" s="669"/>
      <c r="EYY107" s="669"/>
      <c r="EYZ107" s="669"/>
      <c r="EZA107" s="669"/>
      <c r="EZB107" s="669"/>
      <c r="EZC107" s="669"/>
      <c r="EZD107" s="669"/>
      <c r="EZE107" s="669"/>
      <c r="EZF107" s="669"/>
      <c r="EZG107" s="669"/>
      <c r="EZH107" s="669"/>
      <c r="EZI107" s="669"/>
      <c r="EZJ107" s="669"/>
      <c r="EZK107" s="669"/>
      <c r="EZL107" s="669"/>
      <c r="EZM107" s="669"/>
      <c r="EZN107" s="669"/>
      <c r="EZO107" s="669"/>
      <c r="EZP107" s="669"/>
      <c r="EZQ107" s="669"/>
      <c r="EZR107" s="669"/>
      <c r="EZS107" s="669"/>
      <c r="EZT107" s="669"/>
      <c r="EZU107" s="669"/>
      <c r="EZV107" s="669"/>
      <c r="EZW107" s="669"/>
      <c r="EZX107" s="669"/>
      <c r="EZY107" s="669"/>
      <c r="EZZ107" s="669"/>
      <c r="FAA107" s="669"/>
      <c r="FAB107" s="669"/>
      <c r="FAC107" s="669"/>
      <c r="FAD107" s="669"/>
      <c r="FAE107" s="669"/>
      <c r="FAF107" s="669"/>
      <c r="FAG107" s="669"/>
      <c r="FAH107" s="669"/>
      <c r="FAI107" s="669"/>
      <c r="FAJ107" s="669"/>
      <c r="FAK107" s="669"/>
      <c r="FAL107" s="669"/>
      <c r="FAM107" s="669"/>
      <c r="FAN107" s="669"/>
      <c r="FAO107" s="669"/>
      <c r="FAP107" s="669"/>
      <c r="FAQ107" s="669"/>
      <c r="FAR107" s="669"/>
      <c r="FAS107" s="669"/>
      <c r="FAT107" s="669"/>
      <c r="FAU107" s="669"/>
      <c r="FAV107" s="669"/>
      <c r="FAW107" s="669"/>
      <c r="FAX107" s="669"/>
      <c r="FAY107" s="669"/>
      <c r="FAZ107" s="669"/>
      <c r="FBA107" s="669"/>
      <c r="FBB107" s="669"/>
      <c r="FBC107" s="669"/>
      <c r="FBD107" s="669"/>
      <c r="FBE107" s="669"/>
      <c r="FBF107" s="669"/>
      <c r="FBG107" s="669"/>
      <c r="FBH107" s="669"/>
      <c r="FBI107" s="669"/>
      <c r="FBJ107" s="669"/>
      <c r="FBK107" s="669"/>
      <c r="FBL107" s="669"/>
      <c r="FBM107" s="669"/>
      <c r="FBN107" s="669"/>
      <c r="FBO107" s="669"/>
      <c r="FBP107" s="669"/>
      <c r="FBQ107" s="669"/>
      <c r="FBR107" s="669"/>
      <c r="FBS107" s="669"/>
      <c r="FBT107" s="669"/>
      <c r="FBU107" s="669"/>
      <c r="FBV107" s="669"/>
      <c r="FBW107" s="669"/>
      <c r="FBX107" s="669"/>
      <c r="FBY107" s="669"/>
      <c r="FBZ107" s="669"/>
      <c r="FCA107" s="669"/>
      <c r="FCB107" s="669"/>
      <c r="FCC107" s="669"/>
      <c r="FCD107" s="669"/>
      <c r="FCE107" s="669"/>
      <c r="FCF107" s="669"/>
      <c r="FCG107" s="669"/>
      <c r="FCH107" s="669"/>
      <c r="FCI107" s="669"/>
      <c r="FCJ107" s="669"/>
      <c r="FCK107" s="669"/>
      <c r="FCL107" s="669"/>
      <c r="FCM107" s="669"/>
      <c r="FCN107" s="669"/>
      <c r="FCO107" s="669"/>
      <c r="FCP107" s="669"/>
      <c r="FCQ107" s="669"/>
      <c r="FCR107" s="669"/>
      <c r="FCS107" s="669"/>
      <c r="FCT107" s="669"/>
      <c r="FCU107" s="669"/>
      <c r="FCV107" s="669"/>
      <c r="FCW107" s="669"/>
      <c r="FCX107" s="669"/>
      <c r="FCY107" s="669"/>
      <c r="FCZ107" s="669"/>
      <c r="FDA107" s="669"/>
      <c r="FDB107" s="669"/>
      <c r="FDC107" s="669"/>
      <c r="FDD107" s="669"/>
      <c r="FDE107" s="669"/>
      <c r="FDF107" s="669"/>
      <c r="FDG107" s="669"/>
      <c r="FDH107" s="669"/>
      <c r="FDI107" s="669"/>
      <c r="FDJ107" s="669"/>
      <c r="FDK107" s="669"/>
      <c r="FDL107" s="669"/>
      <c r="FDM107" s="669"/>
      <c r="FDN107" s="669"/>
      <c r="FDO107" s="669"/>
      <c r="FDP107" s="669"/>
      <c r="FDQ107" s="669"/>
      <c r="FDR107" s="669"/>
      <c r="FDS107" s="669"/>
      <c r="FDT107" s="669"/>
      <c r="FDU107" s="669"/>
      <c r="FDV107" s="669"/>
      <c r="FDW107" s="669"/>
      <c r="FDX107" s="669"/>
      <c r="FDY107" s="669"/>
      <c r="FDZ107" s="669"/>
      <c r="FEA107" s="669"/>
      <c r="FEB107" s="669"/>
      <c r="FEC107" s="669"/>
      <c r="FED107" s="669"/>
      <c r="FEE107" s="669"/>
      <c r="FEF107" s="669"/>
      <c r="FEG107" s="669"/>
      <c r="FEH107" s="669"/>
      <c r="FEI107" s="669"/>
      <c r="FEJ107" s="669"/>
      <c r="FEK107" s="669"/>
      <c r="FEL107" s="669"/>
      <c r="FEM107" s="669"/>
      <c r="FEN107" s="669"/>
      <c r="FEO107" s="669"/>
      <c r="FEP107" s="669"/>
      <c r="FEQ107" s="669"/>
      <c r="FER107" s="669"/>
      <c r="FES107" s="669"/>
      <c r="FET107" s="669"/>
      <c r="FEU107" s="669"/>
      <c r="FEV107" s="669"/>
      <c r="FEW107" s="669"/>
      <c r="FEX107" s="669"/>
      <c r="FEY107" s="669"/>
      <c r="FEZ107" s="669"/>
      <c r="FFA107" s="669"/>
      <c r="FFB107" s="669"/>
      <c r="FFC107" s="669"/>
      <c r="FFD107" s="669"/>
      <c r="FFE107" s="669"/>
      <c r="FFF107" s="669"/>
      <c r="FFG107" s="669"/>
      <c r="FFH107" s="669"/>
      <c r="FFI107" s="669"/>
      <c r="FFJ107" s="669"/>
      <c r="FFK107" s="669"/>
      <c r="FFL107" s="669"/>
      <c r="FFM107" s="669"/>
      <c r="FFN107" s="669"/>
      <c r="FFO107" s="669"/>
      <c r="FFP107" s="669"/>
      <c r="FFQ107" s="669"/>
      <c r="FFR107" s="669"/>
      <c r="FFS107" s="669"/>
      <c r="FFT107" s="669"/>
      <c r="FFU107" s="669"/>
      <c r="FFV107" s="669"/>
      <c r="FFW107" s="669"/>
      <c r="FFX107" s="669"/>
      <c r="FFY107" s="669"/>
      <c r="FFZ107" s="669"/>
      <c r="FGA107" s="669"/>
      <c r="FGB107" s="669"/>
      <c r="FGC107" s="669"/>
      <c r="FGD107" s="669"/>
      <c r="FGE107" s="669"/>
      <c r="FGF107" s="669"/>
      <c r="FGG107" s="669"/>
      <c r="FGH107" s="669"/>
      <c r="FGI107" s="669"/>
      <c r="FGJ107" s="669"/>
      <c r="FGK107" s="669"/>
      <c r="FGL107" s="669"/>
      <c r="FGM107" s="669"/>
      <c r="FGN107" s="669"/>
      <c r="FGO107" s="669"/>
      <c r="FGP107" s="669"/>
      <c r="FGQ107" s="669"/>
      <c r="FGR107" s="669"/>
      <c r="FGS107" s="669"/>
      <c r="FGT107" s="669"/>
      <c r="FGU107" s="669"/>
      <c r="FGV107" s="669"/>
      <c r="FGW107" s="669"/>
      <c r="FGX107" s="669"/>
      <c r="FGY107" s="669"/>
      <c r="FGZ107" s="669"/>
      <c r="FHA107" s="669"/>
      <c r="FHB107" s="669"/>
      <c r="FHC107" s="669"/>
      <c r="FHD107" s="669"/>
      <c r="FHE107" s="669"/>
      <c r="FHF107" s="669"/>
      <c r="FHG107" s="669"/>
      <c r="FHH107" s="669"/>
      <c r="FHI107" s="669"/>
      <c r="FHJ107" s="669"/>
      <c r="FHK107" s="669"/>
      <c r="FHL107" s="669"/>
      <c r="FHM107" s="669"/>
      <c r="FHN107" s="669"/>
      <c r="FHO107" s="669"/>
      <c r="FHP107" s="669"/>
      <c r="FHQ107" s="669"/>
      <c r="FHR107" s="669"/>
      <c r="FHS107" s="669"/>
      <c r="FHT107" s="669"/>
      <c r="FHU107" s="669"/>
      <c r="FHV107" s="669"/>
      <c r="FHW107" s="669"/>
      <c r="FHX107" s="669"/>
      <c r="FHY107" s="669"/>
      <c r="FHZ107" s="669"/>
      <c r="FIA107" s="669"/>
      <c r="FIB107" s="669"/>
      <c r="FIC107" s="669"/>
      <c r="FID107" s="669"/>
      <c r="FIE107" s="669"/>
      <c r="FIF107" s="669"/>
      <c r="FIG107" s="669"/>
      <c r="FIH107" s="669"/>
      <c r="FII107" s="669"/>
      <c r="FIJ107" s="669"/>
      <c r="FIK107" s="669"/>
      <c r="FIL107" s="669"/>
      <c r="FIM107" s="669"/>
      <c r="FIN107" s="669"/>
      <c r="FIO107" s="669"/>
      <c r="FIP107" s="669"/>
      <c r="FIQ107" s="669"/>
      <c r="FIR107" s="669"/>
      <c r="FIS107" s="669"/>
      <c r="FIT107" s="669"/>
      <c r="FIU107" s="669"/>
      <c r="FIV107" s="669"/>
      <c r="FIW107" s="669"/>
      <c r="FIX107" s="669"/>
      <c r="FIY107" s="669"/>
      <c r="FIZ107" s="669"/>
      <c r="FJA107" s="669"/>
      <c r="FJB107" s="669"/>
      <c r="FJC107" s="669"/>
      <c r="FJD107" s="669"/>
      <c r="FJE107" s="669"/>
      <c r="FJF107" s="669"/>
      <c r="FJG107" s="669"/>
      <c r="FJH107" s="669"/>
      <c r="FJI107" s="669"/>
      <c r="FJJ107" s="669"/>
      <c r="FJK107" s="669"/>
      <c r="FJL107" s="669"/>
      <c r="FJM107" s="669"/>
      <c r="FJN107" s="669"/>
      <c r="FJO107" s="669"/>
      <c r="FJP107" s="669"/>
      <c r="FJQ107" s="669"/>
      <c r="FJR107" s="669"/>
      <c r="FJS107" s="669"/>
      <c r="FJT107" s="669"/>
      <c r="FJU107" s="669"/>
      <c r="FJV107" s="669"/>
      <c r="FJW107" s="669"/>
      <c r="FJX107" s="669"/>
      <c r="FJY107" s="669"/>
      <c r="FJZ107" s="669"/>
      <c r="FKA107" s="669"/>
      <c r="FKB107" s="669"/>
      <c r="FKC107" s="669"/>
      <c r="FKD107" s="669"/>
      <c r="FKE107" s="669"/>
      <c r="FKF107" s="669"/>
      <c r="FKG107" s="669"/>
      <c r="FKH107" s="669"/>
      <c r="FKI107" s="669"/>
      <c r="FKJ107" s="669"/>
      <c r="FKK107" s="669"/>
      <c r="FKL107" s="669"/>
      <c r="FKM107" s="669"/>
      <c r="FKN107" s="669"/>
      <c r="FKO107" s="669"/>
      <c r="FKP107" s="669"/>
      <c r="FKQ107" s="669"/>
      <c r="FKR107" s="669"/>
      <c r="FKS107" s="669"/>
      <c r="FKT107" s="669"/>
      <c r="FKU107" s="669"/>
      <c r="FKV107" s="669"/>
      <c r="FKW107" s="669"/>
      <c r="FKX107" s="669"/>
      <c r="FKY107" s="669"/>
      <c r="FKZ107" s="669"/>
      <c r="FLA107" s="669"/>
      <c r="FLB107" s="669"/>
      <c r="FLC107" s="669"/>
      <c r="FLD107" s="669"/>
      <c r="FLE107" s="669"/>
      <c r="FLF107" s="669"/>
      <c r="FLG107" s="669"/>
      <c r="FLH107" s="669"/>
      <c r="FLI107" s="669"/>
      <c r="FLJ107" s="669"/>
      <c r="FLK107" s="669"/>
      <c r="FLL107" s="669"/>
      <c r="FLM107" s="669"/>
      <c r="FLN107" s="669"/>
      <c r="FLO107" s="669"/>
      <c r="FLP107" s="669"/>
      <c r="FLQ107" s="669"/>
      <c r="FLR107" s="669"/>
      <c r="FLS107" s="669"/>
      <c r="FLT107" s="669"/>
      <c r="FLU107" s="669"/>
      <c r="FLV107" s="669"/>
      <c r="FLW107" s="669"/>
      <c r="FLX107" s="669"/>
      <c r="FLY107" s="669"/>
      <c r="FLZ107" s="669"/>
      <c r="FMA107" s="669"/>
      <c r="FMB107" s="669"/>
      <c r="FMC107" s="669"/>
      <c r="FMD107" s="669"/>
      <c r="FME107" s="669"/>
      <c r="FMF107" s="669"/>
      <c r="FMG107" s="669"/>
      <c r="FMH107" s="669"/>
      <c r="FMI107" s="669"/>
      <c r="FMJ107" s="669"/>
      <c r="FMK107" s="669"/>
      <c r="FML107" s="669"/>
      <c r="FMM107" s="669"/>
      <c r="FMN107" s="669"/>
      <c r="FMO107" s="669"/>
      <c r="FMP107" s="669"/>
      <c r="FMQ107" s="669"/>
      <c r="FMR107" s="669"/>
      <c r="FMS107" s="669"/>
      <c r="FMT107" s="669"/>
      <c r="FMU107" s="669"/>
      <c r="FMV107" s="669"/>
      <c r="FMW107" s="669"/>
      <c r="FMX107" s="669"/>
      <c r="FMY107" s="669"/>
      <c r="FMZ107" s="669"/>
      <c r="FNA107" s="669"/>
      <c r="FNB107" s="669"/>
      <c r="FNC107" s="669"/>
      <c r="FND107" s="669"/>
      <c r="FNE107" s="669"/>
      <c r="FNF107" s="669"/>
      <c r="FNG107" s="669"/>
      <c r="FNH107" s="669"/>
      <c r="FNI107" s="669"/>
      <c r="FNJ107" s="669"/>
      <c r="FNK107" s="669"/>
      <c r="FNL107" s="669"/>
      <c r="FNM107" s="669"/>
      <c r="FNN107" s="669"/>
      <c r="FNO107" s="669"/>
      <c r="FNP107" s="669"/>
      <c r="FNQ107" s="669"/>
      <c r="FNR107" s="669"/>
      <c r="FNS107" s="669"/>
      <c r="FNT107" s="669"/>
      <c r="FNU107" s="669"/>
      <c r="FNV107" s="669"/>
      <c r="FNW107" s="669"/>
      <c r="FNX107" s="669"/>
      <c r="FNY107" s="669"/>
      <c r="FNZ107" s="669"/>
      <c r="FOA107" s="669"/>
      <c r="FOB107" s="669"/>
      <c r="FOC107" s="669"/>
      <c r="FOD107" s="669"/>
      <c r="FOE107" s="669"/>
      <c r="FOF107" s="669"/>
      <c r="FOG107" s="669"/>
      <c r="FOH107" s="669"/>
      <c r="FOI107" s="669"/>
      <c r="FOJ107" s="669"/>
      <c r="FOK107" s="669"/>
      <c r="FOL107" s="669"/>
      <c r="FOM107" s="669"/>
      <c r="FON107" s="669"/>
      <c r="FOO107" s="669"/>
      <c r="FOP107" s="669"/>
      <c r="FOQ107" s="669"/>
      <c r="FOR107" s="669"/>
      <c r="FOS107" s="669"/>
      <c r="FOT107" s="669"/>
      <c r="FOU107" s="669"/>
      <c r="FOV107" s="669"/>
      <c r="FOW107" s="669"/>
      <c r="FOX107" s="669"/>
      <c r="FOY107" s="669"/>
      <c r="FOZ107" s="669"/>
      <c r="FPA107" s="669"/>
      <c r="FPB107" s="669"/>
      <c r="FPC107" s="669"/>
      <c r="FPD107" s="669"/>
      <c r="FPE107" s="669"/>
      <c r="FPF107" s="669"/>
      <c r="FPG107" s="669"/>
      <c r="FPH107" s="669"/>
      <c r="FPI107" s="669"/>
      <c r="FPJ107" s="669"/>
      <c r="FPK107" s="669"/>
      <c r="FPL107" s="669"/>
      <c r="FPM107" s="669"/>
      <c r="FPN107" s="669"/>
      <c r="FPO107" s="669"/>
      <c r="FPP107" s="669"/>
      <c r="FPQ107" s="669"/>
      <c r="FPR107" s="669"/>
      <c r="FPS107" s="669"/>
      <c r="FPT107" s="669"/>
      <c r="FPU107" s="669"/>
      <c r="FPV107" s="669"/>
      <c r="FPW107" s="669"/>
      <c r="FPX107" s="669"/>
      <c r="FPY107" s="669"/>
      <c r="FPZ107" s="669"/>
      <c r="FQA107" s="669"/>
      <c r="FQB107" s="669"/>
      <c r="FQC107" s="669"/>
      <c r="FQD107" s="669"/>
      <c r="FQE107" s="669"/>
      <c r="FQF107" s="669"/>
      <c r="FQG107" s="669"/>
      <c r="FQH107" s="669"/>
      <c r="FQI107" s="669"/>
      <c r="FQJ107" s="669"/>
      <c r="FQK107" s="669"/>
      <c r="FQL107" s="669"/>
      <c r="FQM107" s="669"/>
      <c r="FQN107" s="669"/>
      <c r="FQO107" s="669"/>
      <c r="FQP107" s="669"/>
      <c r="FQQ107" s="669"/>
      <c r="FQR107" s="669"/>
      <c r="FQS107" s="669"/>
      <c r="FQT107" s="669"/>
      <c r="FQU107" s="669"/>
      <c r="FQV107" s="669"/>
      <c r="FQW107" s="669"/>
      <c r="FQX107" s="669"/>
      <c r="FQY107" s="669"/>
      <c r="FQZ107" s="669"/>
      <c r="FRA107" s="669"/>
      <c r="FRB107" s="669"/>
      <c r="FRC107" s="669"/>
      <c r="FRD107" s="669"/>
      <c r="FRE107" s="669"/>
      <c r="FRF107" s="669"/>
      <c r="FRG107" s="669"/>
      <c r="FRH107" s="669"/>
      <c r="FRI107" s="669"/>
      <c r="FRJ107" s="669"/>
      <c r="FRK107" s="669"/>
      <c r="FRL107" s="669"/>
      <c r="FRM107" s="669"/>
      <c r="FRN107" s="669"/>
      <c r="FRO107" s="669"/>
      <c r="FRP107" s="669"/>
      <c r="FRQ107" s="669"/>
      <c r="FRR107" s="669"/>
      <c r="FRS107" s="669"/>
      <c r="FRT107" s="669"/>
      <c r="FRU107" s="669"/>
      <c r="FRV107" s="669"/>
      <c r="FRW107" s="669"/>
      <c r="FRX107" s="669"/>
      <c r="FRY107" s="669"/>
      <c r="FRZ107" s="669"/>
      <c r="FSA107" s="669"/>
      <c r="FSB107" s="669"/>
      <c r="FSC107" s="669"/>
      <c r="FSD107" s="669"/>
      <c r="FSE107" s="669"/>
      <c r="FSF107" s="669"/>
      <c r="FSG107" s="669"/>
      <c r="FSH107" s="669"/>
      <c r="FSI107" s="669"/>
      <c r="FSJ107" s="669"/>
      <c r="FSK107" s="669"/>
      <c r="FSL107" s="669"/>
      <c r="FSM107" s="669"/>
      <c r="FSN107" s="669"/>
      <c r="FSO107" s="669"/>
      <c r="FSP107" s="669"/>
      <c r="FSQ107" s="669"/>
      <c r="FSR107" s="669"/>
      <c r="FSS107" s="669"/>
      <c r="FST107" s="669"/>
      <c r="FSU107" s="669"/>
      <c r="FSV107" s="669"/>
      <c r="FSW107" s="669"/>
      <c r="FSX107" s="669"/>
      <c r="FSY107" s="669"/>
      <c r="FSZ107" s="669"/>
      <c r="FTA107" s="669"/>
      <c r="FTB107" s="669"/>
      <c r="FTC107" s="669"/>
      <c r="FTD107" s="669"/>
      <c r="FTE107" s="669"/>
      <c r="FTF107" s="669"/>
      <c r="FTG107" s="669"/>
      <c r="FTH107" s="669"/>
      <c r="FTI107" s="669"/>
      <c r="FTJ107" s="669"/>
      <c r="FTK107" s="669"/>
      <c r="FTL107" s="669"/>
      <c r="FTM107" s="669"/>
      <c r="FTN107" s="669"/>
      <c r="FTO107" s="669"/>
      <c r="FTP107" s="669"/>
      <c r="FTQ107" s="669"/>
      <c r="FTR107" s="669"/>
      <c r="FTS107" s="669"/>
      <c r="FTT107" s="669"/>
      <c r="FTU107" s="669"/>
      <c r="FTV107" s="669"/>
      <c r="FTW107" s="669"/>
      <c r="FTX107" s="669"/>
      <c r="FTY107" s="669"/>
      <c r="FTZ107" s="669"/>
      <c r="FUA107" s="669"/>
      <c r="FUB107" s="669"/>
      <c r="FUC107" s="669"/>
      <c r="FUD107" s="669"/>
      <c r="FUE107" s="669"/>
      <c r="FUF107" s="669"/>
      <c r="FUG107" s="669"/>
      <c r="FUH107" s="669"/>
      <c r="FUI107" s="669"/>
      <c r="FUJ107" s="669"/>
      <c r="FUK107" s="669"/>
      <c r="FUL107" s="669"/>
      <c r="FUM107" s="669"/>
      <c r="FUN107" s="669"/>
      <c r="FUO107" s="669"/>
      <c r="FUP107" s="669"/>
      <c r="FUQ107" s="669"/>
      <c r="FUR107" s="669"/>
      <c r="FUS107" s="669"/>
      <c r="FUT107" s="669"/>
      <c r="FUU107" s="669"/>
      <c r="FUV107" s="669"/>
      <c r="FUW107" s="669"/>
      <c r="FUX107" s="669"/>
      <c r="FUY107" s="669"/>
      <c r="FUZ107" s="669"/>
      <c r="FVA107" s="669"/>
      <c r="FVB107" s="669"/>
      <c r="FVC107" s="669"/>
      <c r="FVD107" s="669"/>
      <c r="FVE107" s="669"/>
      <c r="FVF107" s="669"/>
      <c r="FVG107" s="669"/>
      <c r="FVH107" s="669"/>
      <c r="FVI107" s="669"/>
      <c r="FVJ107" s="669"/>
      <c r="FVK107" s="669"/>
      <c r="FVL107" s="669"/>
      <c r="FVM107" s="669"/>
      <c r="FVN107" s="669"/>
      <c r="FVO107" s="669"/>
      <c r="FVP107" s="669"/>
      <c r="FVQ107" s="669"/>
      <c r="FVR107" s="669"/>
      <c r="FVS107" s="669"/>
      <c r="FVT107" s="669"/>
      <c r="FVU107" s="669"/>
      <c r="FVV107" s="669"/>
      <c r="FVW107" s="669"/>
      <c r="FVX107" s="669"/>
      <c r="FVY107" s="669"/>
      <c r="FVZ107" s="669"/>
      <c r="FWA107" s="669"/>
      <c r="FWB107" s="669"/>
      <c r="FWC107" s="669"/>
      <c r="FWD107" s="669"/>
      <c r="FWE107" s="669"/>
      <c r="FWF107" s="669"/>
      <c r="FWG107" s="669"/>
      <c r="FWH107" s="669"/>
      <c r="FWI107" s="669"/>
      <c r="FWJ107" s="669"/>
      <c r="FWK107" s="669"/>
      <c r="FWL107" s="669"/>
      <c r="FWM107" s="669"/>
      <c r="FWN107" s="669"/>
      <c r="FWO107" s="669"/>
      <c r="FWP107" s="669"/>
      <c r="FWQ107" s="669"/>
      <c r="FWR107" s="669"/>
      <c r="FWS107" s="669"/>
      <c r="FWT107" s="669"/>
      <c r="FWU107" s="669"/>
      <c r="FWV107" s="669"/>
      <c r="FWW107" s="669"/>
      <c r="FWX107" s="669"/>
      <c r="FWY107" s="669"/>
      <c r="FWZ107" s="669"/>
      <c r="FXA107" s="669"/>
      <c r="FXB107" s="669"/>
      <c r="FXC107" s="669"/>
      <c r="FXD107" s="669"/>
      <c r="FXE107" s="669"/>
      <c r="FXF107" s="669"/>
      <c r="FXG107" s="669"/>
      <c r="FXH107" s="669"/>
      <c r="FXI107" s="669"/>
      <c r="FXJ107" s="669"/>
      <c r="FXK107" s="669"/>
      <c r="FXL107" s="669"/>
      <c r="FXM107" s="669"/>
      <c r="FXN107" s="669"/>
      <c r="FXO107" s="669"/>
      <c r="FXP107" s="669"/>
      <c r="FXQ107" s="669"/>
      <c r="FXR107" s="669"/>
      <c r="FXS107" s="669"/>
      <c r="FXT107" s="669"/>
      <c r="FXU107" s="669"/>
      <c r="FXV107" s="669"/>
      <c r="FXW107" s="669"/>
      <c r="FXX107" s="669"/>
      <c r="FXY107" s="669"/>
      <c r="FXZ107" s="669"/>
      <c r="FYA107" s="669"/>
      <c r="FYB107" s="669"/>
      <c r="FYC107" s="669"/>
      <c r="FYD107" s="669"/>
      <c r="FYE107" s="669"/>
      <c r="FYF107" s="669"/>
      <c r="FYG107" s="669"/>
      <c r="FYH107" s="669"/>
      <c r="FYI107" s="669"/>
      <c r="FYJ107" s="669"/>
      <c r="FYK107" s="669"/>
      <c r="FYL107" s="669"/>
      <c r="FYM107" s="669"/>
      <c r="FYN107" s="669"/>
      <c r="FYO107" s="669"/>
      <c r="FYP107" s="669"/>
      <c r="FYQ107" s="669"/>
      <c r="FYR107" s="669"/>
      <c r="FYS107" s="669"/>
      <c r="FYT107" s="669"/>
      <c r="FYU107" s="669"/>
      <c r="FYV107" s="669"/>
      <c r="FYW107" s="669"/>
      <c r="FYX107" s="669"/>
      <c r="FYY107" s="669"/>
      <c r="FYZ107" s="669"/>
      <c r="FZA107" s="669"/>
      <c r="FZB107" s="669"/>
      <c r="FZC107" s="669"/>
      <c r="FZD107" s="669"/>
      <c r="FZE107" s="669"/>
      <c r="FZF107" s="669"/>
      <c r="FZG107" s="669"/>
      <c r="FZH107" s="669"/>
      <c r="FZI107" s="669"/>
      <c r="FZJ107" s="669"/>
      <c r="FZK107" s="669"/>
      <c r="FZL107" s="669"/>
      <c r="FZM107" s="669"/>
      <c r="FZN107" s="669"/>
      <c r="FZO107" s="669"/>
      <c r="FZP107" s="669"/>
      <c r="FZQ107" s="669"/>
      <c r="FZR107" s="669"/>
      <c r="FZS107" s="669"/>
      <c r="FZT107" s="669"/>
      <c r="FZU107" s="669"/>
      <c r="FZV107" s="669"/>
      <c r="FZW107" s="669"/>
      <c r="FZX107" s="669"/>
      <c r="FZY107" s="669"/>
      <c r="FZZ107" s="669"/>
      <c r="GAA107" s="669"/>
      <c r="GAB107" s="669"/>
      <c r="GAC107" s="669"/>
      <c r="GAD107" s="669"/>
      <c r="GAE107" s="669"/>
      <c r="GAF107" s="669"/>
      <c r="GAG107" s="669"/>
      <c r="GAH107" s="669"/>
      <c r="GAI107" s="669"/>
      <c r="GAJ107" s="669"/>
      <c r="GAK107" s="669"/>
      <c r="GAL107" s="669"/>
      <c r="GAM107" s="669"/>
      <c r="GAN107" s="669"/>
      <c r="GAO107" s="669"/>
      <c r="GAP107" s="669"/>
      <c r="GAQ107" s="669"/>
      <c r="GAR107" s="669"/>
      <c r="GAS107" s="669"/>
      <c r="GAT107" s="669"/>
      <c r="GAU107" s="669"/>
      <c r="GAV107" s="669"/>
      <c r="GAW107" s="669"/>
      <c r="GAX107" s="669"/>
      <c r="GAY107" s="669"/>
      <c r="GAZ107" s="669"/>
      <c r="GBA107" s="669"/>
      <c r="GBB107" s="669"/>
      <c r="GBC107" s="669"/>
      <c r="GBD107" s="669"/>
      <c r="GBE107" s="669"/>
      <c r="GBF107" s="669"/>
      <c r="GBG107" s="669"/>
      <c r="GBH107" s="669"/>
      <c r="GBI107" s="669"/>
      <c r="GBJ107" s="669"/>
      <c r="GBK107" s="669"/>
      <c r="GBL107" s="669"/>
      <c r="GBM107" s="669"/>
      <c r="GBN107" s="669"/>
      <c r="GBO107" s="669"/>
      <c r="GBP107" s="669"/>
      <c r="GBQ107" s="669"/>
      <c r="GBR107" s="669"/>
      <c r="GBS107" s="669"/>
      <c r="GBT107" s="669"/>
      <c r="GBU107" s="669"/>
      <c r="GBV107" s="669"/>
      <c r="GBW107" s="669"/>
      <c r="GBX107" s="669"/>
      <c r="GBY107" s="669"/>
      <c r="GBZ107" s="669"/>
      <c r="GCA107" s="669"/>
      <c r="GCB107" s="669"/>
      <c r="GCC107" s="669"/>
      <c r="GCD107" s="669"/>
      <c r="GCE107" s="669"/>
      <c r="GCF107" s="669"/>
      <c r="GCG107" s="669"/>
      <c r="GCH107" s="669"/>
      <c r="GCI107" s="669"/>
      <c r="GCJ107" s="669"/>
      <c r="GCK107" s="669"/>
      <c r="GCL107" s="669"/>
      <c r="GCM107" s="669"/>
      <c r="GCN107" s="669"/>
      <c r="GCO107" s="669"/>
      <c r="GCP107" s="669"/>
      <c r="GCQ107" s="669"/>
      <c r="GCR107" s="669"/>
      <c r="GCS107" s="669"/>
      <c r="GCT107" s="669"/>
      <c r="GCU107" s="669"/>
      <c r="GCV107" s="669"/>
      <c r="GCW107" s="669"/>
      <c r="GCX107" s="669"/>
      <c r="GCY107" s="669"/>
      <c r="GCZ107" s="669"/>
      <c r="GDA107" s="669"/>
      <c r="GDB107" s="669"/>
      <c r="GDC107" s="669"/>
      <c r="GDD107" s="669"/>
      <c r="GDE107" s="669"/>
      <c r="GDF107" s="669"/>
      <c r="GDG107" s="669"/>
      <c r="GDH107" s="669"/>
      <c r="GDI107" s="669"/>
      <c r="GDJ107" s="669"/>
      <c r="GDK107" s="669"/>
      <c r="GDL107" s="669"/>
      <c r="GDM107" s="669"/>
      <c r="GDN107" s="669"/>
      <c r="GDO107" s="669"/>
      <c r="GDP107" s="669"/>
      <c r="GDQ107" s="669"/>
      <c r="GDR107" s="669"/>
      <c r="GDS107" s="669"/>
      <c r="GDT107" s="669"/>
      <c r="GDU107" s="669"/>
      <c r="GDV107" s="669"/>
      <c r="GDW107" s="669"/>
      <c r="GDX107" s="669"/>
      <c r="GDY107" s="669"/>
      <c r="GDZ107" s="669"/>
      <c r="GEA107" s="669"/>
      <c r="GEB107" s="669"/>
      <c r="GEC107" s="669"/>
      <c r="GED107" s="669"/>
      <c r="GEE107" s="669"/>
      <c r="GEF107" s="669"/>
      <c r="GEG107" s="669"/>
      <c r="GEH107" s="669"/>
      <c r="GEI107" s="669"/>
      <c r="GEJ107" s="669"/>
      <c r="GEK107" s="669"/>
      <c r="GEL107" s="669"/>
      <c r="GEM107" s="669"/>
      <c r="GEN107" s="669"/>
      <c r="GEO107" s="669"/>
      <c r="GEP107" s="669"/>
      <c r="GEQ107" s="669"/>
      <c r="GER107" s="669"/>
      <c r="GES107" s="669"/>
      <c r="GET107" s="669"/>
      <c r="GEU107" s="669"/>
      <c r="GEV107" s="669"/>
      <c r="GEW107" s="669"/>
      <c r="GEX107" s="669"/>
      <c r="GEY107" s="669"/>
      <c r="GEZ107" s="669"/>
      <c r="GFA107" s="669"/>
      <c r="GFB107" s="669"/>
      <c r="GFC107" s="669"/>
      <c r="GFD107" s="669"/>
      <c r="GFE107" s="669"/>
      <c r="GFF107" s="669"/>
      <c r="GFG107" s="669"/>
      <c r="GFH107" s="669"/>
      <c r="GFI107" s="669"/>
      <c r="GFJ107" s="669"/>
      <c r="GFK107" s="669"/>
      <c r="GFL107" s="669"/>
      <c r="GFM107" s="669"/>
      <c r="GFN107" s="669"/>
      <c r="GFO107" s="669"/>
      <c r="GFP107" s="669"/>
      <c r="GFQ107" s="669"/>
      <c r="GFR107" s="669"/>
      <c r="GFS107" s="669"/>
      <c r="GFT107" s="669"/>
      <c r="GFU107" s="669"/>
      <c r="GFV107" s="669"/>
      <c r="GFW107" s="669"/>
      <c r="GFX107" s="669"/>
      <c r="GFY107" s="669"/>
      <c r="GFZ107" s="669"/>
      <c r="GGA107" s="669"/>
      <c r="GGB107" s="669"/>
      <c r="GGC107" s="669"/>
      <c r="GGD107" s="669"/>
      <c r="GGE107" s="669"/>
      <c r="GGF107" s="669"/>
      <c r="GGG107" s="669"/>
      <c r="GGH107" s="669"/>
      <c r="GGI107" s="669"/>
      <c r="GGJ107" s="669"/>
      <c r="GGK107" s="669"/>
      <c r="GGL107" s="669"/>
      <c r="GGM107" s="669"/>
      <c r="GGN107" s="669"/>
      <c r="GGO107" s="669"/>
      <c r="GGP107" s="669"/>
      <c r="GGQ107" s="669"/>
      <c r="GGR107" s="669"/>
      <c r="GGS107" s="669"/>
      <c r="GGT107" s="669"/>
      <c r="GGU107" s="669"/>
      <c r="GGV107" s="669"/>
      <c r="GGW107" s="669"/>
      <c r="GGX107" s="669"/>
      <c r="GGY107" s="669"/>
      <c r="GGZ107" s="669"/>
      <c r="GHA107" s="669"/>
      <c r="GHB107" s="669"/>
      <c r="GHC107" s="669"/>
      <c r="GHD107" s="669"/>
      <c r="GHE107" s="669"/>
      <c r="GHF107" s="669"/>
      <c r="GHG107" s="669"/>
      <c r="GHH107" s="669"/>
      <c r="GHI107" s="669"/>
      <c r="GHJ107" s="669"/>
      <c r="GHK107" s="669"/>
      <c r="GHL107" s="669"/>
      <c r="GHM107" s="669"/>
      <c r="GHN107" s="669"/>
      <c r="GHO107" s="669"/>
      <c r="GHP107" s="669"/>
      <c r="GHQ107" s="669"/>
      <c r="GHR107" s="669"/>
      <c r="GHS107" s="669"/>
      <c r="GHT107" s="669"/>
      <c r="GHU107" s="669"/>
      <c r="GHV107" s="669"/>
      <c r="GHW107" s="669"/>
      <c r="GHX107" s="669"/>
      <c r="GHY107" s="669"/>
      <c r="GHZ107" s="669"/>
      <c r="GIA107" s="669"/>
      <c r="GIB107" s="669"/>
      <c r="GIC107" s="669"/>
      <c r="GID107" s="669"/>
      <c r="GIE107" s="669"/>
      <c r="GIF107" s="669"/>
      <c r="GIG107" s="669"/>
      <c r="GIH107" s="669"/>
      <c r="GII107" s="669"/>
      <c r="GIJ107" s="669"/>
      <c r="GIK107" s="669"/>
      <c r="GIL107" s="669"/>
      <c r="GIM107" s="669"/>
      <c r="GIN107" s="669"/>
      <c r="GIO107" s="669"/>
      <c r="GIP107" s="669"/>
      <c r="GIQ107" s="669"/>
      <c r="GIR107" s="669"/>
      <c r="GIS107" s="669"/>
      <c r="GIT107" s="669"/>
      <c r="GIU107" s="669"/>
      <c r="GIV107" s="669"/>
      <c r="GIW107" s="669"/>
      <c r="GIX107" s="669"/>
      <c r="GIY107" s="669"/>
      <c r="GIZ107" s="669"/>
      <c r="GJA107" s="669"/>
      <c r="GJB107" s="669"/>
      <c r="GJC107" s="669"/>
      <c r="GJD107" s="669"/>
      <c r="GJE107" s="669"/>
      <c r="GJF107" s="669"/>
      <c r="GJG107" s="669"/>
      <c r="GJH107" s="669"/>
      <c r="GJI107" s="669"/>
      <c r="GJJ107" s="669"/>
      <c r="GJK107" s="669"/>
      <c r="GJL107" s="669"/>
      <c r="GJM107" s="669"/>
      <c r="GJN107" s="669"/>
      <c r="GJO107" s="669"/>
      <c r="GJP107" s="669"/>
      <c r="GJQ107" s="669"/>
      <c r="GJR107" s="669"/>
      <c r="GJS107" s="669"/>
      <c r="GJT107" s="669"/>
      <c r="GJU107" s="669"/>
      <c r="GJV107" s="669"/>
      <c r="GJW107" s="669"/>
      <c r="GJX107" s="669"/>
      <c r="GJY107" s="669"/>
      <c r="GJZ107" s="669"/>
      <c r="GKA107" s="669"/>
      <c r="GKB107" s="669"/>
      <c r="GKC107" s="669"/>
      <c r="GKD107" s="669"/>
      <c r="GKE107" s="669"/>
      <c r="GKF107" s="669"/>
      <c r="GKG107" s="669"/>
      <c r="GKH107" s="669"/>
      <c r="GKI107" s="669"/>
      <c r="GKJ107" s="669"/>
      <c r="GKK107" s="669"/>
      <c r="GKL107" s="669"/>
      <c r="GKM107" s="669"/>
      <c r="GKN107" s="669"/>
      <c r="GKO107" s="669"/>
      <c r="GKP107" s="669"/>
      <c r="GKQ107" s="669"/>
      <c r="GKR107" s="669"/>
      <c r="GKS107" s="669"/>
      <c r="GKT107" s="669"/>
      <c r="GKU107" s="669"/>
      <c r="GKV107" s="669"/>
      <c r="GKW107" s="669"/>
      <c r="GKX107" s="669"/>
      <c r="GKY107" s="669"/>
      <c r="GKZ107" s="669"/>
      <c r="GLA107" s="669"/>
      <c r="GLB107" s="669"/>
      <c r="GLC107" s="669"/>
      <c r="GLD107" s="669"/>
      <c r="GLE107" s="669"/>
      <c r="GLF107" s="669"/>
      <c r="GLG107" s="669"/>
      <c r="GLH107" s="669"/>
      <c r="GLI107" s="669"/>
      <c r="GLJ107" s="669"/>
      <c r="GLK107" s="669"/>
      <c r="GLL107" s="669"/>
      <c r="GLM107" s="669"/>
      <c r="GLN107" s="669"/>
      <c r="GLO107" s="669"/>
      <c r="GLP107" s="669"/>
      <c r="GLQ107" s="669"/>
      <c r="GLR107" s="669"/>
      <c r="GLS107" s="669"/>
      <c r="GLT107" s="669"/>
      <c r="GLU107" s="669"/>
      <c r="GLV107" s="669"/>
      <c r="GLW107" s="669"/>
      <c r="GLX107" s="669"/>
      <c r="GLY107" s="669"/>
      <c r="GLZ107" s="669"/>
      <c r="GMA107" s="669"/>
      <c r="GMB107" s="669"/>
      <c r="GMC107" s="669"/>
      <c r="GMD107" s="669"/>
      <c r="GME107" s="669"/>
      <c r="GMF107" s="669"/>
      <c r="GMG107" s="669"/>
      <c r="GMH107" s="669"/>
      <c r="GMI107" s="669"/>
      <c r="GMJ107" s="669"/>
      <c r="GMK107" s="669"/>
      <c r="GML107" s="669"/>
      <c r="GMM107" s="669"/>
      <c r="GMN107" s="669"/>
      <c r="GMO107" s="669"/>
      <c r="GMP107" s="669"/>
      <c r="GMQ107" s="669"/>
      <c r="GMR107" s="669"/>
      <c r="GMS107" s="669"/>
      <c r="GMT107" s="669"/>
      <c r="GMU107" s="669"/>
      <c r="GMV107" s="669"/>
      <c r="GMW107" s="669"/>
      <c r="GMX107" s="669"/>
      <c r="GMY107" s="669"/>
      <c r="GMZ107" s="669"/>
      <c r="GNA107" s="669"/>
      <c r="GNB107" s="669"/>
      <c r="GNC107" s="669"/>
      <c r="GND107" s="669"/>
      <c r="GNE107" s="669"/>
      <c r="GNF107" s="669"/>
      <c r="GNG107" s="669"/>
      <c r="GNH107" s="669"/>
      <c r="GNI107" s="669"/>
      <c r="GNJ107" s="669"/>
      <c r="GNK107" s="669"/>
      <c r="GNL107" s="669"/>
      <c r="GNM107" s="669"/>
      <c r="GNN107" s="669"/>
      <c r="GNO107" s="669"/>
      <c r="GNP107" s="669"/>
      <c r="GNQ107" s="669"/>
      <c r="GNR107" s="669"/>
      <c r="GNS107" s="669"/>
      <c r="GNT107" s="669"/>
      <c r="GNU107" s="669"/>
      <c r="GNV107" s="669"/>
      <c r="GNW107" s="669"/>
      <c r="GNX107" s="669"/>
      <c r="GNY107" s="669"/>
      <c r="GNZ107" s="669"/>
      <c r="GOA107" s="669"/>
      <c r="GOB107" s="669"/>
      <c r="GOC107" s="669"/>
      <c r="GOD107" s="669"/>
      <c r="GOE107" s="669"/>
      <c r="GOF107" s="669"/>
      <c r="GOG107" s="669"/>
      <c r="GOH107" s="669"/>
      <c r="GOI107" s="669"/>
      <c r="GOJ107" s="669"/>
      <c r="GOK107" s="669"/>
      <c r="GOL107" s="669"/>
      <c r="GOM107" s="669"/>
      <c r="GON107" s="669"/>
      <c r="GOO107" s="669"/>
      <c r="GOP107" s="669"/>
      <c r="GOQ107" s="669"/>
      <c r="GOR107" s="669"/>
      <c r="GOS107" s="669"/>
      <c r="GOT107" s="669"/>
      <c r="GOU107" s="669"/>
      <c r="GOV107" s="669"/>
      <c r="GOW107" s="669"/>
      <c r="GOX107" s="669"/>
      <c r="GOY107" s="669"/>
      <c r="GOZ107" s="669"/>
      <c r="GPA107" s="669"/>
      <c r="GPB107" s="669"/>
      <c r="GPC107" s="669"/>
      <c r="GPD107" s="669"/>
      <c r="GPE107" s="669"/>
      <c r="GPF107" s="669"/>
      <c r="GPG107" s="669"/>
      <c r="GPH107" s="669"/>
      <c r="GPI107" s="669"/>
      <c r="GPJ107" s="669"/>
      <c r="GPK107" s="669"/>
      <c r="GPL107" s="669"/>
      <c r="GPM107" s="669"/>
      <c r="GPN107" s="669"/>
      <c r="GPO107" s="669"/>
      <c r="GPP107" s="669"/>
      <c r="GPQ107" s="669"/>
      <c r="GPR107" s="669"/>
      <c r="GPS107" s="669"/>
      <c r="GPT107" s="669"/>
      <c r="GPU107" s="669"/>
      <c r="GPV107" s="669"/>
      <c r="GPW107" s="669"/>
      <c r="GPX107" s="669"/>
      <c r="GPY107" s="669"/>
      <c r="GPZ107" s="669"/>
      <c r="GQA107" s="669"/>
      <c r="GQB107" s="669"/>
      <c r="GQC107" s="669"/>
      <c r="GQD107" s="669"/>
      <c r="GQE107" s="669"/>
      <c r="GQF107" s="669"/>
      <c r="GQG107" s="669"/>
      <c r="GQH107" s="669"/>
      <c r="GQI107" s="669"/>
      <c r="GQJ107" s="669"/>
      <c r="GQK107" s="669"/>
      <c r="GQL107" s="669"/>
      <c r="GQM107" s="669"/>
      <c r="GQN107" s="669"/>
      <c r="GQO107" s="669"/>
      <c r="GQP107" s="669"/>
      <c r="GQQ107" s="669"/>
      <c r="GQR107" s="669"/>
      <c r="GQS107" s="669"/>
      <c r="GQT107" s="669"/>
      <c r="GQU107" s="669"/>
      <c r="GQV107" s="669"/>
      <c r="GQW107" s="669"/>
      <c r="GQX107" s="669"/>
      <c r="GQY107" s="669"/>
      <c r="GQZ107" s="669"/>
      <c r="GRA107" s="669"/>
      <c r="GRB107" s="669"/>
      <c r="GRC107" s="669"/>
      <c r="GRD107" s="669"/>
      <c r="GRE107" s="669"/>
      <c r="GRF107" s="669"/>
      <c r="GRG107" s="669"/>
      <c r="GRH107" s="669"/>
      <c r="GRI107" s="669"/>
      <c r="GRJ107" s="669"/>
      <c r="GRK107" s="669"/>
      <c r="GRL107" s="669"/>
      <c r="GRM107" s="669"/>
      <c r="GRN107" s="669"/>
      <c r="GRO107" s="669"/>
      <c r="GRP107" s="669"/>
      <c r="GRQ107" s="669"/>
      <c r="GRR107" s="669"/>
      <c r="GRS107" s="669"/>
      <c r="GRT107" s="669"/>
      <c r="GRU107" s="669"/>
      <c r="GRV107" s="669"/>
      <c r="GRW107" s="669"/>
      <c r="GRX107" s="669"/>
      <c r="GRY107" s="669"/>
      <c r="GRZ107" s="669"/>
      <c r="GSA107" s="669"/>
      <c r="GSB107" s="669"/>
      <c r="GSC107" s="669"/>
      <c r="GSD107" s="669"/>
      <c r="GSE107" s="669"/>
      <c r="GSF107" s="669"/>
      <c r="GSG107" s="669"/>
      <c r="GSH107" s="669"/>
      <c r="GSI107" s="669"/>
      <c r="GSJ107" s="669"/>
      <c r="GSK107" s="669"/>
      <c r="GSL107" s="669"/>
      <c r="GSM107" s="669"/>
      <c r="GSN107" s="669"/>
      <c r="GSO107" s="669"/>
      <c r="GSP107" s="669"/>
      <c r="GSQ107" s="669"/>
      <c r="GSR107" s="669"/>
      <c r="GSS107" s="669"/>
      <c r="GST107" s="669"/>
      <c r="GSU107" s="669"/>
      <c r="GSV107" s="669"/>
      <c r="GSW107" s="669"/>
      <c r="GSX107" s="669"/>
      <c r="GSY107" s="669"/>
      <c r="GSZ107" s="669"/>
      <c r="GTA107" s="669"/>
      <c r="GTB107" s="669"/>
      <c r="GTC107" s="669"/>
      <c r="GTD107" s="669"/>
      <c r="GTE107" s="669"/>
      <c r="GTF107" s="669"/>
      <c r="GTG107" s="669"/>
      <c r="GTH107" s="669"/>
      <c r="GTI107" s="669"/>
      <c r="GTJ107" s="669"/>
      <c r="GTK107" s="669"/>
      <c r="GTL107" s="669"/>
      <c r="GTM107" s="669"/>
      <c r="GTN107" s="669"/>
      <c r="GTO107" s="669"/>
      <c r="GTP107" s="669"/>
      <c r="GTQ107" s="669"/>
      <c r="GTR107" s="669"/>
      <c r="GTS107" s="669"/>
      <c r="GTT107" s="669"/>
      <c r="GTU107" s="669"/>
      <c r="GTV107" s="669"/>
      <c r="GTW107" s="669"/>
      <c r="GTX107" s="669"/>
      <c r="GTY107" s="669"/>
      <c r="GTZ107" s="669"/>
      <c r="GUA107" s="669"/>
      <c r="GUB107" s="669"/>
      <c r="GUC107" s="669"/>
      <c r="GUD107" s="669"/>
      <c r="GUE107" s="669"/>
      <c r="GUF107" s="669"/>
      <c r="GUG107" s="669"/>
      <c r="GUH107" s="669"/>
      <c r="GUI107" s="669"/>
      <c r="GUJ107" s="669"/>
      <c r="GUK107" s="669"/>
      <c r="GUL107" s="669"/>
      <c r="GUM107" s="669"/>
      <c r="GUN107" s="669"/>
      <c r="GUO107" s="669"/>
      <c r="GUP107" s="669"/>
      <c r="GUQ107" s="669"/>
      <c r="GUR107" s="669"/>
      <c r="GUS107" s="669"/>
      <c r="GUT107" s="669"/>
      <c r="GUU107" s="669"/>
      <c r="GUV107" s="669"/>
      <c r="GUW107" s="669"/>
      <c r="GUX107" s="669"/>
      <c r="GUY107" s="669"/>
      <c r="GUZ107" s="669"/>
      <c r="GVA107" s="669"/>
      <c r="GVB107" s="669"/>
      <c r="GVC107" s="669"/>
      <c r="GVD107" s="669"/>
      <c r="GVE107" s="669"/>
      <c r="GVF107" s="669"/>
      <c r="GVG107" s="669"/>
      <c r="GVH107" s="669"/>
      <c r="GVI107" s="669"/>
      <c r="GVJ107" s="669"/>
      <c r="GVK107" s="669"/>
      <c r="GVL107" s="669"/>
      <c r="GVM107" s="669"/>
      <c r="GVN107" s="669"/>
      <c r="GVO107" s="669"/>
      <c r="GVP107" s="669"/>
      <c r="GVQ107" s="669"/>
      <c r="GVR107" s="669"/>
      <c r="GVS107" s="669"/>
      <c r="GVT107" s="669"/>
      <c r="GVU107" s="669"/>
      <c r="GVV107" s="669"/>
      <c r="GVW107" s="669"/>
      <c r="GVX107" s="669"/>
      <c r="GVY107" s="669"/>
      <c r="GVZ107" s="669"/>
      <c r="GWA107" s="669"/>
      <c r="GWB107" s="669"/>
      <c r="GWC107" s="669"/>
      <c r="GWD107" s="669"/>
      <c r="GWE107" s="669"/>
      <c r="GWF107" s="669"/>
      <c r="GWG107" s="669"/>
      <c r="GWH107" s="669"/>
      <c r="GWI107" s="669"/>
      <c r="GWJ107" s="669"/>
      <c r="GWK107" s="669"/>
      <c r="GWL107" s="669"/>
      <c r="GWM107" s="669"/>
      <c r="GWN107" s="669"/>
      <c r="GWO107" s="669"/>
      <c r="GWP107" s="669"/>
      <c r="GWQ107" s="669"/>
      <c r="GWR107" s="669"/>
      <c r="GWS107" s="669"/>
      <c r="GWT107" s="669"/>
      <c r="GWU107" s="669"/>
      <c r="GWV107" s="669"/>
      <c r="GWW107" s="669"/>
      <c r="GWX107" s="669"/>
      <c r="GWY107" s="669"/>
      <c r="GWZ107" s="669"/>
      <c r="GXA107" s="669"/>
      <c r="GXB107" s="669"/>
      <c r="GXC107" s="669"/>
      <c r="GXD107" s="669"/>
      <c r="GXE107" s="669"/>
      <c r="GXF107" s="669"/>
      <c r="GXG107" s="669"/>
      <c r="GXH107" s="669"/>
      <c r="GXI107" s="669"/>
      <c r="GXJ107" s="669"/>
      <c r="GXK107" s="669"/>
      <c r="GXL107" s="669"/>
      <c r="GXM107" s="669"/>
      <c r="GXN107" s="669"/>
      <c r="GXO107" s="669"/>
      <c r="GXP107" s="669"/>
      <c r="GXQ107" s="669"/>
      <c r="GXR107" s="669"/>
      <c r="GXS107" s="669"/>
      <c r="GXT107" s="669"/>
      <c r="GXU107" s="669"/>
      <c r="GXV107" s="669"/>
      <c r="GXW107" s="669"/>
      <c r="GXX107" s="669"/>
      <c r="GXY107" s="669"/>
      <c r="GXZ107" s="669"/>
      <c r="GYA107" s="669"/>
      <c r="GYB107" s="669"/>
      <c r="GYC107" s="669"/>
      <c r="GYD107" s="669"/>
      <c r="GYE107" s="669"/>
      <c r="GYF107" s="669"/>
      <c r="GYG107" s="669"/>
      <c r="GYH107" s="669"/>
      <c r="GYI107" s="669"/>
      <c r="GYJ107" s="669"/>
      <c r="GYK107" s="669"/>
      <c r="GYL107" s="669"/>
      <c r="GYM107" s="669"/>
      <c r="GYN107" s="669"/>
      <c r="GYO107" s="669"/>
      <c r="GYP107" s="669"/>
      <c r="GYQ107" s="669"/>
      <c r="GYR107" s="669"/>
      <c r="GYS107" s="669"/>
      <c r="GYT107" s="669"/>
      <c r="GYU107" s="669"/>
      <c r="GYV107" s="669"/>
      <c r="GYW107" s="669"/>
      <c r="GYX107" s="669"/>
      <c r="GYY107" s="669"/>
      <c r="GYZ107" s="669"/>
      <c r="GZA107" s="669"/>
      <c r="GZB107" s="669"/>
      <c r="GZC107" s="669"/>
      <c r="GZD107" s="669"/>
      <c r="GZE107" s="669"/>
      <c r="GZF107" s="669"/>
      <c r="GZG107" s="669"/>
      <c r="GZH107" s="669"/>
      <c r="GZI107" s="669"/>
      <c r="GZJ107" s="669"/>
      <c r="GZK107" s="669"/>
      <c r="GZL107" s="669"/>
      <c r="GZM107" s="669"/>
      <c r="GZN107" s="669"/>
      <c r="GZO107" s="669"/>
      <c r="GZP107" s="669"/>
      <c r="GZQ107" s="669"/>
      <c r="GZR107" s="669"/>
      <c r="GZS107" s="669"/>
      <c r="GZT107" s="669"/>
      <c r="GZU107" s="669"/>
      <c r="GZV107" s="669"/>
      <c r="GZW107" s="669"/>
      <c r="GZX107" s="669"/>
      <c r="GZY107" s="669"/>
      <c r="GZZ107" s="669"/>
      <c r="HAA107" s="669"/>
      <c r="HAB107" s="669"/>
      <c r="HAC107" s="669"/>
      <c r="HAD107" s="669"/>
      <c r="HAE107" s="669"/>
      <c r="HAF107" s="669"/>
      <c r="HAG107" s="669"/>
      <c r="HAH107" s="669"/>
      <c r="HAI107" s="669"/>
      <c r="HAJ107" s="669"/>
      <c r="HAK107" s="669"/>
      <c r="HAL107" s="669"/>
      <c r="HAM107" s="669"/>
      <c r="HAN107" s="669"/>
      <c r="HAO107" s="669"/>
      <c r="HAP107" s="669"/>
      <c r="HAQ107" s="669"/>
      <c r="HAR107" s="669"/>
      <c r="HAS107" s="669"/>
      <c r="HAT107" s="669"/>
      <c r="HAU107" s="669"/>
      <c r="HAV107" s="669"/>
      <c r="HAW107" s="669"/>
      <c r="HAX107" s="669"/>
      <c r="HAY107" s="669"/>
      <c r="HAZ107" s="669"/>
      <c r="HBA107" s="669"/>
      <c r="HBB107" s="669"/>
      <c r="HBC107" s="669"/>
      <c r="HBD107" s="669"/>
      <c r="HBE107" s="669"/>
      <c r="HBF107" s="669"/>
      <c r="HBG107" s="669"/>
      <c r="HBH107" s="669"/>
      <c r="HBI107" s="669"/>
      <c r="HBJ107" s="669"/>
      <c r="HBK107" s="669"/>
      <c r="HBL107" s="669"/>
      <c r="HBM107" s="669"/>
      <c r="HBN107" s="669"/>
      <c r="HBO107" s="669"/>
      <c r="HBP107" s="669"/>
      <c r="HBQ107" s="669"/>
      <c r="HBR107" s="669"/>
      <c r="HBS107" s="669"/>
      <c r="HBT107" s="669"/>
      <c r="HBU107" s="669"/>
      <c r="HBV107" s="669"/>
      <c r="HBW107" s="669"/>
      <c r="HBX107" s="669"/>
      <c r="HBY107" s="669"/>
      <c r="HBZ107" s="669"/>
      <c r="HCA107" s="669"/>
      <c r="HCB107" s="669"/>
      <c r="HCC107" s="669"/>
      <c r="HCD107" s="669"/>
      <c r="HCE107" s="669"/>
      <c r="HCF107" s="669"/>
      <c r="HCG107" s="669"/>
      <c r="HCH107" s="669"/>
      <c r="HCI107" s="669"/>
      <c r="HCJ107" s="669"/>
      <c r="HCK107" s="669"/>
      <c r="HCL107" s="669"/>
      <c r="HCM107" s="669"/>
      <c r="HCN107" s="669"/>
      <c r="HCO107" s="669"/>
      <c r="HCP107" s="669"/>
      <c r="HCQ107" s="669"/>
      <c r="HCR107" s="669"/>
      <c r="HCS107" s="669"/>
      <c r="HCT107" s="669"/>
      <c r="HCU107" s="669"/>
      <c r="HCV107" s="669"/>
      <c r="HCW107" s="669"/>
      <c r="HCX107" s="669"/>
      <c r="HCY107" s="669"/>
      <c r="HCZ107" s="669"/>
      <c r="HDA107" s="669"/>
      <c r="HDB107" s="669"/>
      <c r="HDC107" s="669"/>
      <c r="HDD107" s="669"/>
      <c r="HDE107" s="669"/>
      <c r="HDF107" s="669"/>
      <c r="HDG107" s="669"/>
      <c r="HDH107" s="669"/>
      <c r="HDI107" s="669"/>
      <c r="HDJ107" s="669"/>
      <c r="HDK107" s="669"/>
      <c r="HDL107" s="669"/>
      <c r="HDM107" s="669"/>
      <c r="HDN107" s="669"/>
      <c r="HDO107" s="669"/>
      <c r="HDP107" s="669"/>
      <c r="HDQ107" s="669"/>
      <c r="HDR107" s="669"/>
      <c r="HDS107" s="669"/>
      <c r="HDT107" s="669"/>
      <c r="HDU107" s="669"/>
      <c r="HDV107" s="669"/>
      <c r="HDW107" s="669"/>
      <c r="HDX107" s="669"/>
      <c r="HDY107" s="669"/>
      <c r="HDZ107" s="669"/>
      <c r="HEA107" s="669"/>
      <c r="HEB107" s="669"/>
      <c r="HEC107" s="669"/>
      <c r="HED107" s="669"/>
      <c r="HEE107" s="669"/>
      <c r="HEF107" s="669"/>
      <c r="HEG107" s="669"/>
      <c r="HEH107" s="669"/>
      <c r="HEI107" s="669"/>
      <c r="HEJ107" s="669"/>
      <c r="HEK107" s="669"/>
      <c r="HEL107" s="669"/>
      <c r="HEM107" s="669"/>
      <c r="HEN107" s="669"/>
      <c r="HEO107" s="669"/>
      <c r="HEP107" s="669"/>
      <c r="HEQ107" s="669"/>
      <c r="HER107" s="669"/>
      <c r="HES107" s="669"/>
      <c r="HET107" s="669"/>
      <c r="HEU107" s="669"/>
      <c r="HEV107" s="669"/>
      <c r="HEW107" s="669"/>
      <c r="HEX107" s="669"/>
      <c r="HEY107" s="669"/>
      <c r="HEZ107" s="669"/>
      <c r="HFA107" s="669"/>
      <c r="HFB107" s="669"/>
      <c r="HFC107" s="669"/>
      <c r="HFD107" s="669"/>
      <c r="HFE107" s="669"/>
      <c r="HFF107" s="669"/>
      <c r="HFG107" s="669"/>
      <c r="HFH107" s="669"/>
      <c r="HFI107" s="669"/>
      <c r="HFJ107" s="669"/>
      <c r="HFK107" s="669"/>
      <c r="HFL107" s="669"/>
      <c r="HFM107" s="669"/>
      <c r="HFN107" s="669"/>
      <c r="HFO107" s="669"/>
      <c r="HFP107" s="669"/>
      <c r="HFQ107" s="669"/>
      <c r="HFR107" s="669"/>
      <c r="HFS107" s="669"/>
      <c r="HFT107" s="669"/>
      <c r="HFU107" s="669"/>
      <c r="HFV107" s="669"/>
      <c r="HFW107" s="669"/>
      <c r="HFX107" s="669"/>
      <c r="HFY107" s="669"/>
      <c r="HFZ107" s="669"/>
      <c r="HGA107" s="669"/>
      <c r="HGB107" s="669"/>
      <c r="HGC107" s="669"/>
      <c r="HGD107" s="669"/>
      <c r="HGE107" s="669"/>
      <c r="HGF107" s="669"/>
      <c r="HGG107" s="669"/>
      <c r="HGH107" s="669"/>
      <c r="HGI107" s="669"/>
      <c r="HGJ107" s="669"/>
      <c r="HGK107" s="669"/>
      <c r="HGL107" s="669"/>
      <c r="HGM107" s="669"/>
      <c r="HGN107" s="669"/>
      <c r="HGO107" s="669"/>
      <c r="HGP107" s="669"/>
      <c r="HGQ107" s="669"/>
      <c r="HGR107" s="669"/>
      <c r="HGS107" s="669"/>
      <c r="HGT107" s="669"/>
      <c r="HGU107" s="669"/>
      <c r="HGV107" s="669"/>
      <c r="HGW107" s="669"/>
      <c r="HGX107" s="669"/>
      <c r="HGY107" s="669"/>
      <c r="HGZ107" s="669"/>
      <c r="HHA107" s="669"/>
      <c r="HHB107" s="669"/>
      <c r="HHC107" s="669"/>
      <c r="HHD107" s="669"/>
      <c r="HHE107" s="669"/>
      <c r="HHF107" s="669"/>
      <c r="HHG107" s="669"/>
      <c r="HHH107" s="669"/>
      <c r="HHI107" s="669"/>
      <c r="HHJ107" s="669"/>
      <c r="HHK107" s="669"/>
      <c r="HHL107" s="669"/>
      <c r="HHM107" s="669"/>
      <c r="HHN107" s="669"/>
      <c r="HHO107" s="669"/>
      <c r="HHP107" s="669"/>
      <c r="HHQ107" s="669"/>
      <c r="HHR107" s="669"/>
      <c r="HHS107" s="669"/>
      <c r="HHT107" s="669"/>
      <c r="HHU107" s="669"/>
      <c r="HHV107" s="669"/>
      <c r="HHW107" s="669"/>
      <c r="HHX107" s="669"/>
      <c r="HHY107" s="669"/>
      <c r="HHZ107" s="669"/>
      <c r="HIA107" s="669"/>
      <c r="HIB107" s="669"/>
      <c r="HIC107" s="669"/>
      <c r="HID107" s="669"/>
      <c r="HIE107" s="669"/>
      <c r="HIF107" s="669"/>
      <c r="HIG107" s="669"/>
      <c r="HIH107" s="669"/>
      <c r="HII107" s="669"/>
      <c r="HIJ107" s="669"/>
      <c r="HIK107" s="669"/>
      <c r="HIL107" s="669"/>
      <c r="HIM107" s="669"/>
      <c r="HIN107" s="669"/>
      <c r="HIO107" s="669"/>
      <c r="HIP107" s="669"/>
      <c r="HIQ107" s="669"/>
      <c r="HIR107" s="669"/>
      <c r="HIS107" s="669"/>
      <c r="HIT107" s="669"/>
      <c r="HIU107" s="669"/>
      <c r="HIV107" s="669"/>
      <c r="HIW107" s="669"/>
      <c r="HIX107" s="669"/>
      <c r="HIY107" s="669"/>
      <c r="HIZ107" s="669"/>
      <c r="HJA107" s="669"/>
      <c r="HJB107" s="669"/>
      <c r="HJC107" s="669"/>
      <c r="HJD107" s="669"/>
      <c r="HJE107" s="669"/>
      <c r="HJF107" s="669"/>
      <c r="HJG107" s="669"/>
      <c r="HJH107" s="669"/>
      <c r="HJI107" s="669"/>
      <c r="HJJ107" s="669"/>
      <c r="HJK107" s="669"/>
      <c r="HJL107" s="669"/>
      <c r="HJM107" s="669"/>
      <c r="HJN107" s="669"/>
      <c r="HJO107" s="669"/>
      <c r="HJP107" s="669"/>
      <c r="HJQ107" s="669"/>
      <c r="HJR107" s="669"/>
      <c r="HJS107" s="669"/>
      <c r="HJT107" s="669"/>
      <c r="HJU107" s="669"/>
      <c r="HJV107" s="669"/>
      <c r="HJW107" s="669"/>
      <c r="HJX107" s="669"/>
      <c r="HJY107" s="669"/>
      <c r="HJZ107" s="669"/>
      <c r="HKA107" s="669"/>
      <c r="HKB107" s="669"/>
      <c r="HKC107" s="669"/>
      <c r="HKD107" s="669"/>
      <c r="HKE107" s="669"/>
      <c r="HKF107" s="669"/>
      <c r="HKG107" s="669"/>
      <c r="HKH107" s="669"/>
      <c r="HKI107" s="669"/>
      <c r="HKJ107" s="669"/>
      <c r="HKK107" s="669"/>
      <c r="HKL107" s="669"/>
      <c r="HKM107" s="669"/>
      <c r="HKN107" s="669"/>
      <c r="HKO107" s="669"/>
      <c r="HKP107" s="669"/>
      <c r="HKQ107" s="669"/>
      <c r="HKR107" s="669"/>
      <c r="HKS107" s="669"/>
      <c r="HKT107" s="669"/>
      <c r="HKU107" s="669"/>
      <c r="HKV107" s="669"/>
      <c r="HKW107" s="669"/>
      <c r="HKX107" s="669"/>
      <c r="HKY107" s="669"/>
      <c r="HKZ107" s="669"/>
      <c r="HLA107" s="669"/>
      <c r="HLB107" s="669"/>
      <c r="HLC107" s="669"/>
      <c r="HLD107" s="669"/>
      <c r="HLE107" s="669"/>
      <c r="HLF107" s="669"/>
      <c r="HLG107" s="669"/>
      <c r="HLH107" s="669"/>
      <c r="HLI107" s="669"/>
      <c r="HLJ107" s="669"/>
      <c r="HLK107" s="669"/>
      <c r="HLL107" s="669"/>
      <c r="HLM107" s="669"/>
      <c r="HLN107" s="669"/>
      <c r="HLO107" s="669"/>
      <c r="HLP107" s="669"/>
      <c r="HLQ107" s="669"/>
      <c r="HLR107" s="669"/>
      <c r="HLS107" s="669"/>
      <c r="HLT107" s="669"/>
      <c r="HLU107" s="669"/>
      <c r="HLV107" s="669"/>
      <c r="HLW107" s="669"/>
      <c r="HLX107" s="669"/>
      <c r="HLY107" s="669"/>
      <c r="HLZ107" s="669"/>
      <c r="HMA107" s="669"/>
      <c r="HMB107" s="669"/>
      <c r="HMC107" s="669"/>
      <c r="HMD107" s="669"/>
      <c r="HME107" s="669"/>
      <c r="HMF107" s="669"/>
      <c r="HMG107" s="669"/>
      <c r="HMH107" s="669"/>
      <c r="HMI107" s="669"/>
      <c r="HMJ107" s="669"/>
      <c r="HMK107" s="669"/>
      <c r="HML107" s="669"/>
      <c r="HMM107" s="669"/>
      <c r="HMN107" s="669"/>
      <c r="HMO107" s="669"/>
      <c r="HMP107" s="669"/>
      <c r="HMQ107" s="669"/>
      <c r="HMR107" s="669"/>
      <c r="HMS107" s="669"/>
      <c r="HMT107" s="669"/>
      <c r="HMU107" s="669"/>
      <c r="HMV107" s="669"/>
      <c r="HMW107" s="669"/>
      <c r="HMX107" s="669"/>
      <c r="HMY107" s="669"/>
      <c r="HMZ107" s="669"/>
      <c r="HNA107" s="669"/>
      <c r="HNB107" s="669"/>
      <c r="HNC107" s="669"/>
      <c r="HND107" s="669"/>
      <c r="HNE107" s="669"/>
      <c r="HNF107" s="669"/>
      <c r="HNG107" s="669"/>
      <c r="HNH107" s="669"/>
      <c r="HNI107" s="669"/>
      <c r="HNJ107" s="669"/>
      <c r="HNK107" s="669"/>
      <c r="HNL107" s="669"/>
      <c r="HNM107" s="669"/>
      <c r="HNN107" s="669"/>
      <c r="HNO107" s="669"/>
      <c r="HNP107" s="669"/>
      <c r="HNQ107" s="669"/>
      <c r="HNR107" s="669"/>
      <c r="HNS107" s="669"/>
      <c r="HNT107" s="669"/>
      <c r="HNU107" s="669"/>
      <c r="HNV107" s="669"/>
      <c r="HNW107" s="669"/>
      <c r="HNX107" s="669"/>
      <c r="HNY107" s="669"/>
      <c r="HNZ107" s="669"/>
      <c r="HOA107" s="669"/>
      <c r="HOB107" s="669"/>
      <c r="HOC107" s="669"/>
      <c r="HOD107" s="669"/>
      <c r="HOE107" s="669"/>
      <c r="HOF107" s="669"/>
      <c r="HOG107" s="669"/>
      <c r="HOH107" s="669"/>
      <c r="HOI107" s="669"/>
      <c r="HOJ107" s="669"/>
      <c r="HOK107" s="669"/>
      <c r="HOL107" s="669"/>
      <c r="HOM107" s="669"/>
      <c r="HON107" s="669"/>
      <c r="HOO107" s="669"/>
      <c r="HOP107" s="669"/>
      <c r="HOQ107" s="669"/>
      <c r="HOR107" s="669"/>
      <c r="HOS107" s="669"/>
      <c r="HOT107" s="669"/>
      <c r="HOU107" s="669"/>
      <c r="HOV107" s="669"/>
      <c r="HOW107" s="669"/>
      <c r="HOX107" s="669"/>
      <c r="HOY107" s="669"/>
      <c r="HOZ107" s="669"/>
      <c r="HPA107" s="669"/>
      <c r="HPB107" s="669"/>
      <c r="HPC107" s="669"/>
      <c r="HPD107" s="669"/>
      <c r="HPE107" s="669"/>
      <c r="HPF107" s="669"/>
      <c r="HPG107" s="669"/>
      <c r="HPH107" s="669"/>
      <c r="HPI107" s="669"/>
      <c r="HPJ107" s="669"/>
      <c r="HPK107" s="669"/>
      <c r="HPL107" s="669"/>
      <c r="HPM107" s="669"/>
      <c r="HPN107" s="669"/>
      <c r="HPO107" s="669"/>
      <c r="HPP107" s="669"/>
      <c r="HPQ107" s="669"/>
      <c r="HPR107" s="669"/>
      <c r="HPS107" s="669"/>
      <c r="HPT107" s="669"/>
      <c r="HPU107" s="669"/>
      <c r="HPV107" s="669"/>
      <c r="HPW107" s="669"/>
      <c r="HPX107" s="669"/>
      <c r="HPY107" s="669"/>
      <c r="HPZ107" s="669"/>
      <c r="HQA107" s="669"/>
      <c r="HQB107" s="669"/>
      <c r="HQC107" s="669"/>
      <c r="HQD107" s="669"/>
      <c r="HQE107" s="669"/>
      <c r="HQF107" s="669"/>
      <c r="HQG107" s="669"/>
      <c r="HQH107" s="669"/>
      <c r="HQI107" s="669"/>
      <c r="HQJ107" s="669"/>
      <c r="HQK107" s="669"/>
      <c r="HQL107" s="669"/>
      <c r="HQM107" s="669"/>
      <c r="HQN107" s="669"/>
      <c r="HQO107" s="669"/>
      <c r="HQP107" s="669"/>
      <c r="HQQ107" s="669"/>
      <c r="HQR107" s="669"/>
      <c r="HQS107" s="669"/>
      <c r="HQT107" s="669"/>
      <c r="HQU107" s="669"/>
      <c r="HQV107" s="669"/>
      <c r="HQW107" s="669"/>
      <c r="HQX107" s="669"/>
      <c r="HQY107" s="669"/>
      <c r="HQZ107" s="669"/>
      <c r="HRA107" s="669"/>
      <c r="HRB107" s="669"/>
      <c r="HRC107" s="669"/>
      <c r="HRD107" s="669"/>
      <c r="HRE107" s="669"/>
      <c r="HRF107" s="669"/>
      <c r="HRG107" s="669"/>
      <c r="HRH107" s="669"/>
      <c r="HRI107" s="669"/>
      <c r="HRJ107" s="669"/>
      <c r="HRK107" s="669"/>
      <c r="HRL107" s="669"/>
      <c r="HRM107" s="669"/>
      <c r="HRN107" s="669"/>
      <c r="HRO107" s="669"/>
      <c r="HRP107" s="669"/>
      <c r="HRQ107" s="669"/>
      <c r="HRR107" s="669"/>
      <c r="HRS107" s="669"/>
      <c r="HRT107" s="669"/>
      <c r="HRU107" s="669"/>
      <c r="HRV107" s="669"/>
      <c r="HRW107" s="669"/>
      <c r="HRX107" s="669"/>
      <c r="HRY107" s="669"/>
      <c r="HRZ107" s="669"/>
      <c r="HSA107" s="669"/>
      <c r="HSB107" s="669"/>
      <c r="HSC107" s="669"/>
      <c r="HSD107" s="669"/>
      <c r="HSE107" s="669"/>
      <c r="HSF107" s="669"/>
      <c r="HSG107" s="669"/>
      <c r="HSH107" s="669"/>
      <c r="HSI107" s="669"/>
      <c r="HSJ107" s="669"/>
      <c r="HSK107" s="669"/>
      <c r="HSL107" s="669"/>
      <c r="HSM107" s="669"/>
      <c r="HSN107" s="669"/>
      <c r="HSO107" s="669"/>
      <c r="HSP107" s="669"/>
      <c r="HSQ107" s="669"/>
      <c r="HSR107" s="669"/>
      <c r="HSS107" s="669"/>
      <c r="HST107" s="669"/>
      <c r="HSU107" s="669"/>
      <c r="HSV107" s="669"/>
      <c r="HSW107" s="669"/>
      <c r="HSX107" s="669"/>
      <c r="HSY107" s="669"/>
      <c r="HSZ107" s="669"/>
      <c r="HTA107" s="669"/>
      <c r="HTB107" s="669"/>
      <c r="HTC107" s="669"/>
      <c r="HTD107" s="669"/>
      <c r="HTE107" s="669"/>
      <c r="HTF107" s="669"/>
      <c r="HTG107" s="669"/>
      <c r="HTH107" s="669"/>
      <c r="HTI107" s="669"/>
      <c r="HTJ107" s="669"/>
      <c r="HTK107" s="669"/>
      <c r="HTL107" s="669"/>
      <c r="HTM107" s="669"/>
      <c r="HTN107" s="669"/>
      <c r="HTO107" s="669"/>
      <c r="HTP107" s="669"/>
      <c r="HTQ107" s="669"/>
      <c r="HTR107" s="669"/>
      <c r="HTS107" s="669"/>
      <c r="HTT107" s="669"/>
      <c r="HTU107" s="669"/>
      <c r="HTV107" s="669"/>
      <c r="HTW107" s="669"/>
      <c r="HTX107" s="669"/>
      <c r="HTY107" s="669"/>
      <c r="HTZ107" s="669"/>
      <c r="HUA107" s="669"/>
      <c r="HUB107" s="669"/>
      <c r="HUC107" s="669"/>
      <c r="HUD107" s="669"/>
      <c r="HUE107" s="669"/>
      <c r="HUF107" s="669"/>
      <c r="HUG107" s="669"/>
      <c r="HUH107" s="669"/>
      <c r="HUI107" s="669"/>
      <c r="HUJ107" s="669"/>
      <c r="HUK107" s="669"/>
      <c r="HUL107" s="669"/>
      <c r="HUM107" s="669"/>
      <c r="HUN107" s="669"/>
      <c r="HUO107" s="669"/>
      <c r="HUP107" s="669"/>
      <c r="HUQ107" s="669"/>
      <c r="HUR107" s="669"/>
      <c r="HUS107" s="669"/>
      <c r="HUT107" s="669"/>
      <c r="HUU107" s="669"/>
      <c r="HUV107" s="669"/>
      <c r="HUW107" s="669"/>
      <c r="HUX107" s="669"/>
      <c r="HUY107" s="669"/>
      <c r="HUZ107" s="669"/>
      <c r="HVA107" s="669"/>
      <c r="HVB107" s="669"/>
      <c r="HVC107" s="669"/>
      <c r="HVD107" s="669"/>
      <c r="HVE107" s="669"/>
      <c r="HVF107" s="669"/>
      <c r="HVG107" s="669"/>
      <c r="HVH107" s="669"/>
      <c r="HVI107" s="669"/>
      <c r="HVJ107" s="669"/>
      <c r="HVK107" s="669"/>
      <c r="HVL107" s="669"/>
      <c r="HVM107" s="669"/>
      <c r="HVN107" s="669"/>
      <c r="HVO107" s="669"/>
      <c r="HVP107" s="669"/>
      <c r="HVQ107" s="669"/>
      <c r="HVR107" s="669"/>
      <c r="HVS107" s="669"/>
      <c r="HVT107" s="669"/>
      <c r="HVU107" s="669"/>
      <c r="HVV107" s="669"/>
      <c r="HVW107" s="669"/>
      <c r="HVX107" s="669"/>
      <c r="HVY107" s="669"/>
      <c r="HVZ107" s="669"/>
      <c r="HWA107" s="669"/>
      <c r="HWB107" s="669"/>
      <c r="HWC107" s="669"/>
      <c r="HWD107" s="669"/>
      <c r="HWE107" s="669"/>
      <c r="HWF107" s="669"/>
      <c r="HWG107" s="669"/>
      <c r="HWH107" s="669"/>
      <c r="HWI107" s="669"/>
      <c r="HWJ107" s="669"/>
      <c r="HWK107" s="669"/>
      <c r="HWL107" s="669"/>
      <c r="HWM107" s="669"/>
      <c r="HWN107" s="669"/>
      <c r="HWO107" s="669"/>
      <c r="HWP107" s="669"/>
      <c r="HWQ107" s="669"/>
      <c r="HWR107" s="669"/>
      <c r="HWS107" s="669"/>
      <c r="HWT107" s="669"/>
      <c r="HWU107" s="669"/>
      <c r="HWV107" s="669"/>
      <c r="HWW107" s="669"/>
      <c r="HWX107" s="669"/>
      <c r="HWY107" s="669"/>
      <c r="HWZ107" s="669"/>
      <c r="HXA107" s="669"/>
      <c r="HXB107" s="669"/>
      <c r="HXC107" s="669"/>
      <c r="HXD107" s="669"/>
      <c r="HXE107" s="669"/>
      <c r="HXF107" s="669"/>
      <c r="HXG107" s="669"/>
      <c r="HXH107" s="669"/>
      <c r="HXI107" s="669"/>
      <c r="HXJ107" s="669"/>
      <c r="HXK107" s="669"/>
      <c r="HXL107" s="669"/>
      <c r="HXM107" s="669"/>
      <c r="HXN107" s="669"/>
      <c r="HXO107" s="669"/>
      <c r="HXP107" s="669"/>
      <c r="HXQ107" s="669"/>
      <c r="HXR107" s="669"/>
      <c r="HXS107" s="669"/>
      <c r="HXT107" s="669"/>
      <c r="HXU107" s="669"/>
      <c r="HXV107" s="669"/>
      <c r="HXW107" s="669"/>
      <c r="HXX107" s="669"/>
      <c r="HXY107" s="669"/>
      <c r="HXZ107" s="669"/>
      <c r="HYA107" s="669"/>
      <c r="HYB107" s="669"/>
      <c r="HYC107" s="669"/>
      <c r="HYD107" s="669"/>
      <c r="HYE107" s="669"/>
      <c r="HYF107" s="669"/>
      <c r="HYG107" s="669"/>
      <c r="HYH107" s="669"/>
      <c r="HYI107" s="669"/>
      <c r="HYJ107" s="669"/>
      <c r="HYK107" s="669"/>
      <c r="HYL107" s="669"/>
      <c r="HYM107" s="669"/>
      <c r="HYN107" s="669"/>
      <c r="HYO107" s="669"/>
      <c r="HYP107" s="669"/>
      <c r="HYQ107" s="669"/>
      <c r="HYR107" s="669"/>
      <c r="HYS107" s="669"/>
      <c r="HYT107" s="669"/>
      <c r="HYU107" s="669"/>
      <c r="HYV107" s="669"/>
      <c r="HYW107" s="669"/>
      <c r="HYX107" s="669"/>
      <c r="HYY107" s="669"/>
      <c r="HYZ107" s="669"/>
      <c r="HZA107" s="669"/>
      <c r="HZB107" s="669"/>
      <c r="HZC107" s="669"/>
      <c r="HZD107" s="669"/>
      <c r="HZE107" s="669"/>
      <c r="HZF107" s="669"/>
      <c r="HZG107" s="669"/>
      <c r="HZH107" s="669"/>
      <c r="HZI107" s="669"/>
      <c r="HZJ107" s="669"/>
      <c r="HZK107" s="669"/>
      <c r="HZL107" s="669"/>
      <c r="HZM107" s="669"/>
      <c r="HZN107" s="669"/>
      <c r="HZO107" s="669"/>
      <c r="HZP107" s="669"/>
      <c r="HZQ107" s="669"/>
      <c r="HZR107" s="669"/>
      <c r="HZS107" s="669"/>
      <c r="HZT107" s="669"/>
      <c r="HZU107" s="669"/>
      <c r="HZV107" s="669"/>
      <c r="HZW107" s="669"/>
      <c r="HZX107" s="669"/>
      <c r="HZY107" s="669"/>
      <c r="HZZ107" s="669"/>
      <c r="IAA107" s="669"/>
      <c r="IAB107" s="669"/>
      <c r="IAC107" s="669"/>
      <c r="IAD107" s="669"/>
      <c r="IAE107" s="669"/>
      <c r="IAF107" s="669"/>
      <c r="IAG107" s="669"/>
      <c r="IAH107" s="669"/>
      <c r="IAI107" s="669"/>
      <c r="IAJ107" s="669"/>
      <c r="IAK107" s="669"/>
      <c r="IAL107" s="669"/>
      <c r="IAM107" s="669"/>
      <c r="IAN107" s="669"/>
      <c r="IAO107" s="669"/>
      <c r="IAP107" s="669"/>
      <c r="IAQ107" s="669"/>
      <c r="IAR107" s="669"/>
      <c r="IAS107" s="669"/>
      <c r="IAT107" s="669"/>
      <c r="IAU107" s="669"/>
      <c r="IAV107" s="669"/>
      <c r="IAW107" s="669"/>
      <c r="IAX107" s="669"/>
      <c r="IAY107" s="669"/>
      <c r="IAZ107" s="669"/>
      <c r="IBA107" s="669"/>
      <c r="IBB107" s="669"/>
      <c r="IBC107" s="669"/>
      <c r="IBD107" s="669"/>
      <c r="IBE107" s="669"/>
      <c r="IBF107" s="669"/>
      <c r="IBG107" s="669"/>
      <c r="IBH107" s="669"/>
      <c r="IBI107" s="669"/>
      <c r="IBJ107" s="669"/>
      <c r="IBK107" s="669"/>
      <c r="IBL107" s="669"/>
      <c r="IBM107" s="669"/>
      <c r="IBN107" s="669"/>
      <c r="IBO107" s="669"/>
      <c r="IBP107" s="669"/>
      <c r="IBQ107" s="669"/>
      <c r="IBR107" s="669"/>
      <c r="IBS107" s="669"/>
      <c r="IBT107" s="669"/>
      <c r="IBU107" s="669"/>
      <c r="IBV107" s="669"/>
      <c r="IBW107" s="669"/>
      <c r="IBX107" s="669"/>
      <c r="IBY107" s="669"/>
      <c r="IBZ107" s="669"/>
      <c r="ICA107" s="669"/>
      <c r="ICB107" s="669"/>
      <c r="ICC107" s="669"/>
      <c r="ICD107" s="669"/>
      <c r="ICE107" s="669"/>
      <c r="ICF107" s="669"/>
      <c r="ICG107" s="669"/>
      <c r="ICH107" s="669"/>
      <c r="ICI107" s="669"/>
      <c r="ICJ107" s="669"/>
      <c r="ICK107" s="669"/>
      <c r="ICL107" s="669"/>
      <c r="ICM107" s="669"/>
      <c r="ICN107" s="669"/>
      <c r="ICO107" s="669"/>
      <c r="ICP107" s="669"/>
      <c r="ICQ107" s="669"/>
      <c r="ICR107" s="669"/>
      <c r="ICS107" s="669"/>
      <c r="ICT107" s="669"/>
      <c r="ICU107" s="669"/>
      <c r="ICV107" s="669"/>
      <c r="ICW107" s="669"/>
      <c r="ICX107" s="669"/>
      <c r="ICY107" s="669"/>
      <c r="ICZ107" s="669"/>
      <c r="IDA107" s="669"/>
      <c r="IDB107" s="669"/>
      <c r="IDC107" s="669"/>
      <c r="IDD107" s="669"/>
      <c r="IDE107" s="669"/>
      <c r="IDF107" s="669"/>
      <c r="IDG107" s="669"/>
      <c r="IDH107" s="669"/>
      <c r="IDI107" s="669"/>
      <c r="IDJ107" s="669"/>
      <c r="IDK107" s="669"/>
      <c r="IDL107" s="669"/>
      <c r="IDM107" s="669"/>
      <c r="IDN107" s="669"/>
      <c r="IDO107" s="669"/>
      <c r="IDP107" s="669"/>
      <c r="IDQ107" s="669"/>
      <c r="IDR107" s="669"/>
      <c r="IDS107" s="669"/>
      <c r="IDT107" s="669"/>
      <c r="IDU107" s="669"/>
      <c r="IDV107" s="669"/>
      <c r="IDW107" s="669"/>
      <c r="IDX107" s="669"/>
      <c r="IDY107" s="669"/>
      <c r="IDZ107" s="669"/>
      <c r="IEA107" s="669"/>
      <c r="IEB107" s="669"/>
      <c r="IEC107" s="669"/>
      <c r="IED107" s="669"/>
      <c r="IEE107" s="669"/>
      <c r="IEF107" s="669"/>
      <c r="IEG107" s="669"/>
      <c r="IEH107" s="669"/>
      <c r="IEI107" s="669"/>
      <c r="IEJ107" s="669"/>
      <c r="IEK107" s="669"/>
      <c r="IEL107" s="669"/>
      <c r="IEM107" s="669"/>
      <c r="IEN107" s="669"/>
      <c r="IEO107" s="669"/>
      <c r="IEP107" s="669"/>
      <c r="IEQ107" s="669"/>
      <c r="IER107" s="669"/>
      <c r="IES107" s="669"/>
      <c r="IET107" s="669"/>
      <c r="IEU107" s="669"/>
      <c r="IEV107" s="669"/>
      <c r="IEW107" s="669"/>
      <c r="IEX107" s="669"/>
      <c r="IEY107" s="669"/>
      <c r="IEZ107" s="669"/>
      <c r="IFA107" s="669"/>
      <c r="IFB107" s="669"/>
      <c r="IFC107" s="669"/>
      <c r="IFD107" s="669"/>
      <c r="IFE107" s="669"/>
      <c r="IFF107" s="669"/>
      <c r="IFG107" s="669"/>
      <c r="IFH107" s="669"/>
      <c r="IFI107" s="669"/>
      <c r="IFJ107" s="669"/>
      <c r="IFK107" s="669"/>
      <c r="IFL107" s="669"/>
      <c r="IFM107" s="669"/>
      <c r="IFN107" s="669"/>
      <c r="IFO107" s="669"/>
      <c r="IFP107" s="669"/>
      <c r="IFQ107" s="669"/>
      <c r="IFR107" s="669"/>
      <c r="IFS107" s="669"/>
      <c r="IFT107" s="669"/>
      <c r="IFU107" s="669"/>
      <c r="IFV107" s="669"/>
      <c r="IFW107" s="669"/>
      <c r="IFX107" s="669"/>
      <c r="IFY107" s="669"/>
      <c r="IFZ107" s="669"/>
      <c r="IGA107" s="669"/>
      <c r="IGB107" s="669"/>
      <c r="IGC107" s="669"/>
      <c r="IGD107" s="669"/>
      <c r="IGE107" s="669"/>
      <c r="IGF107" s="669"/>
      <c r="IGG107" s="669"/>
      <c r="IGH107" s="669"/>
      <c r="IGI107" s="669"/>
      <c r="IGJ107" s="669"/>
      <c r="IGK107" s="669"/>
      <c r="IGL107" s="669"/>
      <c r="IGM107" s="669"/>
      <c r="IGN107" s="669"/>
      <c r="IGO107" s="669"/>
      <c r="IGP107" s="669"/>
      <c r="IGQ107" s="669"/>
      <c r="IGR107" s="669"/>
      <c r="IGS107" s="669"/>
      <c r="IGT107" s="669"/>
      <c r="IGU107" s="669"/>
      <c r="IGV107" s="669"/>
      <c r="IGW107" s="669"/>
      <c r="IGX107" s="669"/>
      <c r="IGY107" s="669"/>
      <c r="IGZ107" s="669"/>
      <c r="IHA107" s="669"/>
      <c r="IHB107" s="669"/>
      <c r="IHC107" s="669"/>
      <c r="IHD107" s="669"/>
      <c r="IHE107" s="669"/>
      <c r="IHF107" s="669"/>
      <c r="IHG107" s="669"/>
      <c r="IHH107" s="669"/>
      <c r="IHI107" s="669"/>
      <c r="IHJ107" s="669"/>
      <c r="IHK107" s="669"/>
      <c r="IHL107" s="669"/>
      <c r="IHM107" s="669"/>
      <c r="IHN107" s="669"/>
      <c r="IHO107" s="669"/>
      <c r="IHP107" s="669"/>
      <c r="IHQ107" s="669"/>
      <c r="IHR107" s="669"/>
      <c r="IHS107" s="669"/>
      <c r="IHT107" s="669"/>
      <c r="IHU107" s="669"/>
      <c r="IHV107" s="669"/>
      <c r="IHW107" s="669"/>
      <c r="IHX107" s="669"/>
      <c r="IHY107" s="669"/>
      <c r="IHZ107" s="669"/>
      <c r="IIA107" s="669"/>
      <c r="IIB107" s="669"/>
      <c r="IIC107" s="669"/>
      <c r="IID107" s="669"/>
      <c r="IIE107" s="669"/>
      <c r="IIF107" s="669"/>
      <c r="IIG107" s="669"/>
      <c r="IIH107" s="669"/>
      <c r="III107" s="669"/>
      <c r="IIJ107" s="669"/>
      <c r="IIK107" s="669"/>
      <c r="IIL107" s="669"/>
      <c r="IIM107" s="669"/>
      <c r="IIN107" s="669"/>
      <c r="IIO107" s="669"/>
      <c r="IIP107" s="669"/>
      <c r="IIQ107" s="669"/>
      <c r="IIR107" s="669"/>
      <c r="IIS107" s="669"/>
      <c r="IIT107" s="669"/>
      <c r="IIU107" s="669"/>
      <c r="IIV107" s="669"/>
      <c r="IIW107" s="669"/>
      <c r="IIX107" s="669"/>
      <c r="IIY107" s="669"/>
      <c r="IIZ107" s="669"/>
      <c r="IJA107" s="669"/>
      <c r="IJB107" s="669"/>
      <c r="IJC107" s="669"/>
      <c r="IJD107" s="669"/>
      <c r="IJE107" s="669"/>
      <c r="IJF107" s="669"/>
      <c r="IJG107" s="669"/>
      <c r="IJH107" s="669"/>
      <c r="IJI107" s="669"/>
      <c r="IJJ107" s="669"/>
      <c r="IJK107" s="669"/>
      <c r="IJL107" s="669"/>
      <c r="IJM107" s="669"/>
      <c r="IJN107" s="669"/>
      <c r="IJO107" s="669"/>
      <c r="IJP107" s="669"/>
      <c r="IJQ107" s="669"/>
      <c r="IJR107" s="669"/>
      <c r="IJS107" s="669"/>
      <c r="IJT107" s="669"/>
      <c r="IJU107" s="669"/>
      <c r="IJV107" s="669"/>
      <c r="IJW107" s="669"/>
      <c r="IJX107" s="669"/>
      <c r="IJY107" s="669"/>
      <c r="IJZ107" s="669"/>
      <c r="IKA107" s="669"/>
      <c r="IKB107" s="669"/>
      <c r="IKC107" s="669"/>
      <c r="IKD107" s="669"/>
      <c r="IKE107" s="669"/>
      <c r="IKF107" s="669"/>
      <c r="IKG107" s="669"/>
      <c r="IKH107" s="669"/>
      <c r="IKI107" s="669"/>
      <c r="IKJ107" s="669"/>
      <c r="IKK107" s="669"/>
      <c r="IKL107" s="669"/>
      <c r="IKM107" s="669"/>
      <c r="IKN107" s="669"/>
      <c r="IKO107" s="669"/>
      <c r="IKP107" s="669"/>
      <c r="IKQ107" s="669"/>
      <c r="IKR107" s="669"/>
      <c r="IKS107" s="669"/>
      <c r="IKT107" s="669"/>
      <c r="IKU107" s="669"/>
      <c r="IKV107" s="669"/>
      <c r="IKW107" s="669"/>
      <c r="IKX107" s="669"/>
      <c r="IKY107" s="669"/>
      <c r="IKZ107" s="669"/>
      <c r="ILA107" s="669"/>
      <c r="ILB107" s="669"/>
      <c r="ILC107" s="669"/>
      <c r="ILD107" s="669"/>
      <c r="ILE107" s="669"/>
      <c r="ILF107" s="669"/>
      <c r="ILG107" s="669"/>
      <c r="ILH107" s="669"/>
      <c r="ILI107" s="669"/>
      <c r="ILJ107" s="669"/>
      <c r="ILK107" s="669"/>
      <c r="ILL107" s="669"/>
      <c r="ILM107" s="669"/>
      <c r="ILN107" s="669"/>
      <c r="ILO107" s="669"/>
      <c r="ILP107" s="669"/>
      <c r="ILQ107" s="669"/>
      <c r="ILR107" s="669"/>
      <c r="ILS107" s="669"/>
      <c r="ILT107" s="669"/>
      <c r="ILU107" s="669"/>
      <c r="ILV107" s="669"/>
      <c r="ILW107" s="669"/>
      <c r="ILX107" s="669"/>
      <c r="ILY107" s="669"/>
      <c r="ILZ107" s="669"/>
      <c r="IMA107" s="669"/>
      <c r="IMB107" s="669"/>
      <c r="IMC107" s="669"/>
      <c r="IMD107" s="669"/>
      <c r="IME107" s="669"/>
      <c r="IMF107" s="669"/>
      <c r="IMG107" s="669"/>
      <c r="IMH107" s="669"/>
      <c r="IMI107" s="669"/>
      <c r="IMJ107" s="669"/>
      <c r="IMK107" s="669"/>
      <c r="IML107" s="669"/>
      <c r="IMM107" s="669"/>
      <c r="IMN107" s="669"/>
      <c r="IMO107" s="669"/>
      <c r="IMP107" s="669"/>
      <c r="IMQ107" s="669"/>
      <c r="IMR107" s="669"/>
      <c r="IMS107" s="669"/>
      <c r="IMT107" s="669"/>
      <c r="IMU107" s="669"/>
      <c r="IMV107" s="669"/>
      <c r="IMW107" s="669"/>
      <c r="IMX107" s="669"/>
      <c r="IMY107" s="669"/>
      <c r="IMZ107" s="669"/>
      <c r="INA107" s="669"/>
      <c r="INB107" s="669"/>
      <c r="INC107" s="669"/>
      <c r="IND107" s="669"/>
      <c r="INE107" s="669"/>
      <c r="INF107" s="669"/>
      <c r="ING107" s="669"/>
      <c r="INH107" s="669"/>
      <c r="INI107" s="669"/>
      <c r="INJ107" s="669"/>
      <c r="INK107" s="669"/>
      <c r="INL107" s="669"/>
      <c r="INM107" s="669"/>
      <c r="INN107" s="669"/>
      <c r="INO107" s="669"/>
      <c r="INP107" s="669"/>
      <c r="INQ107" s="669"/>
      <c r="INR107" s="669"/>
      <c r="INS107" s="669"/>
      <c r="INT107" s="669"/>
      <c r="INU107" s="669"/>
      <c r="INV107" s="669"/>
      <c r="INW107" s="669"/>
      <c r="INX107" s="669"/>
      <c r="INY107" s="669"/>
      <c r="INZ107" s="669"/>
      <c r="IOA107" s="669"/>
      <c r="IOB107" s="669"/>
      <c r="IOC107" s="669"/>
      <c r="IOD107" s="669"/>
      <c r="IOE107" s="669"/>
      <c r="IOF107" s="669"/>
      <c r="IOG107" s="669"/>
      <c r="IOH107" s="669"/>
      <c r="IOI107" s="669"/>
      <c r="IOJ107" s="669"/>
      <c r="IOK107" s="669"/>
      <c r="IOL107" s="669"/>
      <c r="IOM107" s="669"/>
      <c r="ION107" s="669"/>
      <c r="IOO107" s="669"/>
      <c r="IOP107" s="669"/>
      <c r="IOQ107" s="669"/>
      <c r="IOR107" s="669"/>
      <c r="IOS107" s="669"/>
      <c r="IOT107" s="669"/>
      <c r="IOU107" s="669"/>
      <c r="IOV107" s="669"/>
      <c r="IOW107" s="669"/>
      <c r="IOX107" s="669"/>
      <c r="IOY107" s="669"/>
      <c r="IOZ107" s="669"/>
      <c r="IPA107" s="669"/>
      <c r="IPB107" s="669"/>
      <c r="IPC107" s="669"/>
      <c r="IPD107" s="669"/>
      <c r="IPE107" s="669"/>
      <c r="IPF107" s="669"/>
      <c r="IPG107" s="669"/>
      <c r="IPH107" s="669"/>
      <c r="IPI107" s="669"/>
      <c r="IPJ107" s="669"/>
      <c r="IPK107" s="669"/>
      <c r="IPL107" s="669"/>
      <c r="IPM107" s="669"/>
      <c r="IPN107" s="669"/>
      <c r="IPO107" s="669"/>
      <c r="IPP107" s="669"/>
      <c r="IPQ107" s="669"/>
      <c r="IPR107" s="669"/>
      <c r="IPS107" s="669"/>
      <c r="IPT107" s="669"/>
      <c r="IPU107" s="669"/>
      <c r="IPV107" s="669"/>
      <c r="IPW107" s="669"/>
      <c r="IPX107" s="669"/>
      <c r="IPY107" s="669"/>
      <c r="IPZ107" s="669"/>
      <c r="IQA107" s="669"/>
      <c r="IQB107" s="669"/>
      <c r="IQC107" s="669"/>
      <c r="IQD107" s="669"/>
      <c r="IQE107" s="669"/>
      <c r="IQF107" s="669"/>
      <c r="IQG107" s="669"/>
      <c r="IQH107" s="669"/>
      <c r="IQI107" s="669"/>
      <c r="IQJ107" s="669"/>
      <c r="IQK107" s="669"/>
      <c r="IQL107" s="669"/>
      <c r="IQM107" s="669"/>
      <c r="IQN107" s="669"/>
      <c r="IQO107" s="669"/>
      <c r="IQP107" s="669"/>
      <c r="IQQ107" s="669"/>
      <c r="IQR107" s="669"/>
      <c r="IQS107" s="669"/>
      <c r="IQT107" s="669"/>
      <c r="IQU107" s="669"/>
      <c r="IQV107" s="669"/>
      <c r="IQW107" s="669"/>
      <c r="IQX107" s="669"/>
      <c r="IQY107" s="669"/>
      <c r="IQZ107" s="669"/>
      <c r="IRA107" s="669"/>
      <c r="IRB107" s="669"/>
      <c r="IRC107" s="669"/>
      <c r="IRD107" s="669"/>
      <c r="IRE107" s="669"/>
      <c r="IRF107" s="669"/>
      <c r="IRG107" s="669"/>
      <c r="IRH107" s="669"/>
      <c r="IRI107" s="669"/>
      <c r="IRJ107" s="669"/>
      <c r="IRK107" s="669"/>
      <c r="IRL107" s="669"/>
      <c r="IRM107" s="669"/>
      <c r="IRN107" s="669"/>
      <c r="IRO107" s="669"/>
      <c r="IRP107" s="669"/>
      <c r="IRQ107" s="669"/>
      <c r="IRR107" s="669"/>
      <c r="IRS107" s="669"/>
      <c r="IRT107" s="669"/>
      <c r="IRU107" s="669"/>
      <c r="IRV107" s="669"/>
      <c r="IRW107" s="669"/>
      <c r="IRX107" s="669"/>
      <c r="IRY107" s="669"/>
      <c r="IRZ107" s="669"/>
      <c r="ISA107" s="669"/>
      <c r="ISB107" s="669"/>
      <c r="ISC107" s="669"/>
      <c r="ISD107" s="669"/>
      <c r="ISE107" s="669"/>
      <c r="ISF107" s="669"/>
      <c r="ISG107" s="669"/>
      <c r="ISH107" s="669"/>
      <c r="ISI107" s="669"/>
      <c r="ISJ107" s="669"/>
      <c r="ISK107" s="669"/>
      <c r="ISL107" s="669"/>
      <c r="ISM107" s="669"/>
      <c r="ISN107" s="669"/>
      <c r="ISO107" s="669"/>
      <c r="ISP107" s="669"/>
      <c r="ISQ107" s="669"/>
      <c r="ISR107" s="669"/>
      <c r="ISS107" s="669"/>
      <c r="IST107" s="669"/>
      <c r="ISU107" s="669"/>
      <c r="ISV107" s="669"/>
      <c r="ISW107" s="669"/>
      <c r="ISX107" s="669"/>
      <c r="ISY107" s="669"/>
      <c r="ISZ107" s="669"/>
      <c r="ITA107" s="669"/>
      <c r="ITB107" s="669"/>
      <c r="ITC107" s="669"/>
      <c r="ITD107" s="669"/>
      <c r="ITE107" s="669"/>
      <c r="ITF107" s="669"/>
      <c r="ITG107" s="669"/>
      <c r="ITH107" s="669"/>
      <c r="ITI107" s="669"/>
      <c r="ITJ107" s="669"/>
      <c r="ITK107" s="669"/>
      <c r="ITL107" s="669"/>
      <c r="ITM107" s="669"/>
      <c r="ITN107" s="669"/>
      <c r="ITO107" s="669"/>
      <c r="ITP107" s="669"/>
      <c r="ITQ107" s="669"/>
      <c r="ITR107" s="669"/>
      <c r="ITS107" s="669"/>
      <c r="ITT107" s="669"/>
      <c r="ITU107" s="669"/>
      <c r="ITV107" s="669"/>
      <c r="ITW107" s="669"/>
      <c r="ITX107" s="669"/>
      <c r="ITY107" s="669"/>
      <c r="ITZ107" s="669"/>
      <c r="IUA107" s="669"/>
      <c r="IUB107" s="669"/>
      <c r="IUC107" s="669"/>
      <c r="IUD107" s="669"/>
      <c r="IUE107" s="669"/>
      <c r="IUF107" s="669"/>
      <c r="IUG107" s="669"/>
      <c r="IUH107" s="669"/>
      <c r="IUI107" s="669"/>
      <c r="IUJ107" s="669"/>
      <c r="IUK107" s="669"/>
      <c r="IUL107" s="669"/>
      <c r="IUM107" s="669"/>
      <c r="IUN107" s="669"/>
      <c r="IUO107" s="669"/>
      <c r="IUP107" s="669"/>
      <c r="IUQ107" s="669"/>
      <c r="IUR107" s="669"/>
      <c r="IUS107" s="669"/>
      <c r="IUT107" s="669"/>
      <c r="IUU107" s="669"/>
      <c r="IUV107" s="669"/>
      <c r="IUW107" s="669"/>
      <c r="IUX107" s="669"/>
      <c r="IUY107" s="669"/>
      <c r="IUZ107" s="669"/>
      <c r="IVA107" s="669"/>
      <c r="IVB107" s="669"/>
      <c r="IVC107" s="669"/>
      <c r="IVD107" s="669"/>
      <c r="IVE107" s="669"/>
      <c r="IVF107" s="669"/>
      <c r="IVG107" s="669"/>
      <c r="IVH107" s="669"/>
      <c r="IVI107" s="669"/>
      <c r="IVJ107" s="669"/>
      <c r="IVK107" s="669"/>
      <c r="IVL107" s="669"/>
      <c r="IVM107" s="669"/>
      <c r="IVN107" s="669"/>
      <c r="IVO107" s="669"/>
      <c r="IVP107" s="669"/>
      <c r="IVQ107" s="669"/>
      <c r="IVR107" s="669"/>
      <c r="IVS107" s="669"/>
      <c r="IVT107" s="669"/>
      <c r="IVU107" s="669"/>
      <c r="IVV107" s="669"/>
      <c r="IVW107" s="669"/>
      <c r="IVX107" s="669"/>
      <c r="IVY107" s="669"/>
      <c r="IVZ107" s="669"/>
      <c r="IWA107" s="669"/>
      <c r="IWB107" s="669"/>
      <c r="IWC107" s="669"/>
      <c r="IWD107" s="669"/>
      <c r="IWE107" s="669"/>
      <c r="IWF107" s="669"/>
      <c r="IWG107" s="669"/>
      <c r="IWH107" s="669"/>
      <c r="IWI107" s="669"/>
      <c r="IWJ107" s="669"/>
      <c r="IWK107" s="669"/>
      <c r="IWL107" s="669"/>
      <c r="IWM107" s="669"/>
      <c r="IWN107" s="669"/>
      <c r="IWO107" s="669"/>
      <c r="IWP107" s="669"/>
      <c r="IWQ107" s="669"/>
      <c r="IWR107" s="669"/>
      <c r="IWS107" s="669"/>
      <c r="IWT107" s="669"/>
      <c r="IWU107" s="669"/>
      <c r="IWV107" s="669"/>
      <c r="IWW107" s="669"/>
      <c r="IWX107" s="669"/>
      <c r="IWY107" s="669"/>
      <c r="IWZ107" s="669"/>
      <c r="IXA107" s="669"/>
      <c r="IXB107" s="669"/>
      <c r="IXC107" s="669"/>
      <c r="IXD107" s="669"/>
      <c r="IXE107" s="669"/>
      <c r="IXF107" s="669"/>
      <c r="IXG107" s="669"/>
      <c r="IXH107" s="669"/>
      <c r="IXI107" s="669"/>
      <c r="IXJ107" s="669"/>
      <c r="IXK107" s="669"/>
      <c r="IXL107" s="669"/>
      <c r="IXM107" s="669"/>
      <c r="IXN107" s="669"/>
      <c r="IXO107" s="669"/>
      <c r="IXP107" s="669"/>
      <c r="IXQ107" s="669"/>
      <c r="IXR107" s="669"/>
      <c r="IXS107" s="669"/>
      <c r="IXT107" s="669"/>
      <c r="IXU107" s="669"/>
      <c r="IXV107" s="669"/>
      <c r="IXW107" s="669"/>
      <c r="IXX107" s="669"/>
      <c r="IXY107" s="669"/>
      <c r="IXZ107" s="669"/>
      <c r="IYA107" s="669"/>
      <c r="IYB107" s="669"/>
      <c r="IYC107" s="669"/>
      <c r="IYD107" s="669"/>
      <c r="IYE107" s="669"/>
      <c r="IYF107" s="669"/>
      <c r="IYG107" s="669"/>
      <c r="IYH107" s="669"/>
      <c r="IYI107" s="669"/>
      <c r="IYJ107" s="669"/>
      <c r="IYK107" s="669"/>
      <c r="IYL107" s="669"/>
      <c r="IYM107" s="669"/>
      <c r="IYN107" s="669"/>
      <c r="IYO107" s="669"/>
      <c r="IYP107" s="669"/>
      <c r="IYQ107" s="669"/>
      <c r="IYR107" s="669"/>
      <c r="IYS107" s="669"/>
      <c r="IYT107" s="669"/>
      <c r="IYU107" s="669"/>
      <c r="IYV107" s="669"/>
      <c r="IYW107" s="669"/>
      <c r="IYX107" s="669"/>
      <c r="IYY107" s="669"/>
      <c r="IYZ107" s="669"/>
      <c r="IZA107" s="669"/>
      <c r="IZB107" s="669"/>
      <c r="IZC107" s="669"/>
      <c r="IZD107" s="669"/>
      <c r="IZE107" s="669"/>
      <c r="IZF107" s="669"/>
      <c r="IZG107" s="669"/>
      <c r="IZH107" s="669"/>
      <c r="IZI107" s="669"/>
      <c r="IZJ107" s="669"/>
      <c r="IZK107" s="669"/>
      <c r="IZL107" s="669"/>
      <c r="IZM107" s="669"/>
      <c r="IZN107" s="669"/>
      <c r="IZO107" s="669"/>
      <c r="IZP107" s="669"/>
      <c r="IZQ107" s="669"/>
      <c r="IZR107" s="669"/>
      <c r="IZS107" s="669"/>
      <c r="IZT107" s="669"/>
      <c r="IZU107" s="669"/>
      <c r="IZV107" s="669"/>
      <c r="IZW107" s="669"/>
      <c r="IZX107" s="669"/>
      <c r="IZY107" s="669"/>
      <c r="IZZ107" s="669"/>
      <c r="JAA107" s="669"/>
      <c r="JAB107" s="669"/>
      <c r="JAC107" s="669"/>
      <c r="JAD107" s="669"/>
      <c r="JAE107" s="669"/>
      <c r="JAF107" s="669"/>
      <c r="JAG107" s="669"/>
      <c r="JAH107" s="669"/>
      <c r="JAI107" s="669"/>
      <c r="JAJ107" s="669"/>
      <c r="JAK107" s="669"/>
      <c r="JAL107" s="669"/>
      <c r="JAM107" s="669"/>
      <c r="JAN107" s="669"/>
      <c r="JAO107" s="669"/>
      <c r="JAP107" s="669"/>
      <c r="JAQ107" s="669"/>
      <c r="JAR107" s="669"/>
      <c r="JAS107" s="669"/>
      <c r="JAT107" s="669"/>
      <c r="JAU107" s="669"/>
      <c r="JAV107" s="669"/>
      <c r="JAW107" s="669"/>
      <c r="JAX107" s="669"/>
      <c r="JAY107" s="669"/>
      <c r="JAZ107" s="669"/>
      <c r="JBA107" s="669"/>
      <c r="JBB107" s="669"/>
      <c r="JBC107" s="669"/>
      <c r="JBD107" s="669"/>
      <c r="JBE107" s="669"/>
      <c r="JBF107" s="669"/>
      <c r="JBG107" s="669"/>
      <c r="JBH107" s="669"/>
      <c r="JBI107" s="669"/>
      <c r="JBJ107" s="669"/>
      <c r="JBK107" s="669"/>
      <c r="JBL107" s="669"/>
      <c r="JBM107" s="669"/>
      <c r="JBN107" s="669"/>
      <c r="JBO107" s="669"/>
      <c r="JBP107" s="669"/>
      <c r="JBQ107" s="669"/>
      <c r="JBR107" s="669"/>
      <c r="JBS107" s="669"/>
      <c r="JBT107" s="669"/>
      <c r="JBU107" s="669"/>
      <c r="JBV107" s="669"/>
      <c r="JBW107" s="669"/>
      <c r="JBX107" s="669"/>
      <c r="JBY107" s="669"/>
      <c r="JBZ107" s="669"/>
      <c r="JCA107" s="669"/>
      <c r="JCB107" s="669"/>
      <c r="JCC107" s="669"/>
      <c r="JCD107" s="669"/>
      <c r="JCE107" s="669"/>
      <c r="JCF107" s="669"/>
      <c r="JCG107" s="669"/>
      <c r="JCH107" s="669"/>
      <c r="JCI107" s="669"/>
      <c r="JCJ107" s="669"/>
      <c r="JCK107" s="669"/>
      <c r="JCL107" s="669"/>
      <c r="JCM107" s="669"/>
      <c r="JCN107" s="669"/>
      <c r="JCO107" s="669"/>
      <c r="JCP107" s="669"/>
      <c r="JCQ107" s="669"/>
      <c r="JCR107" s="669"/>
      <c r="JCS107" s="669"/>
      <c r="JCT107" s="669"/>
      <c r="JCU107" s="669"/>
      <c r="JCV107" s="669"/>
      <c r="JCW107" s="669"/>
      <c r="JCX107" s="669"/>
      <c r="JCY107" s="669"/>
      <c r="JCZ107" s="669"/>
      <c r="JDA107" s="669"/>
      <c r="JDB107" s="669"/>
      <c r="JDC107" s="669"/>
      <c r="JDD107" s="669"/>
      <c r="JDE107" s="669"/>
      <c r="JDF107" s="669"/>
      <c r="JDG107" s="669"/>
      <c r="JDH107" s="669"/>
      <c r="JDI107" s="669"/>
      <c r="JDJ107" s="669"/>
      <c r="JDK107" s="669"/>
      <c r="JDL107" s="669"/>
      <c r="JDM107" s="669"/>
      <c r="JDN107" s="669"/>
      <c r="JDO107" s="669"/>
      <c r="JDP107" s="669"/>
      <c r="JDQ107" s="669"/>
      <c r="JDR107" s="669"/>
      <c r="JDS107" s="669"/>
      <c r="JDT107" s="669"/>
      <c r="JDU107" s="669"/>
      <c r="JDV107" s="669"/>
      <c r="JDW107" s="669"/>
      <c r="JDX107" s="669"/>
      <c r="JDY107" s="669"/>
      <c r="JDZ107" s="669"/>
      <c r="JEA107" s="669"/>
      <c r="JEB107" s="669"/>
      <c r="JEC107" s="669"/>
      <c r="JED107" s="669"/>
      <c r="JEE107" s="669"/>
      <c r="JEF107" s="669"/>
      <c r="JEG107" s="669"/>
      <c r="JEH107" s="669"/>
      <c r="JEI107" s="669"/>
      <c r="JEJ107" s="669"/>
      <c r="JEK107" s="669"/>
      <c r="JEL107" s="669"/>
      <c r="JEM107" s="669"/>
      <c r="JEN107" s="669"/>
      <c r="JEO107" s="669"/>
      <c r="JEP107" s="669"/>
      <c r="JEQ107" s="669"/>
      <c r="JER107" s="669"/>
      <c r="JES107" s="669"/>
      <c r="JET107" s="669"/>
      <c r="JEU107" s="669"/>
      <c r="JEV107" s="669"/>
      <c r="JEW107" s="669"/>
      <c r="JEX107" s="669"/>
      <c r="JEY107" s="669"/>
      <c r="JEZ107" s="669"/>
      <c r="JFA107" s="669"/>
      <c r="JFB107" s="669"/>
      <c r="JFC107" s="669"/>
      <c r="JFD107" s="669"/>
      <c r="JFE107" s="669"/>
      <c r="JFF107" s="669"/>
      <c r="JFG107" s="669"/>
      <c r="JFH107" s="669"/>
      <c r="JFI107" s="669"/>
      <c r="JFJ107" s="669"/>
      <c r="JFK107" s="669"/>
      <c r="JFL107" s="669"/>
      <c r="JFM107" s="669"/>
      <c r="JFN107" s="669"/>
      <c r="JFO107" s="669"/>
      <c r="JFP107" s="669"/>
      <c r="JFQ107" s="669"/>
      <c r="JFR107" s="669"/>
      <c r="JFS107" s="669"/>
      <c r="JFT107" s="669"/>
      <c r="JFU107" s="669"/>
      <c r="JFV107" s="669"/>
      <c r="JFW107" s="669"/>
      <c r="JFX107" s="669"/>
      <c r="JFY107" s="669"/>
      <c r="JFZ107" s="669"/>
      <c r="JGA107" s="669"/>
      <c r="JGB107" s="669"/>
      <c r="JGC107" s="669"/>
      <c r="JGD107" s="669"/>
      <c r="JGE107" s="669"/>
      <c r="JGF107" s="669"/>
      <c r="JGG107" s="669"/>
      <c r="JGH107" s="669"/>
      <c r="JGI107" s="669"/>
      <c r="JGJ107" s="669"/>
      <c r="JGK107" s="669"/>
      <c r="JGL107" s="669"/>
      <c r="JGM107" s="669"/>
      <c r="JGN107" s="669"/>
      <c r="JGO107" s="669"/>
      <c r="JGP107" s="669"/>
      <c r="JGQ107" s="669"/>
      <c r="JGR107" s="669"/>
      <c r="JGS107" s="669"/>
      <c r="JGT107" s="669"/>
      <c r="JGU107" s="669"/>
      <c r="JGV107" s="669"/>
      <c r="JGW107" s="669"/>
      <c r="JGX107" s="669"/>
      <c r="JGY107" s="669"/>
      <c r="JGZ107" s="669"/>
      <c r="JHA107" s="669"/>
      <c r="JHB107" s="669"/>
      <c r="JHC107" s="669"/>
      <c r="JHD107" s="669"/>
      <c r="JHE107" s="669"/>
      <c r="JHF107" s="669"/>
      <c r="JHG107" s="669"/>
      <c r="JHH107" s="669"/>
      <c r="JHI107" s="669"/>
      <c r="JHJ107" s="669"/>
      <c r="JHK107" s="669"/>
      <c r="JHL107" s="669"/>
      <c r="JHM107" s="669"/>
      <c r="JHN107" s="669"/>
      <c r="JHO107" s="669"/>
      <c r="JHP107" s="669"/>
      <c r="JHQ107" s="669"/>
      <c r="JHR107" s="669"/>
      <c r="JHS107" s="669"/>
      <c r="JHT107" s="669"/>
      <c r="JHU107" s="669"/>
      <c r="JHV107" s="669"/>
      <c r="JHW107" s="669"/>
      <c r="JHX107" s="669"/>
      <c r="JHY107" s="669"/>
      <c r="JHZ107" s="669"/>
      <c r="JIA107" s="669"/>
      <c r="JIB107" s="669"/>
      <c r="JIC107" s="669"/>
      <c r="JID107" s="669"/>
      <c r="JIE107" s="669"/>
      <c r="JIF107" s="669"/>
      <c r="JIG107" s="669"/>
      <c r="JIH107" s="669"/>
      <c r="JII107" s="669"/>
      <c r="JIJ107" s="669"/>
      <c r="JIK107" s="669"/>
      <c r="JIL107" s="669"/>
      <c r="JIM107" s="669"/>
      <c r="JIN107" s="669"/>
      <c r="JIO107" s="669"/>
      <c r="JIP107" s="669"/>
      <c r="JIQ107" s="669"/>
      <c r="JIR107" s="669"/>
      <c r="JIS107" s="669"/>
      <c r="JIT107" s="669"/>
      <c r="JIU107" s="669"/>
      <c r="JIV107" s="669"/>
      <c r="JIW107" s="669"/>
      <c r="JIX107" s="669"/>
      <c r="JIY107" s="669"/>
      <c r="JIZ107" s="669"/>
      <c r="JJA107" s="669"/>
      <c r="JJB107" s="669"/>
      <c r="JJC107" s="669"/>
      <c r="JJD107" s="669"/>
      <c r="JJE107" s="669"/>
      <c r="JJF107" s="669"/>
      <c r="JJG107" s="669"/>
      <c r="JJH107" s="669"/>
      <c r="JJI107" s="669"/>
      <c r="JJJ107" s="669"/>
      <c r="JJK107" s="669"/>
      <c r="JJL107" s="669"/>
      <c r="JJM107" s="669"/>
      <c r="JJN107" s="669"/>
      <c r="JJO107" s="669"/>
      <c r="JJP107" s="669"/>
      <c r="JJQ107" s="669"/>
      <c r="JJR107" s="669"/>
      <c r="JJS107" s="669"/>
      <c r="JJT107" s="669"/>
      <c r="JJU107" s="669"/>
      <c r="JJV107" s="669"/>
      <c r="JJW107" s="669"/>
      <c r="JJX107" s="669"/>
      <c r="JJY107" s="669"/>
      <c r="JJZ107" s="669"/>
      <c r="JKA107" s="669"/>
      <c r="JKB107" s="669"/>
      <c r="JKC107" s="669"/>
      <c r="JKD107" s="669"/>
      <c r="JKE107" s="669"/>
      <c r="JKF107" s="669"/>
      <c r="JKG107" s="669"/>
      <c r="JKH107" s="669"/>
      <c r="JKI107" s="669"/>
      <c r="JKJ107" s="669"/>
      <c r="JKK107" s="669"/>
      <c r="JKL107" s="669"/>
      <c r="JKM107" s="669"/>
      <c r="JKN107" s="669"/>
      <c r="JKO107" s="669"/>
      <c r="JKP107" s="669"/>
      <c r="JKQ107" s="669"/>
      <c r="JKR107" s="669"/>
      <c r="JKS107" s="669"/>
      <c r="JKT107" s="669"/>
      <c r="JKU107" s="669"/>
      <c r="JKV107" s="669"/>
      <c r="JKW107" s="669"/>
      <c r="JKX107" s="669"/>
      <c r="JKY107" s="669"/>
      <c r="JKZ107" s="669"/>
      <c r="JLA107" s="669"/>
      <c r="JLB107" s="669"/>
      <c r="JLC107" s="669"/>
      <c r="JLD107" s="669"/>
      <c r="JLE107" s="669"/>
      <c r="JLF107" s="669"/>
      <c r="JLG107" s="669"/>
      <c r="JLH107" s="669"/>
      <c r="JLI107" s="669"/>
      <c r="JLJ107" s="669"/>
      <c r="JLK107" s="669"/>
      <c r="JLL107" s="669"/>
      <c r="JLM107" s="669"/>
      <c r="JLN107" s="669"/>
      <c r="JLO107" s="669"/>
      <c r="JLP107" s="669"/>
      <c r="JLQ107" s="669"/>
      <c r="JLR107" s="669"/>
      <c r="JLS107" s="669"/>
      <c r="JLT107" s="669"/>
      <c r="JLU107" s="669"/>
      <c r="JLV107" s="669"/>
      <c r="JLW107" s="669"/>
      <c r="JLX107" s="669"/>
      <c r="JLY107" s="669"/>
      <c r="JLZ107" s="669"/>
      <c r="JMA107" s="669"/>
      <c r="JMB107" s="669"/>
      <c r="JMC107" s="669"/>
      <c r="JMD107" s="669"/>
      <c r="JME107" s="669"/>
      <c r="JMF107" s="669"/>
      <c r="JMG107" s="669"/>
      <c r="JMH107" s="669"/>
      <c r="JMI107" s="669"/>
      <c r="JMJ107" s="669"/>
      <c r="JMK107" s="669"/>
      <c r="JML107" s="669"/>
      <c r="JMM107" s="669"/>
      <c r="JMN107" s="669"/>
      <c r="JMO107" s="669"/>
      <c r="JMP107" s="669"/>
      <c r="JMQ107" s="669"/>
      <c r="JMR107" s="669"/>
      <c r="JMS107" s="669"/>
      <c r="JMT107" s="669"/>
      <c r="JMU107" s="669"/>
      <c r="JMV107" s="669"/>
      <c r="JMW107" s="669"/>
      <c r="JMX107" s="669"/>
      <c r="JMY107" s="669"/>
      <c r="JMZ107" s="669"/>
      <c r="JNA107" s="669"/>
      <c r="JNB107" s="669"/>
      <c r="JNC107" s="669"/>
      <c r="JND107" s="669"/>
      <c r="JNE107" s="669"/>
      <c r="JNF107" s="669"/>
      <c r="JNG107" s="669"/>
      <c r="JNH107" s="669"/>
      <c r="JNI107" s="669"/>
      <c r="JNJ107" s="669"/>
      <c r="JNK107" s="669"/>
      <c r="JNL107" s="669"/>
      <c r="JNM107" s="669"/>
      <c r="JNN107" s="669"/>
      <c r="JNO107" s="669"/>
      <c r="JNP107" s="669"/>
      <c r="JNQ107" s="669"/>
      <c r="JNR107" s="669"/>
      <c r="JNS107" s="669"/>
      <c r="JNT107" s="669"/>
      <c r="JNU107" s="669"/>
      <c r="JNV107" s="669"/>
      <c r="JNW107" s="669"/>
      <c r="JNX107" s="669"/>
      <c r="JNY107" s="669"/>
      <c r="JNZ107" s="669"/>
      <c r="JOA107" s="669"/>
      <c r="JOB107" s="669"/>
      <c r="JOC107" s="669"/>
      <c r="JOD107" s="669"/>
      <c r="JOE107" s="669"/>
      <c r="JOF107" s="669"/>
      <c r="JOG107" s="669"/>
      <c r="JOH107" s="669"/>
      <c r="JOI107" s="669"/>
      <c r="JOJ107" s="669"/>
      <c r="JOK107" s="669"/>
      <c r="JOL107" s="669"/>
      <c r="JOM107" s="669"/>
      <c r="JON107" s="669"/>
      <c r="JOO107" s="669"/>
      <c r="JOP107" s="669"/>
      <c r="JOQ107" s="669"/>
      <c r="JOR107" s="669"/>
      <c r="JOS107" s="669"/>
      <c r="JOT107" s="669"/>
      <c r="JOU107" s="669"/>
      <c r="JOV107" s="669"/>
      <c r="JOW107" s="669"/>
      <c r="JOX107" s="669"/>
      <c r="JOY107" s="669"/>
      <c r="JOZ107" s="669"/>
      <c r="JPA107" s="669"/>
      <c r="JPB107" s="669"/>
      <c r="JPC107" s="669"/>
      <c r="JPD107" s="669"/>
      <c r="JPE107" s="669"/>
      <c r="JPF107" s="669"/>
      <c r="JPG107" s="669"/>
      <c r="JPH107" s="669"/>
      <c r="JPI107" s="669"/>
      <c r="JPJ107" s="669"/>
      <c r="JPK107" s="669"/>
      <c r="JPL107" s="669"/>
      <c r="JPM107" s="669"/>
      <c r="JPN107" s="669"/>
      <c r="JPO107" s="669"/>
      <c r="JPP107" s="669"/>
      <c r="JPQ107" s="669"/>
      <c r="JPR107" s="669"/>
      <c r="JPS107" s="669"/>
      <c r="JPT107" s="669"/>
      <c r="JPU107" s="669"/>
      <c r="JPV107" s="669"/>
      <c r="JPW107" s="669"/>
      <c r="JPX107" s="669"/>
      <c r="JPY107" s="669"/>
      <c r="JPZ107" s="669"/>
      <c r="JQA107" s="669"/>
      <c r="JQB107" s="669"/>
      <c r="JQC107" s="669"/>
      <c r="JQD107" s="669"/>
      <c r="JQE107" s="669"/>
      <c r="JQF107" s="669"/>
      <c r="JQG107" s="669"/>
      <c r="JQH107" s="669"/>
      <c r="JQI107" s="669"/>
      <c r="JQJ107" s="669"/>
      <c r="JQK107" s="669"/>
      <c r="JQL107" s="669"/>
      <c r="JQM107" s="669"/>
      <c r="JQN107" s="669"/>
      <c r="JQO107" s="669"/>
      <c r="JQP107" s="669"/>
      <c r="JQQ107" s="669"/>
      <c r="JQR107" s="669"/>
      <c r="JQS107" s="669"/>
      <c r="JQT107" s="669"/>
      <c r="JQU107" s="669"/>
      <c r="JQV107" s="669"/>
      <c r="JQW107" s="669"/>
      <c r="JQX107" s="669"/>
      <c r="JQY107" s="669"/>
      <c r="JQZ107" s="669"/>
      <c r="JRA107" s="669"/>
      <c r="JRB107" s="669"/>
      <c r="JRC107" s="669"/>
      <c r="JRD107" s="669"/>
      <c r="JRE107" s="669"/>
      <c r="JRF107" s="669"/>
      <c r="JRG107" s="669"/>
      <c r="JRH107" s="669"/>
      <c r="JRI107" s="669"/>
      <c r="JRJ107" s="669"/>
      <c r="JRK107" s="669"/>
      <c r="JRL107" s="669"/>
      <c r="JRM107" s="669"/>
      <c r="JRN107" s="669"/>
      <c r="JRO107" s="669"/>
      <c r="JRP107" s="669"/>
      <c r="JRQ107" s="669"/>
      <c r="JRR107" s="669"/>
      <c r="JRS107" s="669"/>
      <c r="JRT107" s="669"/>
      <c r="JRU107" s="669"/>
      <c r="JRV107" s="669"/>
      <c r="JRW107" s="669"/>
      <c r="JRX107" s="669"/>
      <c r="JRY107" s="669"/>
      <c r="JRZ107" s="669"/>
      <c r="JSA107" s="669"/>
      <c r="JSB107" s="669"/>
      <c r="JSC107" s="669"/>
      <c r="JSD107" s="669"/>
      <c r="JSE107" s="669"/>
      <c r="JSF107" s="669"/>
      <c r="JSG107" s="669"/>
      <c r="JSH107" s="669"/>
      <c r="JSI107" s="669"/>
      <c r="JSJ107" s="669"/>
      <c r="JSK107" s="669"/>
      <c r="JSL107" s="669"/>
      <c r="JSM107" s="669"/>
      <c r="JSN107" s="669"/>
      <c r="JSO107" s="669"/>
      <c r="JSP107" s="669"/>
      <c r="JSQ107" s="669"/>
      <c r="JSR107" s="669"/>
      <c r="JSS107" s="669"/>
      <c r="JST107" s="669"/>
      <c r="JSU107" s="669"/>
      <c r="JSV107" s="669"/>
      <c r="JSW107" s="669"/>
      <c r="JSX107" s="669"/>
      <c r="JSY107" s="669"/>
      <c r="JSZ107" s="669"/>
      <c r="JTA107" s="669"/>
      <c r="JTB107" s="669"/>
      <c r="JTC107" s="669"/>
      <c r="JTD107" s="669"/>
      <c r="JTE107" s="669"/>
      <c r="JTF107" s="669"/>
      <c r="JTG107" s="669"/>
      <c r="JTH107" s="669"/>
      <c r="JTI107" s="669"/>
      <c r="JTJ107" s="669"/>
      <c r="JTK107" s="669"/>
      <c r="JTL107" s="669"/>
      <c r="JTM107" s="669"/>
      <c r="JTN107" s="669"/>
      <c r="JTO107" s="669"/>
      <c r="JTP107" s="669"/>
      <c r="JTQ107" s="669"/>
      <c r="JTR107" s="669"/>
      <c r="JTS107" s="669"/>
      <c r="JTT107" s="669"/>
      <c r="JTU107" s="669"/>
      <c r="JTV107" s="669"/>
      <c r="JTW107" s="669"/>
      <c r="JTX107" s="669"/>
      <c r="JTY107" s="669"/>
      <c r="JTZ107" s="669"/>
      <c r="JUA107" s="669"/>
      <c r="JUB107" s="669"/>
      <c r="JUC107" s="669"/>
      <c r="JUD107" s="669"/>
      <c r="JUE107" s="669"/>
      <c r="JUF107" s="669"/>
      <c r="JUG107" s="669"/>
      <c r="JUH107" s="669"/>
      <c r="JUI107" s="669"/>
      <c r="JUJ107" s="669"/>
      <c r="JUK107" s="669"/>
      <c r="JUL107" s="669"/>
      <c r="JUM107" s="669"/>
      <c r="JUN107" s="669"/>
      <c r="JUO107" s="669"/>
      <c r="JUP107" s="669"/>
      <c r="JUQ107" s="669"/>
      <c r="JUR107" s="669"/>
      <c r="JUS107" s="669"/>
      <c r="JUT107" s="669"/>
      <c r="JUU107" s="669"/>
      <c r="JUV107" s="669"/>
      <c r="JUW107" s="669"/>
      <c r="JUX107" s="669"/>
      <c r="JUY107" s="669"/>
      <c r="JUZ107" s="669"/>
      <c r="JVA107" s="669"/>
      <c r="JVB107" s="669"/>
      <c r="JVC107" s="669"/>
      <c r="JVD107" s="669"/>
      <c r="JVE107" s="669"/>
      <c r="JVF107" s="669"/>
      <c r="JVG107" s="669"/>
      <c r="JVH107" s="669"/>
      <c r="JVI107" s="669"/>
      <c r="JVJ107" s="669"/>
      <c r="JVK107" s="669"/>
      <c r="JVL107" s="669"/>
      <c r="JVM107" s="669"/>
      <c r="JVN107" s="669"/>
      <c r="JVO107" s="669"/>
      <c r="JVP107" s="669"/>
      <c r="JVQ107" s="669"/>
      <c r="JVR107" s="669"/>
      <c r="JVS107" s="669"/>
      <c r="JVT107" s="669"/>
      <c r="JVU107" s="669"/>
      <c r="JVV107" s="669"/>
      <c r="JVW107" s="669"/>
      <c r="JVX107" s="669"/>
      <c r="JVY107" s="669"/>
      <c r="JVZ107" s="669"/>
      <c r="JWA107" s="669"/>
      <c r="JWB107" s="669"/>
      <c r="JWC107" s="669"/>
      <c r="JWD107" s="669"/>
      <c r="JWE107" s="669"/>
      <c r="JWF107" s="669"/>
      <c r="JWG107" s="669"/>
      <c r="JWH107" s="669"/>
      <c r="JWI107" s="669"/>
      <c r="JWJ107" s="669"/>
      <c r="JWK107" s="669"/>
      <c r="JWL107" s="669"/>
      <c r="JWM107" s="669"/>
      <c r="JWN107" s="669"/>
      <c r="JWO107" s="669"/>
      <c r="JWP107" s="669"/>
      <c r="JWQ107" s="669"/>
      <c r="JWR107" s="669"/>
      <c r="JWS107" s="669"/>
      <c r="JWT107" s="669"/>
      <c r="JWU107" s="669"/>
      <c r="JWV107" s="669"/>
      <c r="JWW107" s="669"/>
      <c r="JWX107" s="669"/>
      <c r="JWY107" s="669"/>
      <c r="JWZ107" s="669"/>
      <c r="JXA107" s="669"/>
      <c r="JXB107" s="669"/>
      <c r="JXC107" s="669"/>
      <c r="JXD107" s="669"/>
      <c r="JXE107" s="669"/>
      <c r="JXF107" s="669"/>
      <c r="JXG107" s="669"/>
      <c r="JXH107" s="669"/>
      <c r="JXI107" s="669"/>
      <c r="JXJ107" s="669"/>
      <c r="JXK107" s="669"/>
      <c r="JXL107" s="669"/>
      <c r="JXM107" s="669"/>
      <c r="JXN107" s="669"/>
      <c r="JXO107" s="669"/>
      <c r="JXP107" s="669"/>
      <c r="JXQ107" s="669"/>
      <c r="JXR107" s="669"/>
      <c r="JXS107" s="669"/>
      <c r="JXT107" s="669"/>
      <c r="JXU107" s="669"/>
      <c r="JXV107" s="669"/>
      <c r="JXW107" s="669"/>
      <c r="JXX107" s="669"/>
      <c r="JXY107" s="669"/>
      <c r="JXZ107" s="669"/>
      <c r="JYA107" s="669"/>
      <c r="JYB107" s="669"/>
      <c r="JYC107" s="669"/>
      <c r="JYD107" s="669"/>
      <c r="JYE107" s="669"/>
      <c r="JYF107" s="669"/>
      <c r="JYG107" s="669"/>
      <c r="JYH107" s="669"/>
      <c r="JYI107" s="669"/>
      <c r="JYJ107" s="669"/>
      <c r="JYK107" s="669"/>
      <c r="JYL107" s="669"/>
      <c r="JYM107" s="669"/>
      <c r="JYN107" s="669"/>
      <c r="JYO107" s="669"/>
      <c r="JYP107" s="669"/>
      <c r="JYQ107" s="669"/>
      <c r="JYR107" s="669"/>
      <c r="JYS107" s="669"/>
      <c r="JYT107" s="669"/>
      <c r="JYU107" s="669"/>
      <c r="JYV107" s="669"/>
      <c r="JYW107" s="669"/>
      <c r="JYX107" s="669"/>
      <c r="JYY107" s="669"/>
      <c r="JYZ107" s="669"/>
      <c r="JZA107" s="669"/>
      <c r="JZB107" s="669"/>
      <c r="JZC107" s="669"/>
      <c r="JZD107" s="669"/>
      <c r="JZE107" s="669"/>
      <c r="JZF107" s="669"/>
      <c r="JZG107" s="669"/>
      <c r="JZH107" s="669"/>
      <c r="JZI107" s="669"/>
      <c r="JZJ107" s="669"/>
      <c r="JZK107" s="669"/>
      <c r="JZL107" s="669"/>
      <c r="JZM107" s="669"/>
      <c r="JZN107" s="669"/>
      <c r="JZO107" s="669"/>
      <c r="JZP107" s="669"/>
      <c r="JZQ107" s="669"/>
      <c r="JZR107" s="669"/>
      <c r="JZS107" s="669"/>
      <c r="JZT107" s="669"/>
      <c r="JZU107" s="669"/>
      <c r="JZV107" s="669"/>
      <c r="JZW107" s="669"/>
      <c r="JZX107" s="669"/>
      <c r="JZY107" s="669"/>
      <c r="JZZ107" s="669"/>
      <c r="KAA107" s="669"/>
      <c r="KAB107" s="669"/>
      <c r="KAC107" s="669"/>
      <c r="KAD107" s="669"/>
      <c r="KAE107" s="669"/>
      <c r="KAF107" s="669"/>
      <c r="KAG107" s="669"/>
      <c r="KAH107" s="669"/>
      <c r="KAI107" s="669"/>
      <c r="KAJ107" s="669"/>
      <c r="KAK107" s="669"/>
      <c r="KAL107" s="669"/>
      <c r="KAM107" s="669"/>
      <c r="KAN107" s="669"/>
      <c r="KAO107" s="669"/>
      <c r="KAP107" s="669"/>
      <c r="KAQ107" s="669"/>
      <c r="KAR107" s="669"/>
      <c r="KAS107" s="669"/>
      <c r="KAT107" s="669"/>
      <c r="KAU107" s="669"/>
      <c r="KAV107" s="669"/>
      <c r="KAW107" s="669"/>
      <c r="KAX107" s="669"/>
      <c r="KAY107" s="669"/>
      <c r="KAZ107" s="669"/>
      <c r="KBA107" s="669"/>
      <c r="KBB107" s="669"/>
      <c r="KBC107" s="669"/>
      <c r="KBD107" s="669"/>
      <c r="KBE107" s="669"/>
      <c r="KBF107" s="669"/>
      <c r="KBG107" s="669"/>
      <c r="KBH107" s="669"/>
      <c r="KBI107" s="669"/>
      <c r="KBJ107" s="669"/>
      <c r="KBK107" s="669"/>
      <c r="KBL107" s="669"/>
      <c r="KBM107" s="669"/>
      <c r="KBN107" s="669"/>
      <c r="KBO107" s="669"/>
      <c r="KBP107" s="669"/>
      <c r="KBQ107" s="669"/>
      <c r="KBR107" s="669"/>
      <c r="KBS107" s="669"/>
      <c r="KBT107" s="669"/>
      <c r="KBU107" s="669"/>
      <c r="KBV107" s="669"/>
      <c r="KBW107" s="669"/>
      <c r="KBX107" s="669"/>
      <c r="KBY107" s="669"/>
      <c r="KBZ107" s="669"/>
      <c r="KCA107" s="669"/>
      <c r="KCB107" s="669"/>
      <c r="KCC107" s="669"/>
      <c r="KCD107" s="669"/>
      <c r="KCE107" s="669"/>
      <c r="KCF107" s="669"/>
      <c r="KCG107" s="669"/>
      <c r="KCH107" s="669"/>
      <c r="KCI107" s="669"/>
      <c r="KCJ107" s="669"/>
      <c r="KCK107" s="669"/>
      <c r="KCL107" s="669"/>
      <c r="KCM107" s="669"/>
      <c r="KCN107" s="669"/>
      <c r="KCO107" s="669"/>
      <c r="KCP107" s="669"/>
      <c r="KCQ107" s="669"/>
      <c r="KCR107" s="669"/>
      <c r="KCS107" s="669"/>
      <c r="KCT107" s="669"/>
      <c r="KCU107" s="669"/>
      <c r="KCV107" s="669"/>
      <c r="KCW107" s="669"/>
      <c r="KCX107" s="669"/>
      <c r="KCY107" s="669"/>
      <c r="KCZ107" s="669"/>
      <c r="KDA107" s="669"/>
      <c r="KDB107" s="669"/>
      <c r="KDC107" s="669"/>
      <c r="KDD107" s="669"/>
      <c r="KDE107" s="669"/>
      <c r="KDF107" s="669"/>
      <c r="KDG107" s="669"/>
      <c r="KDH107" s="669"/>
      <c r="KDI107" s="669"/>
      <c r="KDJ107" s="669"/>
      <c r="KDK107" s="669"/>
      <c r="KDL107" s="669"/>
      <c r="KDM107" s="669"/>
      <c r="KDN107" s="669"/>
      <c r="KDO107" s="669"/>
      <c r="KDP107" s="669"/>
      <c r="KDQ107" s="669"/>
      <c r="KDR107" s="669"/>
      <c r="KDS107" s="669"/>
      <c r="KDT107" s="669"/>
      <c r="KDU107" s="669"/>
      <c r="KDV107" s="669"/>
      <c r="KDW107" s="669"/>
      <c r="KDX107" s="669"/>
      <c r="KDY107" s="669"/>
      <c r="KDZ107" s="669"/>
      <c r="KEA107" s="669"/>
      <c r="KEB107" s="669"/>
      <c r="KEC107" s="669"/>
      <c r="KED107" s="669"/>
      <c r="KEE107" s="669"/>
      <c r="KEF107" s="669"/>
      <c r="KEG107" s="669"/>
      <c r="KEH107" s="669"/>
      <c r="KEI107" s="669"/>
      <c r="KEJ107" s="669"/>
      <c r="KEK107" s="669"/>
      <c r="KEL107" s="669"/>
      <c r="KEM107" s="669"/>
      <c r="KEN107" s="669"/>
      <c r="KEO107" s="669"/>
      <c r="KEP107" s="669"/>
      <c r="KEQ107" s="669"/>
      <c r="KER107" s="669"/>
      <c r="KES107" s="669"/>
      <c r="KET107" s="669"/>
      <c r="KEU107" s="669"/>
      <c r="KEV107" s="669"/>
      <c r="KEW107" s="669"/>
      <c r="KEX107" s="669"/>
      <c r="KEY107" s="669"/>
      <c r="KEZ107" s="669"/>
      <c r="KFA107" s="669"/>
      <c r="KFB107" s="669"/>
      <c r="KFC107" s="669"/>
      <c r="KFD107" s="669"/>
      <c r="KFE107" s="669"/>
      <c r="KFF107" s="669"/>
      <c r="KFG107" s="669"/>
      <c r="KFH107" s="669"/>
      <c r="KFI107" s="669"/>
      <c r="KFJ107" s="669"/>
      <c r="KFK107" s="669"/>
      <c r="KFL107" s="669"/>
      <c r="KFM107" s="669"/>
      <c r="KFN107" s="669"/>
      <c r="KFO107" s="669"/>
      <c r="KFP107" s="669"/>
      <c r="KFQ107" s="669"/>
      <c r="KFR107" s="669"/>
      <c r="KFS107" s="669"/>
      <c r="KFT107" s="669"/>
      <c r="KFU107" s="669"/>
      <c r="KFV107" s="669"/>
      <c r="KFW107" s="669"/>
      <c r="KFX107" s="669"/>
      <c r="KFY107" s="669"/>
      <c r="KFZ107" s="669"/>
      <c r="KGA107" s="669"/>
      <c r="KGB107" s="669"/>
      <c r="KGC107" s="669"/>
      <c r="KGD107" s="669"/>
      <c r="KGE107" s="669"/>
      <c r="KGF107" s="669"/>
      <c r="KGG107" s="669"/>
      <c r="KGH107" s="669"/>
      <c r="KGI107" s="669"/>
      <c r="KGJ107" s="669"/>
      <c r="KGK107" s="669"/>
      <c r="KGL107" s="669"/>
      <c r="KGM107" s="669"/>
      <c r="KGN107" s="669"/>
      <c r="KGO107" s="669"/>
      <c r="KGP107" s="669"/>
      <c r="KGQ107" s="669"/>
      <c r="KGR107" s="669"/>
      <c r="KGS107" s="669"/>
      <c r="KGT107" s="669"/>
      <c r="KGU107" s="669"/>
      <c r="KGV107" s="669"/>
      <c r="KGW107" s="669"/>
      <c r="KGX107" s="669"/>
      <c r="KGY107" s="669"/>
      <c r="KGZ107" s="669"/>
      <c r="KHA107" s="669"/>
      <c r="KHB107" s="669"/>
      <c r="KHC107" s="669"/>
      <c r="KHD107" s="669"/>
      <c r="KHE107" s="669"/>
      <c r="KHF107" s="669"/>
      <c r="KHG107" s="669"/>
      <c r="KHH107" s="669"/>
      <c r="KHI107" s="669"/>
      <c r="KHJ107" s="669"/>
      <c r="KHK107" s="669"/>
      <c r="KHL107" s="669"/>
      <c r="KHM107" s="669"/>
      <c r="KHN107" s="669"/>
      <c r="KHO107" s="669"/>
      <c r="KHP107" s="669"/>
      <c r="KHQ107" s="669"/>
      <c r="KHR107" s="669"/>
      <c r="KHS107" s="669"/>
      <c r="KHT107" s="669"/>
      <c r="KHU107" s="669"/>
      <c r="KHV107" s="669"/>
      <c r="KHW107" s="669"/>
      <c r="KHX107" s="669"/>
      <c r="KHY107" s="669"/>
      <c r="KHZ107" s="669"/>
      <c r="KIA107" s="669"/>
      <c r="KIB107" s="669"/>
      <c r="KIC107" s="669"/>
      <c r="KID107" s="669"/>
      <c r="KIE107" s="669"/>
      <c r="KIF107" s="669"/>
      <c r="KIG107" s="669"/>
      <c r="KIH107" s="669"/>
      <c r="KII107" s="669"/>
      <c r="KIJ107" s="669"/>
      <c r="KIK107" s="669"/>
      <c r="KIL107" s="669"/>
      <c r="KIM107" s="669"/>
      <c r="KIN107" s="669"/>
      <c r="KIO107" s="669"/>
      <c r="KIP107" s="669"/>
      <c r="KIQ107" s="669"/>
      <c r="KIR107" s="669"/>
      <c r="KIS107" s="669"/>
      <c r="KIT107" s="669"/>
      <c r="KIU107" s="669"/>
      <c r="KIV107" s="669"/>
      <c r="KIW107" s="669"/>
      <c r="KIX107" s="669"/>
      <c r="KIY107" s="669"/>
      <c r="KIZ107" s="669"/>
      <c r="KJA107" s="669"/>
      <c r="KJB107" s="669"/>
      <c r="KJC107" s="669"/>
      <c r="KJD107" s="669"/>
      <c r="KJE107" s="669"/>
      <c r="KJF107" s="669"/>
      <c r="KJG107" s="669"/>
      <c r="KJH107" s="669"/>
      <c r="KJI107" s="669"/>
      <c r="KJJ107" s="669"/>
      <c r="KJK107" s="669"/>
      <c r="KJL107" s="669"/>
      <c r="KJM107" s="669"/>
      <c r="KJN107" s="669"/>
      <c r="KJO107" s="669"/>
      <c r="KJP107" s="669"/>
      <c r="KJQ107" s="669"/>
      <c r="KJR107" s="669"/>
      <c r="KJS107" s="669"/>
      <c r="KJT107" s="669"/>
      <c r="KJU107" s="669"/>
      <c r="KJV107" s="669"/>
      <c r="KJW107" s="669"/>
      <c r="KJX107" s="669"/>
      <c r="KJY107" s="669"/>
      <c r="KJZ107" s="669"/>
      <c r="KKA107" s="669"/>
      <c r="KKB107" s="669"/>
      <c r="KKC107" s="669"/>
      <c r="KKD107" s="669"/>
      <c r="KKE107" s="669"/>
      <c r="KKF107" s="669"/>
      <c r="KKG107" s="669"/>
      <c r="KKH107" s="669"/>
      <c r="KKI107" s="669"/>
      <c r="KKJ107" s="669"/>
      <c r="KKK107" s="669"/>
      <c r="KKL107" s="669"/>
      <c r="KKM107" s="669"/>
      <c r="KKN107" s="669"/>
      <c r="KKO107" s="669"/>
      <c r="KKP107" s="669"/>
      <c r="KKQ107" s="669"/>
      <c r="KKR107" s="669"/>
      <c r="KKS107" s="669"/>
      <c r="KKT107" s="669"/>
      <c r="KKU107" s="669"/>
      <c r="KKV107" s="669"/>
      <c r="KKW107" s="669"/>
      <c r="KKX107" s="669"/>
      <c r="KKY107" s="669"/>
      <c r="KKZ107" s="669"/>
      <c r="KLA107" s="669"/>
      <c r="KLB107" s="669"/>
      <c r="KLC107" s="669"/>
      <c r="KLD107" s="669"/>
      <c r="KLE107" s="669"/>
      <c r="KLF107" s="669"/>
      <c r="KLG107" s="669"/>
      <c r="KLH107" s="669"/>
      <c r="KLI107" s="669"/>
      <c r="KLJ107" s="669"/>
      <c r="KLK107" s="669"/>
      <c r="KLL107" s="669"/>
      <c r="KLM107" s="669"/>
      <c r="KLN107" s="669"/>
      <c r="KLO107" s="669"/>
      <c r="KLP107" s="669"/>
      <c r="KLQ107" s="669"/>
      <c r="KLR107" s="669"/>
      <c r="KLS107" s="669"/>
      <c r="KLT107" s="669"/>
      <c r="KLU107" s="669"/>
      <c r="KLV107" s="669"/>
      <c r="KLW107" s="669"/>
      <c r="KLX107" s="669"/>
      <c r="KLY107" s="669"/>
      <c r="KLZ107" s="669"/>
      <c r="KMA107" s="669"/>
      <c r="KMB107" s="669"/>
      <c r="KMC107" s="669"/>
      <c r="KMD107" s="669"/>
      <c r="KME107" s="669"/>
      <c r="KMF107" s="669"/>
      <c r="KMG107" s="669"/>
      <c r="KMH107" s="669"/>
      <c r="KMI107" s="669"/>
      <c r="KMJ107" s="669"/>
      <c r="KMK107" s="669"/>
      <c r="KML107" s="669"/>
      <c r="KMM107" s="669"/>
      <c r="KMN107" s="669"/>
      <c r="KMO107" s="669"/>
      <c r="KMP107" s="669"/>
      <c r="KMQ107" s="669"/>
      <c r="KMR107" s="669"/>
      <c r="KMS107" s="669"/>
      <c r="KMT107" s="669"/>
      <c r="KMU107" s="669"/>
      <c r="KMV107" s="669"/>
      <c r="KMW107" s="669"/>
      <c r="KMX107" s="669"/>
      <c r="KMY107" s="669"/>
      <c r="KMZ107" s="669"/>
      <c r="KNA107" s="669"/>
      <c r="KNB107" s="669"/>
      <c r="KNC107" s="669"/>
      <c r="KND107" s="669"/>
      <c r="KNE107" s="669"/>
      <c r="KNF107" s="669"/>
      <c r="KNG107" s="669"/>
      <c r="KNH107" s="669"/>
      <c r="KNI107" s="669"/>
      <c r="KNJ107" s="669"/>
      <c r="KNK107" s="669"/>
      <c r="KNL107" s="669"/>
      <c r="KNM107" s="669"/>
      <c r="KNN107" s="669"/>
      <c r="KNO107" s="669"/>
      <c r="KNP107" s="669"/>
      <c r="KNQ107" s="669"/>
      <c r="KNR107" s="669"/>
      <c r="KNS107" s="669"/>
      <c r="KNT107" s="669"/>
      <c r="KNU107" s="669"/>
      <c r="KNV107" s="669"/>
      <c r="KNW107" s="669"/>
      <c r="KNX107" s="669"/>
      <c r="KNY107" s="669"/>
      <c r="KNZ107" s="669"/>
      <c r="KOA107" s="669"/>
      <c r="KOB107" s="669"/>
      <c r="KOC107" s="669"/>
      <c r="KOD107" s="669"/>
      <c r="KOE107" s="669"/>
      <c r="KOF107" s="669"/>
      <c r="KOG107" s="669"/>
      <c r="KOH107" s="669"/>
      <c r="KOI107" s="669"/>
      <c r="KOJ107" s="669"/>
      <c r="KOK107" s="669"/>
      <c r="KOL107" s="669"/>
      <c r="KOM107" s="669"/>
      <c r="KON107" s="669"/>
      <c r="KOO107" s="669"/>
      <c r="KOP107" s="669"/>
      <c r="KOQ107" s="669"/>
      <c r="KOR107" s="669"/>
      <c r="KOS107" s="669"/>
      <c r="KOT107" s="669"/>
      <c r="KOU107" s="669"/>
      <c r="KOV107" s="669"/>
      <c r="KOW107" s="669"/>
      <c r="KOX107" s="669"/>
      <c r="KOY107" s="669"/>
      <c r="KOZ107" s="669"/>
      <c r="KPA107" s="669"/>
      <c r="KPB107" s="669"/>
      <c r="KPC107" s="669"/>
      <c r="KPD107" s="669"/>
      <c r="KPE107" s="669"/>
      <c r="KPF107" s="669"/>
      <c r="KPG107" s="669"/>
      <c r="KPH107" s="669"/>
      <c r="KPI107" s="669"/>
      <c r="KPJ107" s="669"/>
      <c r="KPK107" s="669"/>
      <c r="KPL107" s="669"/>
      <c r="KPM107" s="669"/>
      <c r="KPN107" s="669"/>
      <c r="KPO107" s="669"/>
      <c r="KPP107" s="669"/>
      <c r="KPQ107" s="669"/>
      <c r="KPR107" s="669"/>
      <c r="KPS107" s="669"/>
      <c r="KPT107" s="669"/>
      <c r="KPU107" s="669"/>
      <c r="KPV107" s="669"/>
      <c r="KPW107" s="669"/>
      <c r="KPX107" s="669"/>
      <c r="KPY107" s="669"/>
      <c r="KPZ107" s="669"/>
      <c r="KQA107" s="669"/>
      <c r="KQB107" s="669"/>
      <c r="KQC107" s="669"/>
      <c r="KQD107" s="669"/>
      <c r="KQE107" s="669"/>
      <c r="KQF107" s="669"/>
      <c r="KQG107" s="669"/>
      <c r="KQH107" s="669"/>
      <c r="KQI107" s="669"/>
      <c r="KQJ107" s="669"/>
      <c r="KQK107" s="669"/>
      <c r="KQL107" s="669"/>
      <c r="KQM107" s="669"/>
      <c r="KQN107" s="669"/>
      <c r="KQO107" s="669"/>
      <c r="KQP107" s="669"/>
      <c r="KQQ107" s="669"/>
      <c r="KQR107" s="669"/>
      <c r="KQS107" s="669"/>
      <c r="KQT107" s="669"/>
      <c r="KQU107" s="669"/>
      <c r="KQV107" s="669"/>
      <c r="KQW107" s="669"/>
      <c r="KQX107" s="669"/>
      <c r="KQY107" s="669"/>
      <c r="KQZ107" s="669"/>
      <c r="KRA107" s="669"/>
      <c r="KRB107" s="669"/>
      <c r="KRC107" s="669"/>
      <c r="KRD107" s="669"/>
      <c r="KRE107" s="669"/>
      <c r="KRF107" s="669"/>
      <c r="KRG107" s="669"/>
      <c r="KRH107" s="669"/>
      <c r="KRI107" s="669"/>
      <c r="KRJ107" s="669"/>
      <c r="KRK107" s="669"/>
      <c r="KRL107" s="669"/>
      <c r="KRM107" s="669"/>
      <c r="KRN107" s="669"/>
      <c r="KRO107" s="669"/>
      <c r="KRP107" s="669"/>
      <c r="KRQ107" s="669"/>
      <c r="KRR107" s="669"/>
      <c r="KRS107" s="669"/>
      <c r="KRT107" s="669"/>
      <c r="KRU107" s="669"/>
      <c r="KRV107" s="669"/>
      <c r="KRW107" s="669"/>
      <c r="KRX107" s="669"/>
      <c r="KRY107" s="669"/>
      <c r="KRZ107" s="669"/>
      <c r="KSA107" s="669"/>
      <c r="KSB107" s="669"/>
      <c r="KSC107" s="669"/>
      <c r="KSD107" s="669"/>
      <c r="KSE107" s="669"/>
      <c r="KSF107" s="669"/>
      <c r="KSG107" s="669"/>
      <c r="KSH107" s="669"/>
      <c r="KSI107" s="669"/>
      <c r="KSJ107" s="669"/>
      <c r="KSK107" s="669"/>
      <c r="KSL107" s="669"/>
      <c r="KSM107" s="669"/>
      <c r="KSN107" s="669"/>
      <c r="KSO107" s="669"/>
      <c r="KSP107" s="669"/>
      <c r="KSQ107" s="669"/>
      <c r="KSR107" s="669"/>
      <c r="KSS107" s="669"/>
      <c r="KST107" s="669"/>
      <c r="KSU107" s="669"/>
      <c r="KSV107" s="669"/>
      <c r="KSW107" s="669"/>
      <c r="KSX107" s="669"/>
      <c r="KSY107" s="669"/>
      <c r="KSZ107" s="669"/>
      <c r="KTA107" s="669"/>
      <c r="KTB107" s="669"/>
      <c r="KTC107" s="669"/>
      <c r="KTD107" s="669"/>
      <c r="KTE107" s="669"/>
      <c r="KTF107" s="669"/>
      <c r="KTG107" s="669"/>
      <c r="KTH107" s="669"/>
      <c r="KTI107" s="669"/>
      <c r="KTJ107" s="669"/>
      <c r="KTK107" s="669"/>
      <c r="KTL107" s="669"/>
      <c r="KTM107" s="669"/>
      <c r="KTN107" s="669"/>
      <c r="KTO107" s="669"/>
      <c r="KTP107" s="669"/>
      <c r="KTQ107" s="669"/>
      <c r="KTR107" s="669"/>
      <c r="KTS107" s="669"/>
      <c r="KTT107" s="669"/>
      <c r="KTU107" s="669"/>
      <c r="KTV107" s="669"/>
      <c r="KTW107" s="669"/>
      <c r="KTX107" s="669"/>
      <c r="KTY107" s="669"/>
      <c r="KTZ107" s="669"/>
      <c r="KUA107" s="669"/>
      <c r="KUB107" s="669"/>
      <c r="KUC107" s="669"/>
      <c r="KUD107" s="669"/>
      <c r="KUE107" s="669"/>
      <c r="KUF107" s="669"/>
      <c r="KUG107" s="669"/>
      <c r="KUH107" s="669"/>
      <c r="KUI107" s="669"/>
      <c r="KUJ107" s="669"/>
      <c r="KUK107" s="669"/>
      <c r="KUL107" s="669"/>
      <c r="KUM107" s="669"/>
      <c r="KUN107" s="669"/>
      <c r="KUO107" s="669"/>
      <c r="KUP107" s="669"/>
      <c r="KUQ107" s="669"/>
      <c r="KUR107" s="669"/>
      <c r="KUS107" s="669"/>
      <c r="KUT107" s="669"/>
      <c r="KUU107" s="669"/>
      <c r="KUV107" s="669"/>
      <c r="KUW107" s="669"/>
      <c r="KUX107" s="669"/>
      <c r="KUY107" s="669"/>
      <c r="KUZ107" s="669"/>
      <c r="KVA107" s="669"/>
      <c r="KVB107" s="669"/>
      <c r="KVC107" s="669"/>
      <c r="KVD107" s="669"/>
      <c r="KVE107" s="669"/>
      <c r="KVF107" s="669"/>
      <c r="KVG107" s="669"/>
      <c r="KVH107" s="669"/>
      <c r="KVI107" s="669"/>
      <c r="KVJ107" s="669"/>
      <c r="KVK107" s="669"/>
      <c r="KVL107" s="669"/>
      <c r="KVM107" s="669"/>
      <c r="KVN107" s="669"/>
      <c r="KVO107" s="669"/>
      <c r="KVP107" s="669"/>
      <c r="KVQ107" s="669"/>
      <c r="KVR107" s="669"/>
      <c r="KVS107" s="669"/>
      <c r="KVT107" s="669"/>
      <c r="KVU107" s="669"/>
      <c r="KVV107" s="669"/>
      <c r="KVW107" s="669"/>
      <c r="KVX107" s="669"/>
      <c r="KVY107" s="669"/>
      <c r="KVZ107" s="669"/>
      <c r="KWA107" s="669"/>
      <c r="KWB107" s="669"/>
      <c r="KWC107" s="669"/>
      <c r="KWD107" s="669"/>
      <c r="KWE107" s="669"/>
      <c r="KWF107" s="669"/>
      <c r="KWG107" s="669"/>
      <c r="KWH107" s="669"/>
      <c r="KWI107" s="669"/>
      <c r="KWJ107" s="669"/>
      <c r="KWK107" s="669"/>
      <c r="KWL107" s="669"/>
      <c r="KWM107" s="669"/>
      <c r="KWN107" s="669"/>
      <c r="KWO107" s="669"/>
      <c r="KWP107" s="669"/>
      <c r="KWQ107" s="669"/>
      <c r="KWR107" s="669"/>
      <c r="KWS107" s="669"/>
      <c r="KWT107" s="669"/>
      <c r="KWU107" s="669"/>
      <c r="KWV107" s="669"/>
      <c r="KWW107" s="669"/>
      <c r="KWX107" s="669"/>
      <c r="KWY107" s="669"/>
      <c r="KWZ107" s="669"/>
      <c r="KXA107" s="669"/>
      <c r="KXB107" s="669"/>
      <c r="KXC107" s="669"/>
      <c r="KXD107" s="669"/>
      <c r="KXE107" s="669"/>
      <c r="KXF107" s="669"/>
      <c r="KXG107" s="669"/>
      <c r="KXH107" s="669"/>
      <c r="KXI107" s="669"/>
      <c r="KXJ107" s="669"/>
      <c r="KXK107" s="669"/>
      <c r="KXL107" s="669"/>
      <c r="KXM107" s="669"/>
      <c r="KXN107" s="669"/>
      <c r="KXO107" s="669"/>
      <c r="KXP107" s="669"/>
      <c r="KXQ107" s="669"/>
      <c r="KXR107" s="669"/>
      <c r="KXS107" s="669"/>
      <c r="KXT107" s="669"/>
      <c r="KXU107" s="669"/>
      <c r="KXV107" s="669"/>
      <c r="KXW107" s="669"/>
      <c r="KXX107" s="669"/>
      <c r="KXY107" s="669"/>
      <c r="KXZ107" s="669"/>
      <c r="KYA107" s="669"/>
      <c r="KYB107" s="669"/>
      <c r="KYC107" s="669"/>
      <c r="KYD107" s="669"/>
      <c r="KYE107" s="669"/>
      <c r="KYF107" s="669"/>
      <c r="KYG107" s="669"/>
      <c r="KYH107" s="669"/>
      <c r="KYI107" s="669"/>
      <c r="KYJ107" s="669"/>
      <c r="KYK107" s="669"/>
      <c r="KYL107" s="669"/>
      <c r="KYM107" s="669"/>
      <c r="KYN107" s="669"/>
      <c r="KYO107" s="669"/>
      <c r="KYP107" s="669"/>
      <c r="KYQ107" s="669"/>
      <c r="KYR107" s="669"/>
      <c r="KYS107" s="669"/>
      <c r="KYT107" s="669"/>
      <c r="KYU107" s="669"/>
      <c r="KYV107" s="669"/>
      <c r="KYW107" s="669"/>
      <c r="KYX107" s="669"/>
      <c r="KYY107" s="669"/>
      <c r="KYZ107" s="669"/>
      <c r="KZA107" s="669"/>
      <c r="KZB107" s="669"/>
      <c r="KZC107" s="669"/>
      <c r="KZD107" s="669"/>
      <c r="KZE107" s="669"/>
      <c r="KZF107" s="669"/>
      <c r="KZG107" s="669"/>
      <c r="KZH107" s="669"/>
      <c r="KZI107" s="669"/>
      <c r="KZJ107" s="669"/>
      <c r="KZK107" s="669"/>
      <c r="KZL107" s="669"/>
      <c r="KZM107" s="669"/>
      <c r="KZN107" s="669"/>
      <c r="KZO107" s="669"/>
      <c r="KZP107" s="669"/>
      <c r="KZQ107" s="669"/>
      <c r="KZR107" s="669"/>
      <c r="KZS107" s="669"/>
      <c r="KZT107" s="669"/>
      <c r="KZU107" s="669"/>
      <c r="KZV107" s="669"/>
      <c r="KZW107" s="669"/>
      <c r="KZX107" s="669"/>
      <c r="KZY107" s="669"/>
      <c r="KZZ107" s="669"/>
      <c r="LAA107" s="669"/>
      <c r="LAB107" s="669"/>
      <c r="LAC107" s="669"/>
      <c r="LAD107" s="669"/>
      <c r="LAE107" s="669"/>
      <c r="LAF107" s="669"/>
      <c r="LAG107" s="669"/>
      <c r="LAH107" s="669"/>
      <c r="LAI107" s="669"/>
      <c r="LAJ107" s="669"/>
      <c r="LAK107" s="669"/>
      <c r="LAL107" s="669"/>
      <c r="LAM107" s="669"/>
      <c r="LAN107" s="669"/>
      <c r="LAO107" s="669"/>
      <c r="LAP107" s="669"/>
      <c r="LAQ107" s="669"/>
      <c r="LAR107" s="669"/>
      <c r="LAS107" s="669"/>
      <c r="LAT107" s="669"/>
      <c r="LAU107" s="669"/>
      <c r="LAV107" s="669"/>
      <c r="LAW107" s="669"/>
      <c r="LAX107" s="669"/>
      <c r="LAY107" s="669"/>
      <c r="LAZ107" s="669"/>
      <c r="LBA107" s="669"/>
      <c r="LBB107" s="669"/>
      <c r="LBC107" s="669"/>
      <c r="LBD107" s="669"/>
      <c r="LBE107" s="669"/>
      <c r="LBF107" s="669"/>
      <c r="LBG107" s="669"/>
      <c r="LBH107" s="669"/>
      <c r="LBI107" s="669"/>
      <c r="LBJ107" s="669"/>
      <c r="LBK107" s="669"/>
      <c r="LBL107" s="669"/>
      <c r="LBM107" s="669"/>
      <c r="LBN107" s="669"/>
      <c r="LBO107" s="669"/>
      <c r="LBP107" s="669"/>
      <c r="LBQ107" s="669"/>
      <c r="LBR107" s="669"/>
      <c r="LBS107" s="669"/>
      <c r="LBT107" s="669"/>
      <c r="LBU107" s="669"/>
      <c r="LBV107" s="669"/>
      <c r="LBW107" s="669"/>
      <c r="LBX107" s="669"/>
      <c r="LBY107" s="669"/>
      <c r="LBZ107" s="669"/>
      <c r="LCA107" s="669"/>
      <c r="LCB107" s="669"/>
      <c r="LCC107" s="669"/>
      <c r="LCD107" s="669"/>
      <c r="LCE107" s="669"/>
      <c r="LCF107" s="669"/>
      <c r="LCG107" s="669"/>
      <c r="LCH107" s="669"/>
      <c r="LCI107" s="669"/>
      <c r="LCJ107" s="669"/>
      <c r="LCK107" s="669"/>
      <c r="LCL107" s="669"/>
      <c r="LCM107" s="669"/>
      <c r="LCN107" s="669"/>
      <c r="LCO107" s="669"/>
      <c r="LCP107" s="669"/>
      <c r="LCQ107" s="669"/>
      <c r="LCR107" s="669"/>
      <c r="LCS107" s="669"/>
      <c r="LCT107" s="669"/>
      <c r="LCU107" s="669"/>
      <c r="LCV107" s="669"/>
      <c r="LCW107" s="669"/>
      <c r="LCX107" s="669"/>
      <c r="LCY107" s="669"/>
      <c r="LCZ107" s="669"/>
      <c r="LDA107" s="669"/>
      <c r="LDB107" s="669"/>
      <c r="LDC107" s="669"/>
      <c r="LDD107" s="669"/>
      <c r="LDE107" s="669"/>
      <c r="LDF107" s="669"/>
      <c r="LDG107" s="669"/>
      <c r="LDH107" s="669"/>
      <c r="LDI107" s="669"/>
      <c r="LDJ107" s="669"/>
      <c r="LDK107" s="669"/>
      <c r="LDL107" s="669"/>
      <c r="LDM107" s="669"/>
      <c r="LDN107" s="669"/>
      <c r="LDO107" s="669"/>
      <c r="LDP107" s="669"/>
      <c r="LDQ107" s="669"/>
      <c r="LDR107" s="669"/>
      <c r="LDS107" s="669"/>
      <c r="LDT107" s="669"/>
      <c r="LDU107" s="669"/>
      <c r="LDV107" s="669"/>
      <c r="LDW107" s="669"/>
      <c r="LDX107" s="669"/>
      <c r="LDY107" s="669"/>
      <c r="LDZ107" s="669"/>
      <c r="LEA107" s="669"/>
      <c r="LEB107" s="669"/>
      <c r="LEC107" s="669"/>
      <c r="LED107" s="669"/>
      <c r="LEE107" s="669"/>
      <c r="LEF107" s="669"/>
      <c r="LEG107" s="669"/>
      <c r="LEH107" s="669"/>
      <c r="LEI107" s="669"/>
      <c r="LEJ107" s="669"/>
      <c r="LEK107" s="669"/>
      <c r="LEL107" s="669"/>
      <c r="LEM107" s="669"/>
      <c r="LEN107" s="669"/>
      <c r="LEO107" s="669"/>
      <c r="LEP107" s="669"/>
      <c r="LEQ107" s="669"/>
      <c r="LER107" s="669"/>
      <c r="LES107" s="669"/>
      <c r="LET107" s="669"/>
      <c r="LEU107" s="669"/>
      <c r="LEV107" s="669"/>
      <c r="LEW107" s="669"/>
      <c r="LEX107" s="669"/>
      <c r="LEY107" s="669"/>
      <c r="LEZ107" s="669"/>
      <c r="LFA107" s="669"/>
      <c r="LFB107" s="669"/>
      <c r="LFC107" s="669"/>
      <c r="LFD107" s="669"/>
      <c r="LFE107" s="669"/>
      <c r="LFF107" s="669"/>
      <c r="LFG107" s="669"/>
      <c r="LFH107" s="669"/>
      <c r="LFI107" s="669"/>
      <c r="LFJ107" s="669"/>
      <c r="LFK107" s="669"/>
      <c r="LFL107" s="669"/>
      <c r="LFM107" s="669"/>
      <c r="LFN107" s="669"/>
      <c r="LFO107" s="669"/>
      <c r="LFP107" s="669"/>
      <c r="LFQ107" s="669"/>
      <c r="LFR107" s="669"/>
      <c r="LFS107" s="669"/>
      <c r="LFT107" s="669"/>
      <c r="LFU107" s="669"/>
      <c r="LFV107" s="669"/>
      <c r="LFW107" s="669"/>
      <c r="LFX107" s="669"/>
      <c r="LFY107" s="669"/>
      <c r="LFZ107" s="669"/>
      <c r="LGA107" s="669"/>
      <c r="LGB107" s="669"/>
      <c r="LGC107" s="669"/>
      <c r="LGD107" s="669"/>
      <c r="LGE107" s="669"/>
      <c r="LGF107" s="669"/>
      <c r="LGG107" s="669"/>
      <c r="LGH107" s="669"/>
      <c r="LGI107" s="669"/>
      <c r="LGJ107" s="669"/>
      <c r="LGK107" s="669"/>
      <c r="LGL107" s="669"/>
      <c r="LGM107" s="669"/>
      <c r="LGN107" s="669"/>
      <c r="LGO107" s="669"/>
      <c r="LGP107" s="669"/>
      <c r="LGQ107" s="669"/>
      <c r="LGR107" s="669"/>
      <c r="LGS107" s="669"/>
      <c r="LGT107" s="669"/>
      <c r="LGU107" s="669"/>
      <c r="LGV107" s="669"/>
      <c r="LGW107" s="669"/>
      <c r="LGX107" s="669"/>
      <c r="LGY107" s="669"/>
      <c r="LGZ107" s="669"/>
      <c r="LHA107" s="669"/>
      <c r="LHB107" s="669"/>
      <c r="LHC107" s="669"/>
      <c r="LHD107" s="669"/>
      <c r="LHE107" s="669"/>
      <c r="LHF107" s="669"/>
      <c r="LHG107" s="669"/>
      <c r="LHH107" s="669"/>
      <c r="LHI107" s="669"/>
      <c r="LHJ107" s="669"/>
      <c r="LHK107" s="669"/>
      <c r="LHL107" s="669"/>
      <c r="LHM107" s="669"/>
      <c r="LHN107" s="669"/>
      <c r="LHO107" s="669"/>
      <c r="LHP107" s="669"/>
      <c r="LHQ107" s="669"/>
      <c r="LHR107" s="669"/>
      <c r="LHS107" s="669"/>
      <c r="LHT107" s="669"/>
      <c r="LHU107" s="669"/>
      <c r="LHV107" s="669"/>
      <c r="LHW107" s="669"/>
      <c r="LHX107" s="669"/>
      <c r="LHY107" s="669"/>
      <c r="LHZ107" s="669"/>
      <c r="LIA107" s="669"/>
      <c r="LIB107" s="669"/>
      <c r="LIC107" s="669"/>
      <c r="LID107" s="669"/>
      <c r="LIE107" s="669"/>
      <c r="LIF107" s="669"/>
      <c r="LIG107" s="669"/>
      <c r="LIH107" s="669"/>
      <c r="LII107" s="669"/>
      <c r="LIJ107" s="669"/>
      <c r="LIK107" s="669"/>
      <c r="LIL107" s="669"/>
      <c r="LIM107" s="669"/>
      <c r="LIN107" s="669"/>
      <c r="LIO107" s="669"/>
      <c r="LIP107" s="669"/>
      <c r="LIQ107" s="669"/>
      <c r="LIR107" s="669"/>
      <c r="LIS107" s="669"/>
      <c r="LIT107" s="669"/>
      <c r="LIU107" s="669"/>
      <c r="LIV107" s="669"/>
      <c r="LIW107" s="669"/>
      <c r="LIX107" s="669"/>
      <c r="LIY107" s="669"/>
      <c r="LIZ107" s="669"/>
      <c r="LJA107" s="669"/>
      <c r="LJB107" s="669"/>
      <c r="LJC107" s="669"/>
      <c r="LJD107" s="669"/>
      <c r="LJE107" s="669"/>
      <c r="LJF107" s="669"/>
      <c r="LJG107" s="669"/>
      <c r="LJH107" s="669"/>
      <c r="LJI107" s="669"/>
      <c r="LJJ107" s="669"/>
      <c r="LJK107" s="669"/>
      <c r="LJL107" s="669"/>
      <c r="LJM107" s="669"/>
      <c r="LJN107" s="669"/>
      <c r="LJO107" s="669"/>
      <c r="LJP107" s="669"/>
      <c r="LJQ107" s="669"/>
      <c r="LJR107" s="669"/>
      <c r="LJS107" s="669"/>
      <c r="LJT107" s="669"/>
      <c r="LJU107" s="669"/>
      <c r="LJV107" s="669"/>
      <c r="LJW107" s="669"/>
      <c r="LJX107" s="669"/>
      <c r="LJY107" s="669"/>
      <c r="LJZ107" s="669"/>
      <c r="LKA107" s="669"/>
      <c r="LKB107" s="669"/>
      <c r="LKC107" s="669"/>
      <c r="LKD107" s="669"/>
      <c r="LKE107" s="669"/>
      <c r="LKF107" s="669"/>
      <c r="LKG107" s="669"/>
      <c r="LKH107" s="669"/>
      <c r="LKI107" s="669"/>
      <c r="LKJ107" s="669"/>
      <c r="LKK107" s="669"/>
      <c r="LKL107" s="669"/>
      <c r="LKM107" s="669"/>
      <c r="LKN107" s="669"/>
      <c r="LKO107" s="669"/>
      <c r="LKP107" s="669"/>
      <c r="LKQ107" s="669"/>
      <c r="LKR107" s="669"/>
      <c r="LKS107" s="669"/>
      <c r="LKT107" s="669"/>
      <c r="LKU107" s="669"/>
      <c r="LKV107" s="669"/>
      <c r="LKW107" s="669"/>
      <c r="LKX107" s="669"/>
      <c r="LKY107" s="669"/>
      <c r="LKZ107" s="669"/>
      <c r="LLA107" s="669"/>
      <c r="LLB107" s="669"/>
      <c r="LLC107" s="669"/>
      <c r="LLD107" s="669"/>
      <c r="LLE107" s="669"/>
      <c r="LLF107" s="669"/>
      <c r="LLG107" s="669"/>
      <c r="LLH107" s="669"/>
      <c r="LLI107" s="669"/>
      <c r="LLJ107" s="669"/>
      <c r="LLK107" s="669"/>
      <c r="LLL107" s="669"/>
      <c r="LLM107" s="669"/>
      <c r="LLN107" s="669"/>
      <c r="LLO107" s="669"/>
      <c r="LLP107" s="669"/>
      <c r="LLQ107" s="669"/>
      <c r="LLR107" s="669"/>
      <c r="LLS107" s="669"/>
      <c r="LLT107" s="669"/>
      <c r="LLU107" s="669"/>
      <c r="LLV107" s="669"/>
      <c r="LLW107" s="669"/>
      <c r="LLX107" s="669"/>
      <c r="LLY107" s="669"/>
      <c r="LLZ107" s="669"/>
      <c r="LMA107" s="669"/>
      <c r="LMB107" s="669"/>
      <c r="LMC107" s="669"/>
      <c r="LMD107" s="669"/>
      <c r="LME107" s="669"/>
      <c r="LMF107" s="669"/>
      <c r="LMG107" s="669"/>
      <c r="LMH107" s="669"/>
      <c r="LMI107" s="669"/>
      <c r="LMJ107" s="669"/>
      <c r="LMK107" s="669"/>
      <c r="LML107" s="669"/>
      <c r="LMM107" s="669"/>
      <c r="LMN107" s="669"/>
      <c r="LMO107" s="669"/>
      <c r="LMP107" s="669"/>
      <c r="LMQ107" s="669"/>
      <c r="LMR107" s="669"/>
      <c r="LMS107" s="669"/>
      <c r="LMT107" s="669"/>
      <c r="LMU107" s="669"/>
      <c r="LMV107" s="669"/>
      <c r="LMW107" s="669"/>
      <c r="LMX107" s="669"/>
      <c r="LMY107" s="669"/>
      <c r="LMZ107" s="669"/>
      <c r="LNA107" s="669"/>
      <c r="LNB107" s="669"/>
      <c r="LNC107" s="669"/>
      <c r="LND107" s="669"/>
      <c r="LNE107" s="669"/>
      <c r="LNF107" s="669"/>
      <c r="LNG107" s="669"/>
      <c r="LNH107" s="669"/>
      <c r="LNI107" s="669"/>
      <c r="LNJ107" s="669"/>
      <c r="LNK107" s="669"/>
      <c r="LNL107" s="669"/>
      <c r="LNM107" s="669"/>
      <c r="LNN107" s="669"/>
      <c r="LNO107" s="669"/>
      <c r="LNP107" s="669"/>
      <c r="LNQ107" s="669"/>
      <c r="LNR107" s="669"/>
      <c r="LNS107" s="669"/>
      <c r="LNT107" s="669"/>
      <c r="LNU107" s="669"/>
      <c r="LNV107" s="669"/>
      <c r="LNW107" s="669"/>
      <c r="LNX107" s="669"/>
      <c r="LNY107" s="669"/>
      <c r="LNZ107" s="669"/>
      <c r="LOA107" s="669"/>
      <c r="LOB107" s="669"/>
      <c r="LOC107" s="669"/>
      <c r="LOD107" s="669"/>
      <c r="LOE107" s="669"/>
      <c r="LOF107" s="669"/>
      <c r="LOG107" s="669"/>
      <c r="LOH107" s="669"/>
      <c r="LOI107" s="669"/>
      <c r="LOJ107" s="669"/>
      <c r="LOK107" s="669"/>
      <c r="LOL107" s="669"/>
      <c r="LOM107" s="669"/>
      <c r="LON107" s="669"/>
      <c r="LOO107" s="669"/>
      <c r="LOP107" s="669"/>
      <c r="LOQ107" s="669"/>
      <c r="LOR107" s="669"/>
      <c r="LOS107" s="669"/>
      <c r="LOT107" s="669"/>
      <c r="LOU107" s="669"/>
      <c r="LOV107" s="669"/>
      <c r="LOW107" s="669"/>
      <c r="LOX107" s="669"/>
      <c r="LOY107" s="669"/>
      <c r="LOZ107" s="669"/>
      <c r="LPA107" s="669"/>
      <c r="LPB107" s="669"/>
      <c r="LPC107" s="669"/>
      <c r="LPD107" s="669"/>
      <c r="LPE107" s="669"/>
      <c r="LPF107" s="669"/>
      <c r="LPG107" s="669"/>
      <c r="LPH107" s="669"/>
      <c r="LPI107" s="669"/>
      <c r="LPJ107" s="669"/>
      <c r="LPK107" s="669"/>
      <c r="LPL107" s="669"/>
      <c r="LPM107" s="669"/>
      <c r="LPN107" s="669"/>
      <c r="LPO107" s="669"/>
      <c r="LPP107" s="669"/>
      <c r="LPQ107" s="669"/>
      <c r="LPR107" s="669"/>
      <c r="LPS107" s="669"/>
      <c r="LPT107" s="669"/>
      <c r="LPU107" s="669"/>
      <c r="LPV107" s="669"/>
      <c r="LPW107" s="669"/>
      <c r="LPX107" s="669"/>
      <c r="LPY107" s="669"/>
      <c r="LPZ107" s="669"/>
      <c r="LQA107" s="669"/>
      <c r="LQB107" s="669"/>
      <c r="LQC107" s="669"/>
      <c r="LQD107" s="669"/>
      <c r="LQE107" s="669"/>
      <c r="LQF107" s="669"/>
      <c r="LQG107" s="669"/>
      <c r="LQH107" s="669"/>
      <c r="LQI107" s="669"/>
      <c r="LQJ107" s="669"/>
      <c r="LQK107" s="669"/>
      <c r="LQL107" s="669"/>
      <c r="LQM107" s="669"/>
      <c r="LQN107" s="669"/>
      <c r="LQO107" s="669"/>
      <c r="LQP107" s="669"/>
      <c r="LQQ107" s="669"/>
      <c r="LQR107" s="669"/>
      <c r="LQS107" s="669"/>
      <c r="LQT107" s="669"/>
      <c r="LQU107" s="669"/>
      <c r="LQV107" s="669"/>
      <c r="LQW107" s="669"/>
      <c r="LQX107" s="669"/>
      <c r="LQY107" s="669"/>
      <c r="LQZ107" s="669"/>
      <c r="LRA107" s="669"/>
      <c r="LRB107" s="669"/>
      <c r="LRC107" s="669"/>
      <c r="LRD107" s="669"/>
      <c r="LRE107" s="669"/>
      <c r="LRF107" s="669"/>
      <c r="LRG107" s="669"/>
      <c r="LRH107" s="669"/>
      <c r="LRI107" s="669"/>
      <c r="LRJ107" s="669"/>
      <c r="LRK107" s="669"/>
      <c r="LRL107" s="669"/>
      <c r="LRM107" s="669"/>
      <c r="LRN107" s="669"/>
      <c r="LRO107" s="669"/>
      <c r="LRP107" s="669"/>
      <c r="LRQ107" s="669"/>
      <c r="LRR107" s="669"/>
      <c r="LRS107" s="669"/>
      <c r="LRT107" s="669"/>
      <c r="LRU107" s="669"/>
      <c r="LRV107" s="669"/>
      <c r="LRW107" s="669"/>
      <c r="LRX107" s="669"/>
      <c r="LRY107" s="669"/>
      <c r="LRZ107" s="669"/>
      <c r="LSA107" s="669"/>
      <c r="LSB107" s="669"/>
      <c r="LSC107" s="669"/>
      <c r="LSD107" s="669"/>
      <c r="LSE107" s="669"/>
      <c r="LSF107" s="669"/>
      <c r="LSG107" s="669"/>
      <c r="LSH107" s="669"/>
      <c r="LSI107" s="669"/>
      <c r="LSJ107" s="669"/>
      <c r="LSK107" s="669"/>
      <c r="LSL107" s="669"/>
      <c r="LSM107" s="669"/>
      <c r="LSN107" s="669"/>
      <c r="LSO107" s="669"/>
      <c r="LSP107" s="669"/>
      <c r="LSQ107" s="669"/>
      <c r="LSR107" s="669"/>
      <c r="LSS107" s="669"/>
      <c r="LST107" s="669"/>
      <c r="LSU107" s="669"/>
      <c r="LSV107" s="669"/>
      <c r="LSW107" s="669"/>
      <c r="LSX107" s="669"/>
      <c r="LSY107" s="669"/>
      <c r="LSZ107" s="669"/>
      <c r="LTA107" s="669"/>
      <c r="LTB107" s="669"/>
      <c r="LTC107" s="669"/>
      <c r="LTD107" s="669"/>
      <c r="LTE107" s="669"/>
      <c r="LTF107" s="669"/>
      <c r="LTG107" s="669"/>
      <c r="LTH107" s="669"/>
      <c r="LTI107" s="669"/>
      <c r="LTJ107" s="669"/>
      <c r="LTK107" s="669"/>
      <c r="LTL107" s="669"/>
      <c r="LTM107" s="669"/>
      <c r="LTN107" s="669"/>
      <c r="LTO107" s="669"/>
      <c r="LTP107" s="669"/>
      <c r="LTQ107" s="669"/>
      <c r="LTR107" s="669"/>
      <c r="LTS107" s="669"/>
      <c r="LTT107" s="669"/>
      <c r="LTU107" s="669"/>
      <c r="LTV107" s="669"/>
      <c r="LTW107" s="669"/>
      <c r="LTX107" s="669"/>
      <c r="LTY107" s="669"/>
      <c r="LTZ107" s="669"/>
      <c r="LUA107" s="669"/>
      <c r="LUB107" s="669"/>
      <c r="LUC107" s="669"/>
      <c r="LUD107" s="669"/>
      <c r="LUE107" s="669"/>
      <c r="LUF107" s="669"/>
      <c r="LUG107" s="669"/>
      <c r="LUH107" s="669"/>
      <c r="LUI107" s="669"/>
      <c r="LUJ107" s="669"/>
      <c r="LUK107" s="669"/>
      <c r="LUL107" s="669"/>
      <c r="LUM107" s="669"/>
      <c r="LUN107" s="669"/>
      <c r="LUO107" s="669"/>
      <c r="LUP107" s="669"/>
      <c r="LUQ107" s="669"/>
      <c r="LUR107" s="669"/>
      <c r="LUS107" s="669"/>
      <c r="LUT107" s="669"/>
      <c r="LUU107" s="669"/>
      <c r="LUV107" s="669"/>
      <c r="LUW107" s="669"/>
      <c r="LUX107" s="669"/>
      <c r="LUY107" s="669"/>
      <c r="LUZ107" s="669"/>
      <c r="LVA107" s="669"/>
      <c r="LVB107" s="669"/>
      <c r="LVC107" s="669"/>
      <c r="LVD107" s="669"/>
      <c r="LVE107" s="669"/>
      <c r="LVF107" s="669"/>
      <c r="LVG107" s="669"/>
      <c r="LVH107" s="669"/>
      <c r="LVI107" s="669"/>
      <c r="LVJ107" s="669"/>
      <c r="LVK107" s="669"/>
      <c r="LVL107" s="669"/>
      <c r="LVM107" s="669"/>
      <c r="LVN107" s="669"/>
      <c r="LVO107" s="669"/>
      <c r="LVP107" s="669"/>
      <c r="LVQ107" s="669"/>
      <c r="LVR107" s="669"/>
      <c r="LVS107" s="669"/>
      <c r="LVT107" s="669"/>
      <c r="LVU107" s="669"/>
      <c r="LVV107" s="669"/>
      <c r="LVW107" s="669"/>
      <c r="LVX107" s="669"/>
      <c r="LVY107" s="669"/>
      <c r="LVZ107" s="669"/>
      <c r="LWA107" s="669"/>
      <c r="LWB107" s="669"/>
      <c r="LWC107" s="669"/>
      <c r="LWD107" s="669"/>
      <c r="LWE107" s="669"/>
      <c r="LWF107" s="669"/>
      <c r="LWG107" s="669"/>
      <c r="LWH107" s="669"/>
      <c r="LWI107" s="669"/>
      <c r="LWJ107" s="669"/>
      <c r="LWK107" s="669"/>
      <c r="LWL107" s="669"/>
      <c r="LWM107" s="669"/>
      <c r="LWN107" s="669"/>
      <c r="LWO107" s="669"/>
      <c r="LWP107" s="669"/>
      <c r="LWQ107" s="669"/>
      <c r="LWR107" s="669"/>
      <c r="LWS107" s="669"/>
      <c r="LWT107" s="669"/>
      <c r="LWU107" s="669"/>
      <c r="LWV107" s="669"/>
      <c r="LWW107" s="669"/>
      <c r="LWX107" s="669"/>
      <c r="LWY107" s="669"/>
      <c r="LWZ107" s="669"/>
      <c r="LXA107" s="669"/>
      <c r="LXB107" s="669"/>
      <c r="LXC107" s="669"/>
      <c r="LXD107" s="669"/>
      <c r="LXE107" s="669"/>
      <c r="LXF107" s="669"/>
      <c r="LXG107" s="669"/>
      <c r="LXH107" s="669"/>
      <c r="LXI107" s="669"/>
      <c r="LXJ107" s="669"/>
      <c r="LXK107" s="669"/>
      <c r="LXL107" s="669"/>
      <c r="LXM107" s="669"/>
      <c r="LXN107" s="669"/>
      <c r="LXO107" s="669"/>
      <c r="LXP107" s="669"/>
      <c r="LXQ107" s="669"/>
      <c r="LXR107" s="669"/>
      <c r="LXS107" s="669"/>
      <c r="LXT107" s="669"/>
      <c r="LXU107" s="669"/>
      <c r="LXV107" s="669"/>
      <c r="LXW107" s="669"/>
      <c r="LXX107" s="669"/>
      <c r="LXY107" s="669"/>
      <c r="LXZ107" s="669"/>
      <c r="LYA107" s="669"/>
      <c r="LYB107" s="669"/>
      <c r="LYC107" s="669"/>
      <c r="LYD107" s="669"/>
      <c r="LYE107" s="669"/>
      <c r="LYF107" s="669"/>
      <c r="LYG107" s="669"/>
      <c r="LYH107" s="669"/>
      <c r="LYI107" s="669"/>
      <c r="LYJ107" s="669"/>
      <c r="LYK107" s="669"/>
      <c r="LYL107" s="669"/>
      <c r="LYM107" s="669"/>
      <c r="LYN107" s="669"/>
      <c r="LYO107" s="669"/>
      <c r="LYP107" s="669"/>
      <c r="LYQ107" s="669"/>
      <c r="LYR107" s="669"/>
      <c r="LYS107" s="669"/>
      <c r="LYT107" s="669"/>
      <c r="LYU107" s="669"/>
      <c r="LYV107" s="669"/>
      <c r="LYW107" s="669"/>
      <c r="LYX107" s="669"/>
      <c r="LYY107" s="669"/>
      <c r="LYZ107" s="669"/>
      <c r="LZA107" s="669"/>
      <c r="LZB107" s="669"/>
      <c r="LZC107" s="669"/>
      <c r="LZD107" s="669"/>
      <c r="LZE107" s="669"/>
      <c r="LZF107" s="669"/>
      <c r="LZG107" s="669"/>
      <c r="LZH107" s="669"/>
      <c r="LZI107" s="669"/>
      <c r="LZJ107" s="669"/>
      <c r="LZK107" s="669"/>
      <c r="LZL107" s="669"/>
      <c r="LZM107" s="669"/>
      <c r="LZN107" s="669"/>
      <c r="LZO107" s="669"/>
      <c r="LZP107" s="669"/>
      <c r="LZQ107" s="669"/>
      <c r="LZR107" s="669"/>
      <c r="LZS107" s="669"/>
      <c r="LZT107" s="669"/>
      <c r="LZU107" s="669"/>
      <c r="LZV107" s="669"/>
      <c r="LZW107" s="669"/>
      <c r="LZX107" s="669"/>
      <c r="LZY107" s="669"/>
      <c r="LZZ107" s="669"/>
      <c r="MAA107" s="669"/>
      <c r="MAB107" s="669"/>
      <c r="MAC107" s="669"/>
      <c r="MAD107" s="669"/>
      <c r="MAE107" s="669"/>
      <c r="MAF107" s="669"/>
      <c r="MAG107" s="669"/>
      <c r="MAH107" s="669"/>
      <c r="MAI107" s="669"/>
      <c r="MAJ107" s="669"/>
      <c r="MAK107" s="669"/>
      <c r="MAL107" s="669"/>
      <c r="MAM107" s="669"/>
      <c r="MAN107" s="669"/>
      <c r="MAO107" s="669"/>
      <c r="MAP107" s="669"/>
      <c r="MAQ107" s="669"/>
      <c r="MAR107" s="669"/>
      <c r="MAS107" s="669"/>
      <c r="MAT107" s="669"/>
      <c r="MAU107" s="669"/>
      <c r="MAV107" s="669"/>
      <c r="MAW107" s="669"/>
      <c r="MAX107" s="669"/>
      <c r="MAY107" s="669"/>
      <c r="MAZ107" s="669"/>
      <c r="MBA107" s="669"/>
      <c r="MBB107" s="669"/>
      <c r="MBC107" s="669"/>
      <c r="MBD107" s="669"/>
      <c r="MBE107" s="669"/>
      <c r="MBF107" s="669"/>
      <c r="MBG107" s="669"/>
      <c r="MBH107" s="669"/>
      <c r="MBI107" s="669"/>
      <c r="MBJ107" s="669"/>
      <c r="MBK107" s="669"/>
      <c r="MBL107" s="669"/>
      <c r="MBM107" s="669"/>
      <c r="MBN107" s="669"/>
      <c r="MBO107" s="669"/>
      <c r="MBP107" s="669"/>
      <c r="MBQ107" s="669"/>
      <c r="MBR107" s="669"/>
      <c r="MBS107" s="669"/>
      <c r="MBT107" s="669"/>
      <c r="MBU107" s="669"/>
      <c r="MBV107" s="669"/>
      <c r="MBW107" s="669"/>
      <c r="MBX107" s="669"/>
      <c r="MBY107" s="669"/>
      <c r="MBZ107" s="669"/>
      <c r="MCA107" s="669"/>
      <c r="MCB107" s="669"/>
      <c r="MCC107" s="669"/>
      <c r="MCD107" s="669"/>
      <c r="MCE107" s="669"/>
      <c r="MCF107" s="669"/>
      <c r="MCG107" s="669"/>
      <c r="MCH107" s="669"/>
      <c r="MCI107" s="669"/>
      <c r="MCJ107" s="669"/>
      <c r="MCK107" s="669"/>
      <c r="MCL107" s="669"/>
      <c r="MCM107" s="669"/>
      <c r="MCN107" s="669"/>
      <c r="MCO107" s="669"/>
      <c r="MCP107" s="669"/>
      <c r="MCQ107" s="669"/>
      <c r="MCR107" s="669"/>
      <c r="MCS107" s="669"/>
      <c r="MCT107" s="669"/>
      <c r="MCU107" s="669"/>
      <c r="MCV107" s="669"/>
      <c r="MCW107" s="669"/>
      <c r="MCX107" s="669"/>
      <c r="MCY107" s="669"/>
      <c r="MCZ107" s="669"/>
      <c r="MDA107" s="669"/>
      <c r="MDB107" s="669"/>
      <c r="MDC107" s="669"/>
      <c r="MDD107" s="669"/>
      <c r="MDE107" s="669"/>
      <c r="MDF107" s="669"/>
      <c r="MDG107" s="669"/>
      <c r="MDH107" s="669"/>
      <c r="MDI107" s="669"/>
      <c r="MDJ107" s="669"/>
      <c r="MDK107" s="669"/>
      <c r="MDL107" s="669"/>
      <c r="MDM107" s="669"/>
      <c r="MDN107" s="669"/>
      <c r="MDO107" s="669"/>
      <c r="MDP107" s="669"/>
      <c r="MDQ107" s="669"/>
      <c r="MDR107" s="669"/>
      <c r="MDS107" s="669"/>
      <c r="MDT107" s="669"/>
      <c r="MDU107" s="669"/>
      <c r="MDV107" s="669"/>
      <c r="MDW107" s="669"/>
      <c r="MDX107" s="669"/>
      <c r="MDY107" s="669"/>
      <c r="MDZ107" s="669"/>
      <c r="MEA107" s="669"/>
      <c r="MEB107" s="669"/>
      <c r="MEC107" s="669"/>
      <c r="MED107" s="669"/>
      <c r="MEE107" s="669"/>
      <c r="MEF107" s="669"/>
      <c r="MEG107" s="669"/>
      <c r="MEH107" s="669"/>
      <c r="MEI107" s="669"/>
      <c r="MEJ107" s="669"/>
      <c r="MEK107" s="669"/>
      <c r="MEL107" s="669"/>
      <c r="MEM107" s="669"/>
      <c r="MEN107" s="669"/>
      <c r="MEO107" s="669"/>
      <c r="MEP107" s="669"/>
      <c r="MEQ107" s="669"/>
      <c r="MER107" s="669"/>
      <c r="MES107" s="669"/>
      <c r="MET107" s="669"/>
      <c r="MEU107" s="669"/>
      <c r="MEV107" s="669"/>
      <c r="MEW107" s="669"/>
      <c r="MEX107" s="669"/>
      <c r="MEY107" s="669"/>
      <c r="MEZ107" s="669"/>
      <c r="MFA107" s="669"/>
      <c r="MFB107" s="669"/>
      <c r="MFC107" s="669"/>
      <c r="MFD107" s="669"/>
      <c r="MFE107" s="669"/>
      <c r="MFF107" s="669"/>
      <c r="MFG107" s="669"/>
      <c r="MFH107" s="669"/>
      <c r="MFI107" s="669"/>
      <c r="MFJ107" s="669"/>
      <c r="MFK107" s="669"/>
      <c r="MFL107" s="669"/>
      <c r="MFM107" s="669"/>
      <c r="MFN107" s="669"/>
      <c r="MFO107" s="669"/>
      <c r="MFP107" s="669"/>
      <c r="MFQ107" s="669"/>
      <c r="MFR107" s="669"/>
      <c r="MFS107" s="669"/>
      <c r="MFT107" s="669"/>
      <c r="MFU107" s="669"/>
      <c r="MFV107" s="669"/>
      <c r="MFW107" s="669"/>
      <c r="MFX107" s="669"/>
      <c r="MFY107" s="669"/>
      <c r="MFZ107" s="669"/>
      <c r="MGA107" s="669"/>
      <c r="MGB107" s="669"/>
      <c r="MGC107" s="669"/>
      <c r="MGD107" s="669"/>
      <c r="MGE107" s="669"/>
      <c r="MGF107" s="669"/>
      <c r="MGG107" s="669"/>
      <c r="MGH107" s="669"/>
      <c r="MGI107" s="669"/>
      <c r="MGJ107" s="669"/>
      <c r="MGK107" s="669"/>
      <c r="MGL107" s="669"/>
      <c r="MGM107" s="669"/>
      <c r="MGN107" s="669"/>
      <c r="MGO107" s="669"/>
      <c r="MGP107" s="669"/>
      <c r="MGQ107" s="669"/>
      <c r="MGR107" s="669"/>
      <c r="MGS107" s="669"/>
      <c r="MGT107" s="669"/>
      <c r="MGU107" s="669"/>
      <c r="MGV107" s="669"/>
      <c r="MGW107" s="669"/>
      <c r="MGX107" s="669"/>
      <c r="MGY107" s="669"/>
      <c r="MGZ107" s="669"/>
      <c r="MHA107" s="669"/>
      <c r="MHB107" s="669"/>
      <c r="MHC107" s="669"/>
      <c r="MHD107" s="669"/>
      <c r="MHE107" s="669"/>
      <c r="MHF107" s="669"/>
      <c r="MHG107" s="669"/>
      <c r="MHH107" s="669"/>
      <c r="MHI107" s="669"/>
      <c r="MHJ107" s="669"/>
      <c r="MHK107" s="669"/>
      <c r="MHL107" s="669"/>
      <c r="MHM107" s="669"/>
      <c r="MHN107" s="669"/>
      <c r="MHO107" s="669"/>
      <c r="MHP107" s="669"/>
      <c r="MHQ107" s="669"/>
      <c r="MHR107" s="669"/>
      <c r="MHS107" s="669"/>
      <c r="MHT107" s="669"/>
      <c r="MHU107" s="669"/>
      <c r="MHV107" s="669"/>
      <c r="MHW107" s="669"/>
      <c r="MHX107" s="669"/>
      <c r="MHY107" s="669"/>
      <c r="MHZ107" s="669"/>
      <c r="MIA107" s="669"/>
      <c r="MIB107" s="669"/>
      <c r="MIC107" s="669"/>
      <c r="MID107" s="669"/>
      <c r="MIE107" s="669"/>
      <c r="MIF107" s="669"/>
      <c r="MIG107" s="669"/>
      <c r="MIH107" s="669"/>
      <c r="MII107" s="669"/>
      <c r="MIJ107" s="669"/>
      <c r="MIK107" s="669"/>
      <c r="MIL107" s="669"/>
      <c r="MIM107" s="669"/>
      <c r="MIN107" s="669"/>
      <c r="MIO107" s="669"/>
      <c r="MIP107" s="669"/>
      <c r="MIQ107" s="669"/>
      <c r="MIR107" s="669"/>
      <c r="MIS107" s="669"/>
      <c r="MIT107" s="669"/>
      <c r="MIU107" s="669"/>
      <c r="MIV107" s="669"/>
      <c r="MIW107" s="669"/>
      <c r="MIX107" s="669"/>
      <c r="MIY107" s="669"/>
      <c r="MIZ107" s="669"/>
      <c r="MJA107" s="669"/>
      <c r="MJB107" s="669"/>
      <c r="MJC107" s="669"/>
      <c r="MJD107" s="669"/>
      <c r="MJE107" s="669"/>
      <c r="MJF107" s="669"/>
      <c r="MJG107" s="669"/>
      <c r="MJH107" s="669"/>
      <c r="MJI107" s="669"/>
      <c r="MJJ107" s="669"/>
      <c r="MJK107" s="669"/>
      <c r="MJL107" s="669"/>
      <c r="MJM107" s="669"/>
      <c r="MJN107" s="669"/>
      <c r="MJO107" s="669"/>
      <c r="MJP107" s="669"/>
      <c r="MJQ107" s="669"/>
      <c r="MJR107" s="669"/>
      <c r="MJS107" s="669"/>
      <c r="MJT107" s="669"/>
      <c r="MJU107" s="669"/>
      <c r="MJV107" s="669"/>
      <c r="MJW107" s="669"/>
      <c r="MJX107" s="669"/>
      <c r="MJY107" s="669"/>
      <c r="MJZ107" s="669"/>
      <c r="MKA107" s="669"/>
      <c r="MKB107" s="669"/>
      <c r="MKC107" s="669"/>
      <c r="MKD107" s="669"/>
      <c r="MKE107" s="669"/>
      <c r="MKF107" s="669"/>
      <c r="MKG107" s="669"/>
      <c r="MKH107" s="669"/>
      <c r="MKI107" s="669"/>
      <c r="MKJ107" s="669"/>
      <c r="MKK107" s="669"/>
      <c r="MKL107" s="669"/>
      <c r="MKM107" s="669"/>
      <c r="MKN107" s="669"/>
      <c r="MKO107" s="669"/>
      <c r="MKP107" s="669"/>
      <c r="MKQ107" s="669"/>
      <c r="MKR107" s="669"/>
      <c r="MKS107" s="669"/>
      <c r="MKT107" s="669"/>
      <c r="MKU107" s="669"/>
      <c r="MKV107" s="669"/>
      <c r="MKW107" s="669"/>
      <c r="MKX107" s="669"/>
      <c r="MKY107" s="669"/>
      <c r="MKZ107" s="669"/>
      <c r="MLA107" s="669"/>
      <c r="MLB107" s="669"/>
      <c r="MLC107" s="669"/>
      <c r="MLD107" s="669"/>
      <c r="MLE107" s="669"/>
      <c r="MLF107" s="669"/>
      <c r="MLG107" s="669"/>
      <c r="MLH107" s="669"/>
      <c r="MLI107" s="669"/>
      <c r="MLJ107" s="669"/>
      <c r="MLK107" s="669"/>
      <c r="MLL107" s="669"/>
      <c r="MLM107" s="669"/>
      <c r="MLN107" s="669"/>
      <c r="MLO107" s="669"/>
      <c r="MLP107" s="669"/>
      <c r="MLQ107" s="669"/>
      <c r="MLR107" s="669"/>
      <c r="MLS107" s="669"/>
      <c r="MLT107" s="669"/>
      <c r="MLU107" s="669"/>
      <c r="MLV107" s="669"/>
      <c r="MLW107" s="669"/>
      <c r="MLX107" s="669"/>
      <c r="MLY107" s="669"/>
      <c r="MLZ107" s="669"/>
      <c r="MMA107" s="669"/>
      <c r="MMB107" s="669"/>
      <c r="MMC107" s="669"/>
      <c r="MMD107" s="669"/>
      <c r="MME107" s="669"/>
      <c r="MMF107" s="669"/>
      <c r="MMG107" s="669"/>
      <c r="MMH107" s="669"/>
      <c r="MMI107" s="669"/>
      <c r="MMJ107" s="669"/>
      <c r="MMK107" s="669"/>
      <c r="MML107" s="669"/>
      <c r="MMM107" s="669"/>
      <c r="MMN107" s="669"/>
      <c r="MMO107" s="669"/>
      <c r="MMP107" s="669"/>
      <c r="MMQ107" s="669"/>
      <c r="MMR107" s="669"/>
      <c r="MMS107" s="669"/>
      <c r="MMT107" s="669"/>
      <c r="MMU107" s="669"/>
      <c r="MMV107" s="669"/>
      <c r="MMW107" s="669"/>
      <c r="MMX107" s="669"/>
      <c r="MMY107" s="669"/>
      <c r="MMZ107" s="669"/>
      <c r="MNA107" s="669"/>
      <c r="MNB107" s="669"/>
      <c r="MNC107" s="669"/>
      <c r="MND107" s="669"/>
      <c r="MNE107" s="669"/>
      <c r="MNF107" s="669"/>
      <c r="MNG107" s="669"/>
      <c r="MNH107" s="669"/>
      <c r="MNI107" s="669"/>
      <c r="MNJ107" s="669"/>
      <c r="MNK107" s="669"/>
      <c r="MNL107" s="669"/>
      <c r="MNM107" s="669"/>
      <c r="MNN107" s="669"/>
      <c r="MNO107" s="669"/>
      <c r="MNP107" s="669"/>
      <c r="MNQ107" s="669"/>
      <c r="MNR107" s="669"/>
      <c r="MNS107" s="669"/>
      <c r="MNT107" s="669"/>
      <c r="MNU107" s="669"/>
      <c r="MNV107" s="669"/>
      <c r="MNW107" s="669"/>
      <c r="MNX107" s="669"/>
      <c r="MNY107" s="669"/>
      <c r="MNZ107" s="669"/>
      <c r="MOA107" s="669"/>
      <c r="MOB107" s="669"/>
      <c r="MOC107" s="669"/>
      <c r="MOD107" s="669"/>
      <c r="MOE107" s="669"/>
      <c r="MOF107" s="669"/>
      <c r="MOG107" s="669"/>
      <c r="MOH107" s="669"/>
      <c r="MOI107" s="669"/>
      <c r="MOJ107" s="669"/>
      <c r="MOK107" s="669"/>
      <c r="MOL107" s="669"/>
      <c r="MOM107" s="669"/>
      <c r="MON107" s="669"/>
      <c r="MOO107" s="669"/>
      <c r="MOP107" s="669"/>
      <c r="MOQ107" s="669"/>
      <c r="MOR107" s="669"/>
      <c r="MOS107" s="669"/>
      <c r="MOT107" s="669"/>
      <c r="MOU107" s="669"/>
      <c r="MOV107" s="669"/>
      <c r="MOW107" s="669"/>
      <c r="MOX107" s="669"/>
      <c r="MOY107" s="669"/>
      <c r="MOZ107" s="669"/>
      <c r="MPA107" s="669"/>
      <c r="MPB107" s="669"/>
      <c r="MPC107" s="669"/>
      <c r="MPD107" s="669"/>
      <c r="MPE107" s="669"/>
      <c r="MPF107" s="669"/>
      <c r="MPG107" s="669"/>
      <c r="MPH107" s="669"/>
      <c r="MPI107" s="669"/>
      <c r="MPJ107" s="669"/>
      <c r="MPK107" s="669"/>
      <c r="MPL107" s="669"/>
      <c r="MPM107" s="669"/>
      <c r="MPN107" s="669"/>
      <c r="MPO107" s="669"/>
      <c r="MPP107" s="669"/>
      <c r="MPQ107" s="669"/>
      <c r="MPR107" s="669"/>
      <c r="MPS107" s="669"/>
      <c r="MPT107" s="669"/>
      <c r="MPU107" s="669"/>
      <c r="MPV107" s="669"/>
      <c r="MPW107" s="669"/>
      <c r="MPX107" s="669"/>
      <c r="MPY107" s="669"/>
      <c r="MPZ107" s="669"/>
      <c r="MQA107" s="669"/>
      <c r="MQB107" s="669"/>
      <c r="MQC107" s="669"/>
      <c r="MQD107" s="669"/>
      <c r="MQE107" s="669"/>
      <c r="MQF107" s="669"/>
      <c r="MQG107" s="669"/>
      <c r="MQH107" s="669"/>
      <c r="MQI107" s="669"/>
      <c r="MQJ107" s="669"/>
      <c r="MQK107" s="669"/>
      <c r="MQL107" s="669"/>
      <c r="MQM107" s="669"/>
      <c r="MQN107" s="669"/>
      <c r="MQO107" s="669"/>
      <c r="MQP107" s="669"/>
      <c r="MQQ107" s="669"/>
      <c r="MQR107" s="669"/>
      <c r="MQS107" s="669"/>
      <c r="MQT107" s="669"/>
      <c r="MQU107" s="669"/>
      <c r="MQV107" s="669"/>
      <c r="MQW107" s="669"/>
      <c r="MQX107" s="669"/>
      <c r="MQY107" s="669"/>
      <c r="MQZ107" s="669"/>
      <c r="MRA107" s="669"/>
      <c r="MRB107" s="669"/>
      <c r="MRC107" s="669"/>
      <c r="MRD107" s="669"/>
      <c r="MRE107" s="669"/>
      <c r="MRF107" s="669"/>
      <c r="MRG107" s="669"/>
      <c r="MRH107" s="669"/>
      <c r="MRI107" s="669"/>
      <c r="MRJ107" s="669"/>
      <c r="MRK107" s="669"/>
      <c r="MRL107" s="669"/>
      <c r="MRM107" s="669"/>
      <c r="MRN107" s="669"/>
      <c r="MRO107" s="669"/>
      <c r="MRP107" s="669"/>
      <c r="MRQ107" s="669"/>
      <c r="MRR107" s="669"/>
      <c r="MRS107" s="669"/>
      <c r="MRT107" s="669"/>
      <c r="MRU107" s="669"/>
      <c r="MRV107" s="669"/>
      <c r="MRW107" s="669"/>
      <c r="MRX107" s="669"/>
      <c r="MRY107" s="669"/>
      <c r="MRZ107" s="669"/>
      <c r="MSA107" s="669"/>
      <c r="MSB107" s="669"/>
      <c r="MSC107" s="669"/>
      <c r="MSD107" s="669"/>
      <c r="MSE107" s="669"/>
      <c r="MSF107" s="669"/>
      <c r="MSG107" s="669"/>
      <c r="MSH107" s="669"/>
      <c r="MSI107" s="669"/>
      <c r="MSJ107" s="669"/>
      <c r="MSK107" s="669"/>
      <c r="MSL107" s="669"/>
      <c r="MSM107" s="669"/>
      <c r="MSN107" s="669"/>
      <c r="MSO107" s="669"/>
      <c r="MSP107" s="669"/>
      <c r="MSQ107" s="669"/>
      <c r="MSR107" s="669"/>
      <c r="MSS107" s="669"/>
      <c r="MST107" s="669"/>
      <c r="MSU107" s="669"/>
      <c r="MSV107" s="669"/>
      <c r="MSW107" s="669"/>
      <c r="MSX107" s="669"/>
      <c r="MSY107" s="669"/>
      <c r="MSZ107" s="669"/>
      <c r="MTA107" s="669"/>
      <c r="MTB107" s="669"/>
      <c r="MTC107" s="669"/>
      <c r="MTD107" s="669"/>
      <c r="MTE107" s="669"/>
      <c r="MTF107" s="669"/>
      <c r="MTG107" s="669"/>
      <c r="MTH107" s="669"/>
      <c r="MTI107" s="669"/>
      <c r="MTJ107" s="669"/>
      <c r="MTK107" s="669"/>
      <c r="MTL107" s="669"/>
      <c r="MTM107" s="669"/>
      <c r="MTN107" s="669"/>
      <c r="MTO107" s="669"/>
      <c r="MTP107" s="669"/>
      <c r="MTQ107" s="669"/>
      <c r="MTR107" s="669"/>
      <c r="MTS107" s="669"/>
      <c r="MTT107" s="669"/>
      <c r="MTU107" s="669"/>
      <c r="MTV107" s="669"/>
      <c r="MTW107" s="669"/>
      <c r="MTX107" s="669"/>
      <c r="MTY107" s="669"/>
      <c r="MTZ107" s="669"/>
      <c r="MUA107" s="669"/>
      <c r="MUB107" s="669"/>
      <c r="MUC107" s="669"/>
      <c r="MUD107" s="669"/>
      <c r="MUE107" s="669"/>
      <c r="MUF107" s="669"/>
      <c r="MUG107" s="669"/>
      <c r="MUH107" s="669"/>
      <c r="MUI107" s="669"/>
      <c r="MUJ107" s="669"/>
      <c r="MUK107" s="669"/>
      <c r="MUL107" s="669"/>
      <c r="MUM107" s="669"/>
      <c r="MUN107" s="669"/>
      <c r="MUO107" s="669"/>
      <c r="MUP107" s="669"/>
      <c r="MUQ107" s="669"/>
      <c r="MUR107" s="669"/>
      <c r="MUS107" s="669"/>
      <c r="MUT107" s="669"/>
      <c r="MUU107" s="669"/>
      <c r="MUV107" s="669"/>
      <c r="MUW107" s="669"/>
      <c r="MUX107" s="669"/>
      <c r="MUY107" s="669"/>
      <c r="MUZ107" s="669"/>
      <c r="MVA107" s="669"/>
      <c r="MVB107" s="669"/>
      <c r="MVC107" s="669"/>
      <c r="MVD107" s="669"/>
      <c r="MVE107" s="669"/>
      <c r="MVF107" s="669"/>
      <c r="MVG107" s="669"/>
      <c r="MVH107" s="669"/>
      <c r="MVI107" s="669"/>
      <c r="MVJ107" s="669"/>
      <c r="MVK107" s="669"/>
      <c r="MVL107" s="669"/>
      <c r="MVM107" s="669"/>
      <c r="MVN107" s="669"/>
      <c r="MVO107" s="669"/>
      <c r="MVP107" s="669"/>
      <c r="MVQ107" s="669"/>
      <c r="MVR107" s="669"/>
      <c r="MVS107" s="669"/>
      <c r="MVT107" s="669"/>
      <c r="MVU107" s="669"/>
      <c r="MVV107" s="669"/>
      <c r="MVW107" s="669"/>
      <c r="MVX107" s="669"/>
      <c r="MVY107" s="669"/>
      <c r="MVZ107" s="669"/>
      <c r="MWA107" s="669"/>
      <c r="MWB107" s="669"/>
      <c r="MWC107" s="669"/>
      <c r="MWD107" s="669"/>
      <c r="MWE107" s="669"/>
      <c r="MWF107" s="669"/>
      <c r="MWG107" s="669"/>
      <c r="MWH107" s="669"/>
      <c r="MWI107" s="669"/>
      <c r="MWJ107" s="669"/>
      <c r="MWK107" s="669"/>
      <c r="MWL107" s="669"/>
      <c r="MWM107" s="669"/>
      <c r="MWN107" s="669"/>
      <c r="MWO107" s="669"/>
      <c r="MWP107" s="669"/>
      <c r="MWQ107" s="669"/>
      <c r="MWR107" s="669"/>
      <c r="MWS107" s="669"/>
      <c r="MWT107" s="669"/>
      <c r="MWU107" s="669"/>
      <c r="MWV107" s="669"/>
      <c r="MWW107" s="669"/>
      <c r="MWX107" s="669"/>
      <c r="MWY107" s="669"/>
      <c r="MWZ107" s="669"/>
      <c r="MXA107" s="669"/>
      <c r="MXB107" s="669"/>
      <c r="MXC107" s="669"/>
      <c r="MXD107" s="669"/>
      <c r="MXE107" s="669"/>
      <c r="MXF107" s="669"/>
      <c r="MXG107" s="669"/>
      <c r="MXH107" s="669"/>
      <c r="MXI107" s="669"/>
      <c r="MXJ107" s="669"/>
      <c r="MXK107" s="669"/>
      <c r="MXL107" s="669"/>
      <c r="MXM107" s="669"/>
      <c r="MXN107" s="669"/>
      <c r="MXO107" s="669"/>
      <c r="MXP107" s="669"/>
      <c r="MXQ107" s="669"/>
      <c r="MXR107" s="669"/>
      <c r="MXS107" s="669"/>
      <c r="MXT107" s="669"/>
      <c r="MXU107" s="669"/>
      <c r="MXV107" s="669"/>
      <c r="MXW107" s="669"/>
      <c r="MXX107" s="669"/>
      <c r="MXY107" s="669"/>
      <c r="MXZ107" s="669"/>
      <c r="MYA107" s="669"/>
      <c r="MYB107" s="669"/>
      <c r="MYC107" s="669"/>
      <c r="MYD107" s="669"/>
      <c r="MYE107" s="669"/>
      <c r="MYF107" s="669"/>
      <c r="MYG107" s="669"/>
      <c r="MYH107" s="669"/>
      <c r="MYI107" s="669"/>
      <c r="MYJ107" s="669"/>
      <c r="MYK107" s="669"/>
      <c r="MYL107" s="669"/>
      <c r="MYM107" s="669"/>
      <c r="MYN107" s="669"/>
      <c r="MYO107" s="669"/>
      <c r="MYP107" s="669"/>
      <c r="MYQ107" s="669"/>
      <c r="MYR107" s="669"/>
      <c r="MYS107" s="669"/>
      <c r="MYT107" s="669"/>
      <c r="MYU107" s="669"/>
      <c r="MYV107" s="669"/>
      <c r="MYW107" s="669"/>
      <c r="MYX107" s="669"/>
      <c r="MYY107" s="669"/>
      <c r="MYZ107" s="669"/>
      <c r="MZA107" s="669"/>
      <c r="MZB107" s="669"/>
      <c r="MZC107" s="669"/>
      <c r="MZD107" s="669"/>
      <c r="MZE107" s="669"/>
      <c r="MZF107" s="669"/>
      <c r="MZG107" s="669"/>
      <c r="MZH107" s="669"/>
      <c r="MZI107" s="669"/>
      <c r="MZJ107" s="669"/>
      <c r="MZK107" s="669"/>
      <c r="MZL107" s="669"/>
      <c r="MZM107" s="669"/>
      <c r="MZN107" s="669"/>
      <c r="MZO107" s="669"/>
      <c r="MZP107" s="669"/>
      <c r="MZQ107" s="669"/>
      <c r="MZR107" s="669"/>
      <c r="MZS107" s="669"/>
      <c r="MZT107" s="669"/>
      <c r="MZU107" s="669"/>
      <c r="MZV107" s="669"/>
      <c r="MZW107" s="669"/>
      <c r="MZX107" s="669"/>
      <c r="MZY107" s="669"/>
      <c r="MZZ107" s="669"/>
      <c r="NAA107" s="669"/>
      <c r="NAB107" s="669"/>
      <c r="NAC107" s="669"/>
      <c r="NAD107" s="669"/>
      <c r="NAE107" s="669"/>
      <c r="NAF107" s="669"/>
      <c r="NAG107" s="669"/>
      <c r="NAH107" s="669"/>
      <c r="NAI107" s="669"/>
      <c r="NAJ107" s="669"/>
      <c r="NAK107" s="669"/>
      <c r="NAL107" s="669"/>
      <c r="NAM107" s="669"/>
      <c r="NAN107" s="669"/>
      <c r="NAO107" s="669"/>
      <c r="NAP107" s="669"/>
      <c r="NAQ107" s="669"/>
      <c r="NAR107" s="669"/>
      <c r="NAS107" s="669"/>
      <c r="NAT107" s="669"/>
      <c r="NAU107" s="669"/>
      <c r="NAV107" s="669"/>
      <c r="NAW107" s="669"/>
      <c r="NAX107" s="669"/>
      <c r="NAY107" s="669"/>
      <c r="NAZ107" s="669"/>
      <c r="NBA107" s="669"/>
      <c r="NBB107" s="669"/>
      <c r="NBC107" s="669"/>
      <c r="NBD107" s="669"/>
      <c r="NBE107" s="669"/>
      <c r="NBF107" s="669"/>
      <c r="NBG107" s="669"/>
      <c r="NBH107" s="669"/>
      <c r="NBI107" s="669"/>
      <c r="NBJ107" s="669"/>
      <c r="NBK107" s="669"/>
      <c r="NBL107" s="669"/>
      <c r="NBM107" s="669"/>
      <c r="NBN107" s="669"/>
      <c r="NBO107" s="669"/>
      <c r="NBP107" s="669"/>
      <c r="NBQ107" s="669"/>
      <c r="NBR107" s="669"/>
      <c r="NBS107" s="669"/>
      <c r="NBT107" s="669"/>
      <c r="NBU107" s="669"/>
      <c r="NBV107" s="669"/>
      <c r="NBW107" s="669"/>
      <c r="NBX107" s="669"/>
      <c r="NBY107" s="669"/>
      <c r="NBZ107" s="669"/>
      <c r="NCA107" s="669"/>
      <c r="NCB107" s="669"/>
      <c r="NCC107" s="669"/>
      <c r="NCD107" s="669"/>
      <c r="NCE107" s="669"/>
      <c r="NCF107" s="669"/>
      <c r="NCG107" s="669"/>
      <c r="NCH107" s="669"/>
      <c r="NCI107" s="669"/>
      <c r="NCJ107" s="669"/>
      <c r="NCK107" s="669"/>
      <c r="NCL107" s="669"/>
      <c r="NCM107" s="669"/>
      <c r="NCN107" s="669"/>
      <c r="NCO107" s="669"/>
      <c r="NCP107" s="669"/>
      <c r="NCQ107" s="669"/>
      <c r="NCR107" s="669"/>
      <c r="NCS107" s="669"/>
      <c r="NCT107" s="669"/>
      <c r="NCU107" s="669"/>
      <c r="NCV107" s="669"/>
      <c r="NCW107" s="669"/>
      <c r="NCX107" s="669"/>
      <c r="NCY107" s="669"/>
      <c r="NCZ107" s="669"/>
      <c r="NDA107" s="669"/>
      <c r="NDB107" s="669"/>
      <c r="NDC107" s="669"/>
      <c r="NDD107" s="669"/>
      <c r="NDE107" s="669"/>
      <c r="NDF107" s="669"/>
      <c r="NDG107" s="669"/>
      <c r="NDH107" s="669"/>
      <c r="NDI107" s="669"/>
      <c r="NDJ107" s="669"/>
      <c r="NDK107" s="669"/>
      <c r="NDL107" s="669"/>
      <c r="NDM107" s="669"/>
      <c r="NDN107" s="669"/>
      <c r="NDO107" s="669"/>
      <c r="NDP107" s="669"/>
      <c r="NDQ107" s="669"/>
      <c r="NDR107" s="669"/>
      <c r="NDS107" s="669"/>
      <c r="NDT107" s="669"/>
      <c r="NDU107" s="669"/>
      <c r="NDV107" s="669"/>
      <c r="NDW107" s="669"/>
      <c r="NDX107" s="669"/>
      <c r="NDY107" s="669"/>
      <c r="NDZ107" s="669"/>
      <c r="NEA107" s="669"/>
      <c r="NEB107" s="669"/>
      <c r="NEC107" s="669"/>
      <c r="NED107" s="669"/>
      <c r="NEE107" s="669"/>
      <c r="NEF107" s="669"/>
      <c r="NEG107" s="669"/>
      <c r="NEH107" s="669"/>
      <c r="NEI107" s="669"/>
      <c r="NEJ107" s="669"/>
      <c r="NEK107" s="669"/>
      <c r="NEL107" s="669"/>
      <c r="NEM107" s="669"/>
      <c r="NEN107" s="669"/>
      <c r="NEO107" s="669"/>
      <c r="NEP107" s="669"/>
      <c r="NEQ107" s="669"/>
      <c r="NER107" s="669"/>
      <c r="NES107" s="669"/>
      <c r="NET107" s="669"/>
      <c r="NEU107" s="669"/>
      <c r="NEV107" s="669"/>
      <c r="NEW107" s="669"/>
      <c r="NEX107" s="669"/>
      <c r="NEY107" s="669"/>
      <c r="NEZ107" s="669"/>
      <c r="NFA107" s="669"/>
      <c r="NFB107" s="669"/>
      <c r="NFC107" s="669"/>
      <c r="NFD107" s="669"/>
      <c r="NFE107" s="669"/>
      <c r="NFF107" s="669"/>
      <c r="NFG107" s="669"/>
      <c r="NFH107" s="669"/>
      <c r="NFI107" s="669"/>
      <c r="NFJ107" s="669"/>
      <c r="NFK107" s="669"/>
      <c r="NFL107" s="669"/>
      <c r="NFM107" s="669"/>
      <c r="NFN107" s="669"/>
      <c r="NFO107" s="669"/>
      <c r="NFP107" s="669"/>
      <c r="NFQ107" s="669"/>
      <c r="NFR107" s="669"/>
      <c r="NFS107" s="669"/>
      <c r="NFT107" s="669"/>
      <c r="NFU107" s="669"/>
      <c r="NFV107" s="669"/>
      <c r="NFW107" s="669"/>
      <c r="NFX107" s="669"/>
      <c r="NFY107" s="669"/>
      <c r="NFZ107" s="669"/>
      <c r="NGA107" s="669"/>
      <c r="NGB107" s="669"/>
      <c r="NGC107" s="669"/>
      <c r="NGD107" s="669"/>
      <c r="NGE107" s="669"/>
      <c r="NGF107" s="669"/>
      <c r="NGG107" s="669"/>
      <c r="NGH107" s="669"/>
      <c r="NGI107" s="669"/>
      <c r="NGJ107" s="669"/>
      <c r="NGK107" s="669"/>
      <c r="NGL107" s="669"/>
      <c r="NGM107" s="669"/>
      <c r="NGN107" s="669"/>
      <c r="NGO107" s="669"/>
      <c r="NGP107" s="669"/>
      <c r="NGQ107" s="669"/>
      <c r="NGR107" s="669"/>
      <c r="NGS107" s="669"/>
      <c r="NGT107" s="669"/>
      <c r="NGU107" s="669"/>
      <c r="NGV107" s="669"/>
      <c r="NGW107" s="669"/>
      <c r="NGX107" s="669"/>
      <c r="NGY107" s="669"/>
      <c r="NGZ107" s="669"/>
      <c r="NHA107" s="669"/>
      <c r="NHB107" s="669"/>
      <c r="NHC107" s="669"/>
      <c r="NHD107" s="669"/>
      <c r="NHE107" s="669"/>
      <c r="NHF107" s="669"/>
      <c r="NHG107" s="669"/>
      <c r="NHH107" s="669"/>
      <c r="NHI107" s="669"/>
      <c r="NHJ107" s="669"/>
      <c r="NHK107" s="669"/>
      <c r="NHL107" s="669"/>
      <c r="NHM107" s="669"/>
      <c r="NHN107" s="669"/>
      <c r="NHO107" s="669"/>
      <c r="NHP107" s="669"/>
      <c r="NHQ107" s="669"/>
      <c r="NHR107" s="669"/>
      <c r="NHS107" s="669"/>
      <c r="NHT107" s="669"/>
      <c r="NHU107" s="669"/>
      <c r="NHV107" s="669"/>
      <c r="NHW107" s="669"/>
      <c r="NHX107" s="669"/>
      <c r="NHY107" s="669"/>
      <c r="NHZ107" s="669"/>
      <c r="NIA107" s="669"/>
      <c r="NIB107" s="669"/>
      <c r="NIC107" s="669"/>
      <c r="NID107" s="669"/>
      <c r="NIE107" s="669"/>
      <c r="NIF107" s="669"/>
      <c r="NIG107" s="669"/>
      <c r="NIH107" s="669"/>
      <c r="NII107" s="669"/>
      <c r="NIJ107" s="669"/>
      <c r="NIK107" s="669"/>
      <c r="NIL107" s="669"/>
      <c r="NIM107" s="669"/>
      <c r="NIN107" s="669"/>
      <c r="NIO107" s="669"/>
      <c r="NIP107" s="669"/>
      <c r="NIQ107" s="669"/>
      <c r="NIR107" s="669"/>
      <c r="NIS107" s="669"/>
      <c r="NIT107" s="669"/>
      <c r="NIU107" s="669"/>
      <c r="NIV107" s="669"/>
      <c r="NIW107" s="669"/>
      <c r="NIX107" s="669"/>
      <c r="NIY107" s="669"/>
      <c r="NIZ107" s="669"/>
      <c r="NJA107" s="669"/>
      <c r="NJB107" s="669"/>
      <c r="NJC107" s="669"/>
      <c r="NJD107" s="669"/>
      <c r="NJE107" s="669"/>
      <c r="NJF107" s="669"/>
      <c r="NJG107" s="669"/>
      <c r="NJH107" s="669"/>
      <c r="NJI107" s="669"/>
      <c r="NJJ107" s="669"/>
      <c r="NJK107" s="669"/>
      <c r="NJL107" s="669"/>
      <c r="NJM107" s="669"/>
      <c r="NJN107" s="669"/>
      <c r="NJO107" s="669"/>
      <c r="NJP107" s="669"/>
      <c r="NJQ107" s="669"/>
      <c r="NJR107" s="669"/>
      <c r="NJS107" s="669"/>
      <c r="NJT107" s="669"/>
      <c r="NJU107" s="669"/>
      <c r="NJV107" s="669"/>
      <c r="NJW107" s="669"/>
      <c r="NJX107" s="669"/>
      <c r="NJY107" s="669"/>
      <c r="NJZ107" s="669"/>
      <c r="NKA107" s="669"/>
      <c r="NKB107" s="669"/>
      <c r="NKC107" s="669"/>
      <c r="NKD107" s="669"/>
      <c r="NKE107" s="669"/>
      <c r="NKF107" s="669"/>
      <c r="NKG107" s="669"/>
      <c r="NKH107" s="669"/>
      <c r="NKI107" s="669"/>
      <c r="NKJ107" s="669"/>
      <c r="NKK107" s="669"/>
      <c r="NKL107" s="669"/>
      <c r="NKM107" s="669"/>
      <c r="NKN107" s="669"/>
      <c r="NKO107" s="669"/>
      <c r="NKP107" s="669"/>
      <c r="NKQ107" s="669"/>
      <c r="NKR107" s="669"/>
      <c r="NKS107" s="669"/>
      <c r="NKT107" s="669"/>
      <c r="NKU107" s="669"/>
      <c r="NKV107" s="669"/>
      <c r="NKW107" s="669"/>
      <c r="NKX107" s="669"/>
      <c r="NKY107" s="669"/>
      <c r="NKZ107" s="669"/>
      <c r="NLA107" s="669"/>
      <c r="NLB107" s="669"/>
      <c r="NLC107" s="669"/>
      <c r="NLD107" s="669"/>
      <c r="NLE107" s="669"/>
      <c r="NLF107" s="669"/>
      <c r="NLG107" s="669"/>
      <c r="NLH107" s="669"/>
      <c r="NLI107" s="669"/>
      <c r="NLJ107" s="669"/>
      <c r="NLK107" s="669"/>
      <c r="NLL107" s="669"/>
      <c r="NLM107" s="669"/>
      <c r="NLN107" s="669"/>
      <c r="NLO107" s="669"/>
      <c r="NLP107" s="669"/>
      <c r="NLQ107" s="669"/>
      <c r="NLR107" s="669"/>
      <c r="NLS107" s="669"/>
      <c r="NLT107" s="669"/>
      <c r="NLU107" s="669"/>
      <c r="NLV107" s="669"/>
      <c r="NLW107" s="669"/>
      <c r="NLX107" s="669"/>
      <c r="NLY107" s="669"/>
      <c r="NLZ107" s="669"/>
      <c r="NMA107" s="669"/>
      <c r="NMB107" s="669"/>
      <c r="NMC107" s="669"/>
      <c r="NMD107" s="669"/>
      <c r="NME107" s="669"/>
      <c r="NMF107" s="669"/>
      <c r="NMG107" s="669"/>
      <c r="NMH107" s="669"/>
      <c r="NMI107" s="669"/>
      <c r="NMJ107" s="669"/>
      <c r="NMK107" s="669"/>
      <c r="NML107" s="669"/>
      <c r="NMM107" s="669"/>
      <c r="NMN107" s="669"/>
      <c r="NMO107" s="669"/>
      <c r="NMP107" s="669"/>
      <c r="NMQ107" s="669"/>
      <c r="NMR107" s="669"/>
      <c r="NMS107" s="669"/>
      <c r="NMT107" s="669"/>
      <c r="NMU107" s="669"/>
      <c r="NMV107" s="669"/>
      <c r="NMW107" s="669"/>
      <c r="NMX107" s="669"/>
      <c r="NMY107" s="669"/>
      <c r="NMZ107" s="669"/>
      <c r="NNA107" s="669"/>
      <c r="NNB107" s="669"/>
      <c r="NNC107" s="669"/>
      <c r="NND107" s="669"/>
      <c r="NNE107" s="669"/>
      <c r="NNF107" s="669"/>
      <c r="NNG107" s="669"/>
      <c r="NNH107" s="669"/>
      <c r="NNI107" s="669"/>
      <c r="NNJ107" s="669"/>
      <c r="NNK107" s="669"/>
      <c r="NNL107" s="669"/>
      <c r="NNM107" s="669"/>
      <c r="NNN107" s="669"/>
      <c r="NNO107" s="669"/>
      <c r="NNP107" s="669"/>
      <c r="NNQ107" s="669"/>
      <c r="NNR107" s="669"/>
      <c r="NNS107" s="669"/>
      <c r="NNT107" s="669"/>
      <c r="NNU107" s="669"/>
      <c r="NNV107" s="669"/>
      <c r="NNW107" s="669"/>
      <c r="NNX107" s="669"/>
      <c r="NNY107" s="669"/>
      <c r="NNZ107" s="669"/>
      <c r="NOA107" s="669"/>
      <c r="NOB107" s="669"/>
      <c r="NOC107" s="669"/>
      <c r="NOD107" s="669"/>
      <c r="NOE107" s="669"/>
      <c r="NOF107" s="669"/>
      <c r="NOG107" s="669"/>
      <c r="NOH107" s="669"/>
      <c r="NOI107" s="669"/>
      <c r="NOJ107" s="669"/>
      <c r="NOK107" s="669"/>
      <c r="NOL107" s="669"/>
      <c r="NOM107" s="669"/>
      <c r="NON107" s="669"/>
      <c r="NOO107" s="669"/>
      <c r="NOP107" s="669"/>
      <c r="NOQ107" s="669"/>
      <c r="NOR107" s="669"/>
      <c r="NOS107" s="669"/>
      <c r="NOT107" s="669"/>
      <c r="NOU107" s="669"/>
      <c r="NOV107" s="669"/>
      <c r="NOW107" s="669"/>
      <c r="NOX107" s="669"/>
      <c r="NOY107" s="669"/>
      <c r="NOZ107" s="669"/>
      <c r="NPA107" s="669"/>
      <c r="NPB107" s="669"/>
      <c r="NPC107" s="669"/>
      <c r="NPD107" s="669"/>
      <c r="NPE107" s="669"/>
      <c r="NPF107" s="669"/>
      <c r="NPG107" s="669"/>
      <c r="NPH107" s="669"/>
      <c r="NPI107" s="669"/>
      <c r="NPJ107" s="669"/>
      <c r="NPK107" s="669"/>
      <c r="NPL107" s="669"/>
      <c r="NPM107" s="669"/>
      <c r="NPN107" s="669"/>
      <c r="NPO107" s="669"/>
      <c r="NPP107" s="669"/>
      <c r="NPQ107" s="669"/>
      <c r="NPR107" s="669"/>
      <c r="NPS107" s="669"/>
      <c r="NPT107" s="669"/>
      <c r="NPU107" s="669"/>
      <c r="NPV107" s="669"/>
      <c r="NPW107" s="669"/>
      <c r="NPX107" s="669"/>
      <c r="NPY107" s="669"/>
      <c r="NPZ107" s="669"/>
      <c r="NQA107" s="669"/>
      <c r="NQB107" s="669"/>
      <c r="NQC107" s="669"/>
      <c r="NQD107" s="669"/>
      <c r="NQE107" s="669"/>
      <c r="NQF107" s="669"/>
      <c r="NQG107" s="669"/>
      <c r="NQH107" s="669"/>
      <c r="NQI107" s="669"/>
      <c r="NQJ107" s="669"/>
      <c r="NQK107" s="669"/>
      <c r="NQL107" s="669"/>
      <c r="NQM107" s="669"/>
      <c r="NQN107" s="669"/>
      <c r="NQO107" s="669"/>
      <c r="NQP107" s="669"/>
      <c r="NQQ107" s="669"/>
      <c r="NQR107" s="669"/>
      <c r="NQS107" s="669"/>
      <c r="NQT107" s="669"/>
      <c r="NQU107" s="669"/>
      <c r="NQV107" s="669"/>
      <c r="NQW107" s="669"/>
      <c r="NQX107" s="669"/>
      <c r="NQY107" s="669"/>
      <c r="NQZ107" s="669"/>
      <c r="NRA107" s="669"/>
      <c r="NRB107" s="669"/>
      <c r="NRC107" s="669"/>
      <c r="NRD107" s="669"/>
      <c r="NRE107" s="669"/>
      <c r="NRF107" s="669"/>
      <c r="NRG107" s="669"/>
      <c r="NRH107" s="669"/>
      <c r="NRI107" s="669"/>
      <c r="NRJ107" s="669"/>
      <c r="NRK107" s="669"/>
      <c r="NRL107" s="669"/>
      <c r="NRM107" s="669"/>
      <c r="NRN107" s="669"/>
      <c r="NRO107" s="669"/>
      <c r="NRP107" s="669"/>
      <c r="NRQ107" s="669"/>
      <c r="NRR107" s="669"/>
      <c r="NRS107" s="669"/>
      <c r="NRT107" s="669"/>
      <c r="NRU107" s="669"/>
      <c r="NRV107" s="669"/>
      <c r="NRW107" s="669"/>
      <c r="NRX107" s="669"/>
      <c r="NRY107" s="669"/>
      <c r="NRZ107" s="669"/>
      <c r="NSA107" s="669"/>
      <c r="NSB107" s="669"/>
      <c r="NSC107" s="669"/>
      <c r="NSD107" s="669"/>
      <c r="NSE107" s="669"/>
      <c r="NSF107" s="669"/>
      <c r="NSG107" s="669"/>
      <c r="NSH107" s="669"/>
      <c r="NSI107" s="669"/>
      <c r="NSJ107" s="669"/>
      <c r="NSK107" s="669"/>
      <c r="NSL107" s="669"/>
      <c r="NSM107" s="669"/>
      <c r="NSN107" s="669"/>
      <c r="NSO107" s="669"/>
      <c r="NSP107" s="669"/>
      <c r="NSQ107" s="669"/>
      <c r="NSR107" s="669"/>
      <c r="NSS107" s="669"/>
      <c r="NST107" s="669"/>
      <c r="NSU107" s="669"/>
      <c r="NSV107" s="669"/>
      <c r="NSW107" s="669"/>
      <c r="NSX107" s="669"/>
      <c r="NSY107" s="669"/>
      <c r="NSZ107" s="669"/>
      <c r="NTA107" s="669"/>
      <c r="NTB107" s="669"/>
      <c r="NTC107" s="669"/>
      <c r="NTD107" s="669"/>
      <c r="NTE107" s="669"/>
      <c r="NTF107" s="669"/>
      <c r="NTG107" s="669"/>
      <c r="NTH107" s="669"/>
      <c r="NTI107" s="669"/>
      <c r="NTJ107" s="669"/>
      <c r="NTK107" s="669"/>
      <c r="NTL107" s="669"/>
      <c r="NTM107" s="669"/>
      <c r="NTN107" s="669"/>
      <c r="NTO107" s="669"/>
      <c r="NTP107" s="669"/>
      <c r="NTQ107" s="669"/>
      <c r="NTR107" s="669"/>
      <c r="NTS107" s="669"/>
      <c r="NTT107" s="669"/>
      <c r="NTU107" s="669"/>
      <c r="NTV107" s="669"/>
      <c r="NTW107" s="669"/>
      <c r="NTX107" s="669"/>
      <c r="NTY107" s="669"/>
      <c r="NTZ107" s="669"/>
      <c r="NUA107" s="669"/>
      <c r="NUB107" s="669"/>
      <c r="NUC107" s="669"/>
      <c r="NUD107" s="669"/>
      <c r="NUE107" s="669"/>
      <c r="NUF107" s="669"/>
      <c r="NUG107" s="669"/>
      <c r="NUH107" s="669"/>
      <c r="NUI107" s="669"/>
      <c r="NUJ107" s="669"/>
      <c r="NUK107" s="669"/>
      <c r="NUL107" s="669"/>
      <c r="NUM107" s="669"/>
      <c r="NUN107" s="669"/>
      <c r="NUO107" s="669"/>
      <c r="NUP107" s="669"/>
      <c r="NUQ107" s="669"/>
      <c r="NUR107" s="669"/>
      <c r="NUS107" s="669"/>
      <c r="NUT107" s="669"/>
      <c r="NUU107" s="669"/>
      <c r="NUV107" s="669"/>
      <c r="NUW107" s="669"/>
      <c r="NUX107" s="669"/>
      <c r="NUY107" s="669"/>
      <c r="NUZ107" s="669"/>
      <c r="NVA107" s="669"/>
      <c r="NVB107" s="669"/>
      <c r="NVC107" s="669"/>
      <c r="NVD107" s="669"/>
      <c r="NVE107" s="669"/>
      <c r="NVF107" s="669"/>
      <c r="NVG107" s="669"/>
      <c r="NVH107" s="669"/>
      <c r="NVI107" s="669"/>
      <c r="NVJ107" s="669"/>
      <c r="NVK107" s="669"/>
      <c r="NVL107" s="669"/>
      <c r="NVM107" s="669"/>
      <c r="NVN107" s="669"/>
      <c r="NVO107" s="669"/>
      <c r="NVP107" s="669"/>
      <c r="NVQ107" s="669"/>
      <c r="NVR107" s="669"/>
      <c r="NVS107" s="669"/>
      <c r="NVT107" s="669"/>
      <c r="NVU107" s="669"/>
      <c r="NVV107" s="669"/>
      <c r="NVW107" s="669"/>
      <c r="NVX107" s="669"/>
      <c r="NVY107" s="669"/>
      <c r="NVZ107" s="669"/>
      <c r="NWA107" s="669"/>
      <c r="NWB107" s="669"/>
      <c r="NWC107" s="669"/>
      <c r="NWD107" s="669"/>
      <c r="NWE107" s="669"/>
      <c r="NWF107" s="669"/>
      <c r="NWG107" s="669"/>
      <c r="NWH107" s="669"/>
      <c r="NWI107" s="669"/>
      <c r="NWJ107" s="669"/>
      <c r="NWK107" s="669"/>
      <c r="NWL107" s="669"/>
      <c r="NWM107" s="669"/>
      <c r="NWN107" s="669"/>
      <c r="NWO107" s="669"/>
      <c r="NWP107" s="669"/>
      <c r="NWQ107" s="669"/>
      <c r="NWR107" s="669"/>
      <c r="NWS107" s="669"/>
      <c r="NWT107" s="669"/>
      <c r="NWU107" s="669"/>
      <c r="NWV107" s="669"/>
      <c r="NWW107" s="669"/>
      <c r="NWX107" s="669"/>
      <c r="NWY107" s="669"/>
      <c r="NWZ107" s="669"/>
      <c r="NXA107" s="669"/>
      <c r="NXB107" s="669"/>
      <c r="NXC107" s="669"/>
      <c r="NXD107" s="669"/>
      <c r="NXE107" s="669"/>
      <c r="NXF107" s="669"/>
      <c r="NXG107" s="669"/>
      <c r="NXH107" s="669"/>
      <c r="NXI107" s="669"/>
      <c r="NXJ107" s="669"/>
      <c r="NXK107" s="669"/>
      <c r="NXL107" s="669"/>
      <c r="NXM107" s="669"/>
      <c r="NXN107" s="669"/>
      <c r="NXO107" s="669"/>
      <c r="NXP107" s="669"/>
      <c r="NXQ107" s="669"/>
      <c r="NXR107" s="669"/>
      <c r="NXS107" s="669"/>
      <c r="NXT107" s="669"/>
      <c r="NXU107" s="669"/>
      <c r="NXV107" s="669"/>
      <c r="NXW107" s="669"/>
      <c r="NXX107" s="669"/>
      <c r="NXY107" s="669"/>
      <c r="NXZ107" s="669"/>
      <c r="NYA107" s="669"/>
      <c r="NYB107" s="669"/>
      <c r="NYC107" s="669"/>
      <c r="NYD107" s="669"/>
      <c r="NYE107" s="669"/>
      <c r="NYF107" s="669"/>
      <c r="NYG107" s="669"/>
      <c r="NYH107" s="669"/>
      <c r="NYI107" s="669"/>
      <c r="NYJ107" s="669"/>
      <c r="NYK107" s="669"/>
      <c r="NYL107" s="669"/>
      <c r="NYM107" s="669"/>
      <c r="NYN107" s="669"/>
      <c r="NYO107" s="669"/>
      <c r="NYP107" s="669"/>
      <c r="NYQ107" s="669"/>
      <c r="NYR107" s="669"/>
      <c r="NYS107" s="669"/>
      <c r="NYT107" s="669"/>
      <c r="NYU107" s="669"/>
      <c r="NYV107" s="669"/>
      <c r="NYW107" s="669"/>
      <c r="NYX107" s="669"/>
      <c r="NYY107" s="669"/>
      <c r="NYZ107" s="669"/>
      <c r="NZA107" s="669"/>
      <c r="NZB107" s="669"/>
      <c r="NZC107" s="669"/>
      <c r="NZD107" s="669"/>
      <c r="NZE107" s="669"/>
      <c r="NZF107" s="669"/>
      <c r="NZG107" s="669"/>
      <c r="NZH107" s="669"/>
      <c r="NZI107" s="669"/>
      <c r="NZJ107" s="669"/>
      <c r="NZK107" s="669"/>
      <c r="NZL107" s="669"/>
      <c r="NZM107" s="669"/>
      <c r="NZN107" s="669"/>
      <c r="NZO107" s="669"/>
      <c r="NZP107" s="669"/>
      <c r="NZQ107" s="669"/>
      <c r="NZR107" s="669"/>
      <c r="NZS107" s="669"/>
      <c r="NZT107" s="669"/>
      <c r="NZU107" s="669"/>
      <c r="NZV107" s="669"/>
      <c r="NZW107" s="669"/>
      <c r="NZX107" s="669"/>
      <c r="NZY107" s="669"/>
      <c r="NZZ107" s="669"/>
      <c r="OAA107" s="669"/>
      <c r="OAB107" s="669"/>
      <c r="OAC107" s="669"/>
      <c r="OAD107" s="669"/>
      <c r="OAE107" s="669"/>
      <c r="OAF107" s="669"/>
      <c r="OAG107" s="669"/>
      <c r="OAH107" s="669"/>
      <c r="OAI107" s="669"/>
      <c r="OAJ107" s="669"/>
      <c r="OAK107" s="669"/>
      <c r="OAL107" s="669"/>
      <c r="OAM107" s="669"/>
      <c r="OAN107" s="669"/>
      <c r="OAO107" s="669"/>
      <c r="OAP107" s="669"/>
      <c r="OAQ107" s="669"/>
      <c r="OAR107" s="669"/>
      <c r="OAS107" s="669"/>
      <c r="OAT107" s="669"/>
      <c r="OAU107" s="669"/>
      <c r="OAV107" s="669"/>
      <c r="OAW107" s="669"/>
      <c r="OAX107" s="669"/>
      <c r="OAY107" s="669"/>
      <c r="OAZ107" s="669"/>
      <c r="OBA107" s="669"/>
      <c r="OBB107" s="669"/>
      <c r="OBC107" s="669"/>
      <c r="OBD107" s="669"/>
      <c r="OBE107" s="669"/>
      <c r="OBF107" s="669"/>
      <c r="OBG107" s="669"/>
      <c r="OBH107" s="669"/>
      <c r="OBI107" s="669"/>
      <c r="OBJ107" s="669"/>
      <c r="OBK107" s="669"/>
      <c r="OBL107" s="669"/>
      <c r="OBM107" s="669"/>
      <c r="OBN107" s="669"/>
      <c r="OBO107" s="669"/>
      <c r="OBP107" s="669"/>
      <c r="OBQ107" s="669"/>
      <c r="OBR107" s="669"/>
      <c r="OBS107" s="669"/>
      <c r="OBT107" s="669"/>
      <c r="OBU107" s="669"/>
      <c r="OBV107" s="669"/>
      <c r="OBW107" s="669"/>
      <c r="OBX107" s="669"/>
      <c r="OBY107" s="669"/>
      <c r="OBZ107" s="669"/>
      <c r="OCA107" s="669"/>
      <c r="OCB107" s="669"/>
      <c r="OCC107" s="669"/>
      <c r="OCD107" s="669"/>
      <c r="OCE107" s="669"/>
      <c r="OCF107" s="669"/>
      <c r="OCG107" s="669"/>
      <c r="OCH107" s="669"/>
      <c r="OCI107" s="669"/>
      <c r="OCJ107" s="669"/>
      <c r="OCK107" s="669"/>
      <c r="OCL107" s="669"/>
      <c r="OCM107" s="669"/>
      <c r="OCN107" s="669"/>
      <c r="OCO107" s="669"/>
      <c r="OCP107" s="669"/>
      <c r="OCQ107" s="669"/>
      <c r="OCR107" s="669"/>
      <c r="OCS107" s="669"/>
      <c r="OCT107" s="669"/>
      <c r="OCU107" s="669"/>
      <c r="OCV107" s="669"/>
      <c r="OCW107" s="669"/>
      <c r="OCX107" s="669"/>
      <c r="OCY107" s="669"/>
      <c r="OCZ107" s="669"/>
      <c r="ODA107" s="669"/>
      <c r="ODB107" s="669"/>
      <c r="ODC107" s="669"/>
      <c r="ODD107" s="669"/>
      <c r="ODE107" s="669"/>
      <c r="ODF107" s="669"/>
      <c r="ODG107" s="669"/>
      <c r="ODH107" s="669"/>
      <c r="ODI107" s="669"/>
      <c r="ODJ107" s="669"/>
      <c r="ODK107" s="669"/>
      <c r="ODL107" s="669"/>
      <c r="ODM107" s="669"/>
      <c r="ODN107" s="669"/>
      <c r="ODO107" s="669"/>
      <c r="ODP107" s="669"/>
      <c r="ODQ107" s="669"/>
      <c r="ODR107" s="669"/>
      <c r="ODS107" s="669"/>
      <c r="ODT107" s="669"/>
      <c r="ODU107" s="669"/>
      <c r="ODV107" s="669"/>
      <c r="ODW107" s="669"/>
      <c r="ODX107" s="669"/>
      <c r="ODY107" s="669"/>
      <c r="ODZ107" s="669"/>
      <c r="OEA107" s="669"/>
      <c r="OEB107" s="669"/>
      <c r="OEC107" s="669"/>
      <c r="OED107" s="669"/>
      <c r="OEE107" s="669"/>
      <c r="OEF107" s="669"/>
      <c r="OEG107" s="669"/>
      <c r="OEH107" s="669"/>
      <c r="OEI107" s="669"/>
      <c r="OEJ107" s="669"/>
      <c r="OEK107" s="669"/>
      <c r="OEL107" s="669"/>
      <c r="OEM107" s="669"/>
      <c r="OEN107" s="669"/>
      <c r="OEO107" s="669"/>
      <c r="OEP107" s="669"/>
      <c r="OEQ107" s="669"/>
      <c r="OER107" s="669"/>
      <c r="OES107" s="669"/>
      <c r="OET107" s="669"/>
      <c r="OEU107" s="669"/>
      <c r="OEV107" s="669"/>
      <c r="OEW107" s="669"/>
      <c r="OEX107" s="669"/>
      <c r="OEY107" s="669"/>
      <c r="OEZ107" s="669"/>
      <c r="OFA107" s="669"/>
      <c r="OFB107" s="669"/>
      <c r="OFC107" s="669"/>
      <c r="OFD107" s="669"/>
      <c r="OFE107" s="669"/>
      <c r="OFF107" s="669"/>
      <c r="OFG107" s="669"/>
      <c r="OFH107" s="669"/>
      <c r="OFI107" s="669"/>
      <c r="OFJ107" s="669"/>
      <c r="OFK107" s="669"/>
      <c r="OFL107" s="669"/>
      <c r="OFM107" s="669"/>
      <c r="OFN107" s="669"/>
      <c r="OFO107" s="669"/>
      <c r="OFP107" s="669"/>
      <c r="OFQ107" s="669"/>
      <c r="OFR107" s="669"/>
      <c r="OFS107" s="669"/>
      <c r="OFT107" s="669"/>
      <c r="OFU107" s="669"/>
      <c r="OFV107" s="669"/>
      <c r="OFW107" s="669"/>
      <c r="OFX107" s="669"/>
      <c r="OFY107" s="669"/>
      <c r="OFZ107" s="669"/>
      <c r="OGA107" s="669"/>
      <c r="OGB107" s="669"/>
      <c r="OGC107" s="669"/>
      <c r="OGD107" s="669"/>
      <c r="OGE107" s="669"/>
      <c r="OGF107" s="669"/>
      <c r="OGG107" s="669"/>
      <c r="OGH107" s="669"/>
      <c r="OGI107" s="669"/>
      <c r="OGJ107" s="669"/>
      <c r="OGK107" s="669"/>
      <c r="OGL107" s="669"/>
      <c r="OGM107" s="669"/>
      <c r="OGN107" s="669"/>
      <c r="OGO107" s="669"/>
      <c r="OGP107" s="669"/>
      <c r="OGQ107" s="669"/>
      <c r="OGR107" s="669"/>
      <c r="OGS107" s="669"/>
      <c r="OGT107" s="669"/>
      <c r="OGU107" s="669"/>
      <c r="OGV107" s="669"/>
      <c r="OGW107" s="669"/>
      <c r="OGX107" s="669"/>
      <c r="OGY107" s="669"/>
      <c r="OGZ107" s="669"/>
      <c r="OHA107" s="669"/>
      <c r="OHB107" s="669"/>
      <c r="OHC107" s="669"/>
      <c r="OHD107" s="669"/>
      <c r="OHE107" s="669"/>
      <c r="OHF107" s="669"/>
      <c r="OHG107" s="669"/>
      <c r="OHH107" s="669"/>
      <c r="OHI107" s="669"/>
      <c r="OHJ107" s="669"/>
      <c r="OHK107" s="669"/>
      <c r="OHL107" s="669"/>
      <c r="OHM107" s="669"/>
      <c r="OHN107" s="669"/>
      <c r="OHO107" s="669"/>
      <c r="OHP107" s="669"/>
      <c r="OHQ107" s="669"/>
      <c r="OHR107" s="669"/>
      <c r="OHS107" s="669"/>
      <c r="OHT107" s="669"/>
      <c r="OHU107" s="669"/>
      <c r="OHV107" s="669"/>
      <c r="OHW107" s="669"/>
      <c r="OHX107" s="669"/>
      <c r="OHY107" s="669"/>
      <c r="OHZ107" s="669"/>
      <c r="OIA107" s="669"/>
      <c r="OIB107" s="669"/>
      <c r="OIC107" s="669"/>
      <c r="OID107" s="669"/>
      <c r="OIE107" s="669"/>
      <c r="OIF107" s="669"/>
      <c r="OIG107" s="669"/>
      <c r="OIH107" s="669"/>
      <c r="OII107" s="669"/>
      <c r="OIJ107" s="669"/>
      <c r="OIK107" s="669"/>
      <c r="OIL107" s="669"/>
      <c r="OIM107" s="669"/>
      <c r="OIN107" s="669"/>
      <c r="OIO107" s="669"/>
      <c r="OIP107" s="669"/>
      <c r="OIQ107" s="669"/>
      <c r="OIR107" s="669"/>
      <c r="OIS107" s="669"/>
      <c r="OIT107" s="669"/>
      <c r="OIU107" s="669"/>
      <c r="OIV107" s="669"/>
      <c r="OIW107" s="669"/>
      <c r="OIX107" s="669"/>
      <c r="OIY107" s="669"/>
      <c r="OIZ107" s="669"/>
      <c r="OJA107" s="669"/>
      <c r="OJB107" s="669"/>
      <c r="OJC107" s="669"/>
      <c r="OJD107" s="669"/>
      <c r="OJE107" s="669"/>
      <c r="OJF107" s="669"/>
      <c r="OJG107" s="669"/>
      <c r="OJH107" s="669"/>
      <c r="OJI107" s="669"/>
      <c r="OJJ107" s="669"/>
      <c r="OJK107" s="669"/>
      <c r="OJL107" s="669"/>
      <c r="OJM107" s="669"/>
      <c r="OJN107" s="669"/>
      <c r="OJO107" s="669"/>
      <c r="OJP107" s="669"/>
      <c r="OJQ107" s="669"/>
      <c r="OJR107" s="669"/>
      <c r="OJS107" s="669"/>
      <c r="OJT107" s="669"/>
      <c r="OJU107" s="669"/>
      <c r="OJV107" s="669"/>
      <c r="OJW107" s="669"/>
      <c r="OJX107" s="669"/>
      <c r="OJY107" s="669"/>
      <c r="OJZ107" s="669"/>
      <c r="OKA107" s="669"/>
      <c r="OKB107" s="669"/>
      <c r="OKC107" s="669"/>
      <c r="OKD107" s="669"/>
      <c r="OKE107" s="669"/>
      <c r="OKF107" s="669"/>
      <c r="OKG107" s="669"/>
      <c r="OKH107" s="669"/>
      <c r="OKI107" s="669"/>
      <c r="OKJ107" s="669"/>
      <c r="OKK107" s="669"/>
      <c r="OKL107" s="669"/>
      <c r="OKM107" s="669"/>
      <c r="OKN107" s="669"/>
      <c r="OKO107" s="669"/>
      <c r="OKP107" s="669"/>
      <c r="OKQ107" s="669"/>
      <c r="OKR107" s="669"/>
      <c r="OKS107" s="669"/>
      <c r="OKT107" s="669"/>
      <c r="OKU107" s="669"/>
      <c r="OKV107" s="669"/>
      <c r="OKW107" s="669"/>
      <c r="OKX107" s="669"/>
      <c r="OKY107" s="669"/>
      <c r="OKZ107" s="669"/>
      <c r="OLA107" s="669"/>
      <c r="OLB107" s="669"/>
      <c r="OLC107" s="669"/>
      <c r="OLD107" s="669"/>
      <c r="OLE107" s="669"/>
      <c r="OLF107" s="669"/>
      <c r="OLG107" s="669"/>
      <c r="OLH107" s="669"/>
      <c r="OLI107" s="669"/>
      <c r="OLJ107" s="669"/>
      <c r="OLK107" s="669"/>
      <c r="OLL107" s="669"/>
      <c r="OLM107" s="669"/>
      <c r="OLN107" s="669"/>
      <c r="OLO107" s="669"/>
      <c r="OLP107" s="669"/>
      <c r="OLQ107" s="669"/>
      <c r="OLR107" s="669"/>
      <c r="OLS107" s="669"/>
      <c r="OLT107" s="669"/>
      <c r="OLU107" s="669"/>
      <c r="OLV107" s="669"/>
      <c r="OLW107" s="669"/>
      <c r="OLX107" s="669"/>
      <c r="OLY107" s="669"/>
      <c r="OLZ107" s="669"/>
      <c r="OMA107" s="669"/>
      <c r="OMB107" s="669"/>
      <c r="OMC107" s="669"/>
      <c r="OMD107" s="669"/>
      <c r="OME107" s="669"/>
      <c r="OMF107" s="669"/>
      <c r="OMG107" s="669"/>
      <c r="OMH107" s="669"/>
      <c r="OMI107" s="669"/>
      <c r="OMJ107" s="669"/>
      <c r="OMK107" s="669"/>
      <c r="OML107" s="669"/>
      <c r="OMM107" s="669"/>
      <c r="OMN107" s="669"/>
      <c r="OMO107" s="669"/>
      <c r="OMP107" s="669"/>
      <c r="OMQ107" s="669"/>
      <c r="OMR107" s="669"/>
      <c r="OMS107" s="669"/>
      <c r="OMT107" s="669"/>
      <c r="OMU107" s="669"/>
      <c r="OMV107" s="669"/>
      <c r="OMW107" s="669"/>
      <c r="OMX107" s="669"/>
      <c r="OMY107" s="669"/>
      <c r="OMZ107" s="669"/>
      <c r="ONA107" s="669"/>
      <c r="ONB107" s="669"/>
      <c r="ONC107" s="669"/>
      <c r="OND107" s="669"/>
      <c r="ONE107" s="669"/>
      <c r="ONF107" s="669"/>
      <c r="ONG107" s="669"/>
      <c r="ONH107" s="669"/>
      <c r="ONI107" s="669"/>
      <c r="ONJ107" s="669"/>
      <c r="ONK107" s="669"/>
      <c r="ONL107" s="669"/>
      <c r="ONM107" s="669"/>
      <c r="ONN107" s="669"/>
      <c r="ONO107" s="669"/>
      <c r="ONP107" s="669"/>
      <c r="ONQ107" s="669"/>
      <c r="ONR107" s="669"/>
      <c r="ONS107" s="669"/>
      <c r="ONT107" s="669"/>
      <c r="ONU107" s="669"/>
      <c r="ONV107" s="669"/>
      <c r="ONW107" s="669"/>
      <c r="ONX107" s="669"/>
      <c r="ONY107" s="669"/>
      <c r="ONZ107" s="669"/>
      <c r="OOA107" s="669"/>
      <c r="OOB107" s="669"/>
      <c r="OOC107" s="669"/>
      <c r="OOD107" s="669"/>
      <c r="OOE107" s="669"/>
      <c r="OOF107" s="669"/>
      <c r="OOG107" s="669"/>
      <c r="OOH107" s="669"/>
      <c r="OOI107" s="669"/>
      <c r="OOJ107" s="669"/>
      <c r="OOK107" s="669"/>
      <c r="OOL107" s="669"/>
      <c r="OOM107" s="669"/>
      <c r="OON107" s="669"/>
      <c r="OOO107" s="669"/>
      <c r="OOP107" s="669"/>
      <c r="OOQ107" s="669"/>
      <c r="OOR107" s="669"/>
      <c r="OOS107" s="669"/>
      <c r="OOT107" s="669"/>
      <c r="OOU107" s="669"/>
      <c r="OOV107" s="669"/>
      <c r="OOW107" s="669"/>
      <c r="OOX107" s="669"/>
      <c r="OOY107" s="669"/>
      <c r="OOZ107" s="669"/>
      <c r="OPA107" s="669"/>
      <c r="OPB107" s="669"/>
      <c r="OPC107" s="669"/>
      <c r="OPD107" s="669"/>
      <c r="OPE107" s="669"/>
      <c r="OPF107" s="669"/>
      <c r="OPG107" s="669"/>
      <c r="OPH107" s="669"/>
      <c r="OPI107" s="669"/>
      <c r="OPJ107" s="669"/>
      <c r="OPK107" s="669"/>
      <c r="OPL107" s="669"/>
      <c r="OPM107" s="669"/>
      <c r="OPN107" s="669"/>
      <c r="OPO107" s="669"/>
      <c r="OPP107" s="669"/>
      <c r="OPQ107" s="669"/>
      <c r="OPR107" s="669"/>
      <c r="OPS107" s="669"/>
      <c r="OPT107" s="669"/>
      <c r="OPU107" s="669"/>
      <c r="OPV107" s="669"/>
      <c r="OPW107" s="669"/>
      <c r="OPX107" s="669"/>
      <c r="OPY107" s="669"/>
      <c r="OPZ107" s="669"/>
      <c r="OQA107" s="669"/>
      <c r="OQB107" s="669"/>
      <c r="OQC107" s="669"/>
      <c r="OQD107" s="669"/>
      <c r="OQE107" s="669"/>
      <c r="OQF107" s="669"/>
      <c r="OQG107" s="669"/>
      <c r="OQH107" s="669"/>
      <c r="OQI107" s="669"/>
      <c r="OQJ107" s="669"/>
      <c r="OQK107" s="669"/>
      <c r="OQL107" s="669"/>
      <c r="OQM107" s="669"/>
      <c r="OQN107" s="669"/>
      <c r="OQO107" s="669"/>
      <c r="OQP107" s="669"/>
      <c r="OQQ107" s="669"/>
      <c r="OQR107" s="669"/>
      <c r="OQS107" s="669"/>
      <c r="OQT107" s="669"/>
      <c r="OQU107" s="669"/>
      <c r="OQV107" s="669"/>
      <c r="OQW107" s="669"/>
      <c r="OQX107" s="669"/>
      <c r="OQY107" s="669"/>
      <c r="OQZ107" s="669"/>
      <c r="ORA107" s="669"/>
      <c r="ORB107" s="669"/>
      <c r="ORC107" s="669"/>
      <c r="ORD107" s="669"/>
      <c r="ORE107" s="669"/>
      <c r="ORF107" s="669"/>
      <c r="ORG107" s="669"/>
      <c r="ORH107" s="669"/>
      <c r="ORI107" s="669"/>
      <c r="ORJ107" s="669"/>
      <c r="ORK107" s="669"/>
      <c r="ORL107" s="669"/>
      <c r="ORM107" s="669"/>
      <c r="ORN107" s="669"/>
      <c r="ORO107" s="669"/>
      <c r="ORP107" s="669"/>
      <c r="ORQ107" s="669"/>
      <c r="ORR107" s="669"/>
      <c r="ORS107" s="669"/>
      <c r="ORT107" s="669"/>
      <c r="ORU107" s="669"/>
      <c r="ORV107" s="669"/>
      <c r="ORW107" s="669"/>
      <c r="ORX107" s="669"/>
      <c r="ORY107" s="669"/>
      <c r="ORZ107" s="669"/>
      <c r="OSA107" s="669"/>
      <c r="OSB107" s="669"/>
      <c r="OSC107" s="669"/>
      <c r="OSD107" s="669"/>
      <c r="OSE107" s="669"/>
      <c r="OSF107" s="669"/>
      <c r="OSG107" s="669"/>
      <c r="OSH107" s="669"/>
      <c r="OSI107" s="669"/>
      <c r="OSJ107" s="669"/>
      <c r="OSK107" s="669"/>
      <c r="OSL107" s="669"/>
      <c r="OSM107" s="669"/>
      <c r="OSN107" s="669"/>
      <c r="OSO107" s="669"/>
      <c r="OSP107" s="669"/>
      <c r="OSQ107" s="669"/>
      <c r="OSR107" s="669"/>
      <c r="OSS107" s="669"/>
      <c r="OST107" s="669"/>
      <c r="OSU107" s="669"/>
      <c r="OSV107" s="669"/>
      <c r="OSW107" s="669"/>
      <c r="OSX107" s="669"/>
      <c r="OSY107" s="669"/>
      <c r="OSZ107" s="669"/>
      <c r="OTA107" s="669"/>
      <c r="OTB107" s="669"/>
      <c r="OTC107" s="669"/>
      <c r="OTD107" s="669"/>
      <c r="OTE107" s="669"/>
      <c r="OTF107" s="669"/>
      <c r="OTG107" s="669"/>
      <c r="OTH107" s="669"/>
      <c r="OTI107" s="669"/>
      <c r="OTJ107" s="669"/>
      <c r="OTK107" s="669"/>
      <c r="OTL107" s="669"/>
      <c r="OTM107" s="669"/>
      <c r="OTN107" s="669"/>
      <c r="OTO107" s="669"/>
      <c r="OTP107" s="669"/>
      <c r="OTQ107" s="669"/>
      <c r="OTR107" s="669"/>
      <c r="OTS107" s="669"/>
      <c r="OTT107" s="669"/>
      <c r="OTU107" s="669"/>
      <c r="OTV107" s="669"/>
      <c r="OTW107" s="669"/>
      <c r="OTX107" s="669"/>
      <c r="OTY107" s="669"/>
      <c r="OTZ107" s="669"/>
      <c r="OUA107" s="669"/>
      <c r="OUB107" s="669"/>
      <c r="OUC107" s="669"/>
      <c r="OUD107" s="669"/>
      <c r="OUE107" s="669"/>
      <c r="OUF107" s="669"/>
      <c r="OUG107" s="669"/>
      <c r="OUH107" s="669"/>
      <c r="OUI107" s="669"/>
      <c r="OUJ107" s="669"/>
      <c r="OUK107" s="669"/>
      <c r="OUL107" s="669"/>
      <c r="OUM107" s="669"/>
      <c r="OUN107" s="669"/>
      <c r="OUO107" s="669"/>
      <c r="OUP107" s="669"/>
      <c r="OUQ107" s="669"/>
      <c r="OUR107" s="669"/>
      <c r="OUS107" s="669"/>
      <c r="OUT107" s="669"/>
      <c r="OUU107" s="669"/>
      <c r="OUV107" s="669"/>
      <c r="OUW107" s="669"/>
      <c r="OUX107" s="669"/>
      <c r="OUY107" s="669"/>
      <c r="OUZ107" s="669"/>
      <c r="OVA107" s="669"/>
      <c r="OVB107" s="669"/>
      <c r="OVC107" s="669"/>
      <c r="OVD107" s="669"/>
      <c r="OVE107" s="669"/>
      <c r="OVF107" s="669"/>
      <c r="OVG107" s="669"/>
      <c r="OVH107" s="669"/>
      <c r="OVI107" s="669"/>
      <c r="OVJ107" s="669"/>
      <c r="OVK107" s="669"/>
      <c r="OVL107" s="669"/>
      <c r="OVM107" s="669"/>
      <c r="OVN107" s="669"/>
      <c r="OVO107" s="669"/>
      <c r="OVP107" s="669"/>
      <c r="OVQ107" s="669"/>
      <c r="OVR107" s="669"/>
      <c r="OVS107" s="669"/>
      <c r="OVT107" s="669"/>
      <c r="OVU107" s="669"/>
      <c r="OVV107" s="669"/>
      <c r="OVW107" s="669"/>
      <c r="OVX107" s="669"/>
      <c r="OVY107" s="669"/>
      <c r="OVZ107" s="669"/>
      <c r="OWA107" s="669"/>
      <c r="OWB107" s="669"/>
      <c r="OWC107" s="669"/>
      <c r="OWD107" s="669"/>
      <c r="OWE107" s="669"/>
      <c r="OWF107" s="669"/>
      <c r="OWG107" s="669"/>
      <c r="OWH107" s="669"/>
      <c r="OWI107" s="669"/>
      <c r="OWJ107" s="669"/>
      <c r="OWK107" s="669"/>
      <c r="OWL107" s="669"/>
      <c r="OWM107" s="669"/>
      <c r="OWN107" s="669"/>
      <c r="OWO107" s="669"/>
      <c r="OWP107" s="669"/>
      <c r="OWQ107" s="669"/>
      <c r="OWR107" s="669"/>
      <c r="OWS107" s="669"/>
      <c r="OWT107" s="669"/>
      <c r="OWU107" s="669"/>
      <c r="OWV107" s="669"/>
      <c r="OWW107" s="669"/>
      <c r="OWX107" s="669"/>
      <c r="OWY107" s="669"/>
      <c r="OWZ107" s="669"/>
      <c r="OXA107" s="669"/>
      <c r="OXB107" s="669"/>
      <c r="OXC107" s="669"/>
      <c r="OXD107" s="669"/>
      <c r="OXE107" s="669"/>
      <c r="OXF107" s="669"/>
      <c r="OXG107" s="669"/>
      <c r="OXH107" s="669"/>
      <c r="OXI107" s="669"/>
      <c r="OXJ107" s="669"/>
      <c r="OXK107" s="669"/>
      <c r="OXL107" s="669"/>
      <c r="OXM107" s="669"/>
      <c r="OXN107" s="669"/>
      <c r="OXO107" s="669"/>
      <c r="OXP107" s="669"/>
      <c r="OXQ107" s="669"/>
      <c r="OXR107" s="669"/>
      <c r="OXS107" s="669"/>
      <c r="OXT107" s="669"/>
      <c r="OXU107" s="669"/>
      <c r="OXV107" s="669"/>
      <c r="OXW107" s="669"/>
      <c r="OXX107" s="669"/>
      <c r="OXY107" s="669"/>
      <c r="OXZ107" s="669"/>
      <c r="OYA107" s="669"/>
      <c r="OYB107" s="669"/>
      <c r="OYC107" s="669"/>
      <c r="OYD107" s="669"/>
      <c r="OYE107" s="669"/>
      <c r="OYF107" s="669"/>
      <c r="OYG107" s="669"/>
      <c r="OYH107" s="669"/>
      <c r="OYI107" s="669"/>
      <c r="OYJ107" s="669"/>
      <c r="OYK107" s="669"/>
      <c r="OYL107" s="669"/>
      <c r="OYM107" s="669"/>
      <c r="OYN107" s="669"/>
      <c r="OYO107" s="669"/>
      <c r="OYP107" s="669"/>
      <c r="OYQ107" s="669"/>
      <c r="OYR107" s="669"/>
      <c r="OYS107" s="669"/>
      <c r="OYT107" s="669"/>
      <c r="OYU107" s="669"/>
      <c r="OYV107" s="669"/>
      <c r="OYW107" s="669"/>
      <c r="OYX107" s="669"/>
      <c r="OYY107" s="669"/>
      <c r="OYZ107" s="669"/>
      <c r="OZA107" s="669"/>
      <c r="OZB107" s="669"/>
      <c r="OZC107" s="669"/>
      <c r="OZD107" s="669"/>
      <c r="OZE107" s="669"/>
      <c r="OZF107" s="669"/>
      <c r="OZG107" s="669"/>
      <c r="OZH107" s="669"/>
      <c r="OZI107" s="669"/>
      <c r="OZJ107" s="669"/>
      <c r="OZK107" s="669"/>
      <c r="OZL107" s="669"/>
      <c r="OZM107" s="669"/>
      <c r="OZN107" s="669"/>
      <c r="OZO107" s="669"/>
      <c r="OZP107" s="669"/>
      <c r="OZQ107" s="669"/>
      <c r="OZR107" s="669"/>
      <c r="OZS107" s="669"/>
      <c r="OZT107" s="669"/>
      <c r="OZU107" s="669"/>
      <c r="OZV107" s="669"/>
      <c r="OZW107" s="669"/>
      <c r="OZX107" s="669"/>
      <c r="OZY107" s="669"/>
      <c r="OZZ107" s="669"/>
      <c r="PAA107" s="669"/>
      <c r="PAB107" s="669"/>
      <c r="PAC107" s="669"/>
      <c r="PAD107" s="669"/>
      <c r="PAE107" s="669"/>
      <c r="PAF107" s="669"/>
      <c r="PAG107" s="669"/>
      <c r="PAH107" s="669"/>
      <c r="PAI107" s="669"/>
      <c r="PAJ107" s="669"/>
      <c r="PAK107" s="669"/>
      <c r="PAL107" s="669"/>
      <c r="PAM107" s="669"/>
      <c r="PAN107" s="669"/>
      <c r="PAO107" s="669"/>
      <c r="PAP107" s="669"/>
      <c r="PAQ107" s="669"/>
      <c r="PAR107" s="669"/>
      <c r="PAS107" s="669"/>
      <c r="PAT107" s="669"/>
      <c r="PAU107" s="669"/>
      <c r="PAV107" s="669"/>
      <c r="PAW107" s="669"/>
      <c r="PAX107" s="669"/>
      <c r="PAY107" s="669"/>
      <c r="PAZ107" s="669"/>
      <c r="PBA107" s="669"/>
      <c r="PBB107" s="669"/>
      <c r="PBC107" s="669"/>
      <c r="PBD107" s="669"/>
      <c r="PBE107" s="669"/>
      <c r="PBF107" s="669"/>
      <c r="PBG107" s="669"/>
      <c r="PBH107" s="669"/>
      <c r="PBI107" s="669"/>
      <c r="PBJ107" s="669"/>
      <c r="PBK107" s="669"/>
      <c r="PBL107" s="669"/>
      <c r="PBM107" s="669"/>
      <c r="PBN107" s="669"/>
      <c r="PBO107" s="669"/>
      <c r="PBP107" s="669"/>
      <c r="PBQ107" s="669"/>
      <c r="PBR107" s="669"/>
      <c r="PBS107" s="669"/>
      <c r="PBT107" s="669"/>
      <c r="PBU107" s="669"/>
      <c r="PBV107" s="669"/>
      <c r="PBW107" s="669"/>
      <c r="PBX107" s="669"/>
      <c r="PBY107" s="669"/>
      <c r="PBZ107" s="669"/>
      <c r="PCA107" s="669"/>
      <c r="PCB107" s="669"/>
      <c r="PCC107" s="669"/>
      <c r="PCD107" s="669"/>
      <c r="PCE107" s="669"/>
      <c r="PCF107" s="669"/>
      <c r="PCG107" s="669"/>
      <c r="PCH107" s="669"/>
      <c r="PCI107" s="669"/>
      <c r="PCJ107" s="669"/>
      <c r="PCK107" s="669"/>
      <c r="PCL107" s="669"/>
      <c r="PCM107" s="669"/>
      <c r="PCN107" s="669"/>
      <c r="PCO107" s="669"/>
      <c r="PCP107" s="669"/>
      <c r="PCQ107" s="669"/>
      <c r="PCR107" s="669"/>
      <c r="PCS107" s="669"/>
      <c r="PCT107" s="669"/>
      <c r="PCU107" s="669"/>
      <c r="PCV107" s="669"/>
      <c r="PCW107" s="669"/>
      <c r="PCX107" s="669"/>
      <c r="PCY107" s="669"/>
      <c r="PCZ107" s="669"/>
      <c r="PDA107" s="669"/>
      <c r="PDB107" s="669"/>
      <c r="PDC107" s="669"/>
      <c r="PDD107" s="669"/>
      <c r="PDE107" s="669"/>
      <c r="PDF107" s="669"/>
      <c r="PDG107" s="669"/>
      <c r="PDH107" s="669"/>
      <c r="PDI107" s="669"/>
      <c r="PDJ107" s="669"/>
      <c r="PDK107" s="669"/>
      <c r="PDL107" s="669"/>
      <c r="PDM107" s="669"/>
      <c r="PDN107" s="669"/>
      <c r="PDO107" s="669"/>
      <c r="PDP107" s="669"/>
      <c r="PDQ107" s="669"/>
      <c r="PDR107" s="669"/>
      <c r="PDS107" s="669"/>
      <c r="PDT107" s="669"/>
      <c r="PDU107" s="669"/>
      <c r="PDV107" s="669"/>
      <c r="PDW107" s="669"/>
      <c r="PDX107" s="669"/>
      <c r="PDY107" s="669"/>
      <c r="PDZ107" s="669"/>
      <c r="PEA107" s="669"/>
      <c r="PEB107" s="669"/>
      <c r="PEC107" s="669"/>
      <c r="PED107" s="669"/>
      <c r="PEE107" s="669"/>
      <c r="PEF107" s="669"/>
      <c r="PEG107" s="669"/>
      <c r="PEH107" s="669"/>
      <c r="PEI107" s="669"/>
      <c r="PEJ107" s="669"/>
      <c r="PEK107" s="669"/>
      <c r="PEL107" s="669"/>
      <c r="PEM107" s="669"/>
      <c r="PEN107" s="669"/>
      <c r="PEO107" s="669"/>
      <c r="PEP107" s="669"/>
      <c r="PEQ107" s="669"/>
      <c r="PER107" s="669"/>
      <c r="PES107" s="669"/>
      <c r="PET107" s="669"/>
      <c r="PEU107" s="669"/>
      <c r="PEV107" s="669"/>
      <c r="PEW107" s="669"/>
      <c r="PEX107" s="669"/>
      <c r="PEY107" s="669"/>
      <c r="PEZ107" s="669"/>
      <c r="PFA107" s="669"/>
      <c r="PFB107" s="669"/>
      <c r="PFC107" s="669"/>
      <c r="PFD107" s="669"/>
      <c r="PFE107" s="669"/>
      <c r="PFF107" s="669"/>
      <c r="PFG107" s="669"/>
      <c r="PFH107" s="669"/>
      <c r="PFI107" s="669"/>
      <c r="PFJ107" s="669"/>
      <c r="PFK107" s="669"/>
      <c r="PFL107" s="669"/>
      <c r="PFM107" s="669"/>
      <c r="PFN107" s="669"/>
      <c r="PFO107" s="669"/>
      <c r="PFP107" s="669"/>
      <c r="PFQ107" s="669"/>
      <c r="PFR107" s="669"/>
      <c r="PFS107" s="669"/>
      <c r="PFT107" s="669"/>
      <c r="PFU107" s="669"/>
      <c r="PFV107" s="669"/>
      <c r="PFW107" s="669"/>
      <c r="PFX107" s="669"/>
      <c r="PFY107" s="669"/>
      <c r="PFZ107" s="669"/>
      <c r="PGA107" s="669"/>
      <c r="PGB107" s="669"/>
      <c r="PGC107" s="669"/>
      <c r="PGD107" s="669"/>
      <c r="PGE107" s="669"/>
      <c r="PGF107" s="669"/>
      <c r="PGG107" s="669"/>
      <c r="PGH107" s="669"/>
      <c r="PGI107" s="669"/>
      <c r="PGJ107" s="669"/>
      <c r="PGK107" s="669"/>
      <c r="PGL107" s="669"/>
      <c r="PGM107" s="669"/>
      <c r="PGN107" s="669"/>
      <c r="PGO107" s="669"/>
      <c r="PGP107" s="669"/>
      <c r="PGQ107" s="669"/>
      <c r="PGR107" s="669"/>
      <c r="PGS107" s="669"/>
      <c r="PGT107" s="669"/>
      <c r="PGU107" s="669"/>
      <c r="PGV107" s="669"/>
      <c r="PGW107" s="669"/>
      <c r="PGX107" s="669"/>
      <c r="PGY107" s="669"/>
      <c r="PGZ107" s="669"/>
      <c r="PHA107" s="669"/>
      <c r="PHB107" s="669"/>
      <c r="PHC107" s="669"/>
      <c r="PHD107" s="669"/>
      <c r="PHE107" s="669"/>
      <c r="PHF107" s="669"/>
      <c r="PHG107" s="669"/>
      <c r="PHH107" s="669"/>
      <c r="PHI107" s="669"/>
      <c r="PHJ107" s="669"/>
      <c r="PHK107" s="669"/>
      <c r="PHL107" s="669"/>
      <c r="PHM107" s="669"/>
      <c r="PHN107" s="669"/>
      <c r="PHO107" s="669"/>
      <c r="PHP107" s="669"/>
      <c r="PHQ107" s="669"/>
      <c r="PHR107" s="669"/>
      <c r="PHS107" s="669"/>
      <c r="PHT107" s="669"/>
      <c r="PHU107" s="669"/>
      <c r="PHV107" s="669"/>
      <c r="PHW107" s="669"/>
      <c r="PHX107" s="669"/>
      <c r="PHY107" s="669"/>
      <c r="PHZ107" s="669"/>
      <c r="PIA107" s="669"/>
      <c r="PIB107" s="669"/>
      <c r="PIC107" s="669"/>
      <c r="PID107" s="669"/>
      <c r="PIE107" s="669"/>
      <c r="PIF107" s="669"/>
      <c r="PIG107" s="669"/>
      <c r="PIH107" s="669"/>
      <c r="PII107" s="669"/>
      <c r="PIJ107" s="669"/>
      <c r="PIK107" s="669"/>
      <c r="PIL107" s="669"/>
      <c r="PIM107" s="669"/>
      <c r="PIN107" s="669"/>
      <c r="PIO107" s="669"/>
      <c r="PIP107" s="669"/>
      <c r="PIQ107" s="669"/>
      <c r="PIR107" s="669"/>
      <c r="PIS107" s="669"/>
      <c r="PIT107" s="669"/>
      <c r="PIU107" s="669"/>
      <c r="PIV107" s="669"/>
      <c r="PIW107" s="669"/>
      <c r="PIX107" s="669"/>
      <c r="PIY107" s="669"/>
      <c r="PIZ107" s="669"/>
      <c r="PJA107" s="669"/>
      <c r="PJB107" s="669"/>
      <c r="PJC107" s="669"/>
      <c r="PJD107" s="669"/>
      <c r="PJE107" s="669"/>
      <c r="PJF107" s="669"/>
      <c r="PJG107" s="669"/>
      <c r="PJH107" s="669"/>
      <c r="PJI107" s="669"/>
      <c r="PJJ107" s="669"/>
      <c r="PJK107" s="669"/>
      <c r="PJL107" s="669"/>
      <c r="PJM107" s="669"/>
      <c r="PJN107" s="669"/>
      <c r="PJO107" s="669"/>
      <c r="PJP107" s="669"/>
      <c r="PJQ107" s="669"/>
      <c r="PJR107" s="669"/>
      <c r="PJS107" s="669"/>
      <c r="PJT107" s="669"/>
      <c r="PJU107" s="669"/>
      <c r="PJV107" s="669"/>
      <c r="PJW107" s="669"/>
      <c r="PJX107" s="669"/>
      <c r="PJY107" s="669"/>
      <c r="PJZ107" s="669"/>
      <c r="PKA107" s="669"/>
      <c r="PKB107" s="669"/>
      <c r="PKC107" s="669"/>
      <c r="PKD107" s="669"/>
      <c r="PKE107" s="669"/>
      <c r="PKF107" s="669"/>
      <c r="PKG107" s="669"/>
      <c r="PKH107" s="669"/>
      <c r="PKI107" s="669"/>
      <c r="PKJ107" s="669"/>
      <c r="PKK107" s="669"/>
      <c r="PKL107" s="669"/>
      <c r="PKM107" s="669"/>
      <c r="PKN107" s="669"/>
      <c r="PKO107" s="669"/>
      <c r="PKP107" s="669"/>
      <c r="PKQ107" s="669"/>
      <c r="PKR107" s="669"/>
      <c r="PKS107" s="669"/>
      <c r="PKT107" s="669"/>
      <c r="PKU107" s="669"/>
      <c r="PKV107" s="669"/>
      <c r="PKW107" s="669"/>
      <c r="PKX107" s="669"/>
      <c r="PKY107" s="669"/>
      <c r="PKZ107" s="669"/>
      <c r="PLA107" s="669"/>
      <c r="PLB107" s="669"/>
      <c r="PLC107" s="669"/>
      <c r="PLD107" s="669"/>
      <c r="PLE107" s="669"/>
      <c r="PLF107" s="669"/>
      <c r="PLG107" s="669"/>
      <c r="PLH107" s="669"/>
      <c r="PLI107" s="669"/>
      <c r="PLJ107" s="669"/>
      <c r="PLK107" s="669"/>
      <c r="PLL107" s="669"/>
      <c r="PLM107" s="669"/>
      <c r="PLN107" s="669"/>
      <c r="PLO107" s="669"/>
      <c r="PLP107" s="669"/>
      <c r="PLQ107" s="669"/>
      <c r="PLR107" s="669"/>
      <c r="PLS107" s="669"/>
      <c r="PLT107" s="669"/>
      <c r="PLU107" s="669"/>
      <c r="PLV107" s="669"/>
      <c r="PLW107" s="669"/>
      <c r="PLX107" s="669"/>
      <c r="PLY107" s="669"/>
      <c r="PLZ107" s="669"/>
      <c r="PMA107" s="669"/>
      <c r="PMB107" s="669"/>
      <c r="PMC107" s="669"/>
      <c r="PMD107" s="669"/>
      <c r="PME107" s="669"/>
      <c r="PMF107" s="669"/>
      <c r="PMG107" s="669"/>
      <c r="PMH107" s="669"/>
      <c r="PMI107" s="669"/>
      <c r="PMJ107" s="669"/>
      <c r="PMK107" s="669"/>
      <c r="PML107" s="669"/>
      <c r="PMM107" s="669"/>
      <c r="PMN107" s="669"/>
      <c r="PMO107" s="669"/>
      <c r="PMP107" s="669"/>
      <c r="PMQ107" s="669"/>
      <c r="PMR107" s="669"/>
      <c r="PMS107" s="669"/>
      <c r="PMT107" s="669"/>
      <c r="PMU107" s="669"/>
      <c r="PMV107" s="669"/>
      <c r="PMW107" s="669"/>
      <c r="PMX107" s="669"/>
      <c r="PMY107" s="669"/>
      <c r="PMZ107" s="669"/>
      <c r="PNA107" s="669"/>
      <c r="PNB107" s="669"/>
      <c r="PNC107" s="669"/>
      <c r="PND107" s="669"/>
      <c r="PNE107" s="669"/>
      <c r="PNF107" s="669"/>
      <c r="PNG107" s="669"/>
      <c r="PNH107" s="669"/>
      <c r="PNI107" s="669"/>
      <c r="PNJ107" s="669"/>
      <c r="PNK107" s="669"/>
      <c r="PNL107" s="669"/>
      <c r="PNM107" s="669"/>
      <c r="PNN107" s="669"/>
      <c r="PNO107" s="669"/>
      <c r="PNP107" s="669"/>
      <c r="PNQ107" s="669"/>
      <c r="PNR107" s="669"/>
      <c r="PNS107" s="669"/>
      <c r="PNT107" s="669"/>
      <c r="PNU107" s="669"/>
      <c r="PNV107" s="669"/>
      <c r="PNW107" s="669"/>
      <c r="PNX107" s="669"/>
      <c r="PNY107" s="669"/>
      <c r="PNZ107" s="669"/>
      <c r="POA107" s="669"/>
      <c r="POB107" s="669"/>
      <c r="POC107" s="669"/>
      <c r="POD107" s="669"/>
      <c r="POE107" s="669"/>
      <c r="POF107" s="669"/>
      <c r="POG107" s="669"/>
      <c r="POH107" s="669"/>
      <c r="POI107" s="669"/>
      <c r="POJ107" s="669"/>
      <c r="POK107" s="669"/>
      <c r="POL107" s="669"/>
      <c r="POM107" s="669"/>
      <c r="PON107" s="669"/>
      <c r="POO107" s="669"/>
      <c r="POP107" s="669"/>
      <c r="POQ107" s="669"/>
      <c r="POR107" s="669"/>
      <c r="POS107" s="669"/>
      <c r="POT107" s="669"/>
      <c r="POU107" s="669"/>
      <c r="POV107" s="669"/>
      <c r="POW107" s="669"/>
      <c r="POX107" s="669"/>
      <c r="POY107" s="669"/>
      <c r="POZ107" s="669"/>
      <c r="PPA107" s="669"/>
      <c r="PPB107" s="669"/>
      <c r="PPC107" s="669"/>
      <c r="PPD107" s="669"/>
      <c r="PPE107" s="669"/>
      <c r="PPF107" s="669"/>
      <c r="PPG107" s="669"/>
      <c r="PPH107" s="669"/>
      <c r="PPI107" s="669"/>
      <c r="PPJ107" s="669"/>
      <c r="PPK107" s="669"/>
      <c r="PPL107" s="669"/>
      <c r="PPM107" s="669"/>
      <c r="PPN107" s="669"/>
      <c r="PPO107" s="669"/>
      <c r="PPP107" s="669"/>
      <c r="PPQ107" s="669"/>
      <c r="PPR107" s="669"/>
      <c r="PPS107" s="669"/>
      <c r="PPT107" s="669"/>
      <c r="PPU107" s="669"/>
      <c r="PPV107" s="669"/>
      <c r="PPW107" s="669"/>
      <c r="PPX107" s="669"/>
      <c r="PPY107" s="669"/>
      <c r="PPZ107" s="669"/>
      <c r="PQA107" s="669"/>
      <c r="PQB107" s="669"/>
      <c r="PQC107" s="669"/>
      <c r="PQD107" s="669"/>
      <c r="PQE107" s="669"/>
      <c r="PQF107" s="669"/>
      <c r="PQG107" s="669"/>
      <c r="PQH107" s="669"/>
      <c r="PQI107" s="669"/>
      <c r="PQJ107" s="669"/>
      <c r="PQK107" s="669"/>
      <c r="PQL107" s="669"/>
      <c r="PQM107" s="669"/>
      <c r="PQN107" s="669"/>
      <c r="PQO107" s="669"/>
      <c r="PQP107" s="669"/>
      <c r="PQQ107" s="669"/>
      <c r="PQR107" s="669"/>
      <c r="PQS107" s="669"/>
      <c r="PQT107" s="669"/>
      <c r="PQU107" s="669"/>
      <c r="PQV107" s="669"/>
      <c r="PQW107" s="669"/>
      <c r="PQX107" s="669"/>
      <c r="PQY107" s="669"/>
      <c r="PQZ107" s="669"/>
      <c r="PRA107" s="669"/>
      <c r="PRB107" s="669"/>
      <c r="PRC107" s="669"/>
      <c r="PRD107" s="669"/>
      <c r="PRE107" s="669"/>
      <c r="PRF107" s="669"/>
      <c r="PRG107" s="669"/>
      <c r="PRH107" s="669"/>
      <c r="PRI107" s="669"/>
      <c r="PRJ107" s="669"/>
      <c r="PRK107" s="669"/>
      <c r="PRL107" s="669"/>
      <c r="PRM107" s="669"/>
      <c r="PRN107" s="669"/>
      <c r="PRO107" s="669"/>
      <c r="PRP107" s="669"/>
      <c r="PRQ107" s="669"/>
      <c r="PRR107" s="669"/>
      <c r="PRS107" s="669"/>
      <c r="PRT107" s="669"/>
      <c r="PRU107" s="669"/>
      <c r="PRV107" s="669"/>
      <c r="PRW107" s="669"/>
      <c r="PRX107" s="669"/>
      <c r="PRY107" s="669"/>
      <c r="PRZ107" s="669"/>
      <c r="PSA107" s="669"/>
      <c r="PSB107" s="669"/>
      <c r="PSC107" s="669"/>
      <c r="PSD107" s="669"/>
      <c r="PSE107" s="669"/>
      <c r="PSF107" s="669"/>
      <c r="PSG107" s="669"/>
      <c r="PSH107" s="669"/>
      <c r="PSI107" s="669"/>
      <c r="PSJ107" s="669"/>
      <c r="PSK107" s="669"/>
      <c r="PSL107" s="669"/>
      <c r="PSM107" s="669"/>
      <c r="PSN107" s="669"/>
      <c r="PSO107" s="669"/>
      <c r="PSP107" s="669"/>
      <c r="PSQ107" s="669"/>
      <c r="PSR107" s="669"/>
      <c r="PSS107" s="669"/>
      <c r="PST107" s="669"/>
      <c r="PSU107" s="669"/>
      <c r="PSV107" s="669"/>
      <c r="PSW107" s="669"/>
      <c r="PSX107" s="669"/>
      <c r="PSY107" s="669"/>
      <c r="PSZ107" s="669"/>
      <c r="PTA107" s="669"/>
      <c r="PTB107" s="669"/>
      <c r="PTC107" s="669"/>
      <c r="PTD107" s="669"/>
      <c r="PTE107" s="669"/>
      <c r="PTF107" s="669"/>
      <c r="PTG107" s="669"/>
      <c r="PTH107" s="669"/>
      <c r="PTI107" s="669"/>
      <c r="PTJ107" s="669"/>
      <c r="PTK107" s="669"/>
      <c r="PTL107" s="669"/>
      <c r="PTM107" s="669"/>
      <c r="PTN107" s="669"/>
      <c r="PTO107" s="669"/>
      <c r="PTP107" s="669"/>
      <c r="PTQ107" s="669"/>
      <c r="PTR107" s="669"/>
      <c r="PTS107" s="669"/>
      <c r="PTT107" s="669"/>
      <c r="PTU107" s="669"/>
      <c r="PTV107" s="669"/>
      <c r="PTW107" s="669"/>
      <c r="PTX107" s="669"/>
      <c r="PTY107" s="669"/>
      <c r="PTZ107" s="669"/>
      <c r="PUA107" s="669"/>
      <c r="PUB107" s="669"/>
      <c r="PUC107" s="669"/>
      <c r="PUD107" s="669"/>
      <c r="PUE107" s="669"/>
      <c r="PUF107" s="669"/>
      <c r="PUG107" s="669"/>
      <c r="PUH107" s="669"/>
      <c r="PUI107" s="669"/>
      <c r="PUJ107" s="669"/>
      <c r="PUK107" s="669"/>
      <c r="PUL107" s="669"/>
      <c r="PUM107" s="669"/>
      <c r="PUN107" s="669"/>
      <c r="PUO107" s="669"/>
      <c r="PUP107" s="669"/>
      <c r="PUQ107" s="669"/>
      <c r="PUR107" s="669"/>
      <c r="PUS107" s="669"/>
      <c r="PUT107" s="669"/>
      <c r="PUU107" s="669"/>
      <c r="PUV107" s="669"/>
      <c r="PUW107" s="669"/>
      <c r="PUX107" s="669"/>
      <c r="PUY107" s="669"/>
      <c r="PUZ107" s="669"/>
      <c r="PVA107" s="669"/>
      <c r="PVB107" s="669"/>
      <c r="PVC107" s="669"/>
      <c r="PVD107" s="669"/>
      <c r="PVE107" s="669"/>
      <c r="PVF107" s="669"/>
      <c r="PVG107" s="669"/>
      <c r="PVH107" s="669"/>
      <c r="PVI107" s="669"/>
      <c r="PVJ107" s="669"/>
      <c r="PVK107" s="669"/>
      <c r="PVL107" s="669"/>
      <c r="PVM107" s="669"/>
      <c r="PVN107" s="669"/>
      <c r="PVO107" s="669"/>
      <c r="PVP107" s="669"/>
      <c r="PVQ107" s="669"/>
      <c r="PVR107" s="669"/>
      <c r="PVS107" s="669"/>
      <c r="PVT107" s="669"/>
      <c r="PVU107" s="669"/>
      <c r="PVV107" s="669"/>
      <c r="PVW107" s="669"/>
      <c r="PVX107" s="669"/>
      <c r="PVY107" s="669"/>
      <c r="PVZ107" s="669"/>
      <c r="PWA107" s="669"/>
      <c r="PWB107" s="669"/>
      <c r="PWC107" s="669"/>
      <c r="PWD107" s="669"/>
      <c r="PWE107" s="669"/>
      <c r="PWF107" s="669"/>
      <c r="PWG107" s="669"/>
      <c r="PWH107" s="669"/>
      <c r="PWI107" s="669"/>
      <c r="PWJ107" s="669"/>
      <c r="PWK107" s="669"/>
      <c r="PWL107" s="669"/>
      <c r="PWM107" s="669"/>
      <c r="PWN107" s="669"/>
      <c r="PWO107" s="669"/>
      <c r="PWP107" s="669"/>
      <c r="PWQ107" s="669"/>
      <c r="PWR107" s="669"/>
      <c r="PWS107" s="669"/>
      <c r="PWT107" s="669"/>
      <c r="PWU107" s="669"/>
      <c r="PWV107" s="669"/>
      <c r="PWW107" s="669"/>
      <c r="PWX107" s="669"/>
      <c r="PWY107" s="669"/>
      <c r="PWZ107" s="669"/>
      <c r="PXA107" s="669"/>
      <c r="PXB107" s="669"/>
      <c r="PXC107" s="669"/>
      <c r="PXD107" s="669"/>
      <c r="PXE107" s="669"/>
      <c r="PXF107" s="669"/>
      <c r="PXG107" s="669"/>
      <c r="PXH107" s="669"/>
      <c r="PXI107" s="669"/>
      <c r="PXJ107" s="669"/>
      <c r="PXK107" s="669"/>
      <c r="PXL107" s="669"/>
      <c r="PXM107" s="669"/>
      <c r="PXN107" s="669"/>
      <c r="PXO107" s="669"/>
      <c r="PXP107" s="669"/>
      <c r="PXQ107" s="669"/>
      <c r="PXR107" s="669"/>
      <c r="PXS107" s="669"/>
      <c r="PXT107" s="669"/>
      <c r="PXU107" s="669"/>
      <c r="PXV107" s="669"/>
      <c r="PXW107" s="669"/>
      <c r="PXX107" s="669"/>
      <c r="PXY107" s="669"/>
      <c r="PXZ107" s="669"/>
      <c r="PYA107" s="669"/>
      <c r="PYB107" s="669"/>
      <c r="PYC107" s="669"/>
      <c r="PYD107" s="669"/>
      <c r="PYE107" s="669"/>
      <c r="PYF107" s="669"/>
      <c r="PYG107" s="669"/>
      <c r="PYH107" s="669"/>
      <c r="PYI107" s="669"/>
      <c r="PYJ107" s="669"/>
      <c r="PYK107" s="669"/>
      <c r="PYL107" s="669"/>
      <c r="PYM107" s="669"/>
      <c r="PYN107" s="669"/>
      <c r="PYO107" s="669"/>
      <c r="PYP107" s="669"/>
      <c r="PYQ107" s="669"/>
      <c r="PYR107" s="669"/>
      <c r="PYS107" s="669"/>
      <c r="PYT107" s="669"/>
      <c r="PYU107" s="669"/>
      <c r="PYV107" s="669"/>
      <c r="PYW107" s="669"/>
      <c r="PYX107" s="669"/>
      <c r="PYY107" s="669"/>
      <c r="PYZ107" s="669"/>
      <c r="PZA107" s="669"/>
      <c r="PZB107" s="669"/>
      <c r="PZC107" s="669"/>
      <c r="PZD107" s="669"/>
      <c r="PZE107" s="669"/>
      <c r="PZF107" s="669"/>
      <c r="PZG107" s="669"/>
      <c r="PZH107" s="669"/>
      <c r="PZI107" s="669"/>
      <c r="PZJ107" s="669"/>
      <c r="PZK107" s="669"/>
      <c r="PZL107" s="669"/>
      <c r="PZM107" s="669"/>
      <c r="PZN107" s="669"/>
      <c r="PZO107" s="669"/>
      <c r="PZP107" s="669"/>
      <c r="PZQ107" s="669"/>
      <c r="PZR107" s="669"/>
      <c r="PZS107" s="669"/>
      <c r="PZT107" s="669"/>
      <c r="PZU107" s="669"/>
      <c r="PZV107" s="669"/>
      <c r="PZW107" s="669"/>
      <c r="PZX107" s="669"/>
      <c r="PZY107" s="669"/>
      <c r="PZZ107" s="669"/>
      <c r="QAA107" s="669"/>
      <c r="QAB107" s="669"/>
      <c r="QAC107" s="669"/>
      <c r="QAD107" s="669"/>
      <c r="QAE107" s="669"/>
      <c r="QAF107" s="669"/>
      <c r="QAG107" s="669"/>
      <c r="QAH107" s="669"/>
      <c r="QAI107" s="669"/>
      <c r="QAJ107" s="669"/>
      <c r="QAK107" s="669"/>
      <c r="QAL107" s="669"/>
      <c r="QAM107" s="669"/>
      <c r="QAN107" s="669"/>
      <c r="QAO107" s="669"/>
      <c r="QAP107" s="669"/>
      <c r="QAQ107" s="669"/>
      <c r="QAR107" s="669"/>
      <c r="QAS107" s="669"/>
      <c r="QAT107" s="669"/>
      <c r="QAU107" s="669"/>
      <c r="QAV107" s="669"/>
      <c r="QAW107" s="669"/>
      <c r="QAX107" s="669"/>
      <c r="QAY107" s="669"/>
      <c r="QAZ107" s="669"/>
      <c r="QBA107" s="669"/>
      <c r="QBB107" s="669"/>
      <c r="QBC107" s="669"/>
      <c r="QBD107" s="669"/>
      <c r="QBE107" s="669"/>
      <c r="QBF107" s="669"/>
      <c r="QBG107" s="669"/>
      <c r="QBH107" s="669"/>
      <c r="QBI107" s="669"/>
      <c r="QBJ107" s="669"/>
      <c r="QBK107" s="669"/>
      <c r="QBL107" s="669"/>
      <c r="QBM107" s="669"/>
      <c r="QBN107" s="669"/>
      <c r="QBO107" s="669"/>
      <c r="QBP107" s="669"/>
      <c r="QBQ107" s="669"/>
      <c r="QBR107" s="669"/>
      <c r="QBS107" s="669"/>
      <c r="QBT107" s="669"/>
      <c r="QBU107" s="669"/>
      <c r="QBV107" s="669"/>
      <c r="QBW107" s="669"/>
      <c r="QBX107" s="669"/>
      <c r="QBY107" s="669"/>
      <c r="QBZ107" s="669"/>
      <c r="QCA107" s="669"/>
      <c r="QCB107" s="669"/>
      <c r="QCC107" s="669"/>
      <c r="QCD107" s="669"/>
      <c r="QCE107" s="669"/>
      <c r="QCF107" s="669"/>
      <c r="QCG107" s="669"/>
      <c r="QCH107" s="669"/>
      <c r="QCI107" s="669"/>
      <c r="QCJ107" s="669"/>
      <c r="QCK107" s="669"/>
      <c r="QCL107" s="669"/>
      <c r="QCM107" s="669"/>
      <c r="QCN107" s="669"/>
      <c r="QCO107" s="669"/>
      <c r="QCP107" s="669"/>
      <c r="QCQ107" s="669"/>
      <c r="QCR107" s="669"/>
      <c r="QCS107" s="669"/>
      <c r="QCT107" s="669"/>
      <c r="QCU107" s="669"/>
      <c r="QCV107" s="669"/>
      <c r="QCW107" s="669"/>
      <c r="QCX107" s="669"/>
      <c r="QCY107" s="669"/>
      <c r="QCZ107" s="669"/>
      <c r="QDA107" s="669"/>
      <c r="QDB107" s="669"/>
      <c r="QDC107" s="669"/>
      <c r="QDD107" s="669"/>
      <c r="QDE107" s="669"/>
      <c r="QDF107" s="669"/>
      <c r="QDG107" s="669"/>
      <c r="QDH107" s="669"/>
      <c r="QDI107" s="669"/>
      <c r="QDJ107" s="669"/>
      <c r="QDK107" s="669"/>
      <c r="QDL107" s="669"/>
      <c r="QDM107" s="669"/>
      <c r="QDN107" s="669"/>
      <c r="QDO107" s="669"/>
      <c r="QDP107" s="669"/>
      <c r="QDQ107" s="669"/>
      <c r="QDR107" s="669"/>
      <c r="QDS107" s="669"/>
      <c r="QDT107" s="669"/>
      <c r="QDU107" s="669"/>
      <c r="QDV107" s="669"/>
      <c r="QDW107" s="669"/>
      <c r="QDX107" s="669"/>
      <c r="QDY107" s="669"/>
      <c r="QDZ107" s="669"/>
      <c r="QEA107" s="669"/>
      <c r="QEB107" s="669"/>
      <c r="QEC107" s="669"/>
      <c r="QED107" s="669"/>
      <c r="QEE107" s="669"/>
      <c r="QEF107" s="669"/>
      <c r="QEG107" s="669"/>
      <c r="QEH107" s="669"/>
      <c r="QEI107" s="669"/>
      <c r="QEJ107" s="669"/>
      <c r="QEK107" s="669"/>
      <c r="QEL107" s="669"/>
      <c r="QEM107" s="669"/>
      <c r="QEN107" s="669"/>
      <c r="QEO107" s="669"/>
      <c r="QEP107" s="669"/>
      <c r="QEQ107" s="669"/>
      <c r="QER107" s="669"/>
      <c r="QES107" s="669"/>
      <c r="QET107" s="669"/>
      <c r="QEU107" s="669"/>
      <c r="QEV107" s="669"/>
      <c r="QEW107" s="669"/>
      <c r="QEX107" s="669"/>
      <c r="QEY107" s="669"/>
      <c r="QEZ107" s="669"/>
      <c r="QFA107" s="669"/>
      <c r="QFB107" s="669"/>
      <c r="QFC107" s="669"/>
      <c r="QFD107" s="669"/>
      <c r="QFE107" s="669"/>
      <c r="QFF107" s="669"/>
      <c r="QFG107" s="669"/>
      <c r="QFH107" s="669"/>
      <c r="QFI107" s="669"/>
      <c r="QFJ107" s="669"/>
      <c r="QFK107" s="669"/>
      <c r="QFL107" s="669"/>
      <c r="QFM107" s="669"/>
      <c r="QFN107" s="669"/>
      <c r="QFO107" s="669"/>
      <c r="QFP107" s="669"/>
      <c r="QFQ107" s="669"/>
      <c r="QFR107" s="669"/>
      <c r="QFS107" s="669"/>
      <c r="QFT107" s="669"/>
      <c r="QFU107" s="669"/>
      <c r="QFV107" s="669"/>
      <c r="QFW107" s="669"/>
      <c r="QFX107" s="669"/>
      <c r="QFY107" s="669"/>
      <c r="QFZ107" s="669"/>
      <c r="QGA107" s="669"/>
      <c r="QGB107" s="669"/>
      <c r="QGC107" s="669"/>
      <c r="QGD107" s="669"/>
      <c r="QGE107" s="669"/>
      <c r="QGF107" s="669"/>
      <c r="QGG107" s="669"/>
      <c r="QGH107" s="669"/>
      <c r="QGI107" s="669"/>
      <c r="QGJ107" s="669"/>
      <c r="QGK107" s="669"/>
      <c r="QGL107" s="669"/>
      <c r="QGM107" s="669"/>
      <c r="QGN107" s="669"/>
      <c r="QGO107" s="669"/>
      <c r="QGP107" s="669"/>
      <c r="QGQ107" s="669"/>
      <c r="QGR107" s="669"/>
      <c r="QGS107" s="669"/>
      <c r="QGT107" s="669"/>
      <c r="QGU107" s="669"/>
      <c r="QGV107" s="669"/>
      <c r="QGW107" s="669"/>
      <c r="QGX107" s="669"/>
      <c r="QGY107" s="669"/>
      <c r="QGZ107" s="669"/>
      <c r="QHA107" s="669"/>
      <c r="QHB107" s="669"/>
      <c r="QHC107" s="669"/>
      <c r="QHD107" s="669"/>
      <c r="QHE107" s="669"/>
      <c r="QHF107" s="669"/>
      <c r="QHG107" s="669"/>
      <c r="QHH107" s="669"/>
      <c r="QHI107" s="669"/>
      <c r="QHJ107" s="669"/>
      <c r="QHK107" s="669"/>
      <c r="QHL107" s="669"/>
      <c r="QHM107" s="669"/>
      <c r="QHN107" s="669"/>
      <c r="QHO107" s="669"/>
      <c r="QHP107" s="669"/>
      <c r="QHQ107" s="669"/>
      <c r="QHR107" s="669"/>
      <c r="QHS107" s="669"/>
      <c r="QHT107" s="669"/>
      <c r="QHU107" s="669"/>
      <c r="QHV107" s="669"/>
      <c r="QHW107" s="669"/>
      <c r="QHX107" s="669"/>
      <c r="QHY107" s="669"/>
      <c r="QHZ107" s="669"/>
      <c r="QIA107" s="669"/>
      <c r="QIB107" s="669"/>
      <c r="QIC107" s="669"/>
      <c r="QID107" s="669"/>
      <c r="QIE107" s="669"/>
      <c r="QIF107" s="669"/>
      <c r="QIG107" s="669"/>
      <c r="QIH107" s="669"/>
      <c r="QII107" s="669"/>
      <c r="QIJ107" s="669"/>
      <c r="QIK107" s="669"/>
      <c r="QIL107" s="669"/>
      <c r="QIM107" s="669"/>
      <c r="QIN107" s="669"/>
      <c r="QIO107" s="669"/>
      <c r="QIP107" s="669"/>
      <c r="QIQ107" s="669"/>
      <c r="QIR107" s="669"/>
      <c r="QIS107" s="669"/>
      <c r="QIT107" s="669"/>
      <c r="QIU107" s="669"/>
      <c r="QIV107" s="669"/>
      <c r="QIW107" s="669"/>
      <c r="QIX107" s="669"/>
      <c r="QIY107" s="669"/>
      <c r="QIZ107" s="669"/>
      <c r="QJA107" s="669"/>
      <c r="QJB107" s="669"/>
      <c r="QJC107" s="669"/>
      <c r="QJD107" s="669"/>
      <c r="QJE107" s="669"/>
      <c r="QJF107" s="669"/>
      <c r="QJG107" s="669"/>
      <c r="QJH107" s="669"/>
      <c r="QJI107" s="669"/>
      <c r="QJJ107" s="669"/>
      <c r="QJK107" s="669"/>
      <c r="QJL107" s="669"/>
      <c r="QJM107" s="669"/>
      <c r="QJN107" s="669"/>
      <c r="QJO107" s="669"/>
      <c r="QJP107" s="669"/>
      <c r="QJQ107" s="669"/>
      <c r="QJR107" s="669"/>
      <c r="QJS107" s="669"/>
      <c r="QJT107" s="669"/>
      <c r="QJU107" s="669"/>
      <c r="QJV107" s="669"/>
      <c r="QJW107" s="669"/>
      <c r="QJX107" s="669"/>
      <c r="QJY107" s="669"/>
      <c r="QJZ107" s="669"/>
      <c r="QKA107" s="669"/>
      <c r="QKB107" s="669"/>
      <c r="QKC107" s="669"/>
      <c r="QKD107" s="669"/>
      <c r="QKE107" s="669"/>
      <c r="QKF107" s="669"/>
      <c r="QKG107" s="669"/>
      <c r="QKH107" s="669"/>
      <c r="QKI107" s="669"/>
      <c r="QKJ107" s="669"/>
      <c r="QKK107" s="669"/>
      <c r="QKL107" s="669"/>
      <c r="QKM107" s="669"/>
      <c r="QKN107" s="669"/>
      <c r="QKO107" s="669"/>
      <c r="QKP107" s="669"/>
      <c r="QKQ107" s="669"/>
      <c r="QKR107" s="669"/>
      <c r="QKS107" s="669"/>
      <c r="QKT107" s="669"/>
      <c r="QKU107" s="669"/>
      <c r="QKV107" s="669"/>
      <c r="QKW107" s="669"/>
      <c r="QKX107" s="669"/>
      <c r="QKY107" s="669"/>
      <c r="QKZ107" s="669"/>
      <c r="QLA107" s="669"/>
      <c r="QLB107" s="669"/>
      <c r="QLC107" s="669"/>
      <c r="QLD107" s="669"/>
      <c r="QLE107" s="669"/>
      <c r="QLF107" s="669"/>
      <c r="QLG107" s="669"/>
      <c r="QLH107" s="669"/>
      <c r="QLI107" s="669"/>
      <c r="QLJ107" s="669"/>
      <c r="QLK107" s="669"/>
      <c r="QLL107" s="669"/>
      <c r="QLM107" s="669"/>
      <c r="QLN107" s="669"/>
      <c r="QLO107" s="669"/>
      <c r="QLP107" s="669"/>
      <c r="QLQ107" s="669"/>
      <c r="QLR107" s="669"/>
      <c r="QLS107" s="669"/>
      <c r="QLT107" s="669"/>
      <c r="QLU107" s="669"/>
      <c r="QLV107" s="669"/>
      <c r="QLW107" s="669"/>
      <c r="QLX107" s="669"/>
      <c r="QLY107" s="669"/>
      <c r="QLZ107" s="669"/>
      <c r="QMA107" s="669"/>
      <c r="QMB107" s="669"/>
      <c r="QMC107" s="669"/>
      <c r="QMD107" s="669"/>
      <c r="QME107" s="669"/>
      <c r="QMF107" s="669"/>
      <c r="QMG107" s="669"/>
      <c r="QMH107" s="669"/>
      <c r="QMI107" s="669"/>
      <c r="QMJ107" s="669"/>
      <c r="QMK107" s="669"/>
      <c r="QML107" s="669"/>
      <c r="QMM107" s="669"/>
      <c r="QMN107" s="669"/>
      <c r="QMO107" s="669"/>
      <c r="QMP107" s="669"/>
      <c r="QMQ107" s="669"/>
      <c r="QMR107" s="669"/>
      <c r="QMS107" s="669"/>
      <c r="QMT107" s="669"/>
      <c r="QMU107" s="669"/>
      <c r="QMV107" s="669"/>
      <c r="QMW107" s="669"/>
      <c r="QMX107" s="669"/>
      <c r="QMY107" s="669"/>
      <c r="QMZ107" s="669"/>
      <c r="QNA107" s="669"/>
      <c r="QNB107" s="669"/>
      <c r="QNC107" s="669"/>
      <c r="QND107" s="669"/>
      <c r="QNE107" s="669"/>
      <c r="QNF107" s="669"/>
      <c r="QNG107" s="669"/>
      <c r="QNH107" s="669"/>
      <c r="QNI107" s="669"/>
      <c r="QNJ107" s="669"/>
      <c r="QNK107" s="669"/>
      <c r="QNL107" s="669"/>
      <c r="QNM107" s="669"/>
      <c r="QNN107" s="669"/>
      <c r="QNO107" s="669"/>
      <c r="QNP107" s="669"/>
      <c r="QNQ107" s="669"/>
      <c r="QNR107" s="669"/>
      <c r="QNS107" s="669"/>
      <c r="QNT107" s="669"/>
      <c r="QNU107" s="669"/>
      <c r="QNV107" s="669"/>
      <c r="QNW107" s="669"/>
      <c r="QNX107" s="669"/>
      <c r="QNY107" s="669"/>
      <c r="QNZ107" s="669"/>
      <c r="QOA107" s="669"/>
      <c r="QOB107" s="669"/>
      <c r="QOC107" s="669"/>
      <c r="QOD107" s="669"/>
      <c r="QOE107" s="669"/>
      <c r="QOF107" s="669"/>
      <c r="QOG107" s="669"/>
      <c r="QOH107" s="669"/>
      <c r="QOI107" s="669"/>
      <c r="QOJ107" s="669"/>
      <c r="QOK107" s="669"/>
      <c r="QOL107" s="669"/>
      <c r="QOM107" s="669"/>
      <c r="QON107" s="669"/>
      <c r="QOO107" s="669"/>
      <c r="QOP107" s="669"/>
      <c r="QOQ107" s="669"/>
      <c r="QOR107" s="669"/>
      <c r="QOS107" s="669"/>
      <c r="QOT107" s="669"/>
      <c r="QOU107" s="669"/>
      <c r="QOV107" s="669"/>
      <c r="QOW107" s="669"/>
      <c r="QOX107" s="669"/>
      <c r="QOY107" s="669"/>
      <c r="QOZ107" s="669"/>
      <c r="QPA107" s="669"/>
      <c r="QPB107" s="669"/>
      <c r="QPC107" s="669"/>
      <c r="QPD107" s="669"/>
      <c r="QPE107" s="669"/>
      <c r="QPF107" s="669"/>
      <c r="QPG107" s="669"/>
      <c r="QPH107" s="669"/>
      <c r="QPI107" s="669"/>
      <c r="QPJ107" s="669"/>
      <c r="QPK107" s="669"/>
      <c r="QPL107" s="669"/>
      <c r="QPM107" s="669"/>
      <c r="QPN107" s="669"/>
      <c r="QPO107" s="669"/>
      <c r="QPP107" s="669"/>
      <c r="QPQ107" s="669"/>
      <c r="QPR107" s="669"/>
      <c r="QPS107" s="669"/>
      <c r="QPT107" s="669"/>
      <c r="QPU107" s="669"/>
      <c r="QPV107" s="669"/>
      <c r="QPW107" s="669"/>
      <c r="QPX107" s="669"/>
      <c r="QPY107" s="669"/>
      <c r="QPZ107" s="669"/>
      <c r="QQA107" s="669"/>
      <c r="QQB107" s="669"/>
      <c r="QQC107" s="669"/>
      <c r="QQD107" s="669"/>
      <c r="QQE107" s="669"/>
      <c r="QQF107" s="669"/>
      <c r="QQG107" s="669"/>
      <c r="QQH107" s="669"/>
      <c r="QQI107" s="669"/>
      <c r="QQJ107" s="669"/>
      <c r="QQK107" s="669"/>
      <c r="QQL107" s="669"/>
      <c r="QQM107" s="669"/>
      <c r="QQN107" s="669"/>
      <c r="QQO107" s="669"/>
      <c r="QQP107" s="669"/>
      <c r="QQQ107" s="669"/>
      <c r="QQR107" s="669"/>
      <c r="QQS107" s="669"/>
      <c r="QQT107" s="669"/>
      <c r="QQU107" s="669"/>
      <c r="QQV107" s="669"/>
      <c r="QQW107" s="669"/>
      <c r="QQX107" s="669"/>
      <c r="QQY107" s="669"/>
      <c r="QQZ107" s="669"/>
      <c r="QRA107" s="669"/>
      <c r="QRB107" s="669"/>
      <c r="QRC107" s="669"/>
      <c r="QRD107" s="669"/>
      <c r="QRE107" s="669"/>
      <c r="QRF107" s="669"/>
      <c r="QRG107" s="669"/>
      <c r="QRH107" s="669"/>
      <c r="QRI107" s="669"/>
      <c r="QRJ107" s="669"/>
      <c r="QRK107" s="669"/>
      <c r="QRL107" s="669"/>
      <c r="QRM107" s="669"/>
      <c r="QRN107" s="669"/>
      <c r="QRO107" s="669"/>
      <c r="QRP107" s="669"/>
      <c r="QRQ107" s="669"/>
      <c r="QRR107" s="669"/>
      <c r="QRS107" s="669"/>
      <c r="QRT107" s="669"/>
      <c r="QRU107" s="669"/>
      <c r="QRV107" s="669"/>
      <c r="QRW107" s="669"/>
      <c r="QRX107" s="669"/>
      <c r="QRY107" s="669"/>
      <c r="QRZ107" s="669"/>
      <c r="QSA107" s="669"/>
      <c r="QSB107" s="669"/>
      <c r="QSC107" s="669"/>
      <c r="QSD107" s="669"/>
      <c r="QSE107" s="669"/>
      <c r="QSF107" s="669"/>
      <c r="QSG107" s="669"/>
      <c r="QSH107" s="669"/>
      <c r="QSI107" s="669"/>
      <c r="QSJ107" s="669"/>
      <c r="QSK107" s="669"/>
      <c r="QSL107" s="669"/>
      <c r="QSM107" s="669"/>
      <c r="QSN107" s="669"/>
      <c r="QSO107" s="669"/>
      <c r="QSP107" s="669"/>
      <c r="QSQ107" s="669"/>
      <c r="QSR107" s="669"/>
      <c r="QSS107" s="669"/>
      <c r="QST107" s="669"/>
      <c r="QSU107" s="669"/>
      <c r="QSV107" s="669"/>
      <c r="QSW107" s="669"/>
      <c r="QSX107" s="669"/>
      <c r="QSY107" s="669"/>
      <c r="QSZ107" s="669"/>
      <c r="QTA107" s="669"/>
      <c r="QTB107" s="669"/>
      <c r="QTC107" s="669"/>
      <c r="QTD107" s="669"/>
      <c r="QTE107" s="669"/>
      <c r="QTF107" s="669"/>
      <c r="QTG107" s="669"/>
      <c r="QTH107" s="669"/>
      <c r="QTI107" s="669"/>
      <c r="QTJ107" s="669"/>
      <c r="QTK107" s="669"/>
      <c r="QTL107" s="669"/>
      <c r="QTM107" s="669"/>
      <c r="QTN107" s="669"/>
      <c r="QTO107" s="669"/>
      <c r="QTP107" s="669"/>
      <c r="QTQ107" s="669"/>
      <c r="QTR107" s="669"/>
      <c r="QTS107" s="669"/>
      <c r="QTT107" s="669"/>
      <c r="QTU107" s="669"/>
      <c r="QTV107" s="669"/>
      <c r="QTW107" s="669"/>
      <c r="QTX107" s="669"/>
      <c r="QTY107" s="669"/>
      <c r="QTZ107" s="669"/>
      <c r="QUA107" s="669"/>
      <c r="QUB107" s="669"/>
      <c r="QUC107" s="669"/>
      <c r="QUD107" s="669"/>
      <c r="QUE107" s="669"/>
      <c r="QUF107" s="669"/>
      <c r="QUG107" s="669"/>
      <c r="QUH107" s="669"/>
      <c r="QUI107" s="669"/>
      <c r="QUJ107" s="669"/>
      <c r="QUK107" s="669"/>
      <c r="QUL107" s="669"/>
      <c r="QUM107" s="669"/>
      <c r="QUN107" s="669"/>
      <c r="QUO107" s="669"/>
      <c r="QUP107" s="669"/>
      <c r="QUQ107" s="669"/>
      <c r="QUR107" s="669"/>
      <c r="QUS107" s="669"/>
      <c r="QUT107" s="669"/>
      <c r="QUU107" s="669"/>
      <c r="QUV107" s="669"/>
      <c r="QUW107" s="669"/>
      <c r="QUX107" s="669"/>
      <c r="QUY107" s="669"/>
      <c r="QUZ107" s="669"/>
      <c r="QVA107" s="669"/>
      <c r="QVB107" s="669"/>
      <c r="QVC107" s="669"/>
      <c r="QVD107" s="669"/>
      <c r="QVE107" s="669"/>
      <c r="QVF107" s="669"/>
      <c r="QVG107" s="669"/>
      <c r="QVH107" s="669"/>
      <c r="QVI107" s="669"/>
      <c r="QVJ107" s="669"/>
      <c r="QVK107" s="669"/>
      <c r="QVL107" s="669"/>
      <c r="QVM107" s="669"/>
      <c r="QVN107" s="669"/>
      <c r="QVO107" s="669"/>
      <c r="QVP107" s="669"/>
      <c r="QVQ107" s="669"/>
      <c r="QVR107" s="669"/>
      <c r="QVS107" s="669"/>
      <c r="QVT107" s="669"/>
      <c r="QVU107" s="669"/>
      <c r="QVV107" s="669"/>
      <c r="QVW107" s="669"/>
      <c r="QVX107" s="669"/>
      <c r="QVY107" s="669"/>
      <c r="QVZ107" s="669"/>
      <c r="QWA107" s="669"/>
      <c r="QWB107" s="669"/>
      <c r="QWC107" s="669"/>
      <c r="QWD107" s="669"/>
      <c r="QWE107" s="669"/>
      <c r="QWF107" s="669"/>
      <c r="QWG107" s="669"/>
      <c r="QWH107" s="669"/>
      <c r="QWI107" s="669"/>
      <c r="QWJ107" s="669"/>
      <c r="QWK107" s="669"/>
      <c r="QWL107" s="669"/>
      <c r="QWM107" s="669"/>
      <c r="QWN107" s="669"/>
      <c r="QWO107" s="669"/>
      <c r="QWP107" s="669"/>
      <c r="QWQ107" s="669"/>
      <c r="QWR107" s="669"/>
      <c r="QWS107" s="669"/>
      <c r="QWT107" s="669"/>
      <c r="QWU107" s="669"/>
      <c r="QWV107" s="669"/>
      <c r="QWW107" s="669"/>
      <c r="QWX107" s="669"/>
      <c r="QWY107" s="669"/>
      <c r="QWZ107" s="669"/>
      <c r="QXA107" s="669"/>
      <c r="QXB107" s="669"/>
      <c r="QXC107" s="669"/>
      <c r="QXD107" s="669"/>
      <c r="QXE107" s="669"/>
      <c r="QXF107" s="669"/>
      <c r="QXG107" s="669"/>
      <c r="QXH107" s="669"/>
      <c r="QXI107" s="669"/>
      <c r="QXJ107" s="669"/>
      <c r="QXK107" s="669"/>
      <c r="QXL107" s="669"/>
      <c r="QXM107" s="669"/>
      <c r="QXN107" s="669"/>
      <c r="QXO107" s="669"/>
      <c r="QXP107" s="669"/>
      <c r="QXQ107" s="669"/>
      <c r="QXR107" s="669"/>
      <c r="QXS107" s="669"/>
      <c r="QXT107" s="669"/>
      <c r="QXU107" s="669"/>
      <c r="QXV107" s="669"/>
      <c r="QXW107" s="669"/>
      <c r="QXX107" s="669"/>
      <c r="QXY107" s="669"/>
      <c r="QXZ107" s="669"/>
      <c r="QYA107" s="669"/>
      <c r="QYB107" s="669"/>
      <c r="QYC107" s="669"/>
      <c r="QYD107" s="669"/>
      <c r="QYE107" s="669"/>
      <c r="QYF107" s="669"/>
      <c r="QYG107" s="669"/>
      <c r="QYH107" s="669"/>
      <c r="QYI107" s="669"/>
      <c r="QYJ107" s="669"/>
      <c r="QYK107" s="669"/>
      <c r="QYL107" s="669"/>
      <c r="QYM107" s="669"/>
      <c r="QYN107" s="669"/>
      <c r="QYO107" s="669"/>
      <c r="QYP107" s="669"/>
      <c r="QYQ107" s="669"/>
      <c r="QYR107" s="669"/>
      <c r="QYS107" s="669"/>
      <c r="QYT107" s="669"/>
      <c r="QYU107" s="669"/>
      <c r="QYV107" s="669"/>
      <c r="QYW107" s="669"/>
      <c r="QYX107" s="669"/>
      <c r="QYY107" s="669"/>
      <c r="QYZ107" s="669"/>
      <c r="QZA107" s="669"/>
      <c r="QZB107" s="669"/>
      <c r="QZC107" s="669"/>
      <c r="QZD107" s="669"/>
      <c r="QZE107" s="669"/>
      <c r="QZF107" s="669"/>
      <c r="QZG107" s="669"/>
      <c r="QZH107" s="669"/>
      <c r="QZI107" s="669"/>
      <c r="QZJ107" s="669"/>
      <c r="QZK107" s="669"/>
      <c r="QZL107" s="669"/>
      <c r="QZM107" s="669"/>
      <c r="QZN107" s="669"/>
      <c r="QZO107" s="669"/>
      <c r="QZP107" s="669"/>
      <c r="QZQ107" s="669"/>
      <c r="QZR107" s="669"/>
      <c r="QZS107" s="669"/>
      <c r="QZT107" s="669"/>
      <c r="QZU107" s="669"/>
      <c r="QZV107" s="669"/>
      <c r="QZW107" s="669"/>
      <c r="QZX107" s="669"/>
      <c r="QZY107" s="669"/>
      <c r="QZZ107" s="669"/>
      <c r="RAA107" s="669"/>
      <c r="RAB107" s="669"/>
      <c r="RAC107" s="669"/>
      <c r="RAD107" s="669"/>
      <c r="RAE107" s="669"/>
      <c r="RAF107" s="669"/>
      <c r="RAG107" s="669"/>
      <c r="RAH107" s="669"/>
      <c r="RAI107" s="669"/>
      <c r="RAJ107" s="669"/>
      <c r="RAK107" s="669"/>
      <c r="RAL107" s="669"/>
      <c r="RAM107" s="669"/>
      <c r="RAN107" s="669"/>
      <c r="RAO107" s="669"/>
      <c r="RAP107" s="669"/>
      <c r="RAQ107" s="669"/>
      <c r="RAR107" s="669"/>
      <c r="RAS107" s="669"/>
      <c r="RAT107" s="669"/>
      <c r="RAU107" s="669"/>
      <c r="RAV107" s="669"/>
      <c r="RAW107" s="669"/>
      <c r="RAX107" s="669"/>
      <c r="RAY107" s="669"/>
      <c r="RAZ107" s="669"/>
      <c r="RBA107" s="669"/>
      <c r="RBB107" s="669"/>
      <c r="RBC107" s="669"/>
      <c r="RBD107" s="669"/>
      <c r="RBE107" s="669"/>
      <c r="RBF107" s="669"/>
      <c r="RBG107" s="669"/>
      <c r="RBH107" s="669"/>
      <c r="RBI107" s="669"/>
      <c r="RBJ107" s="669"/>
      <c r="RBK107" s="669"/>
      <c r="RBL107" s="669"/>
      <c r="RBM107" s="669"/>
      <c r="RBN107" s="669"/>
      <c r="RBO107" s="669"/>
      <c r="RBP107" s="669"/>
      <c r="RBQ107" s="669"/>
      <c r="RBR107" s="669"/>
      <c r="RBS107" s="669"/>
      <c r="RBT107" s="669"/>
      <c r="RBU107" s="669"/>
      <c r="RBV107" s="669"/>
      <c r="RBW107" s="669"/>
      <c r="RBX107" s="669"/>
      <c r="RBY107" s="669"/>
      <c r="RBZ107" s="669"/>
      <c r="RCA107" s="669"/>
      <c r="RCB107" s="669"/>
      <c r="RCC107" s="669"/>
      <c r="RCD107" s="669"/>
      <c r="RCE107" s="669"/>
      <c r="RCF107" s="669"/>
      <c r="RCG107" s="669"/>
      <c r="RCH107" s="669"/>
      <c r="RCI107" s="669"/>
      <c r="RCJ107" s="669"/>
      <c r="RCK107" s="669"/>
      <c r="RCL107" s="669"/>
      <c r="RCM107" s="669"/>
      <c r="RCN107" s="669"/>
      <c r="RCO107" s="669"/>
      <c r="RCP107" s="669"/>
      <c r="RCQ107" s="669"/>
      <c r="RCR107" s="669"/>
      <c r="RCS107" s="669"/>
      <c r="RCT107" s="669"/>
      <c r="RCU107" s="669"/>
      <c r="RCV107" s="669"/>
      <c r="RCW107" s="669"/>
      <c r="RCX107" s="669"/>
      <c r="RCY107" s="669"/>
      <c r="RCZ107" s="669"/>
      <c r="RDA107" s="669"/>
      <c r="RDB107" s="669"/>
      <c r="RDC107" s="669"/>
      <c r="RDD107" s="669"/>
      <c r="RDE107" s="669"/>
      <c r="RDF107" s="669"/>
      <c r="RDG107" s="669"/>
      <c r="RDH107" s="669"/>
      <c r="RDI107" s="669"/>
      <c r="RDJ107" s="669"/>
      <c r="RDK107" s="669"/>
      <c r="RDL107" s="669"/>
      <c r="RDM107" s="669"/>
      <c r="RDN107" s="669"/>
      <c r="RDO107" s="669"/>
      <c r="RDP107" s="669"/>
      <c r="RDQ107" s="669"/>
      <c r="RDR107" s="669"/>
      <c r="RDS107" s="669"/>
      <c r="RDT107" s="669"/>
      <c r="RDU107" s="669"/>
      <c r="RDV107" s="669"/>
      <c r="RDW107" s="669"/>
      <c r="RDX107" s="669"/>
      <c r="RDY107" s="669"/>
      <c r="RDZ107" s="669"/>
      <c r="REA107" s="669"/>
      <c r="REB107" s="669"/>
      <c r="REC107" s="669"/>
      <c r="RED107" s="669"/>
      <c r="REE107" s="669"/>
      <c r="REF107" s="669"/>
      <c r="REG107" s="669"/>
      <c r="REH107" s="669"/>
      <c r="REI107" s="669"/>
      <c r="REJ107" s="669"/>
      <c r="REK107" s="669"/>
      <c r="REL107" s="669"/>
      <c r="REM107" s="669"/>
      <c r="REN107" s="669"/>
      <c r="REO107" s="669"/>
      <c r="REP107" s="669"/>
      <c r="REQ107" s="669"/>
      <c r="RER107" s="669"/>
      <c r="RES107" s="669"/>
      <c r="RET107" s="669"/>
      <c r="REU107" s="669"/>
      <c r="REV107" s="669"/>
      <c r="REW107" s="669"/>
      <c r="REX107" s="669"/>
      <c r="REY107" s="669"/>
      <c r="REZ107" s="669"/>
      <c r="RFA107" s="669"/>
      <c r="RFB107" s="669"/>
      <c r="RFC107" s="669"/>
      <c r="RFD107" s="669"/>
      <c r="RFE107" s="669"/>
      <c r="RFF107" s="669"/>
      <c r="RFG107" s="669"/>
      <c r="RFH107" s="669"/>
      <c r="RFI107" s="669"/>
      <c r="RFJ107" s="669"/>
      <c r="RFK107" s="669"/>
      <c r="RFL107" s="669"/>
      <c r="RFM107" s="669"/>
      <c r="RFN107" s="669"/>
      <c r="RFO107" s="669"/>
      <c r="RFP107" s="669"/>
      <c r="RFQ107" s="669"/>
      <c r="RFR107" s="669"/>
      <c r="RFS107" s="669"/>
      <c r="RFT107" s="669"/>
      <c r="RFU107" s="669"/>
      <c r="RFV107" s="669"/>
      <c r="RFW107" s="669"/>
      <c r="RFX107" s="669"/>
      <c r="RFY107" s="669"/>
      <c r="RFZ107" s="669"/>
      <c r="RGA107" s="669"/>
      <c r="RGB107" s="669"/>
      <c r="RGC107" s="669"/>
      <c r="RGD107" s="669"/>
      <c r="RGE107" s="669"/>
      <c r="RGF107" s="669"/>
      <c r="RGG107" s="669"/>
      <c r="RGH107" s="669"/>
      <c r="RGI107" s="669"/>
      <c r="RGJ107" s="669"/>
      <c r="RGK107" s="669"/>
      <c r="RGL107" s="669"/>
      <c r="RGM107" s="669"/>
      <c r="RGN107" s="669"/>
      <c r="RGO107" s="669"/>
      <c r="RGP107" s="669"/>
      <c r="RGQ107" s="669"/>
      <c r="RGR107" s="669"/>
      <c r="RGS107" s="669"/>
      <c r="RGT107" s="669"/>
      <c r="RGU107" s="669"/>
      <c r="RGV107" s="669"/>
      <c r="RGW107" s="669"/>
      <c r="RGX107" s="669"/>
      <c r="RGY107" s="669"/>
      <c r="RGZ107" s="669"/>
      <c r="RHA107" s="669"/>
      <c r="RHB107" s="669"/>
      <c r="RHC107" s="669"/>
      <c r="RHD107" s="669"/>
      <c r="RHE107" s="669"/>
      <c r="RHF107" s="669"/>
      <c r="RHG107" s="669"/>
      <c r="RHH107" s="669"/>
      <c r="RHI107" s="669"/>
      <c r="RHJ107" s="669"/>
      <c r="RHK107" s="669"/>
      <c r="RHL107" s="669"/>
      <c r="RHM107" s="669"/>
      <c r="RHN107" s="669"/>
      <c r="RHO107" s="669"/>
      <c r="RHP107" s="669"/>
      <c r="RHQ107" s="669"/>
      <c r="RHR107" s="669"/>
      <c r="RHS107" s="669"/>
      <c r="RHT107" s="669"/>
      <c r="RHU107" s="669"/>
      <c r="RHV107" s="669"/>
      <c r="RHW107" s="669"/>
      <c r="RHX107" s="669"/>
      <c r="RHY107" s="669"/>
      <c r="RHZ107" s="669"/>
      <c r="RIA107" s="669"/>
      <c r="RIB107" s="669"/>
      <c r="RIC107" s="669"/>
      <c r="RID107" s="669"/>
      <c r="RIE107" s="669"/>
      <c r="RIF107" s="669"/>
      <c r="RIG107" s="669"/>
      <c r="RIH107" s="669"/>
      <c r="RII107" s="669"/>
      <c r="RIJ107" s="669"/>
      <c r="RIK107" s="669"/>
      <c r="RIL107" s="669"/>
      <c r="RIM107" s="669"/>
      <c r="RIN107" s="669"/>
      <c r="RIO107" s="669"/>
      <c r="RIP107" s="669"/>
      <c r="RIQ107" s="669"/>
      <c r="RIR107" s="669"/>
      <c r="RIS107" s="669"/>
      <c r="RIT107" s="669"/>
      <c r="RIU107" s="669"/>
      <c r="RIV107" s="669"/>
      <c r="RIW107" s="669"/>
      <c r="RIX107" s="669"/>
      <c r="RIY107" s="669"/>
      <c r="RIZ107" s="669"/>
      <c r="RJA107" s="669"/>
      <c r="RJB107" s="669"/>
      <c r="RJC107" s="669"/>
      <c r="RJD107" s="669"/>
      <c r="RJE107" s="669"/>
      <c r="RJF107" s="669"/>
      <c r="RJG107" s="669"/>
      <c r="RJH107" s="669"/>
      <c r="RJI107" s="669"/>
      <c r="RJJ107" s="669"/>
      <c r="RJK107" s="669"/>
      <c r="RJL107" s="669"/>
      <c r="RJM107" s="669"/>
      <c r="RJN107" s="669"/>
      <c r="RJO107" s="669"/>
      <c r="RJP107" s="669"/>
      <c r="RJQ107" s="669"/>
      <c r="RJR107" s="669"/>
      <c r="RJS107" s="669"/>
      <c r="RJT107" s="669"/>
      <c r="RJU107" s="669"/>
      <c r="RJV107" s="669"/>
      <c r="RJW107" s="669"/>
      <c r="RJX107" s="669"/>
      <c r="RJY107" s="669"/>
      <c r="RJZ107" s="669"/>
      <c r="RKA107" s="669"/>
      <c r="RKB107" s="669"/>
      <c r="RKC107" s="669"/>
      <c r="RKD107" s="669"/>
      <c r="RKE107" s="669"/>
      <c r="RKF107" s="669"/>
      <c r="RKG107" s="669"/>
      <c r="RKH107" s="669"/>
      <c r="RKI107" s="669"/>
      <c r="RKJ107" s="669"/>
      <c r="RKK107" s="669"/>
      <c r="RKL107" s="669"/>
      <c r="RKM107" s="669"/>
      <c r="RKN107" s="669"/>
      <c r="RKO107" s="669"/>
      <c r="RKP107" s="669"/>
      <c r="RKQ107" s="669"/>
      <c r="RKR107" s="669"/>
      <c r="RKS107" s="669"/>
      <c r="RKT107" s="669"/>
      <c r="RKU107" s="669"/>
      <c r="RKV107" s="669"/>
      <c r="RKW107" s="669"/>
      <c r="RKX107" s="669"/>
      <c r="RKY107" s="669"/>
      <c r="RKZ107" s="669"/>
      <c r="RLA107" s="669"/>
      <c r="RLB107" s="669"/>
      <c r="RLC107" s="669"/>
      <c r="RLD107" s="669"/>
      <c r="RLE107" s="669"/>
      <c r="RLF107" s="669"/>
      <c r="RLG107" s="669"/>
      <c r="RLH107" s="669"/>
      <c r="RLI107" s="669"/>
      <c r="RLJ107" s="669"/>
      <c r="RLK107" s="669"/>
      <c r="RLL107" s="669"/>
      <c r="RLM107" s="669"/>
      <c r="RLN107" s="669"/>
      <c r="RLO107" s="669"/>
      <c r="RLP107" s="669"/>
      <c r="RLQ107" s="669"/>
      <c r="RLR107" s="669"/>
      <c r="RLS107" s="669"/>
      <c r="RLT107" s="669"/>
      <c r="RLU107" s="669"/>
      <c r="RLV107" s="669"/>
      <c r="RLW107" s="669"/>
      <c r="RLX107" s="669"/>
      <c r="RLY107" s="669"/>
      <c r="RLZ107" s="669"/>
      <c r="RMA107" s="669"/>
      <c r="RMB107" s="669"/>
      <c r="RMC107" s="669"/>
      <c r="RMD107" s="669"/>
      <c r="RME107" s="669"/>
      <c r="RMF107" s="669"/>
      <c r="RMG107" s="669"/>
      <c r="RMH107" s="669"/>
      <c r="RMI107" s="669"/>
      <c r="RMJ107" s="669"/>
      <c r="RMK107" s="669"/>
      <c r="RML107" s="669"/>
      <c r="RMM107" s="669"/>
      <c r="RMN107" s="669"/>
      <c r="RMO107" s="669"/>
      <c r="RMP107" s="669"/>
      <c r="RMQ107" s="669"/>
      <c r="RMR107" s="669"/>
      <c r="RMS107" s="669"/>
      <c r="RMT107" s="669"/>
      <c r="RMU107" s="669"/>
      <c r="RMV107" s="669"/>
      <c r="RMW107" s="669"/>
      <c r="RMX107" s="669"/>
      <c r="RMY107" s="669"/>
      <c r="RMZ107" s="669"/>
      <c r="RNA107" s="669"/>
      <c r="RNB107" s="669"/>
      <c r="RNC107" s="669"/>
      <c r="RND107" s="669"/>
      <c r="RNE107" s="669"/>
      <c r="RNF107" s="669"/>
      <c r="RNG107" s="669"/>
      <c r="RNH107" s="669"/>
      <c r="RNI107" s="669"/>
      <c r="RNJ107" s="669"/>
      <c r="RNK107" s="669"/>
      <c r="RNL107" s="669"/>
      <c r="RNM107" s="669"/>
      <c r="RNN107" s="669"/>
      <c r="RNO107" s="669"/>
      <c r="RNP107" s="669"/>
      <c r="RNQ107" s="669"/>
      <c r="RNR107" s="669"/>
      <c r="RNS107" s="669"/>
      <c r="RNT107" s="669"/>
      <c r="RNU107" s="669"/>
      <c r="RNV107" s="669"/>
      <c r="RNW107" s="669"/>
      <c r="RNX107" s="669"/>
      <c r="RNY107" s="669"/>
      <c r="RNZ107" s="669"/>
      <c r="ROA107" s="669"/>
      <c r="ROB107" s="669"/>
      <c r="ROC107" s="669"/>
      <c r="ROD107" s="669"/>
      <c r="ROE107" s="669"/>
      <c r="ROF107" s="669"/>
      <c r="ROG107" s="669"/>
      <c r="ROH107" s="669"/>
      <c r="ROI107" s="669"/>
      <c r="ROJ107" s="669"/>
      <c r="ROK107" s="669"/>
      <c r="ROL107" s="669"/>
      <c r="ROM107" s="669"/>
      <c r="RON107" s="669"/>
      <c r="ROO107" s="669"/>
      <c r="ROP107" s="669"/>
      <c r="ROQ107" s="669"/>
      <c r="ROR107" s="669"/>
      <c r="ROS107" s="669"/>
      <c r="ROT107" s="669"/>
      <c r="ROU107" s="669"/>
      <c r="ROV107" s="669"/>
      <c r="ROW107" s="669"/>
      <c r="ROX107" s="669"/>
      <c r="ROY107" s="669"/>
      <c r="ROZ107" s="669"/>
      <c r="RPA107" s="669"/>
      <c r="RPB107" s="669"/>
      <c r="RPC107" s="669"/>
      <c r="RPD107" s="669"/>
      <c r="RPE107" s="669"/>
      <c r="RPF107" s="669"/>
      <c r="RPG107" s="669"/>
      <c r="RPH107" s="669"/>
      <c r="RPI107" s="669"/>
      <c r="RPJ107" s="669"/>
      <c r="RPK107" s="669"/>
      <c r="RPL107" s="669"/>
      <c r="RPM107" s="669"/>
      <c r="RPN107" s="669"/>
      <c r="RPO107" s="669"/>
      <c r="RPP107" s="669"/>
      <c r="RPQ107" s="669"/>
      <c r="RPR107" s="669"/>
      <c r="RPS107" s="669"/>
      <c r="RPT107" s="669"/>
      <c r="RPU107" s="669"/>
      <c r="RPV107" s="669"/>
      <c r="RPW107" s="669"/>
      <c r="RPX107" s="669"/>
      <c r="RPY107" s="669"/>
      <c r="RPZ107" s="669"/>
      <c r="RQA107" s="669"/>
      <c r="RQB107" s="669"/>
      <c r="RQC107" s="669"/>
      <c r="RQD107" s="669"/>
      <c r="RQE107" s="669"/>
      <c r="RQF107" s="669"/>
      <c r="RQG107" s="669"/>
      <c r="RQH107" s="669"/>
      <c r="RQI107" s="669"/>
      <c r="RQJ107" s="669"/>
      <c r="RQK107" s="669"/>
      <c r="RQL107" s="669"/>
      <c r="RQM107" s="669"/>
      <c r="RQN107" s="669"/>
      <c r="RQO107" s="669"/>
      <c r="RQP107" s="669"/>
      <c r="RQQ107" s="669"/>
      <c r="RQR107" s="669"/>
      <c r="RQS107" s="669"/>
      <c r="RQT107" s="669"/>
      <c r="RQU107" s="669"/>
      <c r="RQV107" s="669"/>
      <c r="RQW107" s="669"/>
      <c r="RQX107" s="669"/>
      <c r="RQY107" s="669"/>
      <c r="RQZ107" s="669"/>
      <c r="RRA107" s="669"/>
      <c r="RRB107" s="669"/>
      <c r="RRC107" s="669"/>
      <c r="RRD107" s="669"/>
      <c r="RRE107" s="669"/>
      <c r="RRF107" s="669"/>
      <c r="RRG107" s="669"/>
      <c r="RRH107" s="669"/>
      <c r="RRI107" s="669"/>
      <c r="RRJ107" s="669"/>
      <c r="RRK107" s="669"/>
      <c r="RRL107" s="669"/>
      <c r="RRM107" s="669"/>
      <c r="RRN107" s="669"/>
      <c r="RRO107" s="669"/>
      <c r="RRP107" s="669"/>
      <c r="RRQ107" s="669"/>
      <c r="RRR107" s="669"/>
      <c r="RRS107" s="669"/>
      <c r="RRT107" s="669"/>
      <c r="RRU107" s="669"/>
      <c r="RRV107" s="669"/>
      <c r="RRW107" s="669"/>
      <c r="RRX107" s="669"/>
      <c r="RRY107" s="669"/>
      <c r="RRZ107" s="669"/>
      <c r="RSA107" s="669"/>
      <c r="RSB107" s="669"/>
      <c r="RSC107" s="669"/>
      <c r="RSD107" s="669"/>
      <c r="RSE107" s="669"/>
      <c r="RSF107" s="669"/>
      <c r="RSG107" s="669"/>
      <c r="RSH107" s="669"/>
      <c r="RSI107" s="669"/>
      <c r="RSJ107" s="669"/>
      <c r="RSK107" s="669"/>
      <c r="RSL107" s="669"/>
      <c r="RSM107" s="669"/>
      <c r="RSN107" s="669"/>
      <c r="RSO107" s="669"/>
      <c r="RSP107" s="669"/>
      <c r="RSQ107" s="669"/>
      <c r="RSR107" s="669"/>
      <c r="RSS107" s="669"/>
      <c r="RST107" s="669"/>
      <c r="RSU107" s="669"/>
      <c r="RSV107" s="669"/>
      <c r="RSW107" s="669"/>
      <c r="RSX107" s="669"/>
      <c r="RSY107" s="669"/>
      <c r="RSZ107" s="669"/>
      <c r="RTA107" s="669"/>
      <c r="RTB107" s="669"/>
      <c r="RTC107" s="669"/>
      <c r="RTD107" s="669"/>
      <c r="RTE107" s="669"/>
      <c r="RTF107" s="669"/>
      <c r="RTG107" s="669"/>
      <c r="RTH107" s="669"/>
      <c r="RTI107" s="669"/>
      <c r="RTJ107" s="669"/>
      <c r="RTK107" s="669"/>
      <c r="RTL107" s="669"/>
      <c r="RTM107" s="669"/>
      <c r="RTN107" s="669"/>
      <c r="RTO107" s="669"/>
      <c r="RTP107" s="669"/>
      <c r="RTQ107" s="669"/>
      <c r="RTR107" s="669"/>
      <c r="RTS107" s="669"/>
      <c r="RTT107" s="669"/>
      <c r="RTU107" s="669"/>
      <c r="RTV107" s="669"/>
      <c r="RTW107" s="669"/>
      <c r="RTX107" s="669"/>
      <c r="RTY107" s="669"/>
      <c r="RTZ107" s="669"/>
      <c r="RUA107" s="669"/>
      <c r="RUB107" s="669"/>
      <c r="RUC107" s="669"/>
      <c r="RUD107" s="669"/>
      <c r="RUE107" s="669"/>
      <c r="RUF107" s="669"/>
      <c r="RUG107" s="669"/>
      <c r="RUH107" s="669"/>
      <c r="RUI107" s="669"/>
      <c r="RUJ107" s="669"/>
      <c r="RUK107" s="669"/>
      <c r="RUL107" s="669"/>
      <c r="RUM107" s="669"/>
      <c r="RUN107" s="669"/>
      <c r="RUO107" s="669"/>
      <c r="RUP107" s="669"/>
      <c r="RUQ107" s="669"/>
      <c r="RUR107" s="669"/>
      <c r="RUS107" s="669"/>
      <c r="RUT107" s="669"/>
      <c r="RUU107" s="669"/>
      <c r="RUV107" s="669"/>
      <c r="RUW107" s="669"/>
      <c r="RUX107" s="669"/>
      <c r="RUY107" s="669"/>
      <c r="RUZ107" s="669"/>
      <c r="RVA107" s="669"/>
      <c r="RVB107" s="669"/>
      <c r="RVC107" s="669"/>
      <c r="RVD107" s="669"/>
      <c r="RVE107" s="669"/>
      <c r="RVF107" s="669"/>
      <c r="RVG107" s="669"/>
      <c r="RVH107" s="669"/>
      <c r="RVI107" s="669"/>
      <c r="RVJ107" s="669"/>
      <c r="RVK107" s="669"/>
      <c r="RVL107" s="669"/>
      <c r="RVM107" s="669"/>
      <c r="RVN107" s="669"/>
      <c r="RVO107" s="669"/>
      <c r="RVP107" s="669"/>
      <c r="RVQ107" s="669"/>
      <c r="RVR107" s="669"/>
      <c r="RVS107" s="669"/>
      <c r="RVT107" s="669"/>
      <c r="RVU107" s="669"/>
      <c r="RVV107" s="669"/>
      <c r="RVW107" s="669"/>
      <c r="RVX107" s="669"/>
      <c r="RVY107" s="669"/>
      <c r="RVZ107" s="669"/>
      <c r="RWA107" s="669"/>
      <c r="RWB107" s="669"/>
      <c r="RWC107" s="669"/>
      <c r="RWD107" s="669"/>
      <c r="RWE107" s="669"/>
      <c r="RWF107" s="669"/>
      <c r="RWG107" s="669"/>
      <c r="RWH107" s="669"/>
      <c r="RWI107" s="669"/>
      <c r="RWJ107" s="669"/>
      <c r="RWK107" s="669"/>
      <c r="RWL107" s="669"/>
      <c r="RWM107" s="669"/>
      <c r="RWN107" s="669"/>
      <c r="RWO107" s="669"/>
      <c r="RWP107" s="669"/>
      <c r="RWQ107" s="669"/>
      <c r="RWR107" s="669"/>
      <c r="RWS107" s="669"/>
      <c r="RWT107" s="669"/>
      <c r="RWU107" s="669"/>
      <c r="RWV107" s="669"/>
      <c r="RWW107" s="669"/>
      <c r="RWX107" s="669"/>
      <c r="RWY107" s="669"/>
      <c r="RWZ107" s="669"/>
      <c r="RXA107" s="669"/>
      <c r="RXB107" s="669"/>
      <c r="RXC107" s="669"/>
      <c r="RXD107" s="669"/>
      <c r="RXE107" s="669"/>
      <c r="RXF107" s="669"/>
      <c r="RXG107" s="669"/>
      <c r="RXH107" s="669"/>
      <c r="RXI107" s="669"/>
      <c r="RXJ107" s="669"/>
      <c r="RXK107" s="669"/>
      <c r="RXL107" s="669"/>
      <c r="RXM107" s="669"/>
      <c r="RXN107" s="669"/>
      <c r="RXO107" s="669"/>
      <c r="RXP107" s="669"/>
      <c r="RXQ107" s="669"/>
      <c r="RXR107" s="669"/>
      <c r="RXS107" s="669"/>
      <c r="RXT107" s="669"/>
      <c r="RXU107" s="669"/>
      <c r="RXV107" s="669"/>
      <c r="RXW107" s="669"/>
      <c r="RXX107" s="669"/>
      <c r="RXY107" s="669"/>
      <c r="RXZ107" s="669"/>
      <c r="RYA107" s="669"/>
      <c r="RYB107" s="669"/>
      <c r="RYC107" s="669"/>
      <c r="RYD107" s="669"/>
      <c r="RYE107" s="669"/>
      <c r="RYF107" s="669"/>
      <c r="RYG107" s="669"/>
      <c r="RYH107" s="669"/>
      <c r="RYI107" s="669"/>
      <c r="RYJ107" s="669"/>
      <c r="RYK107" s="669"/>
      <c r="RYL107" s="669"/>
      <c r="RYM107" s="669"/>
      <c r="RYN107" s="669"/>
      <c r="RYO107" s="669"/>
      <c r="RYP107" s="669"/>
      <c r="RYQ107" s="669"/>
      <c r="RYR107" s="669"/>
      <c r="RYS107" s="669"/>
      <c r="RYT107" s="669"/>
      <c r="RYU107" s="669"/>
      <c r="RYV107" s="669"/>
      <c r="RYW107" s="669"/>
      <c r="RYX107" s="669"/>
      <c r="RYY107" s="669"/>
      <c r="RYZ107" s="669"/>
      <c r="RZA107" s="669"/>
      <c r="RZB107" s="669"/>
      <c r="RZC107" s="669"/>
      <c r="RZD107" s="669"/>
      <c r="RZE107" s="669"/>
      <c r="RZF107" s="669"/>
      <c r="RZG107" s="669"/>
      <c r="RZH107" s="669"/>
      <c r="RZI107" s="669"/>
      <c r="RZJ107" s="669"/>
      <c r="RZK107" s="669"/>
      <c r="RZL107" s="669"/>
      <c r="RZM107" s="669"/>
      <c r="RZN107" s="669"/>
      <c r="RZO107" s="669"/>
      <c r="RZP107" s="669"/>
      <c r="RZQ107" s="669"/>
      <c r="RZR107" s="669"/>
      <c r="RZS107" s="669"/>
      <c r="RZT107" s="669"/>
      <c r="RZU107" s="669"/>
      <c r="RZV107" s="669"/>
      <c r="RZW107" s="669"/>
      <c r="RZX107" s="669"/>
      <c r="RZY107" s="669"/>
      <c r="RZZ107" s="669"/>
      <c r="SAA107" s="669"/>
      <c r="SAB107" s="669"/>
      <c r="SAC107" s="669"/>
      <c r="SAD107" s="669"/>
      <c r="SAE107" s="669"/>
      <c r="SAF107" s="669"/>
      <c r="SAG107" s="669"/>
      <c r="SAH107" s="669"/>
      <c r="SAI107" s="669"/>
      <c r="SAJ107" s="669"/>
      <c r="SAK107" s="669"/>
      <c r="SAL107" s="669"/>
      <c r="SAM107" s="669"/>
      <c r="SAN107" s="669"/>
      <c r="SAO107" s="669"/>
      <c r="SAP107" s="669"/>
      <c r="SAQ107" s="669"/>
      <c r="SAR107" s="669"/>
      <c r="SAS107" s="669"/>
      <c r="SAT107" s="669"/>
      <c r="SAU107" s="669"/>
      <c r="SAV107" s="669"/>
      <c r="SAW107" s="669"/>
      <c r="SAX107" s="669"/>
      <c r="SAY107" s="669"/>
      <c r="SAZ107" s="669"/>
      <c r="SBA107" s="669"/>
      <c r="SBB107" s="669"/>
      <c r="SBC107" s="669"/>
      <c r="SBD107" s="669"/>
      <c r="SBE107" s="669"/>
      <c r="SBF107" s="669"/>
      <c r="SBG107" s="669"/>
      <c r="SBH107" s="669"/>
      <c r="SBI107" s="669"/>
      <c r="SBJ107" s="669"/>
      <c r="SBK107" s="669"/>
      <c r="SBL107" s="669"/>
      <c r="SBM107" s="669"/>
      <c r="SBN107" s="669"/>
      <c r="SBO107" s="669"/>
      <c r="SBP107" s="669"/>
      <c r="SBQ107" s="669"/>
      <c r="SBR107" s="669"/>
      <c r="SBS107" s="669"/>
      <c r="SBT107" s="669"/>
      <c r="SBU107" s="669"/>
      <c r="SBV107" s="669"/>
      <c r="SBW107" s="669"/>
      <c r="SBX107" s="669"/>
      <c r="SBY107" s="669"/>
      <c r="SBZ107" s="669"/>
      <c r="SCA107" s="669"/>
      <c r="SCB107" s="669"/>
      <c r="SCC107" s="669"/>
      <c r="SCD107" s="669"/>
      <c r="SCE107" s="669"/>
      <c r="SCF107" s="669"/>
      <c r="SCG107" s="669"/>
      <c r="SCH107" s="669"/>
      <c r="SCI107" s="669"/>
      <c r="SCJ107" s="669"/>
      <c r="SCK107" s="669"/>
      <c r="SCL107" s="669"/>
      <c r="SCM107" s="669"/>
      <c r="SCN107" s="669"/>
      <c r="SCO107" s="669"/>
      <c r="SCP107" s="669"/>
      <c r="SCQ107" s="669"/>
      <c r="SCR107" s="669"/>
      <c r="SCS107" s="669"/>
      <c r="SCT107" s="669"/>
      <c r="SCU107" s="669"/>
      <c r="SCV107" s="669"/>
      <c r="SCW107" s="669"/>
      <c r="SCX107" s="669"/>
      <c r="SCY107" s="669"/>
      <c r="SCZ107" s="669"/>
      <c r="SDA107" s="669"/>
      <c r="SDB107" s="669"/>
      <c r="SDC107" s="669"/>
      <c r="SDD107" s="669"/>
      <c r="SDE107" s="669"/>
      <c r="SDF107" s="669"/>
      <c r="SDG107" s="669"/>
      <c r="SDH107" s="669"/>
      <c r="SDI107" s="669"/>
      <c r="SDJ107" s="669"/>
      <c r="SDK107" s="669"/>
      <c r="SDL107" s="669"/>
      <c r="SDM107" s="669"/>
      <c r="SDN107" s="669"/>
      <c r="SDO107" s="669"/>
      <c r="SDP107" s="669"/>
      <c r="SDQ107" s="669"/>
      <c r="SDR107" s="669"/>
      <c r="SDS107" s="669"/>
      <c r="SDT107" s="669"/>
      <c r="SDU107" s="669"/>
      <c r="SDV107" s="669"/>
      <c r="SDW107" s="669"/>
      <c r="SDX107" s="669"/>
      <c r="SDY107" s="669"/>
      <c r="SDZ107" s="669"/>
      <c r="SEA107" s="669"/>
      <c r="SEB107" s="669"/>
      <c r="SEC107" s="669"/>
      <c r="SED107" s="669"/>
      <c r="SEE107" s="669"/>
      <c r="SEF107" s="669"/>
      <c r="SEG107" s="669"/>
      <c r="SEH107" s="669"/>
      <c r="SEI107" s="669"/>
      <c r="SEJ107" s="669"/>
      <c r="SEK107" s="669"/>
      <c r="SEL107" s="669"/>
      <c r="SEM107" s="669"/>
      <c r="SEN107" s="669"/>
      <c r="SEO107" s="669"/>
      <c r="SEP107" s="669"/>
      <c r="SEQ107" s="669"/>
      <c r="SER107" s="669"/>
      <c r="SES107" s="669"/>
      <c r="SET107" s="669"/>
      <c r="SEU107" s="669"/>
      <c r="SEV107" s="669"/>
      <c r="SEW107" s="669"/>
      <c r="SEX107" s="669"/>
      <c r="SEY107" s="669"/>
      <c r="SEZ107" s="669"/>
      <c r="SFA107" s="669"/>
      <c r="SFB107" s="669"/>
      <c r="SFC107" s="669"/>
      <c r="SFD107" s="669"/>
      <c r="SFE107" s="669"/>
      <c r="SFF107" s="669"/>
      <c r="SFG107" s="669"/>
      <c r="SFH107" s="669"/>
      <c r="SFI107" s="669"/>
      <c r="SFJ107" s="669"/>
      <c r="SFK107" s="669"/>
      <c r="SFL107" s="669"/>
      <c r="SFM107" s="669"/>
      <c r="SFN107" s="669"/>
      <c r="SFO107" s="669"/>
      <c r="SFP107" s="669"/>
      <c r="SFQ107" s="669"/>
      <c r="SFR107" s="669"/>
      <c r="SFS107" s="669"/>
      <c r="SFT107" s="669"/>
      <c r="SFU107" s="669"/>
      <c r="SFV107" s="669"/>
      <c r="SFW107" s="669"/>
      <c r="SFX107" s="669"/>
      <c r="SFY107" s="669"/>
      <c r="SFZ107" s="669"/>
      <c r="SGA107" s="669"/>
      <c r="SGB107" s="669"/>
      <c r="SGC107" s="669"/>
      <c r="SGD107" s="669"/>
      <c r="SGE107" s="669"/>
      <c r="SGF107" s="669"/>
      <c r="SGG107" s="669"/>
      <c r="SGH107" s="669"/>
      <c r="SGI107" s="669"/>
      <c r="SGJ107" s="669"/>
      <c r="SGK107" s="669"/>
      <c r="SGL107" s="669"/>
      <c r="SGM107" s="669"/>
      <c r="SGN107" s="669"/>
      <c r="SGO107" s="669"/>
      <c r="SGP107" s="669"/>
      <c r="SGQ107" s="669"/>
      <c r="SGR107" s="669"/>
      <c r="SGS107" s="669"/>
      <c r="SGT107" s="669"/>
      <c r="SGU107" s="669"/>
      <c r="SGV107" s="669"/>
      <c r="SGW107" s="669"/>
      <c r="SGX107" s="669"/>
      <c r="SGY107" s="669"/>
      <c r="SGZ107" s="669"/>
      <c r="SHA107" s="669"/>
      <c r="SHB107" s="669"/>
      <c r="SHC107" s="669"/>
      <c r="SHD107" s="669"/>
      <c r="SHE107" s="669"/>
      <c r="SHF107" s="669"/>
      <c r="SHG107" s="669"/>
      <c r="SHH107" s="669"/>
      <c r="SHI107" s="669"/>
      <c r="SHJ107" s="669"/>
      <c r="SHK107" s="669"/>
      <c r="SHL107" s="669"/>
      <c r="SHM107" s="669"/>
      <c r="SHN107" s="669"/>
      <c r="SHO107" s="669"/>
      <c r="SHP107" s="669"/>
      <c r="SHQ107" s="669"/>
      <c r="SHR107" s="669"/>
      <c r="SHS107" s="669"/>
      <c r="SHT107" s="669"/>
      <c r="SHU107" s="669"/>
      <c r="SHV107" s="669"/>
      <c r="SHW107" s="669"/>
      <c r="SHX107" s="669"/>
      <c r="SHY107" s="669"/>
      <c r="SHZ107" s="669"/>
      <c r="SIA107" s="669"/>
      <c r="SIB107" s="669"/>
      <c r="SIC107" s="669"/>
      <c r="SID107" s="669"/>
      <c r="SIE107" s="669"/>
      <c r="SIF107" s="669"/>
      <c r="SIG107" s="669"/>
      <c r="SIH107" s="669"/>
      <c r="SII107" s="669"/>
      <c r="SIJ107" s="669"/>
      <c r="SIK107" s="669"/>
      <c r="SIL107" s="669"/>
      <c r="SIM107" s="669"/>
      <c r="SIN107" s="669"/>
      <c r="SIO107" s="669"/>
      <c r="SIP107" s="669"/>
      <c r="SIQ107" s="669"/>
      <c r="SIR107" s="669"/>
      <c r="SIS107" s="669"/>
      <c r="SIT107" s="669"/>
      <c r="SIU107" s="669"/>
      <c r="SIV107" s="669"/>
      <c r="SIW107" s="669"/>
      <c r="SIX107" s="669"/>
      <c r="SIY107" s="669"/>
      <c r="SIZ107" s="669"/>
      <c r="SJA107" s="669"/>
      <c r="SJB107" s="669"/>
      <c r="SJC107" s="669"/>
      <c r="SJD107" s="669"/>
      <c r="SJE107" s="669"/>
      <c r="SJF107" s="669"/>
      <c r="SJG107" s="669"/>
      <c r="SJH107" s="669"/>
      <c r="SJI107" s="669"/>
      <c r="SJJ107" s="669"/>
      <c r="SJK107" s="669"/>
      <c r="SJL107" s="669"/>
      <c r="SJM107" s="669"/>
      <c r="SJN107" s="669"/>
      <c r="SJO107" s="669"/>
      <c r="SJP107" s="669"/>
      <c r="SJQ107" s="669"/>
      <c r="SJR107" s="669"/>
      <c r="SJS107" s="669"/>
      <c r="SJT107" s="669"/>
      <c r="SJU107" s="669"/>
      <c r="SJV107" s="669"/>
      <c r="SJW107" s="669"/>
      <c r="SJX107" s="669"/>
      <c r="SJY107" s="669"/>
      <c r="SJZ107" s="669"/>
      <c r="SKA107" s="669"/>
      <c r="SKB107" s="669"/>
      <c r="SKC107" s="669"/>
      <c r="SKD107" s="669"/>
      <c r="SKE107" s="669"/>
      <c r="SKF107" s="669"/>
      <c r="SKG107" s="669"/>
      <c r="SKH107" s="669"/>
      <c r="SKI107" s="669"/>
      <c r="SKJ107" s="669"/>
      <c r="SKK107" s="669"/>
      <c r="SKL107" s="669"/>
      <c r="SKM107" s="669"/>
      <c r="SKN107" s="669"/>
      <c r="SKO107" s="669"/>
      <c r="SKP107" s="669"/>
      <c r="SKQ107" s="669"/>
      <c r="SKR107" s="669"/>
      <c r="SKS107" s="669"/>
      <c r="SKT107" s="669"/>
      <c r="SKU107" s="669"/>
      <c r="SKV107" s="669"/>
      <c r="SKW107" s="669"/>
      <c r="SKX107" s="669"/>
      <c r="SKY107" s="669"/>
      <c r="SKZ107" s="669"/>
      <c r="SLA107" s="669"/>
      <c r="SLB107" s="669"/>
      <c r="SLC107" s="669"/>
      <c r="SLD107" s="669"/>
      <c r="SLE107" s="669"/>
      <c r="SLF107" s="669"/>
      <c r="SLG107" s="669"/>
      <c r="SLH107" s="669"/>
      <c r="SLI107" s="669"/>
      <c r="SLJ107" s="669"/>
      <c r="SLK107" s="669"/>
      <c r="SLL107" s="669"/>
      <c r="SLM107" s="669"/>
      <c r="SLN107" s="669"/>
      <c r="SLO107" s="669"/>
      <c r="SLP107" s="669"/>
      <c r="SLQ107" s="669"/>
      <c r="SLR107" s="669"/>
      <c r="SLS107" s="669"/>
      <c r="SLT107" s="669"/>
      <c r="SLU107" s="669"/>
      <c r="SLV107" s="669"/>
      <c r="SLW107" s="669"/>
      <c r="SLX107" s="669"/>
      <c r="SLY107" s="669"/>
      <c r="SLZ107" s="669"/>
      <c r="SMA107" s="669"/>
      <c r="SMB107" s="669"/>
      <c r="SMC107" s="669"/>
      <c r="SMD107" s="669"/>
      <c r="SME107" s="669"/>
      <c r="SMF107" s="669"/>
      <c r="SMG107" s="669"/>
      <c r="SMH107" s="669"/>
      <c r="SMI107" s="669"/>
      <c r="SMJ107" s="669"/>
      <c r="SMK107" s="669"/>
      <c r="SML107" s="669"/>
      <c r="SMM107" s="669"/>
      <c r="SMN107" s="669"/>
      <c r="SMO107" s="669"/>
      <c r="SMP107" s="669"/>
      <c r="SMQ107" s="669"/>
      <c r="SMR107" s="669"/>
      <c r="SMS107" s="669"/>
      <c r="SMT107" s="669"/>
      <c r="SMU107" s="669"/>
      <c r="SMV107" s="669"/>
      <c r="SMW107" s="669"/>
      <c r="SMX107" s="669"/>
      <c r="SMY107" s="669"/>
      <c r="SMZ107" s="669"/>
      <c r="SNA107" s="669"/>
      <c r="SNB107" s="669"/>
      <c r="SNC107" s="669"/>
      <c r="SND107" s="669"/>
      <c r="SNE107" s="669"/>
      <c r="SNF107" s="669"/>
      <c r="SNG107" s="669"/>
      <c r="SNH107" s="669"/>
      <c r="SNI107" s="669"/>
      <c r="SNJ107" s="669"/>
      <c r="SNK107" s="669"/>
      <c r="SNL107" s="669"/>
      <c r="SNM107" s="669"/>
      <c r="SNN107" s="669"/>
      <c r="SNO107" s="669"/>
      <c r="SNP107" s="669"/>
      <c r="SNQ107" s="669"/>
      <c r="SNR107" s="669"/>
      <c r="SNS107" s="669"/>
      <c r="SNT107" s="669"/>
      <c r="SNU107" s="669"/>
      <c r="SNV107" s="669"/>
      <c r="SNW107" s="669"/>
      <c r="SNX107" s="669"/>
      <c r="SNY107" s="669"/>
      <c r="SNZ107" s="669"/>
      <c r="SOA107" s="669"/>
      <c r="SOB107" s="669"/>
      <c r="SOC107" s="669"/>
      <c r="SOD107" s="669"/>
      <c r="SOE107" s="669"/>
      <c r="SOF107" s="669"/>
      <c r="SOG107" s="669"/>
      <c r="SOH107" s="669"/>
      <c r="SOI107" s="669"/>
      <c r="SOJ107" s="669"/>
      <c r="SOK107" s="669"/>
      <c r="SOL107" s="669"/>
      <c r="SOM107" s="669"/>
      <c r="SON107" s="669"/>
      <c r="SOO107" s="669"/>
      <c r="SOP107" s="669"/>
      <c r="SOQ107" s="669"/>
      <c r="SOR107" s="669"/>
      <c r="SOS107" s="669"/>
      <c r="SOT107" s="669"/>
      <c r="SOU107" s="669"/>
      <c r="SOV107" s="669"/>
      <c r="SOW107" s="669"/>
      <c r="SOX107" s="669"/>
      <c r="SOY107" s="669"/>
      <c r="SOZ107" s="669"/>
      <c r="SPA107" s="669"/>
      <c r="SPB107" s="669"/>
      <c r="SPC107" s="669"/>
      <c r="SPD107" s="669"/>
      <c r="SPE107" s="669"/>
      <c r="SPF107" s="669"/>
      <c r="SPG107" s="669"/>
      <c r="SPH107" s="669"/>
      <c r="SPI107" s="669"/>
      <c r="SPJ107" s="669"/>
      <c r="SPK107" s="669"/>
      <c r="SPL107" s="669"/>
      <c r="SPM107" s="669"/>
      <c r="SPN107" s="669"/>
      <c r="SPO107" s="669"/>
      <c r="SPP107" s="669"/>
      <c r="SPQ107" s="669"/>
      <c r="SPR107" s="669"/>
      <c r="SPS107" s="669"/>
      <c r="SPT107" s="669"/>
      <c r="SPU107" s="669"/>
      <c r="SPV107" s="669"/>
      <c r="SPW107" s="669"/>
      <c r="SPX107" s="669"/>
      <c r="SPY107" s="669"/>
      <c r="SPZ107" s="669"/>
      <c r="SQA107" s="669"/>
      <c r="SQB107" s="669"/>
      <c r="SQC107" s="669"/>
      <c r="SQD107" s="669"/>
      <c r="SQE107" s="669"/>
      <c r="SQF107" s="669"/>
      <c r="SQG107" s="669"/>
      <c r="SQH107" s="669"/>
      <c r="SQI107" s="669"/>
      <c r="SQJ107" s="669"/>
      <c r="SQK107" s="669"/>
      <c r="SQL107" s="669"/>
      <c r="SQM107" s="669"/>
      <c r="SQN107" s="669"/>
      <c r="SQO107" s="669"/>
      <c r="SQP107" s="669"/>
      <c r="SQQ107" s="669"/>
      <c r="SQR107" s="669"/>
      <c r="SQS107" s="669"/>
      <c r="SQT107" s="669"/>
      <c r="SQU107" s="669"/>
      <c r="SQV107" s="669"/>
      <c r="SQW107" s="669"/>
      <c r="SQX107" s="669"/>
      <c r="SQY107" s="669"/>
      <c r="SQZ107" s="669"/>
      <c r="SRA107" s="669"/>
      <c r="SRB107" s="669"/>
      <c r="SRC107" s="669"/>
      <c r="SRD107" s="669"/>
      <c r="SRE107" s="669"/>
      <c r="SRF107" s="669"/>
      <c r="SRG107" s="669"/>
      <c r="SRH107" s="669"/>
      <c r="SRI107" s="669"/>
      <c r="SRJ107" s="669"/>
      <c r="SRK107" s="669"/>
      <c r="SRL107" s="669"/>
      <c r="SRM107" s="669"/>
      <c r="SRN107" s="669"/>
      <c r="SRO107" s="669"/>
      <c r="SRP107" s="669"/>
      <c r="SRQ107" s="669"/>
      <c r="SRR107" s="669"/>
      <c r="SRS107" s="669"/>
      <c r="SRT107" s="669"/>
      <c r="SRU107" s="669"/>
      <c r="SRV107" s="669"/>
      <c r="SRW107" s="669"/>
      <c r="SRX107" s="669"/>
      <c r="SRY107" s="669"/>
      <c r="SRZ107" s="669"/>
      <c r="SSA107" s="669"/>
      <c r="SSB107" s="669"/>
      <c r="SSC107" s="669"/>
      <c r="SSD107" s="669"/>
      <c r="SSE107" s="669"/>
      <c r="SSF107" s="669"/>
      <c r="SSG107" s="669"/>
      <c r="SSH107" s="669"/>
      <c r="SSI107" s="669"/>
      <c r="SSJ107" s="669"/>
      <c r="SSK107" s="669"/>
      <c r="SSL107" s="669"/>
      <c r="SSM107" s="669"/>
      <c r="SSN107" s="669"/>
      <c r="SSO107" s="669"/>
      <c r="SSP107" s="669"/>
      <c r="SSQ107" s="669"/>
      <c r="SSR107" s="669"/>
      <c r="SSS107" s="669"/>
      <c r="SST107" s="669"/>
      <c r="SSU107" s="669"/>
      <c r="SSV107" s="669"/>
      <c r="SSW107" s="669"/>
      <c r="SSX107" s="669"/>
      <c r="SSY107" s="669"/>
      <c r="SSZ107" s="669"/>
      <c r="STA107" s="669"/>
      <c r="STB107" s="669"/>
      <c r="STC107" s="669"/>
      <c r="STD107" s="669"/>
      <c r="STE107" s="669"/>
      <c r="STF107" s="669"/>
      <c r="STG107" s="669"/>
      <c r="STH107" s="669"/>
      <c r="STI107" s="669"/>
      <c r="STJ107" s="669"/>
      <c r="STK107" s="669"/>
      <c r="STL107" s="669"/>
      <c r="STM107" s="669"/>
      <c r="STN107" s="669"/>
      <c r="STO107" s="669"/>
      <c r="STP107" s="669"/>
      <c r="STQ107" s="669"/>
      <c r="STR107" s="669"/>
      <c r="STS107" s="669"/>
      <c r="STT107" s="669"/>
      <c r="STU107" s="669"/>
      <c r="STV107" s="669"/>
      <c r="STW107" s="669"/>
      <c r="STX107" s="669"/>
      <c r="STY107" s="669"/>
      <c r="STZ107" s="669"/>
      <c r="SUA107" s="669"/>
      <c r="SUB107" s="669"/>
      <c r="SUC107" s="669"/>
      <c r="SUD107" s="669"/>
      <c r="SUE107" s="669"/>
      <c r="SUF107" s="669"/>
      <c r="SUG107" s="669"/>
      <c r="SUH107" s="669"/>
      <c r="SUI107" s="669"/>
      <c r="SUJ107" s="669"/>
      <c r="SUK107" s="669"/>
      <c r="SUL107" s="669"/>
      <c r="SUM107" s="669"/>
      <c r="SUN107" s="669"/>
      <c r="SUO107" s="669"/>
      <c r="SUP107" s="669"/>
      <c r="SUQ107" s="669"/>
      <c r="SUR107" s="669"/>
      <c r="SUS107" s="669"/>
      <c r="SUT107" s="669"/>
      <c r="SUU107" s="669"/>
      <c r="SUV107" s="669"/>
      <c r="SUW107" s="669"/>
      <c r="SUX107" s="669"/>
      <c r="SUY107" s="669"/>
      <c r="SUZ107" s="669"/>
      <c r="SVA107" s="669"/>
      <c r="SVB107" s="669"/>
      <c r="SVC107" s="669"/>
      <c r="SVD107" s="669"/>
      <c r="SVE107" s="669"/>
      <c r="SVF107" s="669"/>
      <c r="SVG107" s="669"/>
      <c r="SVH107" s="669"/>
      <c r="SVI107" s="669"/>
      <c r="SVJ107" s="669"/>
      <c r="SVK107" s="669"/>
      <c r="SVL107" s="669"/>
      <c r="SVM107" s="669"/>
      <c r="SVN107" s="669"/>
      <c r="SVO107" s="669"/>
      <c r="SVP107" s="669"/>
      <c r="SVQ107" s="669"/>
      <c r="SVR107" s="669"/>
      <c r="SVS107" s="669"/>
      <c r="SVT107" s="669"/>
      <c r="SVU107" s="669"/>
      <c r="SVV107" s="669"/>
      <c r="SVW107" s="669"/>
      <c r="SVX107" s="669"/>
      <c r="SVY107" s="669"/>
      <c r="SVZ107" s="669"/>
      <c r="SWA107" s="669"/>
      <c r="SWB107" s="669"/>
      <c r="SWC107" s="669"/>
      <c r="SWD107" s="669"/>
      <c r="SWE107" s="669"/>
      <c r="SWF107" s="669"/>
      <c r="SWG107" s="669"/>
      <c r="SWH107" s="669"/>
      <c r="SWI107" s="669"/>
      <c r="SWJ107" s="669"/>
      <c r="SWK107" s="669"/>
      <c r="SWL107" s="669"/>
      <c r="SWM107" s="669"/>
      <c r="SWN107" s="669"/>
      <c r="SWO107" s="669"/>
      <c r="SWP107" s="669"/>
      <c r="SWQ107" s="669"/>
      <c r="SWR107" s="669"/>
      <c r="SWS107" s="669"/>
      <c r="SWT107" s="669"/>
      <c r="SWU107" s="669"/>
      <c r="SWV107" s="669"/>
      <c r="SWW107" s="669"/>
      <c r="SWX107" s="669"/>
      <c r="SWY107" s="669"/>
      <c r="SWZ107" s="669"/>
      <c r="SXA107" s="669"/>
      <c r="SXB107" s="669"/>
      <c r="SXC107" s="669"/>
      <c r="SXD107" s="669"/>
      <c r="SXE107" s="669"/>
      <c r="SXF107" s="669"/>
      <c r="SXG107" s="669"/>
      <c r="SXH107" s="669"/>
      <c r="SXI107" s="669"/>
      <c r="SXJ107" s="669"/>
      <c r="SXK107" s="669"/>
      <c r="SXL107" s="669"/>
      <c r="SXM107" s="669"/>
      <c r="SXN107" s="669"/>
      <c r="SXO107" s="669"/>
      <c r="SXP107" s="669"/>
      <c r="SXQ107" s="669"/>
      <c r="SXR107" s="669"/>
      <c r="SXS107" s="669"/>
      <c r="SXT107" s="669"/>
      <c r="SXU107" s="669"/>
      <c r="SXV107" s="669"/>
      <c r="SXW107" s="669"/>
      <c r="SXX107" s="669"/>
      <c r="SXY107" s="669"/>
      <c r="SXZ107" s="669"/>
      <c r="SYA107" s="669"/>
      <c r="SYB107" s="669"/>
      <c r="SYC107" s="669"/>
      <c r="SYD107" s="669"/>
      <c r="SYE107" s="669"/>
      <c r="SYF107" s="669"/>
      <c r="SYG107" s="669"/>
      <c r="SYH107" s="669"/>
      <c r="SYI107" s="669"/>
      <c r="SYJ107" s="669"/>
      <c r="SYK107" s="669"/>
      <c r="SYL107" s="669"/>
      <c r="SYM107" s="669"/>
      <c r="SYN107" s="669"/>
      <c r="SYO107" s="669"/>
      <c r="SYP107" s="669"/>
      <c r="SYQ107" s="669"/>
      <c r="SYR107" s="669"/>
      <c r="SYS107" s="669"/>
      <c r="SYT107" s="669"/>
      <c r="SYU107" s="669"/>
      <c r="SYV107" s="669"/>
      <c r="SYW107" s="669"/>
      <c r="SYX107" s="669"/>
      <c r="SYY107" s="669"/>
      <c r="SYZ107" s="669"/>
      <c r="SZA107" s="669"/>
      <c r="SZB107" s="669"/>
      <c r="SZC107" s="669"/>
      <c r="SZD107" s="669"/>
      <c r="SZE107" s="669"/>
      <c r="SZF107" s="669"/>
      <c r="SZG107" s="669"/>
      <c r="SZH107" s="669"/>
      <c r="SZI107" s="669"/>
      <c r="SZJ107" s="669"/>
      <c r="SZK107" s="669"/>
      <c r="SZL107" s="669"/>
      <c r="SZM107" s="669"/>
      <c r="SZN107" s="669"/>
      <c r="SZO107" s="669"/>
      <c r="SZP107" s="669"/>
      <c r="SZQ107" s="669"/>
      <c r="SZR107" s="669"/>
      <c r="SZS107" s="669"/>
      <c r="SZT107" s="669"/>
      <c r="SZU107" s="669"/>
      <c r="SZV107" s="669"/>
      <c r="SZW107" s="669"/>
      <c r="SZX107" s="669"/>
      <c r="SZY107" s="669"/>
      <c r="SZZ107" s="669"/>
      <c r="TAA107" s="669"/>
      <c r="TAB107" s="669"/>
      <c r="TAC107" s="669"/>
      <c r="TAD107" s="669"/>
      <c r="TAE107" s="669"/>
      <c r="TAF107" s="669"/>
      <c r="TAG107" s="669"/>
      <c r="TAH107" s="669"/>
      <c r="TAI107" s="669"/>
      <c r="TAJ107" s="669"/>
      <c r="TAK107" s="669"/>
      <c r="TAL107" s="669"/>
      <c r="TAM107" s="669"/>
      <c r="TAN107" s="669"/>
      <c r="TAO107" s="669"/>
      <c r="TAP107" s="669"/>
      <c r="TAQ107" s="669"/>
      <c r="TAR107" s="669"/>
      <c r="TAS107" s="669"/>
      <c r="TAT107" s="669"/>
      <c r="TAU107" s="669"/>
      <c r="TAV107" s="669"/>
      <c r="TAW107" s="669"/>
      <c r="TAX107" s="669"/>
      <c r="TAY107" s="669"/>
      <c r="TAZ107" s="669"/>
      <c r="TBA107" s="669"/>
      <c r="TBB107" s="669"/>
      <c r="TBC107" s="669"/>
      <c r="TBD107" s="669"/>
      <c r="TBE107" s="669"/>
      <c r="TBF107" s="669"/>
      <c r="TBG107" s="669"/>
      <c r="TBH107" s="669"/>
      <c r="TBI107" s="669"/>
      <c r="TBJ107" s="669"/>
      <c r="TBK107" s="669"/>
      <c r="TBL107" s="669"/>
      <c r="TBM107" s="669"/>
      <c r="TBN107" s="669"/>
      <c r="TBO107" s="669"/>
      <c r="TBP107" s="669"/>
      <c r="TBQ107" s="669"/>
      <c r="TBR107" s="669"/>
      <c r="TBS107" s="669"/>
      <c r="TBT107" s="669"/>
      <c r="TBU107" s="669"/>
      <c r="TBV107" s="669"/>
      <c r="TBW107" s="669"/>
      <c r="TBX107" s="669"/>
      <c r="TBY107" s="669"/>
      <c r="TBZ107" s="669"/>
      <c r="TCA107" s="669"/>
      <c r="TCB107" s="669"/>
      <c r="TCC107" s="669"/>
      <c r="TCD107" s="669"/>
      <c r="TCE107" s="669"/>
      <c r="TCF107" s="669"/>
      <c r="TCG107" s="669"/>
      <c r="TCH107" s="669"/>
      <c r="TCI107" s="669"/>
      <c r="TCJ107" s="669"/>
      <c r="TCK107" s="669"/>
      <c r="TCL107" s="669"/>
      <c r="TCM107" s="669"/>
      <c r="TCN107" s="669"/>
      <c r="TCO107" s="669"/>
      <c r="TCP107" s="669"/>
      <c r="TCQ107" s="669"/>
      <c r="TCR107" s="669"/>
      <c r="TCS107" s="669"/>
      <c r="TCT107" s="669"/>
      <c r="TCU107" s="669"/>
      <c r="TCV107" s="669"/>
      <c r="TCW107" s="669"/>
      <c r="TCX107" s="669"/>
      <c r="TCY107" s="669"/>
      <c r="TCZ107" s="669"/>
      <c r="TDA107" s="669"/>
      <c r="TDB107" s="669"/>
      <c r="TDC107" s="669"/>
      <c r="TDD107" s="669"/>
      <c r="TDE107" s="669"/>
      <c r="TDF107" s="669"/>
      <c r="TDG107" s="669"/>
      <c r="TDH107" s="669"/>
      <c r="TDI107" s="669"/>
      <c r="TDJ107" s="669"/>
      <c r="TDK107" s="669"/>
      <c r="TDL107" s="669"/>
      <c r="TDM107" s="669"/>
      <c r="TDN107" s="669"/>
      <c r="TDO107" s="669"/>
      <c r="TDP107" s="669"/>
      <c r="TDQ107" s="669"/>
      <c r="TDR107" s="669"/>
      <c r="TDS107" s="669"/>
      <c r="TDT107" s="669"/>
      <c r="TDU107" s="669"/>
      <c r="TDV107" s="669"/>
      <c r="TDW107" s="669"/>
      <c r="TDX107" s="669"/>
      <c r="TDY107" s="669"/>
      <c r="TDZ107" s="669"/>
      <c r="TEA107" s="669"/>
      <c r="TEB107" s="669"/>
      <c r="TEC107" s="669"/>
      <c r="TED107" s="669"/>
      <c r="TEE107" s="669"/>
      <c r="TEF107" s="669"/>
      <c r="TEG107" s="669"/>
      <c r="TEH107" s="669"/>
      <c r="TEI107" s="669"/>
      <c r="TEJ107" s="669"/>
      <c r="TEK107" s="669"/>
      <c r="TEL107" s="669"/>
      <c r="TEM107" s="669"/>
      <c r="TEN107" s="669"/>
      <c r="TEO107" s="669"/>
      <c r="TEP107" s="669"/>
      <c r="TEQ107" s="669"/>
      <c r="TER107" s="669"/>
      <c r="TES107" s="669"/>
      <c r="TET107" s="669"/>
      <c r="TEU107" s="669"/>
      <c r="TEV107" s="669"/>
      <c r="TEW107" s="669"/>
      <c r="TEX107" s="669"/>
      <c r="TEY107" s="669"/>
      <c r="TEZ107" s="669"/>
      <c r="TFA107" s="669"/>
      <c r="TFB107" s="669"/>
      <c r="TFC107" s="669"/>
      <c r="TFD107" s="669"/>
      <c r="TFE107" s="669"/>
      <c r="TFF107" s="669"/>
      <c r="TFG107" s="669"/>
      <c r="TFH107" s="669"/>
      <c r="TFI107" s="669"/>
      <c r="TFJ107" s="669"/>
      <c r="TFK107" s="669"/>
      <c r="TFL107" s="669"/>
      <c r="TFM107" s="669"/>
      <c r="TFN107" s="669"/>
      <c r="TFO107" s="669"/>
      <c r="TFP107" s="669"/>
      <c r="TFQ107" s="669"/>
      <c r="TFR107" s="669"/>
      <c r="TFS107" s="669"/>
      <c r="TFT107" s="669"/>
      <c r="TFU107" s="669"/>
      <c r="TFV107" s="669"/>
      <c r="TFW107" s="669"/>
      <c r="TFX107" s="669"/>
      <c r="TFY107" s="669"/>
      <c r="TFZ107" s="669"/>
      <c r="TGA107" s="669"/>
      <c r="TGB107" s="669"/>
      <c r="TGC107" s="669"/>
      <c r="TGD107" s="669"/>
      <c r="TGE107" s="669"/>
      <c r="TGF107" s="669"/>
      <c r="TGG107" s="669"/>
      <c r="TGH107" s="669"/>
      <c r="TGI107" s="669"/>
      <c r="TGJ107" s="669"/>
      <c r="TGK107" s="669"/>
      <c r="TGL107" s="669"/>
      <c r="TGM107" s="669"/>
      <c r="TGN107" s="669"/>
      <c r="TGO107" s="669"/>
      <c r="TGP107" s="669"/>
      <c r="TGQ107" s="669"/>
      <c r="TGR107" s="669"/>
      <c r="TGS107" s="669"/>
      <c r="TGT107" s="669"/>
      <c r="TGU107" s="669"/>
      <c r="TGV107" s="669"/>
      <c r="TGW107" s="669"/>
      <c r="TGX107" s="669"/>
      <c r="TGY107" s="669"/>
      <c r="TGZ107" s="669"/>
      <c r="THA107" s="669"/>
      <c r="THB107" s="669"/>
      <c r="THC107" s="669"/>
      <c r="THD107" s="669"/>
      <c r="THE107" s="669"/>
      <c r="THF107" s="669"/>
      <c r="THG107" s="669"/>
      <c r="THH107" s="669"/>
      <c r="THI107" s="669"/>
      <c r="THJ107" s="669"/>
      <c r="THK107" s="669"/>
      <c r="THL107" s="669"/>
      <c r="THM107" s="669"/>
      <c r="THN107" s="669"/>
      <c r="THO107" s="669"/>
      <c r="THP107" s="669"/>
      <c r="THQ107" s="669"/>
      <c r="THR107" s="669"/>
      <c r="THS107" s="669"/>
      <c r="THT107" s="669"/>
      <c r="THU107" s="669"/>
      <c r="THV107" s="669"/>
      <c r="THW107" s="669"/>
      <c r="THX107" s="669"/>
      <c r="THY107" s="669"/>
      <c r="THZ107" s="669"/>
      <c r="TIA107" s="669"/>
      <c r="TIB107" s="669"/>
      <c r="TIC107" s="669"/>
      <c r="TID107" s="669"/>
      <c r="TIE107" s="669"/>
      <c r="TIF107" s="669"/>
      <c r="TIG107" s="669"/>
      <c r="TIH107" s="669"/>
      <c r="TII107" s="669"/>
      <c r="TIJ107" s="669"/>
      <c r="TIK107" s="669"/>
      <c r="TIL107" s="669"/>
      <c r="TIM107" s="669"/>
      <c r="TIN107" s="669"/>
      <c r="TIO107" s="669"/>
      <c r="TIP107" s="669"/>
      <c r="TIQ107" s="669"/>
      <c r="TIR107" s="669"/>
      <c r="TIS107" s="669"/>
      <c r="TIT107" s="669"/>
      <c r="TIU107" s="669"/>
      <c r="TIV107" s="669"/>
      <c r="TIW107" s="669"/>
      <c r="TIX107" s="669"/>
      <c r="TIY107" s="669"/>
      <c r="TIZ107" s="669"/>
      <c r="TJA107" s="669"/>
      <c r="TJB107" s="669"/>
      <c r="TJC107" s="669"/>
      <c r="TJD107" s="669"/>
      <c r="TJE107" s="669"/>
      <c r="TJF107" s="669"/>
      <c r="TJG107" s="669"/>
      <c r="TJH107" s="669"/>
      <c r="TJI107" s="669"/>
      <c r="TJJ107" s="669"/>
      <c r="TJK107" s="669"/>
      <c r="TJL107" s="669"/>
      <c r="TJM107" s="669"/>
      <c r="TJN107" s="669"/>
      <c r="TJO107" s="669"/>
      <c r="TJP107" s="669"/>
      <c r="TJQ107" s="669"/>
      <c r="TJR107" s="669"/>
      <c r="TJS107" s="669"/>
      <c r="TJT107" s="669"/>
      <c r="TJU107" s="669"/>
      <c r="TJV107" s="669"/>
      <c r="TJW107" s="669"/>
      <c r="TJX107" s="669"/>
      <c r="TJY107" s="669"/>
      <c r="TJZ107" s="669"/>
      <c r="TKA107" s="669"/>
      <c r="TKB107" s="669"/>
      <c r="TKC107" s="669"/>
      <c r="TKD107" s="669"/>
      <c r="TKE107" s="669"/>
      <c r="TKF107" s="669"/>
      <c r="TKG107" s="669"/>
      <c r="TKH107" s="669"/>
      <c r="TKI107" s="669"/>
      <c r="TKJ107" s="669"/>
      <c r="TKK107" s="669"/>
      <c r="TKL107" s="669"/>
      <c r="TKM107" s="669"/>
      <c r="TKN107" s="669"/>
      <c r="TKO107" s="669"/>
      <c r="TKP107" s="669"/>
      <c r="TKQ107" s="669"/>
      <c r="TKR107" s="669"/>
      <c r="TKS107" s="669"/>
      <c r="TKT107" s="669"/>
      <c r="TKU107" s="669"/>
      <c r="TKV107" s="669"/>
      <c r="TKW107" s="669"/>
      <c r="TKX107" s="669"/>
      <c r="TKY107" s="669"/>
      <c r="TKZ107" s="669"/>
      <c r="TLA107" s="669"/>
      <c r="TLB107" s="669"/>
      <c r="TLC107" s="669"/>
      <c r="TLD107" s="669"/>
      <c r="TLE107" s="669"/>
      <c r="TLF107" s="669"/>
      <c r="TLG107" s="669"/>
      <c r="TLH107" s="669"/>
      <c r="TLI107" s="669"/>
      <c r="TLJ107" s="669"/>
      <c r="TLK107" s="669"/>
      <c r="TLL107" s="669"/>
      <c r="TLM107" s="669"/>
      <c r="TLN107" s="669"/>
      <c r="TLO107" s="669"/>
      <c r="TLP107" s="669"/>
      <c r="TLQ107" s="669"/>
      <c r="TLR107" s="669"/>
      <c r="TLS107" s="669"/>
      <c r="TLT107" s="669"/>
      <c r="TLU107" s="669"/>
      <c r="TLV107" s="669"/>
      <c r="TLW107" s="669"/>
      <c r="TLX107" s="669"/>
      <c r="TLY107" s="669"/>
      <c r="TLZ107" s="669"/>
      <c r="TMA107" s="669"/>
      <c r="TMB107" s="669"/>
      <c r="TMC107" s="669"/>
      <c r="TMD107" s="669"/>
      <c r="TME107" s="669"/>
      <c r="TMF107" s="669"/>
      <c r="TMG107" s="669"/>
      <c r="TMH107" s="669"/>
      <c r="TMI107" s="669"/>
      <c r="TMJ107" s="669"/>
      <c r="TMK107" s="669"/>
      <c r="TML107" s="669"/>
      <c r="TMM107" s="669"/>
      <c r="TMN107" s="669"/>
      <c r="TMO107" s="669"/>
      <c r="TMP107" s="669"/>
      <c r="TMQ107" s="669"/>
      <c r="TMR107" s="669"/>
      <c r="TMS107" s="669"/>
      <c r="TMT107" s="669"/>
      <c r="TMU107" s="669"/>
      <c r="TMV107" s="669"/>
      <c r="TMW107" s="669"/>
      <c r="TMX107" s="669"/>
      <c r="TMY107" s="669"/>
      <c r="TMZ107" s="669"/>
      <c r="TNA107" s="669"/>
      <c r="TNB107" s="669"/>
      <c r="TNC107" s="669"/>
      <c r="TND107" s="669"/>
      <c r="TNE107" s="669"/>
      <c r="TNF107" s="669"/>
      <c r="TNG107" s="669"/>
      <c r="TNH107" s="669"/>
      <c r="TNI107" s="669"/>
      <c r="TNJ107" s="669"/>
      <c r="TNK107" s="669"/>
      <c r="TNL107" s="669"/>
      <c r="TNM107" s="669"/>
      <c r="TNN107" s="669"/>
      <c r="TNO107" s="669"/>
      <c r="TNP107" s="669"/>
      <c r="TNQ107" s="669"/>
      <c r="TNR107" s="669"/>
      <c r="TNS107" s="669"/>
      <c r="TNT107" s="669"/>
      <c r="TNU107" s="669"/>
      <c r="TNV107" s="669"/>
      <c r="TNW107" s="669"/>
      <c r="TNX107" s="669"/>
      <c r="TNY107" s="669"/>
      <c r="TNZ107" s="669"/>
      <c r="TOA107" s="669"/>
      <c r="TOB107" s="669"/>
      <c r="TOC107" s="669"/>
      <c r="TOD107" s="669"/>
      <c r="TOE107" s="669"/>
      <c r="TOF107" s="669"/>
      <c r="TOG107" s="669"/>
      <c r="TOH107" s="669"/>
      <c r="TOI107" s="669"/>
      <c r="TOJ107" s="669"/>
      <c r="TOK107" s="669"/>
      <c r="TOL107" s="669"/>
      <c r="TOM107" s="669"/>
      <c r="TON107" s="669"/>
      <c r="TOO107" s="669"/>
      <c r="TOP107" s="669"/>
      <c r="TOQ107" s="669"/>
      <c r="TOR107" s="669"/>
      <c r="TOS107" s="669"/>
      <c r="TOT107" s="669"/>
      <c r="TOU107" s="669"/>
      <c r="TOV107" s="669"/>
      <c r="TOW107" s="669"/>
      <c r="TOX107" s="669"/>
      <c r="TOY107" s="669"/>
      <c r="TOZ107" s="669"/>
      <c r="TPA107" s="669"/>
      <c r="TPB107" s="669"/>
      <c r="TPC107" s="669"/>
      <c r="TPD107" s="669"/>
      <c r="TPE107" s="669"/>
      <c r="TPF107" s="669"/>
      <c r="TPG107" s="669"/>
      <c r="TPH107" s="669"/>
      <c r="TPI107" s="669"/>
      <c r="TPJ107" s="669"/>
      <c r="TPK107" s="669"/>
      <c r="TPL107" s="669"/>
      <c r="TPM107" s="669"/>
      <c r="TPN107" s="669"/>
      <c r="TPO107" s="669"/>
      <c r="TPP107" s="669"/>
      <c r="TPQ107" s="669"/>
      <c r="TPR107" s="669"/>
      <c r="TPS107" s="669"/>
      <c r="TPT107" s="669"/>
      <c r="TPU107" s="669"/>
      <c r="TPV107" s="669"/>
      <c r="TPW107" s="669"/>
      <c r="TPX107" s="669"/>
      <c r="TPY107" s="669"/>
      <c r="TPZ107" s="669"/>
      <c r="TQA107" s="669"/>
      <c r="TQB107" s="669"/>
      <c r="TQC107" s="669"/>
      <c r="TQD107" s="669"/>
      <c r="TQE107" s="669"/>
      <c r="TQF107" s="669"/>
      <c r="TQG107" s="669"/>
      <c r="TQH107" s="669"/>
      <c r="TQI107" s="669"/>
      <c r="TQJ107" s="669"/>
      <c r="TQK107" s="669"/>
      <c r="TQL107" s="669"/>
      <c r="TQM107" s="669"/>
      <c r="TQN107" s="669"/>
      <c r="TQO107" s="669"/>
      <c r="TQP107" s="669"/>
      <c r="TQQ107" s="669"/>
      <c r="TQR107" s="669"/>
      <c r="TQS107" s="669"/>
      <c r="TQT107" s="669"/>
      <c r="TQU107" s="669"/>
      <c r="TQV107" s="669"/>
      <c r="TQW107" s="669"/>
      <c r="TQX107" s="669"/>
      <c r="TQY107" s="669"/>
      <c r="TQZ107" s="669"/>
      <c r="TRA107" s="669"/>
      <c r="TRB107" s="669"/>
      <c r="TRC107" s="669"/>
      <c r="TRD107" s="669"/>
      <c r="TRE107" s="669"/>
      <c r="TRF107" s="669"/>
      <c r="TRG107" s="669"/>
      <c r="TRH107" s="669"/>
      <c r="TRI107" s="669"/>
      <c r="TRJ107" s="669"/>
      <c r="TRK107" s="669"/>
      <c r="TRL107" s="669"/>
      <c r="TRM107" s="669"/>
      <c r="TRN107" s="669"/>
      <c r="TRO107" s="669"/>
      <c r="TRP107" s="669"/>
      <c r="TRQ107" s="669"/>
      <c r="TRR107" s="669"/>
      <c r="TRS107" s="669"/>
      <c r="TRT107" s="669"/>
      <c r="TRU107" s="669"/>
      <c r="TRV107" s="669"/>
      <c r="TRW107" s="669"/>
      <c r="TRX107" s="669"/>
      <c r="TRY107" s="669"/>
      <c r="TRZ107" s="669"/>
      <c r="TSA107" s="669"/>
      <c r="TSB107" s="669"/>
      <c r="TSC107" s="669"/>
      <c r="TSD107" s="669"/>
      <c r="TSE107" s="669"/>
      <c r="TSF107" s="669"/>
      <c r="TSG107" s="669"/>
      <c r="TSH107" s="669"/>
      <c r="TSI107" s="669"/>
      <c r="TSJ107" s="669"/>
      <c r="TSK107" s="669"/>
      <c r="TSL107" s="669"/>
      <c r="TSM107" s="669"/>
      <c r="TSN107" s="669"/>
      <c r="TSO107" s="669"/>
      <c r="TSP107" s="669"/>
      <c r="TSQ107" s="669"/>
      <c r="TSR107" s="669"/>
      <c r="TSS107" s="669"/>
      <c r="TST107" s="669"/>
      <c r="TSU107" s="669"/>
      <c r="TSV107" s="669"/>
      <c r="TSW107" s="669"/>
      <c r="TSX107" s="669"/>
      <c r="TSY107" s="669"/>
      <c r="TSZ107" s="669"/>
      <c r="TTA107" s="669"/>
      <c r="TTB107" s="669"/>
      <c r="TTC107" s="669"/>
      <c r="TTD107" s="669"/>
      <c r="TTE107" s="669"/>
      <c r="TTF107" s="669"/>
      <c r="TTG107" s="669"/>
      <c r="TTH107" s="669"/>
      <c r="TTI107" s="669"/>
      <c r="TTJ107" s="669"/>
      <c r="TTK107" s="669"/>
      <c r="TTL107" s="669"/>
      <c r="TTM107" s="669"/>
      <c r="TTN107" s="669"/>
      <c r="TTO107" s="669"/>
      <c r="TTP107" s="669"/>
      <c r="TTQ107" s="669"/>
      <c r="TTR107" s="669"/>
      <c r="TTS107" s="669"/>
      <c r="TTT107" s="669"/>
      <c r="TTU107" s="669"/>
      <c r="TTV107" s="669"/>
      <c r="TTW107" s="669"/>
      <c r="TTX107" s="669"/>
      <c r="TTY107" s="669"/>
      <c r="TTZ107" s="669"/>
      <c r="TUA107" s="669"/>
      <c r="TUB107" s="669"/>
      <c r="TUC107" s="669"/>
      <c r="TUD107" s="669"/>
      <c r="TUE107" s="669"/>
      <c r="TUF107" s="669"/>
      <c r="TUG107" s="669"/>
      <c r="TUH107" s="669"/>
      <c r="TUI107" s="669"/>
      <c r="TUJ107" s="669"/>
      <c r="TUK107" s="669"/>
      <c r="TUL107" s="669"/>
      <c r="TUM107" s="669"/>
      <c r="TUN107" s="669"/>
      <c r="TUO107" s="669"/>
      <c r="TUP107" s="669"/>
      <c r="TUQ107" s="669"/>
      <c r="TUR107" s="669"/>
      <c r="TUS107" s="669"/>
      <c r="TUT107" s="669"/>
      <c r="TUU107" s="669"/>
      <c r="TUV107" s="669"/>
      <c r="TUW107" s="669"/>
      <c r="TUX107" s="669"/>
      <c r="TUY107" s="669"/>
      <c r="TUZ107" s="669"/>
      <c r="TVA107" s="669"/>
      <c r="TVB107" s="669"/>
      <c r="TVC107" s="669"/>
      <c r="TVD107" s="669"/>
      <c r="TVE107" s="669"/>
      <c r="TVF107" s="669"/>
      <c r="TVG107" s="669"/>
      <c r="TVH107" s="669"/>
      <c r="TVI107" s="669"/>
      <c r="TVJ107" s="669"/>
      <c r="TVK107" s="669"/>
      <c r="TVL107" s="669"/>
      <c r="TVM107" s="669"/>
      <c r="TVN107" s="669"/>
      <c r="TVO107" s="669"/>
      <c r="TVP107" s="669"/>
      <c r="TVQ107" s="669"/>
      <c r="TVR107" s="669"/>
      <c r="TVS107" s="669"/>
      <c r="TVT107" s="669"/>
      <c r="TVU107" s="669"/>
      <c r="TVV107" s="669"/>
      <c r="TVW107" s="669"/>
      <c r="TVX107" s="669"/>
      <c r="TVY107" s="669"/>
      <c r="TVZ107" s="669"/>
      <c r="TWA107" s="669"/>
      <c r="TWB107" s="669"/>
      <c r="TWC107" s="669"/>
      <c r="TWD107" s="669"/>
      <c r="TWE107" s="669"/>
      <c r="TWF107" s="669"/>
      <c r="TWG107" s="669"/>
      <c r="TWH107" s="669"/>
      <c r="TWI107" s="669"/>
      <c r="TWJ107" s="669"/>
      <c r="TWK107" s="669"/>
      <c r="TWL107" s="669"/>
      <c r="TWM107" s="669"/>
      <c r="TWN107" s="669"/>
      <c r="TWO107" s="669"/>
      <c r="TWP107" s="669"/>
      <c r="TWQ107" s="669"/>
      <c r="TWR107" s="669"/>
      <c r="TWS107" s="669"/>
      <c r="TWT107" s="669"/>
      <c r="TWU107" s="669"/>
      <c r="TWV107" s="669"/>
      <c r="TWW107" s="669"/>
      <c r="TWX107" s="669"/>
      <c r="TWY107" s="669"/>
      <c r="TWZ107" s="669"/>
      <c r="TXA107" s="669"/>
      <c r="TXB107" s="669"/>
      <c r="TXC107" s="669"/>
      <c r="TXD107" s="669"/>
      <c r="TXE107" s="669"/>
      <c r="TXF107" s="669"/>
      <c r="TXG107" s="669"/>
      <c r="TXH107" s="669"/>
      <c r="TXI107" s="669"/>
      <c r="TXJ107" s="669"/>
      <c r="TXK107" s="669"/>
      <c r="TXL107" s="669"/>
      <c r="TXM107" s="669"/>
      <c r="TXN107" s="669"/>
      <c r="TXO107" s="669"/>
      <c r="TXP107" s="669"/>
      <c r="TXQ107" s="669"/>
      <c r="TXR107" s="669"/>
      <c r="TXS107" s="669"/>
      <c r="TXT107" s="669"/>
      <c r="TXU107" s="669"/>
      <c r="TXV107" s="669"/>
      <c r="TXW107" s="669"/>
      <c r="TXX107" s="669"/>
      <c r="TXY107" s="669"/>
      <c r="TXZ107" s="669"/>
      <c r="TYA107" s="669"/>
      <c r="TYB107" s="669"/>
      <c r="TYC107" s="669"/>
      <c r="TYD107" s="669"/>
      <c r="TYE107" s="669"/>
      <c r="TYF107" s="669"/>
      <c r="TYG107" s="669"/>
      <c r="TYH107" s="669"/>
      <c r="TYI107" s="669"/>
      <c r="TYJ107" s="669"/>
      <c r="TYK107" s="669"/>
      <c r="TYL107" s="669"/>
      <c r="TYM107" s="669"/>
      <c r="TYN107" s="669"/>
      <c r="TYO107" s="669"/>
      <c r="TYP107" s="669"/>
      <c r="TYQ107" s="669"/>
      <c r="TYR107" s="669"/>
      <c r="TYS107" s="669"/>
      <c r="TYT107" s="669"/>
      <c r="TYU107" s="669"/>
      <c r="TYV107" s="669"/>
      <c r="TYW107" s="669"/>
      <c r="TYX107" s="669"/>
      <c r="TYY107" s="669"/>
      <c r="TYZ107" s="669"/>
      <c r="TZA107" s="669"/>
      <c r="TZB107" s="669"/>
      <c r="TZC107" s="669"/>
      <c r="TZD107" s="669"/>
      <c r="TZE107" s="669"/>
      <c r="TZF107" s="669"/>
      <c r="TZG107" s="669"/>
      <c r="TZH107" s="669"/>
      <c r="TZI107" s="669"/>
      <c r="TZJ107" s="669"/>
      <c r="TZK107" s="669"/>
      <c r="TZL107" s="669"/>
      <c r="TZM107" s="669"/>
      <c r="TZN107" s="669"/>
      <c r="TZO107" s="669"/>
      <c r="TZP107" s="669"/>
      <c r="TZQ107" s="669"/>
      <c r="TZR107" s="669"/>
      <c r="TZS107" s="669"/>
      <c r="TZT107" s="669"/>
      <c r="TZU107" s="669"/>
      <c r="TZV107" s="669"/>
      <c r="TZW107" s="669"/>
      <c r="TZX107" s="669"/>
      <c r="TZY107" s="669"/>
      <c r="TZZ107" s="669"/>
      <c r="UAA107" s="669"/>
      <c r="UAB107" s="669"/>
      <c r="UAC107" s="669"/>
      <c r="UAD107" s="669"/>
      <c r="UAE107" s="669"/>
      <c r="UAF107" s="669"/>
      <c r="UAG107" s="669"/>
      <c r="UAH107" s="669"/>
      <c r="UAI107" s="669"/>
      <c r="UAJ107" s="669"/>
      <c r="UAK107" s="669"/>
      <c r="UAL107" s="669"/>
      <c r="UAM107" s="669"/>
      <c r="UAN107" s="669"/>
      <c r="UAO107" s="669"/>
      <c r="UAP107" s="669"/>
      <c r="UAQ107" s="669"/>
      <c r="UAR107" s="669"/>
      <c r="UAS107" s="669"/>
      <c r="UAT107" s="669"/>
      <c r="UAU107" s="669"/>
      <c r="UAV107" s="669"/>
      <c r="UAW107" s="669"/>
      <c r="UAX107" s="669"/>
      <c r="UAY107" s="669"/>
      <c r="UAZ107" s="669"/>
      <c r="UBA107" s="669"/>
      <c r="UBB107" s="669"/>
      <c r="UBC107" s="669"/>
      <c r="UBD107" s="669"/>
      <c r="UBE107" s="669"/>
      <c r="UBF107" s="669"/>
      <c r="UBG107" s="669"/>
      <c r="UBH107" s="669"/>
      <c r="UBI107" s="669"/>
      <c r="UBJ107" s="669"/>
      <c r="UBK107" s="669"/>
      <c r="UBL107" s="669"/>
      <c r="UBM107" s="669"/>
      <c r="UBN107" s="669"/>
      <c r="UBO107" s="669"/>
      <c r="UBP107" s="669"/>
      <c r="UBQ107" s="669"/>
      <c r="UBR107" s="669"/>
      <c r="UBS107" s="669"/>
      <c r="UBT107" s="669"/>
      <c r="UBU107" s="669"/>
      <c r="UBV107" s="669"/>
      <c r="UBW107" s="669"/>
      <c r="UBX107" s="669"/>
      <c r="UBY107" s="669"/>
      <c r="UBZ107" s="669"/>
      <c r="UCA107" s="669"/>
      <c r="UCB107" s="669"/>
      <c r="UCC107" s="669"/>
      <c r="UCD107" s="669"/>
      <c r="UCE107" s="669"/>
      <c r="UCF107" s="669"/>
      <c r="UCG107" s="669"/>
      <c r="UCH107" s="669"/>
      <c r="UCI107" s="669"/>
      <c r="UCJ107" s="669"/>
      <c r="UCK107" s="669"/>
      <c r="UCL107" s="669"/>
      <c r="UCM107" s="669"/>
      <c r="UCN107" s="669"/>
      <c r="UCO107" s="669"/>
      <c r="UCP107" s="669"/>
      <c r="UCQ107" s="669"/>
      <c r="UCR107" s="669"/>
      <c r="UCS107" s="669"/>
      <c r="UCT107" s="669"/>
      <c r="UCU107" s="669"/>
      <c r="UCV107" s="669"/>
      <c r="UCW107" s="669"/>
      <c r="UCX107" s="669"/>
      <c r="UCY107" s="669"/>
      <c r="UCZ107" s="669"/>
      <c r="UDA107" s="669"/>
      <c r="UDB107" s="669"/>
      <c r="UDC107" s="669"/>
      <c r="UDD107" s="669"/>
      <c r="UDE107" s="669"/>
      <c r="UDF107" s="669"/>
      <c r="UDG107" s="669"/>
      <c r="UDH107" s="669"/>
      <c r="UDI107" s="669"/>
      <c r="UDJ107" s="669"/>
      <c r="UDK107" s="669"/>
      <c r="UDL107" s="669"/>
      <c r="UDM107" s="669"/>
      <c r="UDN107" s="669"/>
      <c r="UDO107" s="669"/>
      <c r="UDP107" s="669"/>
      <c r="UDQ107" s="669"/>
      <c r="UDR107" s="669"/>
      <c r="UDS107" s="669"/>
      <c r="UDT107" s="669"/>
      <c r="UDU107" s="669"/>
      <c r="UDV107" s="669"/>
      <c r="UDW107" s="669"/>
      <c r="UDX107" s="669"/>
      <c r="UDY107" s="669"/>
      <c r="UDZ107" s="669"/>
      <c r="UEA107" s="669"/>
      <c r="UEB107" s="669"/>
      <c r="UEC107" s="669"/>
      <c r="UED107" s="669"/>
      <c r="UEE107" s="669"/>
      <c r="UEF107" s="669"/>
      <c r="UEG107" s="669"/>
      <c r="UEH107" s="669"/>
      <c r="UEI107" s="669"/>
      <c r="UEJ107" s="669"/>
      <c r="UEK107" s="669"/>
      <c r="UEL107" s="669"/>
      <c r="UEM107" s="669"/>
      <c r="UEN107" s="669"/>
      <c r="UEO107" s="669"/>
      <c r="UEP107" s="669"/>
      <c r="UEQ107" s="669"/>
      <c r="UER107" s="669"/>
      <c r="UES107" s="669"/>
      <c r="UET107" s="669"/>
      <c r="UEU107" s="669"/>
      <c r="UEV107" s="669"/>
      <c r="UEW107" s="669"/>
      <c r="UEX107" s="669"/>
      <c r="UEY107" s="669"/>
      <c r="UEZ107" s="669"/>
      <c r="UFA107" s="669"/>
      <c r="UFB107" s="669"/>
      <c r="UFC107" s="669"/>
      <c r="UFD107" s="669"/>
      <c r="UFE107" s="669"/>
      <c r="UFF107" s="669"/>
      <c r="UFG107" s="669"/>
      <c r="UFH107" s="669"/>
      <c r="UFI107" s="669"/>
      <c r="UFJ107" s="669"/>
      <c r="UFK107" s="669"/>
      <c r="UFL107" s="669"/>
      <c r="UFM107" s="669"/>
      <c r="UFN107" s="669"/>
      <c r="UFO107" s="669"/>
      <c r="UFP107" s="669"/>
      <c r="UFQ107" s="669"/>
      <c r="UFR107" s="669"/>
      <c r="UFS107" s="669"/>
      <c r="UFT107" s="669"/>
      <c r="UFU107" s="669"/>
      <c r="UFV107" s="669"/>
      <c r="UFW107" s="669"/>
      <c r="UFX107" s="669"/>
      <c r="UFY107" s="669"/>
      <c r="UFZ107" s="669"/>
      <c r="UGA107" s="669"/>
      <c r="UGB107" s="669"/>
      <c r="UGC107" s="669"/>
      <c r="UGD107" s="669"/>
      <c r="UGE107" s="669"/>
      <c r="UGF107" s="669"/>
      <c r="UGG107" s="669"/>
      <c r="UGH107" s="669"/>
      <c r="UGI107" s="669"/>
      <c r="UGJ107" s="669"/>
      <c r="UGK107" s="669"/>
      <c r="UGL107" s="669"/>
      <c r="UGM107" s="669"/>
      <c r="UGN107" s="669"/>
      <c r="UGO107" s="669"/>
      <c r="UGP107" s="669"/>
      <c r="UGQ107" s="669"/>
      <c r="UGR107" s="669"/>
      <c r="UGS107" s="669"/>
      <c r="UGT107" s="669"/>
      <c r="UGU107" s="669"/>
      <c r="UGV107" s="669"/>
      <c r="UGW107" s="669"/>
      <c r="UGX107" s="669"/>
      <c r="UGY107" s="669"/>
      <c r="UGZ107" s="669"/>
      <c r="UHA107" s="669"/>
      <c r="UHB107" s="669"/>
      <c r="UHC107" s="669"/>
      <c r="UHD107" s="669"/>
      <c r="UHE107" s="669"/>
      <c r="UHF107" s="669"/>
      <c r="UHG107" s="669"/>
      <c r="UHH107" s="669"/>
      <c r="UHI107" s="669"/>
      <c r="UHJ107" s="669"/>
      <c r="UHK107" s="669"/>
      <c r="UHL107" s="669"/>
      <c r="UHM107" s="669"/>
      <c r="UHN107" s="669"/>
      <c r="UHO107" s="669"/>
      <c r="UHP107" s="669"/>
      <c r="UHQ107" s="669"/>
      <c r="UHR107" s="669"/>
      <c r="UHS107" s="669"/>
      <c r="UHT107" s="669"/>
      <c r="UHU107" s="669"/>
      <c r="UHV107" s="669"/>
      <c r="UHW107" s="669"/>
      <c r="UHX107" s="669"/>
      <c r="UHY107" s="669"/>
      <c r="UHZ107" s="669"/>
      <c r="UIA107" s="669"/>
      <c r="UIB107" s="669"/>
      <c r="UIC107" s="669"/>
      <c r="UID107" s="669"/>
      <c r="UIE107" s="669"/>
      <c r="UIF107" s="669"/>
      <c r="UIG107" s="669"/>
      <c r="UIH107" s="669"/>
      <c r="UII107" s="669"/>
      <c r="UIJ107" s="669"/>
      <c r="UIK107" s="669"/>
      <c r="UIL107" s="669"/>
      <c r="UIM107" s="669"/>
      <c r="UIN107" s="669"/>
      <c r="UIO107" s="669"/>
      <c r="UIP107" s="669"/>
      <c r="UIQ107" s="669"/>
      <c r="UIR107" s="669"/>
      <c r="UIS107" s="669"/>
      <c r="UIT107" s="669"/>
      <c r="UIU107" s="669"/>
      <c r="UIV107" s="669"/>
      <c r="UIW107" s="669"/>
      <c r="UIX107" s="669"/>
      <c r="UIY107" s="669"/>
      <c r="UIZ107" s="669"/>
      <c r="UJA107" s="669"/>
      <c r="UJB107" s="669"/>
      <c r="UJC107" s="669"/>
      <c r="UJD107" s="669"/>
      <c r="UJE107" s="669"/>
      <c r="UJF107" s="669"/>
      <c r="UJG107" s="669"/>
      <c r="UJH107" s="669"/>
      <c r="UJI107" s="669"/>
      <c r="UJJ107" s="669"/>
      <c r="UJK107" s="669"/>
      <c r="UJL107" s="669"/>
      <c r="UJM107" s="669"/>
      <c r="UJN107" s="669"/>
      <c r="UJO107" s="669"/>
      <c r="UJP107" s="669"/>
      <c r="UJQ107" s="669"/>
      <c r="UJR107" s="669"/>
      <c r="UJS107" s="669"/>
      <c r="UJT107" s="669"/>
      <c r="UJU107" s="669"/>
      <c r="UJV107" s="669"/>
      <c r="UJW107" s="669"/>
      <c r="UJX107" s="669"/>
      <c r="UJY107" s="669"/>
      <c r="UJZ107" s="669"/>
      <c r="UKA107" s="669"/>
      <c r="UKB107" s="669"/>
      <c r="UKC107" s="669"/>
      <c r="UKD107" s="669"/>
      <c r="UKE107" s="669"/>
      <c r="UKF107" s="669"/>
      <c r="UKG107" s="669"/>
      <c r="UKH107" s="669"/>
      <c r="UKI107" s="669"/>
      <c r="UKJ107" s="669"/>
      <c r="UKK107" s="669"/>
      <c r="UKL107" s="669"/>
      <c r="UKM107" s="669"/>
      <c r="UKN107" s="669"/>
      <c r="UKO107" s="669"/>
      <c r="UKP107" s="669"/>
      <c r="UKQ107" s="669"/>
      <c r="UKR107" s="669"/>
      <c r="UKS107" s="669"/>
      <c r="UKT107" s="669"/>
      <c r="UKU107" s="669"/>
      <c r="UKV107" s="669"/>
      <c r="UKW107" s="669"/>
      <c r="UKX107" s="669"/>
      <c r="UKY107" s="669"/>
      <c r="UKZ107" s="669"/>
      <c r="ULA107" s="669"/>
      <c r="ULB107" s="669"/>
      <c r="ULC107" s="669"/>
      <c r="ULD107" s="669"/>
      <c r="ULE107" s="669"/>
      <c r="ULF107" s="669"/>
      <c r="ULG107" s="669"/>
      <c r="ULH107" s="669"/>
      <c r="ULI107" s="669"/>
      <c r="ULJ107" s="669"/>
      <c r="ULK107" s="669"/>
      <c r="ULL107" s="669"/>
      <c r="ULM107" s="669"/>
      <c r="ULN107" s="669"/>
      <c r="ULO107" s="669"/>
      <c r="ULP107" s="669"/>
      <c r="ULQ107" s="669"/>
      <c r="ULR107" s="669"/>
      <c r="ULS107" s="669"/>
      <c r="ULT107" s="669"/>
      <c r="ULU107" s="669"/>
      <c r="ULV107" s="669"/>
      <c r="ULW107" s="669"/>
      <c r="ULX107" s="669"/>
      <c r="ULY107" s="669"/>
      <c r="ULZ107" s="669"/>
      <c r="UMA107" s="669"/>
      <c r="UMB107" s="669"/>
      <c r="UMC107" s="669"/>
      <c r="UMD107" s="669"/>
      <c r="UME107" s="669"/>
      <c r="UMF107" s="669"/>
      <c r="UMG107" s="669"/>
      <c r="UMH107" s="669"/>
      <c r="UMI107" s="669"/>
      <c r="UMJ107" s="669"/>
      <c r="UMK107" s="669"/>
      <c r="UML107" s="669"/>
      <c r="UMM107" s="669"/>
      <c r="UMN107" s="669"/>
      <c r="UMO107" s="669"/>
      <c r="UMP107" s="669"/>
      <c r="UMQ107" s="669"/>
      <c r="UMR107" s="669"/>
      <c r="UMS107" s="669"/>
      <c r="UMT107" s="669"/>
      <c r="UMU107" s="669"/>
      <c r="UMV107" s="669"/>
      <c r="UMW107" s="669"/>
      <c r="UMX107" s="669"/>
      <c r="UMY107" s="669"/>
      <c r="UMZ107" s="669"/>
      <c r="UNA107" s="669"/>
      <c r="UNB107" s="669"/>
      <c r="UNC107" s="669"/>
      <c r="UND107" s="669"/>
      <c r="UNE107" s="669"/>
      <c r="UNF107" s="669"/>
      <c r="UNG107" s="669"/>
      <c r="UNH107" s="669"/>
      <c r="UNI107" s="669"/>
      <c r="UNJ107" s="669"/>
      <c r="UNK107" s="669"/>
      <c r="UNL107" s="669"/>
      <c r="UNM107" s="669"/>
      <c r="UNN107" s="669"/>
      <c r="UNO107" s="669"/>
      <c r="UNP107" s="669"/>
      <c r="UNQ107" s="669"/>
      <c r="UNR107" s="669"/>
      <c r="UNS107" s="669"/>
      <c r="UNT107" s="669"/>
      <c r="UNU107" s="669"/>
      <c r="UNV107" s="669"/>
      <c r="UNW107" s="669"/>
      <c r="UNX107" s="669"/>
      <c r="UNY107" s="669"/>
      <c r="UNZ107" s="669"/>
      <c r="UOA107" s="669"/>
      <c r="UOB107" s="669"/>
      <c r="UOC107" s="669"/>
      <c r="UOD107" s="669"/>
      <c r="UOE107" s="669"/>
      <c r="UOF107" s="669"/>
      <c r="UOG107" s="669"/>
      <c r="UOH107" s="669"/>
      <c r="UOI107" s="669"/>
      <c r="UOJ107" s="669"/>
      <c r="UOK107" s="669"/>
      <c r="UOL107" s="669"/>
      <c r="UOM107" s="669"/>
      <c r="UON107" s="669"/>
      <c r="UOO107" s="669"/>
      <c r="UOP107" s="669"/>
      <c r="UOQ107" s="669"/>
      <c r="UOR107" s="669"/>
      <c r="UOS107" s="669"/>
      <c r="UOT107" s="669"/>
      <c r="UOU107" s="669"/>
      <c r="UOV107" s="669"/>
      <c r="UOW107" s="669"/>
      <c r="UOX107" s="669"/>
      <c r="UOY107" s="669"/>
      <c r="UOZ107" s="669"/>
      <c r="UPA107" s="669"/>
      <c r="UPB107" s="669"/>
      <c r="UPC107" s="669"/>
      <c r="UPD107" s="669"/>
      <c r="UPE107" s="669"/>
      <c r="UPF107" s="669"/>
      <c r="UPG107" s="669"/>
      <c r="UPH107" s="669"/>
      <c r="UPI107" s="669"/>
      <c r="UPJ107" s="669"/>
      <c r="UPK107" s="669"/>
      <c r="UPL107" s="669"/>
      <c r="UPM107" s="669"/>
      <c r="UPN107" s="669"/>
      <c r="UPO107" s="669"/>
      <c r="UPP107" s="669"/>
      <c r="UPQ107" s="669"/>
      <c r="UPR107" s="669"/>
      <c r="UPS107" s="669"/>
      <c r="UPT107" s="669"/>
      <c r="UPU107" s="669"/>
      <c r="UPV107" s="669"/>
      <c r="UPW107" s="669"/>
      <c r="UPX107" s="669"/>
      <c r="UPY107" s="669"/>
      <c r="UPZ107" s="669"/>
      <c r="UQA107" s="669"/>
      <c r="UQB107" s="669"/>
      <c r="UQC107" s="669"/>
      <c r="UQD107" s="669"/>
      <c r="UQE107" s="669"/>
      <c r="UQF107" s="669"/>
      <c r="UQG107" s="669"/>
      <c r="UQH107" s="669"/>
      <c r="UQI107" s="669"/>
      <c r="UQJ107" s="669"/>
      <c r="UQK107" s="669"/>
      <c r="UQL107" s="669"/>
      <c r="UQM107" s="669"/>
      <c r="UQN107" s="669"/>
      <c r="UQO107" s="669"/>
      <c r="UQP107" s="669"/>
      <c r="UQQ107" s="669"/>
      <c r="UQR107" s="669"/>
      <c r="UQS107" s="669"/>
      <c r="UQT107" s="669"/>
      <c r="UQU107" s="669"/>
      <c r="UQV107" s="669"/>
      <c r="UQW107" s="669"/>
      <c r="UQX107" s="669"/>
      <c r="UQY107" s="669"/>
      <c r="UQZ107" s="669"/>
      <c r="URA107" s="669"/>
      <c r="URB107" s="669"/>
      <c r="URC107" s="669"/>
      <c r="URD107" s="669"/>
      <c r="URE107" s="669"/>
      <c r="URF107" s="669"/>
      <c r="URG107" s="669"/>
      <c r="URH107" s="669"/>
      <c r="URI107" s="669"/>
      <c r="URJ107" s="669"/>
      <c r="URK107" s="669"/>
      <c r="URL107" s="669"/>
      <c r="URM107" s="669"/>
      <c r="URN107" s="669"/>
      <c r="URO107" s="669"/>
      <c r="URP107" s="669"/>
      <c r="URQ107" s="669"/>
      <c r="URR107" s="669"/>
      <c r="URS107" s="669"/>
      <c r="URT107" s="669"/>
      <c r="URU107" s="669"/>
      <c r="URV107" s="669"/>
      <c r="URW107" s="669"/>
      <c r="URX107" s="669"/>
      <c r="URY107" s="669"/>
      <c r="URZ107" s="669"/>
      <c r="USA107" s="669"/>
      <c r="USB107" s="669"/>
      <c r="USC107" s="669"/>
      <c r="USD107" s="669"/>
      <c r="USE107" s="669"/>
      <c r="USF107" s="669"/>
      <c r="USG107" s="669"/>
      <c r="USH107" s="669"/>
      <c r="USI107" s="669"/>
      <c r="USJ107" s="669"/>
      <c r="USK107" s="669"/>
      <c r="USL107" s="669"/>
      <c r="USM107" s="669"/>
      <c r="USN107" s="669"/>
      <c r="USO107" s="669"/>
      <c r="USP107" s="669"/>
      <c r="USQ107" s="669"/>
      <c r="USR107" s="669"/>
      <c r="USS107" s="669"/>
      <c r="UST107" s="669"/>
      <c r="USU107" s="669"/>
      <c r="USV107" s="669"/>
      <c r="USW107" s="669"/>
      <c r="USX107" s="669"/>
      <c r="USY107" s="669"/>
      <c r="USZ107" s="669"/>
      <c r="UTA107" s="669"/>
      <c r="UTB107" s="669"/>
      <c r="UTC107" s="669"/>
      <c r="UTD107" s="669"/>
      <c r="UTE107" s="669"/>
      <c r="UTF107" s="669"/>
      <c r="UTG107" s="669"/>
      <c r="UTH107" s="669"/>
      <c r="UTI107" s="669"/>
      <c r="UTJ107" s="669"/>
      <c r="UTK107" s="669"/>
      <c r="UTL107" s="669"/>
      <c r="UTM107" s="669"/>
      <c r="UTN107" s="669"/>
      <c r="UTO107" s="669"/>
      <c r="UTP107" s="669"/>
      <c r="UTQ107" s="669"/>
      <c r="UTR107" s="669"/>
      <c r="UTS107" s="669"/>
      <c r="UTT107" s="669"/>
      <c r="UTU107" s="669"/>
      <c r="UTV107" s="669"/>
      <c r="UTW107" s="669"/>
      <c r="UTX107" s="669"/>
      <c r="UTY107" s="669"/>
      <c r="UTZ107" s="669"/>
      <c r="UUA107" s="669"/>
      <c r="UUB107" s="669"/>
      <c r="UUC107" s="669"/>
      <c r="UUD107" s="669"/>
      <c r="UUE107" s="669"/>
      <c r="UUF107" s="669"/>
      <c r="UUG107" s="669"/>
      <c r="UUH107" s="669"/>
      <c r="UUI107" s="669"/>
      <c r="UUJ107" s="669"/>
      <c r="UUK107" s="669"/>
      <c r="UUL107" s="669"/>
      <c r="UUM107" s="669"/>
      <c r="UUN107" s="669"/>
      <c r="UUO107" s="669"/>
      <c r="UUP107" s="669"/>
      <c r="UUQ107" s="669"/>
      <c r="UUR107" s="669"/>
      <c r="UUS107" s="669"/>
      <c r="UUT107" s="669"/>
      <c r="UUU107" s="669"/>
      <c r="UUV107" s="669"/>
      <c r="UUW107" s="669"/>
      <c r="UUX107" s="669"/>
      <c r="UUY107" s="669"/>
      <c r="UUZ107" s="669"/>
      <c r="UVA107" s="669"/>
      <c r="UVB107" s="669"/>
      <c r="UVC107" s="669"/>
      <c r="UVD107" s="669"/>
      <c r="UVE107" s="669"/>
      <c r="UVF107" s="669"/>
      <c r="UVG107" s="669"/>
      <c r="UVH107" s="669"/>
      <c r="UVI107" s="669"/>
      <c r="UVJ107" s="669"/>
      <c r="UVK107" s="669"/>
      <c r="UVL107" s="669"/>
      <c r="UVM107" s="669"/>
      <c r="UVN107" s="669"/>
      <c r="UVO107" s="669"/>
      <c r="UVP107" s="669"/>
      <c r="UVQ107" s="669"/>
      <c r="UVR107" s="669"/>
      <c r="UVS107" s="669"/>
      <c r="UVT107" s="669"/>
      <c r="UVU107" s="669"/>
      <c r="UVV107" s="669"/>
      <c r="UVW107" s="669"/>
      <c r="UVX107" s="669"/>
      <c r="UVY107" s="669"/>
      <c r="UVZ107" s="669"/>
      <c r="UWA107" s="669"/>
      <c r="UWB107" s="669"/>
      <c r="UWC107" s="669"/>
      <c r="UWD107" s="669"/>
      <c r="UWE107" s="669"/>
      <c r="UWF107" s="669"/>
      <c r="UWG107" s="669"/>
      <c r="UWH107" s="669"/>
      <c r="UWI107" s="669"/>
      <c r="UWJ107" s="669"/>
      <c r="UWK107" s="669"/>
      <c r="UWL107" s="669"/>
      <c r="UWM107" s="669"/>
      <c r="UWN107" s="669"/>
      <c r="UWO107" s="669"/>
      <c r="UWP107" s="669"/>
      <c r="UWQ107" s="669"/>
      <c r="UWR107" s="669"/>
      <c r="UWS107" s="669"/>
      <c r="UWT107" s="669"/>
      <c r="UWU107" s="669"/>
      <c r="UWV107" s="669"/>
      <c r="UWW107" s="669"/>
      <c r="UWX107" s="669"/>
      <c r="UWY107" s="669"/>
      <c r="UWZ107" s="669"/>
      <c r="UXA107" s="669"/>
      <c r="UXB107" s="669"/>
      <c r="UXC107" s="669"/>
      <c r="UXD107" s="669"/>
      <c r="UXE107" s="669"/>
      <c r="UXF107" s="669"/>
      <c r="UXG107" s="669"/>
      <c r="UXH107" s="669"/>
      <c r="UXI107" s="669"/>
      <c r="UXJ107" s="669"/>
      <c r="UXK107" s="669"/>
      <c r="UXL107" s="669"/>
      <c r="UXM107" s="669"/>
      <c r="UXN107" s="669"/>
      <c r="UXO107" s="669"/>
      <c r="UXP107" s="669"/>
      <c r="UXQ107" s="669"/>
      <c r="UXR107" s="669"/>
      <c r="UXS107" s="669"/>
      <c r="UXT107" s="669"/>
      <c r="UXU107" s="669"/>
      <c r="UXV107" s="669"/>
      <c r="UXW107" s="669"/>
      <c r="UXX107" s="669"/>
      <c r="UXY107" s="669"/>
      <c r="UXZ107" s="669"/>
      <c r="UYA107" s="669"/>
      <c r="UYB107" s="669"/>
      <c r="UYC107" s="669"/>
      <c r="UYD107" s="669"/>
      <c r="UYE107" s="669"/>
      <c r="UYF107" s="669"/>
      <c r="UYG107" s="669"/>
      <c r="UYH107" s="669"/>
      <c r="UYI107" s="669"/>
      <c r="UYJ107" s="669"/>
      <c r="UYK107" s="669"/>
      <c r="UYL107" s="669"/>
      <c r="UYM107" s="669"/>
      <c r="UYN107" s="669"/>
      <c r="UYO107" s="669"/>
      <c r="UYP107" s="669"/>
      <c r="UYQ107" s="669"/>
      <c r="UYR107" s="669"/>
      <c r="UYS107" s="669"/>
      <c r="UYT107" s="669"/>
      <c r="UYU107" s="669"/>
      <c r="UYV107" s="669"/>
      <c r="UYW107" s="669"/>
      <c r="UYX107" s="669"/>
      <c r="UYY107" s="669"/>
      <c r="UYZ107" s="669"/>
      <c r="UZA107" s="669"/>
      <c r="UZB107" s="669"/>
      <c r="UZC107" s="669"/>
      <c r="UZD107" s="669"/>
      <c r="UZE107" s="669"/>
      <c r="UZF107" s="669"/>
      <c r="UZG107" s="669"/>
      <c r="UZH107" s="669"/>
      <c r="UZI107" s="669"/>
      <c r="UZJ107" s="669"/>
      <c r="UZK107" s="669"/>
      <c r="UZL107" s="669"/>
      <c r="UZM107" s="669"/>
      <c r="UZN107" s="669"/>
      <c r="UZO107" s="669"/>
      <c r="UZP107" s="669"/>
      <c r="UZQ107" s="669"/>
      <c r="UZR107" s="669"/>
      <c r="UZS107" s="669"/>
      <c r="UZT107" s="669"/>
      <c r="UZU107" s="669"/>
      <c r="UZV107" s="669"/>
      <c r="UZW107" s="669"/>
      <c r="UZX107" s="669"/>
      <c r="UZY107" s="669"/>
      <c r="UZZ107" s="669"/>
      <c r="VAA107" s="669"/>
      <c r="VAB107" s="669"/>
      <c r="VAC107" s="669"/>
      <c r="VAD107" s="669"/>
      <c r="VAE107" s="669"/>
      <c r="VAF107" s="669"/>
      <c r="VAG107" s="669"/>
      <c r="VAH107" s="669"/>
      <c r="VAI107" s="669"/>
      <c r="VAJ107" s="669"/>
      <c r="VAK107" s="669"/>
      <c r="VAL107" s="669"/>
      <c r="VAM107" s="669"/>
      <c r="VAN107" s="669"/>
      <c r="VAO107" s="669"/>
      <c r="VAP107" s="669"/>
      <c r="VAQ107" s="669"/>
      <c r="VAR107" s="669"/>
      <c r="VAS107" s="669"/>
      <c r="VAT107" s="669"/>
      <c r="VAU107" s="669"/>
      <c r="VAV107" s="669"/>
      <c r="VAW107" s="669"/>
      <c r="VAX107" s="669"/>
      <c r="VAY107" s="669"/>
      <c r="VAZ107" s="669"/>
      <c r="VBA107" s="669"/>
      <c r="VBB107" s="669"/>
      <c r="VBC107" s="669"/>
      <c r="VBD107" s="669"/>
      <c r="VBE107" s="669"/>
      <c r="VBF107" s="669"/>
      <c r="VBG107" s="669"/>
      <c r="VBH107" s="669"/>
      <c r="VBI107" s="669"/>
      <c r="VBJ107" s="669"/>
      <c r="VBK107" s="669"/>
      <c r="VBL107" s="669"/>
      <c r="VBM107" s="669"/>
      <c r="VBN107" s="669"/>
      <c r="VBO107" s="669"/>
      <c r="VBP107" s="669"/>
      <c r="VBQ107" s="669"/>
      <c r="VBR107" s="669"/>
      <c r="VBS107" s="669"/>
      <c r="VBT107" s="669"/>
      <c r="VBU107" s="669"/>
      <c r="VBV107" s="669"/>
      <c r="VBW107" s="669"/>
      <c r="VBX107" s="669"/>
      <c r="VBY107" s="669"/>
      <c r="VBZ107" s="669"/>
      <c r="VCA107" s="669"/>
      <c r="VCB107" s="669"/>
      <c r="VCC107" s="669"/>
      <c r="VCD107" s="669"/>
      <c r="VCE107" s="669"/>
      <c r="VCF107" s="669"/>
      <c r="VCG107" s="669"/>
      <c r="VCH107" s="669"/>
      <c r="VCI107" s="669"/>
      <c r="VCJ107" s="669"/>
      <c r="VCK107" s="669"/>
      <c r="VCL107" s="669"/>
      <c r="VCM107" s="669"/>
      <c r="VCN107" s="669"/>
      <c r="VCO107" s="669"/>
      <c r="VCP107" s="669"/>
      <c r="VCQ107" s="669"/>
      <c r="VCR107" s="669"/>
      <c r="VCS107" s="669"/>
      <c r="VCT107" s="669"/>
      <c r="VCU107" s="669"/>
      <c r="VCV107" s="669"/>
      <c r="VCW107" s="669"/>
      <c r="VCX107" s="669"/>
      <c r="VCY107" s="669"/>
      <c r="VCZ107" s="669"/>
      <c r="VDA107" s="669"/>
      <c r="VDB107" s="669"/>
      <c r="VDC107" s="669"/>
      <c r="VDD107" s="669"/>
      <c r="VDE107" s="669"/>
      <c r="VDF107" s="669"/>
      <c r="VDG107" s="669"/>
      <c r="VDH107" s="669"/>
      <c r="VDI107" s="669"/>
      <c r="VDJ107" s="669"/>
      <c r="VDK107" s="669"/>
      <c r="VDL107" s="669"/>
      <c r="VDM107" s="669"/>
      <c r="VDN107" s="669"/>
      <c r="VDO107" s="669"/>
      <c r="VDP107" s="669"/>
      <c r="VDQ107" s="669"/>
      <c r="VDR107" s="669"/>
      <c r="VDS107" s="669"/>
      <c r="VDT107" s="669"/>
      <c r="VDU107" s="669"/>
      <c r="VDV107" s="669"/>
      <c r="VDW107" s="669"/>
      <c r="VDX107" s="669"/>
      <c r="VDY107" s="669"/>
      <c r="VDZ107" s="669"/>
      <c r="VEA107" s="669"/>
      <c r="VEB107" s="669"/>
      <c r="VEC107" s="669"/>
      <c r="VED107" s="669"/>
      <c r="VEE107" s="669"/>
      <c r="VEF107" s="669"/>
      <c r="VEG107" s="669"/>
      <c r="VEH107" s="669"/>
      <c r="VEI107" s="669"/>
      <c r="VEJ107" s="669"/>
      <c r="VEK107" s="669"/>
      <c r="VEL107" s="669"/>
      <c r="VEM107" s="669"/>
      <c r="VEN107" s="669"/>
      <c r="VEO107" s="669"/>
      <c r="VEP107" s="669"/>
      <c r="VEQ107" s="669"/>
      <c r="VER107" s="669"/>
      <c r="VES107" s="669"/>
      <c r="VET107" s="669"/>
      <c r="VEU107" s="669"/>
      <c r="VEV107" s="669"/>
      <c r="VEW107" s="669"/>
      <c r="VEX107" s="669"/>
      <c r="VEY107" s="669"/>
      <c r="VEZ107" s="669"/>
      <c r="VFA107" s="669"/>
      <c r="VFB107" s="669"/>
      <c r="VFC107" s="669"/>
      <c r="VFD107" s="669"/>
      <c r="VFE107" s="669"/>
      <c r="VFF107" s="669"/>
      <c r="VFG107" s="669"/>
      <c r="VFH107" s="669"/>
      <c r="VFI107" s="669"/>
      <c r="VFJ107" s="669"/>
      <c r="VFK107" s="669"/>
      <c r="VFL107" s="669"/>
      <c r="VFM107" s="669"/>
      <c r="VFN107" s="669"/>
      <c r="VFO107" s="669"/>
      <c r="VFP107" s="669"/>
      <c r="VFQ107" s="669"/>
      <c r="VFR107" s="669"/>
      <c r="VFS107" s="669"/>
      <c r="VFT107" s="669"/>
      <c r="VFU107" s="669"/>
      <c r="VFV107" s="669"/>
      <c r="VFW107" s="669"/>
      <c r="VFX107" s="669"/>
      <c r="VFY107" s="669"/>
      <c r="VFZ107" s="669"/>
      <c r="VGA107" s="669"/>
      <c r="VGB107" s="669"/>
      <c r="VGC107" s="669"/>
      <c r="VGD107" s="669"/>
      <c r="VGE107" s="669"/>
      <c r="VGF107" s="669"/>
      <c r="VGG107" s="669"/>
      <c r="VGH107" s="669"/>
      <c r="VGI107" s="669"/>
      <c r="VGJ107" s="669"/>
      <c r="VGK107" s="669"/>
      <c r="VGL107" s="669"/>
      <c r="VGM107" s="669"/>
      <c r="VGN107" s="669"/>
      <c r="VGO107" s="669"/>
      <c r="VGP107" s="669"/>
      <c r="VGQ107" s="669"/>
      <c r="VGR107" s="669"/>
      <c r="VGS107" s="669"/>
      <c r="VGT107" s="669"/>
      <c r="VGU107" s="669"/>
      <c r="VGV107" s="669"/>
      <c r="VGW107" s="669"/>
      <c r="VGX107" s="669"/>
      <c r="VGY107" s="669"/>
      <c r="VGZ107" s="669"/>
      <c r="VHA107" s="669"/>
      <c r="VHB107" s="669"/>
      <c r="VHC107" s="669"/>
      <c r="VHD107" s="669"/>
      <c r="VHE107" s="669"/>
      <c r="VHF107" s="669"/>
      <c r="VHG107" s="669"/>
      <c r="VHH107" s="669"/>
      <c r="VHI107" s="669"/>
      <c r="VHJ107" s="669"/>
      <c r="VHK107" s="669"/>
      <c r="VHL107" s="669"/>
      <c r="VHM107" s="669"/>
      <c r="VHN107" s="669"/>
      <c r="VHO107" s="669"/>
      <c r="VHP107" s="669"/>
      <c r="VHQ107" s="669"/>
      <c r="VHR107" s="669"/>
      <c r="VHS107" s="669"/>
      <c r="VHT107" s="669"/>
      <c r="VHU107" s="669"/>
      <c r="VHV107" s="669"/>
      <c r="VHW107" s="669"/>
      <c r="VHX107" s="669"/>
      <c r="VHY107" s="669"/>
      <c r="VHZ107" s="669"/>
      <c r="VIA107" s="669"/>
      <c r="VIB107" s="669"/>
      <c r="VIC107" s="669"/>
      <c r="VID107" s="669"/>
      <c r="VIE107" s="669"/>
      <c r="VIF107" s="669"/>
      <c r="VIG107" s="669"/>
      <c r="VIH107" s="669"/>
      <c r="VII107" s="669"/>
      <c r="VIJ107" s="669"/>
      <c r="VIK107" s="669"/>
      <c r="VIL107" s="669"/>
      <c r="VIM107" s="669"/>
      <c r="VIN107" s="669"/>
      <c r="VIO107" s="669"/>
      <c r="VIP107" s="669"/>
      <c r="VIQ107" s="669"/>
      <c r="VIR107" s="669"/>
      <c r="VIS107" s="669"/>
      <c r="VIT107" s="669"/>
      <c r="VIU107" s="669"/>
      <c r="VIV107" s="669"/>
      <c r="VIW107" s="669"/>
      <c r="VIX107" s="669"/>
      <c r="VIY107" s="669"/>
      <c r="VIZ107" s="669"/>
      <c r="VJA107" s="669"/>
      <c r="VJB107" s="669"/>
      <c r="VJC107" s="669"/>
      <c r="VJD107" s="669"/>
      <c r="VJE107" s="669"/>
      <c r="VJF107" s="669"/>
      <c r="VJG107" s="669"/>
      <c r="VJH107" s="669"/>
      <c r="VJI107" s="669"/>
      <c r="VJJ107" s="669"/>
      <c r="VJK107" s="669"/>
      <c r="VJL107" s="669"/>
      <c r="VJM107" s="669"/>
      <c r="VJN107" s="669"/>
      <c r="VJO107" s="669"/>
      <c r="VJP107" s="669"/>
      <c r="VJQ107" s="669"/>
      <c r="VJR107" s="669"/>
      <c r="VJS107" s="669"/>
      <c r="VJT107" s="669"/>
      <c r="VJU107" s="669"/>
      <c r="VJV107" s="669"/>
      <c r="VJW107" s="669"/>
      <c r="VJX107" s="669"/>
      <c r="VJY107" s="669"/>
      <c r="VJZ107" s="669"/>
      <c r="VKA107" s="669"/>
      <c r="VKB107" s="669"/>
      <c r="VKC107" s="669"/>
      <c r="VKD107" s="669"/>
      <c r="VKE107" s="669"/>
      <c r="VKF107" s="669"/>
      <c r="VKG107" s="669"/>
      <c r="VKH107" s="669"/>
      <c r="VKI107" s="669"/>
      <c r="VKJ107" s="669"/>
      <c r="VKK107" s="669"/>
      <c r="VKL107" s="669"/>
      <c r="VKM107" s="669"/>
      <c r="VKN107" s="669"/>
      <c r="VKO107" s="669"/>
      <c r="VKP107" s="669"/>
      <c r="VKQ107" s="669"/>
      <c r="VKR107" s="669"/>
      <c r="VKS107" s="669"/>
      <c r="VKT107" s="669"/>
      <c r="VKU107" s="669"/>
      <c r="VKV107" s="669"/>
      <c r="VKW107" s="669"/>
      <c r="VKX107" s="669"/>
      <c r="VKY107" s="669"/>
      <c r="VKZ107" s="669"/>
      <c r="VLA107" s="669"/>
      <c r="VLB107" s="669"/>
      <c r="VLC107" s="669"/>
      <c r="VLD107" s="669"/>
      <c r="VLE107" s="669"/>
      <c r="VLF107" s="669"/>
      <c r="VLG107" s="669"/>
      <c r="VLH107" s="669"/>
      <c r="VLI107" s="669"/>
      <c r="VLJ107" s="669"/>
      <c r="VLK107" s="669"/>
      <c r="VLL107" s="669"/>
      <c r="VLM107" s="669"/>
      <c r="VLN107" s="669"/>
      <c r="VLO107" s="669"/>
      <c r="VLP107" s="669"/>
      <c r="VLQ107" s="669"/>
      <c r="VLR107" s="669"/>
      <c r="VLS107" s="669"/>
      <c r="VLT107" s="669"/>
      <c r="VLU107" s="669"/>
      <c r="VLV107" s="669"/>
      <c r="VLW107" s="669"/>
      <c r="VLX107" s="669"/>
      <c r="VLY107" s="669"/>
      <c r="VLZ107" s="669"/>
      <c r="VMA107" s="669"/>
      <c r="VMB107" s="669"/>
      <c r="VMC107" s="669"/>
      <c r="VMD107" s="669"/>
      <c r="VME107" s="669"/>
      <c r="VMF107" s="669"/>
      <c r="VMG107" s="669"/>
      <c r="VMH107" s="669"/>
      <c r="VMI107" s="669"/>
      <c r="VMJ107" s="669"/>
      <c r="VMK107" s="669"/>
      <c r="VML107" s="669"/>
      <c r="VMM107" s="669"/>
      <c r="VMN107" s="669"/>
      <c r="VMO107" s="669"/>
      <c r="VMP107" s="669"/>
      <c r="VMQ107" s="669"/>
      <c r="VMR107" s="669"/>
      <c r="VMS107" s="669"/>
      <c r="VMT107" s="669"/>
      <c r="VMU107" s="669"/>
      <c r="VMV107" s="669"/>
      <c r="VMW107" s="669"/>
      <c r="VMX107" s="669"/>
      <c r="VMY107" s="669"/>
      <c r="VMZ107" s="669"/>
      <c r="VNA107" s="669"/>
      <c r="VNB107" s="669"/>
      <c r="VNC107" s="669"/>
      <c r="VND107" s="669"/>
      <c r="VNE107" s="669"/>
      <c r="VNF107" s="669"/>
      <c r="VNG107" s="669"/>
      <c r="VNH107" s="669"/>
      <c r="VNI107" s="669"/>
      <c r="VNJ107" s="669"/>
      <c r="VNK107" s="669"/>
      <c r="VNL107" s="669"/>
      <c r="VNM107" s="669"/>
      <c r="VNN107" s="669"/>
      <c r="VNO107" s="669"/>
      <c r="VNP107" s="669"/>
      <c r="VNQ107" s="669"/>
      <c r="VNR107" s="669"/>
      <c r="VNS107" s="669"/>
      <c r="VNT107" s="669"/>
      <c r="VNU107" s="669"/>
      <c r="VNV107" s="669"/>
      <c r="VNW107" s="669"/>
      <c r="VNX107" s="669"/>
      <c r="VNY107" s="669"/>
      <c r="VNZ107" s="669"/>
      <c r="VOA107" s="669"/>
      <c r="VOB107" s="669"/>
      <c r="VOC107" s="669"/>
      <c r="VOD107" s="669"/>
      <c r="VOE107" s="669"/>
      <c r="VOF107" s="669"/>
      <c r="VOG107" s="669"/>
      <c r="VOH107" s="669"/>
      <c r="VOI107" s="669"/>
      <c r="VOJ107" s="669"/>
      <c r="VOK107" s="669"/>
      <c r="VOL107" s="669"/>
      <c r="VOM107" s="669"/>
      <c r="VON107" s="669"/>
      <c r="VOO107" s="669"/>
      <c r="VOP107" s="669"/>
      <c r="VOQ107" s="669"/>
      <c r="VOR107" s="669"/>
      <c r="VOS107" s="669"/>
      <c r="VOT107" s="669"/>
      <c r="VOU107" s="669"/>
      <c r="VOV107" s="669"/>
      <c r="VOW107" s="669"/>
      <c r="VOX107" s="669"/>
      <c r="VOY107" s="669"/>
      <c r="VOZ107" s="669"/>
      <c r="VPA107" s="669"/>
      <c r="VPB107" s="669"/>
      <c r="VPC107" s="669"/>
      <c r="VPD107" s="669"/>
      <c r="VPE107" s="669"/>
      <c r="VPF107" s="669"/>
      <c r="VPG107" s="669"/>
      <c r="VPH107" s="669"/>
      <c r="VPI107" s="669"/>
      <c r="VPJ107" s="669"/>
      <c r="VPK107" s="669"/>
      <c r="VPL107" s="669"/>
      <c r="VPM107" s="669"/>
      <c r="VPN107" s="669"/>
      <c r="VPO107" s="669"/>
      <c r="VPP107" s="669"/>
      <c r="VPQ107" s="669"/>
      <c r="VPR107" s="669"/>
      <c r="VPS107" s="669"/>
      <c r="VPT107" s="669"/>
      <c r="VPU107" s="669"/>
      <c r="VPV107" s="669"/>
      <c r="VPW107" s="669"/>
      <c r="VPX107" s="669"/>
      <c r="VPY107" s="669"/>
      <c r="VPZ107" s="669"/>
      <c r="VQA107" s="669"/>
      <c r="VQB107" s="669"/>
      <c r="VQC107" s="669"/>
      <c r="VQD107" s="669"/>
      <c r="VQE107" s="669"/>
      <c r="VQF107" s="669"/>
      <c r="VQG107" s="669"/>
      <c r="VQH107" s="669"/>
      <c r="VQI107" s="669"/>
      <c r="VQJ107" s="669"/>
      <c r="VQK107" s="669"/>
      <c r="VQL107" s="669"/>
      <c r="VQM107" s="669"/>
      <c r="VQN107" s="669"/>
      <c r="VQO107" s="669"/>
      <c r="VQP107" s="669"/>
      <c r="VQQ107" s="669"/>
      <c r="VQR107" s="669"/>
      <c r="VQS107" s="669"/>
      <c r="VQT107" s="669"/>
      <c r="VQU107" s="669"/>
      <c r="VQV107" s="669"/>
      <c r="VQW107" s="669"/>
      <c r="VQX107" s="669"/>
      <c r="VQY107" s="669"/>
      <c r="VQZ107" s="669"/>
      <c r="VRA107" s="669"/>
      <c r="VRB107" s="669"/>
      <c r="VRC107" s="669"/>
      <c r="VRD107" s="669"/>
      <c r="VRE107" s="669"/>
      <c r="VRF107" s="669"/>
      <c r="VRG107" s="669"/>
      <c r="VRH107" s="669"/>
      <c r="VRI107" s="669"/>
      <c r="VRJ107" s="669"/>
      <c r="VRK107" s="669"/>
      <c r="VRL107" s="669"/>
      <c r="VRM107" s="669"/>
      <c r="VRN107" s="669"/>
      <c r="VRO107" s="669"/>
      <c r="VRP107" s="669"/>
      <c r="VRQ107" s="669"/>
      <c r="VRR107" s="669"/>
      <c r="VRS107" s="669"/>
      <c r="VRT107" s="669"/>
      <c r="VRU107" s="669"/>
      <c r="VRV107" s="669"/>
      <c r="VRW107" s="669"/>
      <c r="VRX107" s="669"/>
      <c r="VRY107" s="669"/>
      <c r="VRZ107" s="669"/>
      <c r="VSA107" s="669"/>
      <c r="VSB107" s="669"/>
      <c r="VSC107" s="669"/>
      <c r="VSD107" s="669"/>
      <c r="VSE107" s="669"/>
      <c r="VSF107" s="669"/>
      <c r="VSG107" s="669"/>
      <c r="VSH107" s="669"/>
      <c r="VSI107" s="669"/>
      <c r="VSJ107" s="669"/>
      <c r="VSK107" s="669"/>
      <c r="VSL107" s="669"/>
      <c r="VSM107" s="669"/>
      <c r="VSN107" s="669"/>
      <c r="VSO107" s="669"/>
      <c r="VSP107" s="669"/>
      <c r="VSQ107" s="669"/>
      <c r="VSR107" s="669"/>
      <c r="VSS107" s="669"/>
      <c r="VST107" s="669"/>
      <c r="VSU107" s="669"/>
      <c r="VSV107" s="669"/>
      <c r="VSW107" s="669"/>
      <c r="VSX107" s="669"/>
      <c r="VSY107" s="669"/>
      <c r="VSZ107" s="669"/>
      <c r="VTA107" s="669"/>
      <c r="VTB107" s="669"/>
      <c r="VTC107" s="669"/>
      <c r="VTD107" s="669"/>
      <c r="VTE107" s="669"/>
      <c r="VTF107" s="669"/>
      <c r="VTG107" s="669"/>
      <c r="VTH107" s="669"/>
      <c r="VTI107" s="669"/>
      <c r="VTJ107" s="669"/>
      <c r="VTK107" s="669"/>
      <c r="VTL107" s="669"/>
      <c r="VTM107" s="669"/>
      <c r="VTN107" s="669"/>
      <c r="VTO107" s="669"/>
      <c r="VTP107" s="669"/>
      <c r="VTQ107" s="669"/>
      <c r="VTR107" s="669"/>
      <c r="VTS107" s="669"/>
      <c r="VTT107" s="669"/>
      <c r="VTU107" s="669"/>
      <c r="VTV107" s="669"/>
      <c r="VTW107" s="669"/>
      <c r="VTX107" s="669"/>
      <c r="VTY107" s="669"/>
      <c r="VTZ107" s="669"/>
      <c r="VUA107" s="669"/>
      <c r="VUB107" s="669"/>
      <c r="VUC107" s="669"/>
      <c r="VUD107" s="669"/>
      <c r="VUE107" s="669"/>
      <c r="VUF107" s="669"/>
      <c r="VUG107" s="669"/>
      <c r="VUH107" s="669"/>
      <c r="VUI107" s="669"/>
      <c r="VUJ107" s="669"/>
      <c r="VUK107" s="669"/>
      <c r="VUL107" s="669"/>
      <c r="VUM107" s="669"/>
      <c r="VUN107" s="669"/>
      <c r="VUO107" s="669"/>
      <c r="VUP107" s="669"/>
      <c r="VUQ107" s="669"/>
      <c r="VUR107" s="669"/>
      <c r="VUS107" s="669"/>
      <c r="VUT107" s="669"/>
      <c r="VUU107" s="669"/>
      <c r="VUV107" s="669"/>
      <c r="VUW107" s="669"/>
      <c r="VUX107" s="669"/>
      <c r="VUY107" s="669"/>
      <c r="VUZ107" s="669"/>
      <c r="VVA107" s="669"/>
      <c r="VVB107" s="669"/>
      <c r="VVC107" s="669"/>
      <c r="VVD107" s="669"/>
      <c r="VVE107" s="669"/>
      <c r="VVF107" s="669"/>
      <c r="VVG107" s="669"/>
      <c r="VVH107" s="669"/>
      <c r="VVI107" s="669"/>
      <c r="VVJ107" s="669"/>
      <c r="VVK107" s="669"/>
      <c r="VVL107" s="669"/>
      <c r="VVM107" s="669"/>
      <c r="VVN107" s="669"/>
      <c r="VVO107" s="669"/>
      <c r="VVP107" s="669"/>
      <c r="VVQ107" s="669"/>
      <c r="VVR107" s="669"/>
      <c r="VVS107" s="669"/>
      <c r="VVT107" s="669"/>
      <c r="VVU107" s="669"/>
      <c r="VVV107" s="669"/>
      <c r="VVW107" s="669"/>
      <c r="VVX107" s="669"/>
      <c r="VVY107" s="669"/>
      <c r="VVZ107" s="669"/>
      <c r="VWA107" s="669"/>
      <c r="VWB107" s="669"/>
      <c r="VWC107" s="669"/>
      <c r="VWD107" s="669"/>
      <c r="VWE107" s="669"/>
      <c r="VWF107" s="669"/>
      <c r="VWG107" s="669"/>
      <c r="VWH107" s="669"/>
      <c r="VWI107" s="669"/>
      <c r="VWJ107" s="669"/>
      <c r="VWK107" s="669"/>
      <c r="VWL107" s="669"/>
      <c r="VWM107" s="669"/>
      <c r="VWN107" s="669"/>
      <c r="VWO107" s="669"/>
      <c r="VWP107" s="669"/>
      <c r="VWQ107" s="669"/>
      <c r="VWR107" s="669"/>
      <c r="VWS107" s="669"/>
      <c r="VWT107" s="669"/>
      <c r="VWU107" s="669"/>
      <c r="VWV107" s="669"/>
      <c r="VWW107" s="669"/>
      <c r="VWX107" s="669"/>
      <c r="VWY107" s="669"/>
      <c r="VWZ107" s="669"/>
      <c r="VXA107" s="669"/>
      <c r="VXB107" s="669"/>
      <c r="VXC107" s="669"/>
      <c r="VXD107" s="669"/>
      <c r="VXE107" s="669"/>
      <c r="VXF107" s="669"/>
      <c r="VXG107" s="669"/>
      <c r="VXH107" s="669"/>
      <c r="VXI107" s="669"/>
      <c r="VXJ107" s="669"/>
      <c r="VXK107" s="669"/>
      <c r="VXL107" s="669"/>
      <c r="VXM107" s="669"/>
      <c r="VXN107" s="669"/>
      <c r="VXO107" s="669"/>
      <c r="VXP107" s="669"/>
      <c r="VXQ107" s="669"/>
      <c r="VXR107" s="669"/>
      <c r="VXS107" s="669"/>
      <c r="VXT107" s="669"/>
      <c r="VXU107" s="669"/>
      <c r="VXV107" s="669"/>
      <c r="VXW107" s="669"/>
      <c r="VXX107" s="669"/>
      <c r="VXY107" s="669"/>
      <c r="VXZ107" s="669"/>
      <c r="VYA107" s="669"/>
      <c r="VYB107" s="669"/>
      <c r="VYC107" s="669"/>
      <c r="VYD107" s="669"/>
      <c r="VYE107" s="669"/>
      <c r="VYF107" s="669"/>
      <c r="VYG107" s="669"/>
      <c r="VYH107" s="669"/>
      <c r="VYI107" s="669"/>
      <c r="VYJ107" s="669"/>
      <c r="VYK107" s="669"/>
      <c r="VYL107" s="669"/>
      <c r="VYM107" s="669"/>
      <c r="VYN107" s="669"/>
      <c r="VYO107" s="669"/>
      <c r="VYP107" s="669"/>
      <c r="VYQ107" s="669"/>
      <c r="VYR107" s="669"/>
      <c r="VYS107" s="669"/>
      <c r="VYT107" s="669"/>
      <c r="VYU107" s="669"/>
      <c r="VYV107" s="669"/>
      <c r="VYW107" s="669"/>
      <c r="VYX107" s="669"/>
      <c r="VYY107" s="669"/>
      <c r="VYZ107" s="669"/>
      <c r="VZA107" s="669"/>
      <c r="VZB107" s="669"/>
      <c r="VZC107" s="669"/>
      <c r="VZD107" s="669"/>
      <c r="VZE107" s="669"/>
      <c r="VZF107" s="669"/>
      <c r="VZG107" s="669"/>
      <c r="VZH107" s="669"/>
      <c r="VZI107" s="669"/>
      <c r="VZJ107" s="669"/>
      <c r="VZK107" s="669"/>
      <c r="VZL107" s="669"/>
      <c r="VZM107" s="669"/>
      <c r="VZN107" s="669"/>
      <c r="VZO107" s="669"/>
      <c r="VZP107" s="669"/>
      <c r="VZQ107" s="669"/>
      <c r="VZR107" s="669"/>
      <c r="VZS107" s="669"/>
      <c r="VZT107" s="669"/>
      <c r="VZU107" s="669"/>
      <c r="VZV107" s="669"/>
      <c r="VZW107" s="669"/>
      <c r="VZX107" s="669"/>
      <c r="VZY107" s="669"/>
      <c r="VZZ107" s="669"/>
      <c r="WAA107" s="669"/>
      <c r="WAB107" s="669"/>
      <c r="WAC107" s="669"/>
      <c r="WAD107" s="669"/>
      <c r="WAE107" s="669"/>
      <c r="WAF107" s="669"/>
      <c r="WAG107" s="669"/>
      <c r="WAH107" s="669"/>
      <c r="WAI107" s="669"/>
      <c r="WAJ107" s="669"/>
      <c r="WAK107" s="669"/>
      <c r="WAL107" s="669"/>
      <c r="WAM107" s="669"/>
      <c r="WAN107" s="669"/>
      <c r="WAO107" s="669"/>
      <c r="WAP107" s="669"/>
      <c r="WAQ107" s="669"/>
      <c r="WAR107" s="669"/>
      <c r="WAS107" s="669"/>
      <c r="WAT107" s="669"/>
      <c r="WAU107" s="669"/>
      <c r="WAV107" s="669"/>
      <c r="WAW107" s="669"/>
      <c r="WAX107" s="669"/>
      <c r="WAY107" s="669"/>
      <c r="WAZ107" s="669"/>
      <c r="WBA107" s="669"/>
      <c r="WBB107" s="669"/>
      <c r="WBC107" s="669"/>
      <c r="WBD107" s="669"/>
      <c r="WBE107" s="669"/>
      <c r="WBF107" s="669"/>
      <c r="WBG107" s="669"/>
      <c r="WBH107" s="669"/>
      <c r="WBI107" s="669"/>
      <c r="WBJ107" s="669"/>
      <c r="WBK107" s="669"/>
      <c r="WBL107" s="669"/>
      <c r="WBM107" s="669"/>
      <c r="WBN107" s="669"/>
      <c r="WBO107" s="669"/>
      <c r="WBP107" s="669"/>
      <c r="WBQ107" s="669"/>
      <c r="WBR107" s="669"/>
      <c r="WBS107" s="669"/>
      <c r="WBT107" s="669"/>
      <c r="WBU107" s="669"/>
      <c r="WBV107" s="669"/>
      <c r="WBW107" s="669"/>
      <c r="WBX107" s="669"/>
      <c r="WBY107" s="669"/>
      <c r="WBZ107" s="669"/>
      <c r="WCA107" s="669"/>
      <c r="WCB107" s="669"/>
      <c r="WCC107" s="669"/>
      <c r="WCD107" s="669"/>
      <c r="WCE107" s="669"/>
      <c r="WCF107" s="669"/>
      <c r="WCG107" s="669"/>
      <c r="WCH107" s="669"/>
      <c r="WCI107" s="669"/>
      <c r="WCJ107" s="669"/>
      <c r="WCK107" s="669"/>
      <c r="WCL107" s="669"/>
      <c r="WCM107" s="669"/>
      <c r="WCN107" s="669"/>
      <c r="WCO107" s="669"/>
      <c r="WCP107" s="669"/>
      <c r="WCQ107" s="669"/>
      <c r="WCR107" s="669"/>
      <c r="WCS107" s="669"/>
      <c r="WCT107" s="669"/>
      <c r="WCU107" s="669"/>
      <c r="WCV107" s="669"/>
      <c r="WCW107" s="669"/>
      <c r="WCX107" s="669"/>
      <c r="WCY107" s="669"/>
      <c r="WCZ107" s="669"/>
      <c r="WDA107" s="669"/>
      <c r="WDB107" s="669"/>
      <c r="WDC107" s="669"/>
      <c r="WDD107" s="669"/>
      <c r="WDE107" s="669"/>
      <c r="WDF107" s="669"/>
      <c r="WDG107" s="669"/>
      <c r="WDH107" s="669"/>
      <c r="WDI107" s="669"/>
      <c r="WDJ107" s="669"/>
      <c r="WDK107" s="669"/>
      <c r="WDL107" s="669"/>
      <c r="WDM107" s="669"/>
      <c r="WDN107" s="669"/>
      <c r="WDO107" s="669"/>
      <c r="WDP107" s="669"/>
      <c r="WDQ107" s="669"/>
      <c r="WDR107" s="669"/>
      <c r="WDS107" s="669"/>
      <c r="WDT107" s="669"/>
      <c r="WDU107" s="669"/>
      <c r="WDV107" s="669"/>
      <c r="WDW107" s="669"/>
      <c r="WDX107" s="669"/>
      <c r="WDY107" s="669"/>
      <c r="WDZ107" s="669"/>
      <c r="WEA107" s="669"/>
      <c r="WEB107" s="669"/>
      <c r="WEC107" s="669"/>
      <c r="WED107" s="669"/>
      <c r="WEE107" s="669"/>
      <c r="WEF107" s="669"/>
      <c r="WEG107" s="669"/>
      <c r="WEH107" s="669"/>
      <c r="WEI107" s="669"/>
      <c r="WEJ107" s="669"/>
      <c r="WEK107" s="669"/>
      <c r="WEL107" s="669"/>
      <c r="WEM107" s="669"/>
      <c r="WEN107" s="669"/>
      <c r="WEO107" s="669"/>
      <c r="WEP107" s="669"/>
      <c r="WEQ107" s="669"/>
      <c r="WER107" s="669"/>
      <c r="WES107" s="669"/>
      <c r="WET107" s="669"/>
      <c r="WEU107" s="669"/>
      <c r="WEV107" s="669"/>
      <c r="WEW107" s="669"/>
      <c r="WEX107" s="669"/>
      <c r="WEY107" s="669"/>
      <c r="WEZ107" s="669"/>
      <c r="WFA107" s="669"/>
      <c r="WFB107" s="669"/>
      <c r="WFC107" s="669"/>
      <c r="WFD107" s="669"/>
      <c r="WFE107" s="669"/>
      <c r="WFF107" s="669"/>
      <c r="WFG107" s="669"/>
      <c r="WFH107" s="669"/>
      <c r="WFI107" s="669"/>
      <c r="WFJ107" s="669"/>
      <c r="WFK107" s="669"/>
      <c r="WFL107" s="669"/>
      <c r="WFM107" s="669"/>
      <c r="WFN107" s="669"/>
      <c r="WFO107" s="669"/>
      <c r="WFP107" s="669"/>
      <c r="WFQ107" s="669"/>
      <c r="WFR107" s="669"/>
      <c r="WFS107" s="669"/>
      <c r="WFT107" s="669"/>
      <c r="WFU107" s="669"/>
      <c r="WFV107" s="669"/>
      <c r="WFW107" s="669"/>
      <c r="WFX107" s="669"/>
      <c r="WFY107" s="669"/>
      <c r="WFZ107" s="669"/>
      <c r="WGA107" s="669"/>
      <c r="WGB107" s="669"/>
      <c r="WGC107" s="669"/>
      <c r="WGD107" s="669"/>
      <c r="WGE107" s="669"/>
      <c r="WGF107" s="669"/>
      <c r="WGG107" s="669"/>
      <c r="WGH107" s="669"/>
      <c r="WGI107" s="669"/>
      <c r="WGJ107" s="669"/>
      <c r="WGK107" s="669"/>
      <c r="WGL107" s="669"/>
      <c r="WGM107" s="669"/>
      <c r="WGN107" s="669"/>
      <c r="WGO107" s="669"/>
      <c r="WGP107" s="669"/>
      <c r="WGQ107" s="669"/>
      <c r="WGR107" s="669"/>
      <c r="WGS107" s="669"/>
      <c r="WGT107" s="669"/>
      <c r="WGU107" s="669"/>
      <c r="WGV107" s="669"/>
      <c r="WGW107" s="669"/>
      <c r="WGX107" s="669"/>
      <c r="WGY107" s="669"/>
      <c r="WGZ107" s="669"/>
      <c r="WHA107" s="669"/>
      <c r="WHB107" s="669"/>
      <c r="WHC107" s="669"/>
      <c r="WHD107" s="669"/>
      <c r="WHE107" s="669"/>
      <c r="WHF107" s="669"/>
      <c r="WHG107" s="669"/>
      <c r="WHH107" s="669"/>
      <c r="WHI107" s="669"/>
      <c r="WHJ107" s="669"/>
      <c r="WHK107" s="669"/>
      <c r="WHL107" s="669"/>
      <c r="WHM107" s="669"/>
      <c r="WHN107" s="669"/>
      <c r="WHO107" s="669"/>
      <c r="WHP107" s="669"/>
      <c r="WHQ107" s="669"/>
      <c r="WHR107" s="669"/>
      <c r="WHS107" s="669"/>
      <c r="WHT107" s="669"/>
      <c r="WHU107" s="669"/>
      <c r="WHV107" s="669"/>
      <c r="WHW107" s="669"/>
      <c r="WHX107" s="669"/>
      <c r="WHY107" s="669"/>
      <c r="WHZ107" s="669"/>
      <c r="WIA107" s="669"/>
      <c r="WIB107" s="669"/>
      <c r="WIC107" s="669"/>
      <c r="WID107" s="669"/>
      <c r="WIE107" s="669"/>
      <c r="WIF107" s="669"/>
      <c r="WIG107" s="669"/>
      <c r="WIH107" s="669"/>
      <c r="WII107" s="669"/>
      <c r="WIJ107" s="669"/>
      <c r="WIK107" s="669"/>
      <c r="WIL107" s="669"/>
      <c r="WIM107" s="669"/>
      <c r="WIN107" s="669"/>
      <c r="WIO107" s="669"/>
      <c r="WIP107" s="669"/>
      <c r="WIQ107" s="669"/>
      <c r="WIR107" s="669"/>
      <c r="WIS107" s="669"/>
      <c r="WIT107" s="669"/>
      <c r="WIU107" s="669"/>
      <c r="WIV107" s="669"/>
      <c r="WIW107" s="669"/>
      <c r="WIX107" s="669"/>
      <c r="WIY107" s="669"/>
      <c r="WIZ107" s="669"/>
      <c r="WJA107" s="669"/>
      <c r="WJB107" s="669"/>
      <c r="WJC107" s="669"/>
      <c r="WJD107" s="669"/>
      <c r="WJE107" s="669"/>
      <c r="WJF107" s="669"/>
      <c r="WJG107" s="669"/>
      <c r="WJH107" s="669"/>
      <c r="WJI107" s="669"/>
      <c r="WJJ107" s="669"/>
      <c r="WJK107" s="669"/>
      <c r="WJL107" s="669"/>
      <c r="WJM107" s="669"/>
      <c r="WJN107" s="669"/>
      <c r="WJO107" s="669"/>
      <c r="WJP107" s="669"/>
      <c r="WJQ107" s="669"/>
      <c r="WJR107" s="669"/>
      <c r="WJS107" s="669"/>
      <c r="WJT107" s="669"/>
      <c r="WJU107" s="669"/>
      <c r="WJV107" s="669"/>
      <c r="WJW107" s="669"/>
      <c r="WJX107" s="669"/>
      <c r="WJY107" s="669"/>
      <c r="WJZ107" s="669"/>
      <c r="WKA107" s="669"/>
      <c r="WKB107" s="669"/>
      <c r="WKC107" s="669"/>
      <c r="WKD107" s="669"/>
      <c r="WKE107" s="669"/>
      <c r="WKF107" s="669"/>
      <c r="WKG107" s="669"/>
      <c r="WKH107" s="669"/>
      <c r="WKI107" s="669"/>
      <c r="WKJ107" s="669"/>
      <c r="WKK107" s="669"/>
      <c r="WKL107" s="669"/>
      <c r="WKM107" s="669"/>
      <c r="WKN107" s="669"/>
      <c r="WKO107" s="669"/>
      <c r="WKP107" s="669"/>
      <c r="WKQ107" s="669"/>
      <c r="WKR107" s="669"/>
      <c r="WKS107" s="669"/>
      <c r="WKT107" s="669"/>
      <c r="WKU107" s="669"/>
      <c r="WKV107" s="669"/>
      <c r="WKW107" s="669"/>
      <c r="WKX107" s="669"/>
      <c r="WKY107" s="669"/>
      <c r="WKZ107" s="669"/>
      <c r="WLA107" s="669"/>
      <c r="WLB107" s="669"/>
      <c r="WLC107" s="669"/>
      <c r="WLD107" s="669"/>
      <c r="WLE107" s="669"/>
      <c r="WLF107" s="669"/>
      <c r="WLG107" s="669"/>
      <c r="WLH107" s="669"/>
      <c r="WLI107" s="669"/>
      <c r="WLJ107" s="669"/>
      <c r="WLK107" s="669"/>
      <c r="WLL107" s="669"/>
      <c r="WLM107" s="669"/>
      <c r="WLN107" s="669"/>
      <c r="WLO107" s="669"/>
      <c r="WLP107" s="669"/>
      <c r="WLQ107" s="669"/>
      <c r="WLR107" s="669"/>
      <c r="WLS107" s="669"/>
      <c r="WLT107" s="669"/>
      <c r="WLU107" s="669"/>
      <c r="WLV107" s="669"/>
      <c r="WLW107" s="669"/>
      <c r="WLX107" s="669"/>
      <c r="WLY107" s="669"/>
      <c r="WLZ107" s="669"/>
      <c r="WMA107" s="669"/>
      <c r="WMB107" s="669"/>
      <c r="WMC107" s="669"/>
      <c r="WMD107" s="669"/>
      <c r="WME107" s="669"/>
      <c r="WMF107" s="669"/>
      <c r="WMG107" s="669"/>
      <c r="WMH107" s="669"/>
      <c r="WMI107" s="669"/>
      <c r="WMJ107" s="669"/>
      <c r="WMK107" s="669"/>
      <c r="WML107" s="669"/>
      <c r="WMM107" s="669"/>
      <c r="WMN107" s="669"/>
      <c r="WMO107" s="669"/>
      <c r="WMP107" s="669"/>
      <c r="WMQ107" s="669"/>
      <c r="WMR107" s="669"/>
      <c r="WMS107" s="669"/>
      <c r="WMT107" s="669"/>
      <c r="WMU107" s="669"/>
      <c r="WMV107" s="669"/>
      <c r="WMW107" s="669"/>
      <c r="WMX107" s="669"/>
      <c r="WMY107" s="669"/>
      <c r="WMZ107" s="669"/>
      <c r="WNA107" s="669"/>
      <c r="WNB107" s="669"/>
      <c r="WNC107" s="669"/>
      <c r="WND107" s="669"/>
      <c r="WNE107" s="669"/>
      <c r="WNF107" s="669"/>
      <c r="WNG107" s="669"/>
      <c r="WNH107" s="669"/>
      <c r="WNI107" s="669"/>
      <c r="WNJ107" s="669"/>
      <c r="WNK107" s="669"/>
      <c r="WNL107" s="669"/>
      <c r="WNM107" s="669"/>
      <c r="WNN107" s="669"/>
      <c r="WNO107" s="669"/>
      <c r="WNP107" s="669"/>
      <c r="WNQ107" s="669"/>
      <c r="WNR107" s="669"/>
      <c r="WNS107" s="669"/>
      <c r="WNT107" s="669"/>
      <c r="WNU107" s="669"/>
      <c r="WNV107" s="669"/>
      <c r="WNW107" s="669"/>
      <c r="WNX107" s="669"/>
      <c r="WNY107" s="669"/>
      <c r="WNZ107" s="669"/>
      <c r="WOA107" s="669"/>
      <c r="WOB107" s="669"/>
      <c r="WOC107" s="669"/>
      <c r="WOD107" s="669"/>
      <c r="WOE107" s="669"/>
      <c r="WOF107" s="669"/>
      <c r="WOG107" s="669"/>
      <c r="WOH107" s="669"/>
      <c r="WOI107" s="669"/>
      <c r="WOJ107" s="669"/>
      <c r="WOK107" s="669"/>
      <c r="WOL107" s="669"/>
      <c r="WOM107" s="669"/>
      <c r="WON107" s="669"/>
      <c r="WOO107" s="669"/>
      <c r="WOP107" s="669"/>
      <c r="WOQ107" s="669"/>
      <c r="WOR107" s="669"/>
      <c r="WOS107" s="669"/>
      <c r="WOT107" s="669"/>
      <c r="WOU107" s="669"/>
      <c r="WOV107" s="669"/>
      <c r="WOW107" s="669"/>
      <c r="WOX107" s="669"/>
      <c r="WOY107" s="669"/>
      <c r="WOZ107" s="669"/>
      <c r="WPA107" s="669"/>
      <c r="WPB107" s="669"/>
      <c r="WPC107" s="669"/>
      <c r="WPD107" s="669"/>
      <c r="WPE107" s="669"/>
      <c r="WPF107" s="669"/>
      <c r="WPG107" s="669"/>
      <c r="WPH107" s="669"/>
      <c r="WPI107" s="669"/>
      <c r="WPJ107" s="669"/>
      <c r="WPK107" s="669"/>
      <c r="WPL107" s="669"/>
      <c r="WPM107" s="669"/>
      <c r="WPN107" s="669"/>
      <c r="WPO107" s="669"/>
      <c r="WPP107" s="669"/>
      <c r="WPQ107" s="669"/>
      <c r="WPR107" s="669"/>
      <c r="WPS107" s="669"/>
      <c r="WPT107" s="669"/>
      <c r="WPU107" s="669"/>
      <c r="WPV107" s="669"/>
      <c r="WPW107" s="669"/>
      <c r="WPX107" s="669"/>
      <c r="WPY107" s="669"/>
      <c r="WPZ107" s="669"/>
      <c r="WQA107" s="669"/>
      <c r="WQB107" s="669"/>
      <c r="WQC107" s="669"/>
      <c r="WQD107" s="669"/>
      <c r="WQE107" s="669"/>
      <c r="WQF107" s="669"/>
      <c r="WQG107" s="669"/>
      <c r="WQH107" s="669"/>
      <c r="WQI107" s="669"/>
      <c r="WQJ107" s="669"/>
      <c r="WQK107" s="669"/>
      <c r="WQL107" s="669"/>
      <c r="WQM107" s="669"/>
      <c r="WQN107" s="669"/>
      <c r="WQO107" s="669"/>
      <c r="WQP107" s="669"/>
      <c r="WQQ107" s="669"/>
      <c r="WQR107" s="669"/>
      <c r="WQS107" s="669"/>
      <c r="WQT107" s="669"/>
      <c r="WQU107" s="669"/>
      <c r="WQV107" s="669"/>
      <c r="WQW107" s="669"/>
      <c r="WQX107" s="669"/>
      <c r="WQY107" s="669"/>
      <c r="WQZ107" s="669"/>
      <c r="WRA107" s="669"/>
      <c r="WRB107" s="669"/>
      <c r="WRC107" s="669"/>
      <c r="WRD107" s="669"/>
      <c r="WRE107" s="669"/>
      <c r="WRF107" s="669"/>
      <c r="WRG107" s="669"/>
      <c r="WRH107" s="669"/>
      <c r="WRI107" s="669"/>
      <c r="WRJ107" s="669"/>
      <c r="WRK107" s="669"/>
      <c r="WRL107" s="669"/>
      <c r="WRM107" s="669"/>
      <c r="WRN107" s="669"/>
      <c r="WRO107" s="669"/>
      <c r="WRP107" s="669"/>
      <c r="WRQ107" s="669"/>
      <c r="WRR107" s="669"/>
      <c r="WRS107" s="669"/>
      <c r="WRT107" s="669"/>
      <c r="WRU107" s="669"/>
      <c r="WRV107" s="669"/>
      <c r="WRW107" s="669"/>
      <c r="WRX107" s="669"/>
      <c r="WRY107" s="669"/>
      <c r="WRZ107" s="669"/>
      <c r="WSA107" s="669"/>
      <c r="WSB107" s="669"/>
      <c r="WSC107" s="669"/>
      <c r="WSD107" s="669"/>
      <c r="WSE107" s="669"/>
      <c r="WSF107" s="669"/>
      <c r="WSG107" s="669"/>
      <c r="WSH107" s="669"/>
      <c r="WSI107" s="669"/>
      <c r="WSJ107" s="669"/>
      <c r="WSK107" s="669"/>
      <c r="WSL107" s="669"/>
      <c r="WSM107" s="669"/>
      <c r="WSN107" s="669"/>
      <c r="WSO107" s="669"/>
      <c r="WSP107" s="669"/>
      <c r="WSQ107" s="669"/>
      <c r="WSR107" s="669"/>
      <c r="WSS107" s="669"/>
      <c r="WST107" s="669"/>
      <c r="WSU107" s="669"/>
      <c r="WSV107" s="669"/>
      <c r="WSW107" s="669"/>
      <c r="WSX107" s="669"/>
      <c r="WSY107" s="669"/>
      <c r="WSZ107" s="669"/>
      <c r="WTA107" s="669"/>
      <c r="WTB107" s="669"/>
      <c r="WTC107" s="669"/>
      <c r="WTD107" s="669"/>
      <c r="WTE107" s="669"/>
      <c r="WTF107" s="669"/>
      <c r="WTG107" s="669"/>
      <c r="WTH107" s="669"/>
      <c r="WTI107" s="669"/>
      <c r="WTJ107" s="669"/>
      <c r="WTK107" s="669"/>
      <c r="WTL107" s="669"/>
      <c r="WTM107" s="669"/>
      <c r="WTN107" s="669"/>
      <c r="WTO107" s="669"/>
      <c r="WTP107" s="669"/>
      <c r="WTQ107" s="669"/>
      <c r="WTR107" s="669"/>
      <c r="WTS107" s="669"/>
      <c r="WTT107" s="669"/>
      <c r="WTU107" s="669"/>
      <c r="WTV107" s="669"/>
      <c r="WTW107" s="669"/>
      <c r="WTX107" s="669"/>
      <c r="WTY107" s="669"/>
      <c r="WTZ107" s="669"/>
      <c r="WUA107" s="669"/>
      <c r="WUB107" s="669"/>
      <c r="WUC107" s="669"/>
      <c r="WUD107" s="669"/>
      <c r="WUE107" s="669"/>
      <c r="WUF107" s="669"/>
      <c r="WUG107" s="669"/>
      <c r="WUH107" s="669"/>
      <c r="WUI107" s="669"/>
      <c r="WUJ107" s="669"/>
      <c r="WUK107" s="669"/>
      <c r="WUL107" s="669"/>
      <c r="WUM107" s="669"/>
      <c r="WUN107" s="669"/>
      <c r="WUO107" s="669"/>
      <c r="WUP107" s="669"/>
      <c r="WUQ107" s="669"/>
      <c r="WUR107" s="669"/>
      <c r="WUS107" s="669"/>
      <c r="WUT107" s="669"/>
      <c r="WUU107" s="669"/>
      <c r="WUV107" s="669"/>
      <c r="WUW107" s="669"/>
      <c r="WUX107" s="669"/>
      <c r="WUY107" s="669"/>
      <c r="WUZ107" s="669"/>
      <c r="WVA107" s="669"/>
      <c r="WVB107" s="669"/>
      <c r="WVC107" s="669"/>
      <c r="WVD107" s="669"/>
      <c r="WVE107" s="669"/>
      <c r="WVF107" s="669"/>
      <c r="WVG107" s="669"/>
      <c r="WVH107" s="669"/>
      <c r="WVI107" s="669"/>
      <c r="WVJ107" s="669"/>
      <c r="WVK107" s="669"/>
      <c r="WVL107" s="669"/>
      <c r="WVM107" s="669"/>
      <c r="WVN107" s="669"/>
      <c r="WVO107" s="669"/>
      <c r="WVP107" s="669"/>
      <c r="WVQ107" s="669"/>
      <c r="WVR107" s="669"/>
      <c r="WVS107" s="669"/>
      <c r="WVT107" s="669"/>
      <c r="WVU107" s="669"/>
      <c r="WVV107" s="669"/>
      <c r="WVW107" s="669"/>
      <c r="WVX107" s="669"/>
      <c r="WVY107" s="669"/>
      <c r="WVZ107" s="669"/>
      <c r="WWA107" s="669"/>
      <c r="WWB107" s="669"/>
      <c r="WWC107" s="669"/>
      <c r="WWD107" s="669"/>
      <c r="WWE107" s="669"/>
      <c r="WWF107" s="669"/>
      <c r="WWG107" s="669"/>
      <c r="WWH107" s="669"/>
      <c r="WWI107" s="669"/>
      <c r="WWJ107" s="669"/>
      <c r="WWK107" s="669"/>
      <c r="WWL107" s="669"/>
      <c r="WWM107" s="669"/>
      <c r="WWN107" s="669"/>
      <c r="WWO107" s="669"/>
      <c r="WWP107" s="669"/>
      <c r="WWQ107" s="669"/>
      <c r="WWR107" s="669"/>
      <c r="WWS107" s="669"/>
      <c r="WWT107" s="669"/>
      <c r="WWU107" s="669"/>
      <c r="WWV107" s="669"/>
      <c r="WWW107" s="669"/>
      <c r="WWX107" s="669"/>
      <c r="WWY107" s="669"/>
      <c r="WWZ107" s="669"/>
      <c r="WXA107" s="669"/>
      <c r="WXB107" s="669"/>
      <c r="WXC107" s="669"/>
      <c r="WXD107" s="669"/>
      <c r="WXE107" s="669"/>
      <c r="WXF107" s="669"/>
      <c r="WXG107" s="669"/>
      <c r="WXH107" s="669"/>
      <c r="WXI107" s="669"/>
      <c r="WXJ107" s="669"/>
      <c r="WXK107" s="669"/>
      <c r="WXL107" s="669"/>
      <c r="WXM107" s="669"/>
      <c r="WXN107" s="669"/>
      <c r="WXO107" s="669"/>
      <c r="WXP107" s="669"/>
      <c r="WXQ107" s="669"/>
      <c r="WXR107" s="669"/>
      <c r="WXS107" s="669"/>
      <c r="WXT107" s="669"/>
      <c r="WXU107" s="669"/>
      <c r="WXV107" s="669"/>
      <c r="WXW107" s="669"/>
      <c r="WXX107" s="669"/>
      <c r="WXY107" s="669"/>
      <c r="WXZ107" s="669"/>
      <c r="WYA107" s="669"/>
      <c r="WYB107" s="669"/>
      <c r="WYC107" s="669"/>
      <c r="WYD107" s="669"/>
      <c r="WYE107" s="669"/>
      <c r="WYF107" s="669"/>
      <c r="WYG107" s="669"/>
      <c r="WYH107" s="669"/>
      <c r="WYI107" s="669"/>
      <c r="WYJ107" s="669"/>
      <c r="WYK107" s="669"/>
      <c r="WYL107" s="669"/>
      <c r="WYM107" s="669"/>
      <c r="WYN107" s="669"/>
      <c r="WYO107" s="669"/>
      <c r="WYP107" s="669"/>
      <c r="WYQ107" s="669"/>
      <c r="WYR107" s="669"/>
      <c r="WYS107" s="669"/>
      <c r="WYT107" s="669"/>
      <c r="WYU107" s="669"/>
      <c r="WYV107" s="669"/>
      <c r="WYW107" s="669"/>
      <c r="WYX107" s="669"/>
      <c r="WYY107" s="669"/>
      <c r="WYZ107" s="669"/>
      <c r="WZA107" s="669"/>
      <c r="WZB107" s="669"/>
      <c r="WZC107" s="669"/>
      <c r="WZD107" s="669"/>
      <c r="WZE107" s="669"/>
      <c r="WZF107" s="669"/>
      <c r="WZG107" s="669"/>
      <c r="WZH107" s="669"/>
      <c r="WZI107" s="669"/>
      <c r="WZJ107" s="669"/>
      <c r="WZK107" s="669"/>
      <c r="WZL107" s="669"/>
      <c r="WZM107" s="669"/>
      <c r="WZN107" s="669"/>
      <c r="WZO107" s="669"/>
      <c r="WZP107" s="669"/>
      <c r="WZQ107" s="669"/>
      <c r="WZR107" s="669"/>
      <c r="WZS107" s="669"/>
      <c r="WZT107" s="669"/>
      <c r="WZU107" s="669"/>
      <c r="WZV107" s="669"/>
      <c r="WZW107" s="669"/>
      <c r="WZX107" s="669"/>
      <c r="WZY107" s="669"/>
      <c r="WZZ107" s="669"/>
      <c r="XAA107" s="669"/>
      <c r="XAB107" s="669"/>
      <c r="XAC107" s="669"/>
      <c r="XAD107" s="669"/>
      <c r="XAE107" s="669"/>
      <c r="XAF107" s="669"/>
      <c r="XAG107" s="669"/>
      <c r="XAH107" s="669"/>
      <c r="XAI107" s="669"/>
      <c r="XAJ107" s="669"/>
      <c r="XAK107" s="669"/>
      <c r="XAL107" s="669"/>
      <c r="XAM107" s="669"/>
      <c r="XAN107" s="669"/>
      <c r="XAO107" s="669"/>
      <c r="XAP107" s="669"/>
      <c r="XAQ107" s="669"/>
      <c r="XAR107" s="669"/>
      <c r="XAS107" s="669"/>
      <c r="XAT107" s="669"/>
      <c r="XAU107" s="669"/>
      <c r="XAV107" s="669"/>
      <c r="XAW107" s="669"/>
      <c r="XAX107" s="669"/>
      <c r="XAY107" s="669"/>
      <c r="XAZ107" s="669"/>
      <c r="XBA107" s="669"/>
      <c r="XBB107" s="669"/>
      <c r="XBC107" s="669"/>
      <c r="XBD107" s="669"/>
      <c r="XBE107" s="669"/>
      <c r="XBF107" s="669"/>
      <c r="XBG107" s="669"/>
      <c r="XBH107" s="669"/>
      <c r="XBI107" s="669"/>
      <c r="XBJ107" s="669"/>
      <c r="XBK107" s="669"/>
      <c r="XBL107" s="669"/>
      <c r="XBM107" s="669"/>
      <c r="XBN107" s="669"/>
      <c r="XBO107" s="669"/>
      <c r="XBP107" s="669"/>
      <c r="XBQ107" s="669"/>
      <c r="XBR107" s="669"/>
      <c r="XBS107" s="669"/>
      <c r="XBT107" s="669"/>
      <c r="XBU107" s="669"/>
      <c r="XBV107" s="669"/>
      <c r="XBW107" s="669"/>
      <c r="XBX107" s="669"/>
      <c r="XBY107" s="669"/>
      <c r="XBZ107" s="669"/>
      <c r="XCA107" s="669"/>
      <c r="XCB107" s="669"/>
      <c r="XCC107" s="669"/>
      <c r="XCD107" s="669"/>
      <c r="XCE107" s="669"/>
      <c r="XCF107" s="669"/>
      <c r="XCG107" s="669"/>
      <c r="XCH107" s="669"/>
      <c r="XCI107" s="669"/>
      <c r="XCJ107" s="669"/>
      <c r="XCK107" s="669"/>
      <c r="XCL107" s="669"/>
      <c r="XCM107" s="669"/>
      <c r="XCN107" s="669"/>
      <c r="XCO107" s="669"/>
      <c r="XCP107" s="669"/>
      <c r="XCQ107" s="669"/>
      <c r="XCR107" s="669"/>
      <c r="XCS107" s="669"/>
      <c r="XCT107" s="669"/>
      <c r="XCU107" s="669"/>
      <c r="XCV107" s="669"/>
      <c r="XCW107" s="669"/>
      <c r="XCX107" s="669"/>
      <c r="XCY107" s="669"/>
      <c r="XCZ107" s="669"/>
      <c r="XDA107" s="669"/>
      <c r="XDB107" s="669"/>
      <c r="XDC107" s="669"/>
      <c r="XDD107" s="669"/>
      <c r="XDE107" s="669"/>
      <c r="XDF107" s="669"/>
      <c r="XDG107" s="669"/>
      <c r="XDH107" s="669"/>
      <c r="XDI107" s="669"/>
      <c r="XDJ107" s="669"/>
      <c r="XDK107" s="669"/>
      <c r="XDL107" s="669"/>
      <c r="XDM107" s="669"/>
      <c r="XDN107" s="669"/>
      <c r="XDO107" s="669"/>
      <c r="XDP107" s="669"/>
      <c r="XDQ107" s="669"/>
      <c r="XDR107" s="669"/>
      <c r="XDS107" s="669"/>
      <c r="XDT107" s="669"/>
      <c r="XDU107" s="669"/>
      <c r="XDV107" s="669"/>
      <c r="XDW107" s="669"/>
      <c r="XDX107" s="669"/>
      <c r="XDY107" s="669"/>
      <c r="XDZ107" s="669"/>
      <c r="XEA107" s="669"/>
      <c r="XEB107" s="669"/>
      <c r="XEC107" s="669"/>
      <c r="XED107" s="669"/>
      <c r="XEE107" s="669"/>
      <c r="XEF107" s="669"/>
      <c r="XEG107" s="669"/>
      <c r="XEH107" s="669"/>
      <c r="XEI107" s="669"/>
      <c r="XEJ107" s="669"/>
      <c r="XEK107" s="669"/>
      <c r="XEL107" s="669"/>
      <c r="XEM107" s="669"/>
      <c r="XEN107" s="669"/>
      <c r="XEO107" s="669"/>
      <c r="XEP107" s="669"/>
      <c r="XEQ107" s="669"/>
      <c r="XER107" s="669"/>
      <c r="XES107" s="669"/>
      <c r="XET107" s="669"/>
      <c r="XEU107" s="669"/>
      <c r="XEV107" s="669"/>
      <c r="XEW107" s="669"/>
      <c r="XEX107" s="669"/>
      <c r="XEY107" s="669"/>
      <c r="XEZ107" s="669"/>
      <c r="XFA107" s="669"/>
      <c r="XFB107" s="669"/>
      <c r="XFC107" s="669"/>
      <c r="XFD107" s="669"/>
    </row>
    <row r="108" spans="1:16384" customFormat="1" x14ac:dyDescent="0.25">
      <c r="A108" s="65"/>
      <c r="B108" s="65"/>
      <c r="C108" s="65"/>
      <c r="D108" s="65"/>
      <c r="E108" s="65"/>
      <c r="F108" s="65"/>
      <c r="G108" s="65"/>
      <c r="H108" s="65"/>
      <c r="I108" s="65"/>
      <c r="J108" s="65"/>
    </row>
    <row r="111" spans="1:16384" customFormat="1" ht="24.75" customHeight="1" x14ac:dyDescent="0.25"/>
    <row r="112" spans="1:16384" customFormat="1" ht="24.75" customHeight="1" x14ac:dyDescent="0.25"/>
    <row r="113" ht="24.75" customHeight="1" x14ac:dyDescent="0.25"/>
    <row r="114" ht="24.75" customHeight="1" x14ac:dyDescent="0.25"/>
    <row r="115" ht="24.75" customHeight="1" x14ac:dyDescent="0.25"/>
    <row r="116" ht="24.75" customHeight="1" x14ac:dyDescent="0.25"/>
    <row r="117" ht="24.75" customHeight="1" x14ac:dyDescent="0.25"/>
    <row r="118" ht="24.75" customHeight="1" x14ac:dyDescent="0.25"/>
    <row r="119" ht="24.75" customHeight="1" x14ac:dyDescent="0.25"/>
    <row r="120" ht="24.75" customHeight="1" x14ac:dyDescent="0.25"/>
    <row r="121" ht="24.75" customHeight="1" x14ac:dyDescent="0.25"/>
    <row r="122" ht="24.75" customHeight="1" x14ac:dyDescent="0.25"/>
    <row r="123" ht="24.75" customHeight="1" x14ac:dyDescent="0.25"/>
    <row r="124" ht="24.75" customHeight="1" x14ac:dyDescent="0.25"/>
    <row r="125" ht="24.75" customHeight="1" x14ac:dyDescent="0.25"/>
    <row r="126" ht="24.75" customHeight="1" x14ac:dyDescent="0.25"/>
    <row r="127" ht="24.75" customHeight="1" x14ac:dyDescent="0.25"/>
    <row r="128" ht="24.75" customHeight="1" x14ac:dyDescent="0.25"/>
    <row r="129" ht="24.75" customHeight="1" x14ac:dyDescent="0.25"/>
    <row r="130" ht="24.75" customHeight="1" x14ac:dyDescent="0.25"/>
    <row r="131" ht="24.75" customHeight="1" x14ac:dyDescent="0.25"/>
    <row r="132" ht="24.75" customHeight="1" x14ac:dyDescent="0.25"/>
    <row r="133" ht="24.75" customHeight="1" x14ac:dyDescent="0.25"/>
    <row r="134" ht="24.75" customHeight="1" x14ac:dyDescent="0.25"/>
    <row r="135" ht="24.75" customHeight="1" x14ac:dyDescent="0.25"/>
    <row r="136" ht="24.75" customHeight="1" x14ac:dyDescent="0.25"/>
    <row r="137" ht="24.75" customHeight="1" x14ac:dyDescent="0.25"/>
    <row r="138" ht="24.75" customHeight="1" x14ac:dyDescent="0.25"/>
    <row r="139" ht="24.75" customHeight="1" x14ac:dyDescent="0.25"/>
    <row r="140" ht="24.75" customHeight="1" x14ac:dyDescent="0.25"/>
    <row r="141" ht="24.75" customHeight="1" x14ac:dyDescent="0.25"/>
    <row r="142" ht="24.75" customHeight="1" x14ac:dyDescent="0.25"/>
    <row r="143" ht="24.75" customHeight="1" x14ac:dyDescent="0.25"/>
    <row r="144" ht="24.75" customHeight="1" x14ac:dyDescent="0.25"/>
    <row r="145" ht="24.75" customHeight="1" x14ac:dyDescent="0.25"/>
    <row r="146" ht="24.75" customHeight="1" x14ac:dyDescent="0.25"/>
    <row r="147" ht="24.75" customHeight="1" x14ac:dyDescent="0.25"/>
    <row r="148" ht="24.75" customHeight="1" x14ac:dyDescent="0.25"/>
    <row r="149" ht="24.75" customHeight="1" x14ac:dyDescent="0.25"/>
    <row r="150" ht="24.75" customHeight="1" x14ac:dyDescent="0.25"/>
    <row r="151" ht="24.75" customHeight="1" x14ac:dyDescent="0.25"/>
    <row r="152" ht="24.75" customHeight="1" x14ac:dyDescent="0.25"/>
    <row r="153" ht="24.75" customHeight="1" x14ac:dyDescent="0.25"/>
    <row r="154" ht="24.75" customHeight="1" x14ac:dyDescent="0.25"/>
    <row r="155" ht="24.75" customHeight="1" x14ac:dyDescent="0.25"/>
    <row r="156" ht="24.75" customHeight="1" x14ac:dyDescent="0.25"/>
    <row r="157" ht="24.75" customHeight="1" x14ac:dyDescent="0.25"/>
    <row r="158" ht="24.75" customHeight="1" x14ac:dyDescent="0.25"/>
    <row r="159" ht="24.75" customHeight="1" x14ac:dyDescent="0.25"/>
    <row r="160" ht="24.75" customHeight="1" x14ac:dyDescent="0.25"/>
    <row r="161" ht="24.75" customHeight="1" x14ac:dyDescent="0.25"/>
    <row r="162" ht="24.75" customHeight="1" x14ac:dyDescent="0.25"/>
    <row r="163" ht="24.75" customHeight="1" x14ac:dyDescent="0.25"/>
    <row r="164" ht="24.75" customHeight="1" x14ac:dyDescent="0.25"/>
    <row r="165" ht="24.75" customHeight="1" x14ac:dyDescent="0.25"/>
    <row r="166" ht="24.75" customHeight="1" x14ac:dyDescent="0.25"/>
    <row r="167" ht="24.75" customHeight="1" x14ac:dyDescent="0.25"/>
    <row r="168" ht="24.75" customHeight="1" x14ac:dyDescent="0.25"/>
    <row r="169" ht="24.75" customHeight="1" x14ac:dyDescent="0.25"/>
    <row r="170" ht="24.75" customHeight="1" x14ac:dyDescent="0.25"/>
    <row r="171" ht="24.75" customHeight="1" x14ac:dyDescent="0.25"/>
    <row r="172" ht="24.75" customHeight="1" x14ac:dyDescent="0.25"/>
    <row r="173" ht="24.75" customHeight="1" x14ac:dyDescent="0.25"/>
    <row r="174" ht="24.75" customHeight="1" x14ac:dyDescent="0.25"/>
    <row r="175" ht="24.75" customHeight="1" x14ac:dyDescent="0.25"/>
    <row r="176" ht="24.75" customHeight="1" x14ac:dyDescent="0.25"/>
    <row r="177" ht="24.75" customHeight="1" x14ac:dyDescent="0.25"/>
    <row r="178" ht="24.75" customHeight="1" x14ac:dyDescent="0.25"/>
    <row r="179" ht="24.75" customHeight="1" x14ac:dyDescent="0.25"/>
    <row r="180" ht="24.75" customHeight="1" x14ac:dyDescent="0.25"/>
    <row r="181" ht="24.75" customHeight="1" x14ac:dyDescent="0.25"/>
    <row r="182" ht="24.75" customHeight="1" x14ac:dyDescent="0.25"/>
    <row r="183" ht="24.75" customHeight="1" x14ac:dyDescent="0.25"/>
    <row r="184" ht="24.75" customHeight="1" x14ac:dyDescent="0.25"/>
    <row r="185" ht="24.75" customHeight="1" x14ac:dyDescent="0.25"/>
    <row r="186" ht="24.75" customHeight="1" x14ac:dyDescent="0.25"/>
    <row r="187" ht="24.75" customHeight="1" x14ac:dyDescent="0.25"/>
    <row r="188" ht="24.75" customHeight="1" x14ac:dyDescent="0.25"/>
    <row r="189" ht="24.75" customHeight="1" x14ac:dyDescent="0.25"/>
    <row r="190" ht="24.75" customHeight="1" x14ac:dyDescent="0.25"/>
    <row r="191" ht="24.75" customHeight="1" x14ac:dyDescent="0.25"/>
    <row r="192" ht="24.75" customHeight="1" x14ac:dyDescent="0.25"/>
    <row r="193" ht="24.75" customHeight="1" x14ac:dyDescent="0.25"/>
    <row r="194" ht="24.75" customHeight="1" x14ac:dyDescent="0.25"/>
    <row r="195" ht="24.75" customHeight="1" x14ac:dyDescent="0.25"/>
    <row r="196" ht="24.75" customHeight="1" x14ac:dyDescent="0.25"/>
    <row r="197" ht="24.75" customHeight="1" x14ac:dyDescent="0.25"/>
    <row r="198" ht="24.75" customHeight="1" x14ac:dyDescent="0.25"/>
    <row r="199" ht="24.75" customHeight="1" x14ac:dyDescent="0.25"/>
    <row r="200" ht="24.75" customHeight="1" x14ac:dyDescent="0.25"/>
    <row r="201" ht="24.75" customHeight="1" x14ac:dyDescent="0.25"/>
    <row r="202" ht="24.75" customHeight="1" x14ac:dyDescent="0.25"/>
    <row r="203" ht="24.75" customHeight="1" x14ac:dyDescent="0.25"/>
    <row r="204" ht="24.75" customHeight="1" x14ac:dyDescent="0.25"/>
    <row r="205" ht="24.75" customHeight="1" x14ac:dyDescent="0.25"/>
    <row r="206" ht="24.75" customHeight="1" x14ac:dyDescent="0.25"/>
    <row r="207" ht="24.75" customHeight="1" x14ac:dyDescent="0.25"/>
    <row r="295" spans="6:6" x14ac:dyDescent="0.25">
      <c r="F295" s="290">
        <v>452.90959999999995</v>
      </c>
    </row>
  </sheetData>
  <mergeCells count="6557">
    <mergeCell ref="XFA107:XFD107"/>
    <mergeCell ref="XEB107:XEF107"/>
    <mergeCell ref="XEG107:XEK107"/>
    <mergeCell ref="XEL107:XEP107"/>
    <mergeCell ref="XEQ107:XEU107"/>
    <mergeCell ref="XEV107:XEZ107"/>
    <mergeCell ref="XDC107:XDG107"/>
    <mergeCell ref="XDH107:XDL107"/>
    <mergeCell ref="XDM107:XDQ107"/>
    <mergeCell ref="XDR107:XDV107"/>
    <mergeCell ref="XDW107:XEA107"/>
    <mergeCell ref="XCD107:XCH107"/>
    <mergeCell ref="XCI107:XCM107"/>
    <mergeCell ref="XCN107:XCR107"/>
    <mergeCell ref="XCS107:XCW107"/>
    <mergeCell ref="XCX107:XDB107"/>
    <mergeCell ref="XBE107:XBI107"/>
    <mergeCell ref="XBJ107:XBN107"/>
    <mergeCell ref="XBO107:XBS107"/>
    <mergeCell ref="XBT107:XBX107"/>
    <mergeCell ref="XBY107:XCC107"/>
    <mergeCell ref="XAF107:XAJ107"/>
    <mergeCell ref="XAK107:XAO107"/>
    <mergeCell ref="XAP107:XAT107"/>
    <mergeCell ref="XAU107:XAY107"/>
    <mergeCell ref="XAZ107:XBD107"/>
    <mergeCell ref="WZG107:WZK107"/>
    <mergeCell ref="WZL107:WZP107"/>
    <mergeCell ref="WZQ107:WZU107"/>
    <mergeCell ref="WZV107:WZZ107"/>
    <mergeCell ref="XAA107:XAE107"/>
    <mergeCell ref="WYH107:WYL107"/>
    <mergeCell ref="WYM107:WYQ107"/>
    <mergeCell ref="WYR107:WYV107"/>
    <mergeCell ref="WYW107:WZA107"/>
    <mergeCell ref="WZB107:WZF107"/>
    <mergeCell ref="WXI107:WXM107"/>
    <mergeCell ref="WXN107:WXR107"/>
    <mergeCell ref="WXS107:WXW107"/>
    <mergeCell ref="WXX107:WYB107"/>
    <mergeCell ref="WYC107:WYG107"/>
    <mergeCell ref="WWJ107:WWN107"/>
    <mergeCell ref="WWO107:WWS107"/>
    <mergeCell ref="WWT107:WWX107"/>
    <mergeCell ref="WWY107:WXC107"/>
    <mergeCell ref="WXD107:WXH107"/>
    <mergeCell ref="WVK107:WVO107"/>
    <mergeCell ref="WVP107:WVT107"/>
    <mergeCell ref="WVU107:WVY107"/>
    <mergeCell ref="WVZ107:WWD107"/>
    <mergeCell ref="WWE107:WWI107"/>
    <mergeCell ref="WUL107:WUP107"/>
    <mergeCell ref="WUQ107:WUU107"/>
    <mergeCell ref="WUV107:WUZ107"/>
    <mergeCell ref="WVA107:WVE107"/>
    <mergeCell ref="WVF107:WVJ107"/>
    <mergeCell ref="WTM107:WTQ107"/>
    <mergeCell ref="WTR107:WTV107"/>
    <mergeCell ref="WTW107:WUA107"/>
    <mergeCell ref="WUB107:WUF107"/>
    <mergeCell ref="WUG107:WUK107"/>
    <mergeCell ref="WSN107:WSR107"/>
    <mergeCell ref="WSS107:WSW107"/>
    <mergeCell ref="WSX107:WTB107"/>
    <mergeCell ref="WTC107:WTG107"/>
    <mergeCell ref="WTH107:WTL107"/>
    <mergeCell ref="WRO107:WRS107"/>
    <mergeCell ref="WRT107:WRX107"/>
    <mergeCell ref="WRY107:WSC107"/>
    <mergeCell ref="WSD107:WSH107"/>
    <mergeCell ref="WSI107:WSM107"/>
    <mergeCell ref="WQP107:WQT107"/>
    <mergeCell ref="WQU107:WQY107"/>
    <mergeCell ref="WQZ107:WRD107"/>
    <mergeCell ref="WRE107:WRI107"/>
    <mergeCell ref="WRJ107:WRN107"/>
    <mergeCell ref="WPQ107:WPU107"/>
    <mergeCell ref="WPV107:WPZ107"/>
    <mergeCell ref="WQA107:WQE107"/>
    <mergeCell ref="WQF107:WQJ107"/>
    <mergeCell ref="WQK107:WQO107"/>
    <mergeCell ref="WOR107:WOV107"/>
    <mergeCell ref="WOW107:WPA107"/>
    <mergeCell ref="WPB107:WPF107"/>
    <mergeCell ref="WPG107:WPK107"/>
    <mergeCell ref="WPL107:WPP107"/>
    <mergeCell ref="WNS107:WNW107"/>
    <mergeCell ref="WNX107:WOB107"/>
    <mergeCell ref="WOC107:WOG107"/>
    <mergeCell ref="WOH107:WOL107"/>
    <mergeCell ref="WOM107:WOQ107"/>
    <mergeCell ref="WMT107:WMX107"/>
    <mergeCell ref="WMY107:WNC107"/>
    <mergeCell ref="WND107:WNH107"/>
    <mergeCell ref="WNI107:WNM107"/>
    <mergeCell ref="WNN107:WNR107"/>
    <mergeCell ref="WLU107:WLY107"/>
    <mergeCell ref="WLZ107:WMD107"/>
    <mergeCell ref="WME107:WMI107"/>
    <mergeCell ref="WMJ107:WMN107"/>
    <mergeCell ref="WMO107:WMS107"/>
    <mergeCell ref="WKV107:WKZ107"/>
    <mergeCell ref="WLA107:WLE107"/>
    <mergeCell ref="WLF107:WLJ107"/>
    <mergeCell ref="WLK107:WLO107"/>
    <mergeCell ref="WLP107:WLT107"/>
    <mergeCell ref="WJW107:WKA107"/>
    <mergeCell ref="WKB107:WKF107"/>
    <mergeCell ref="WKG107:WKK107"/>
    <mergeCell ref="WKL107:WKP107"/>
    <mergeCell ref="WKQ107:WKU107"/>
    <mergeCell ref="WIX107:WJB107"/>
    <mergeCell ref="WJC107:WJG107"/>
    <mergeCell ref="WJH107:WJL107"/>
    <mergeCell ref="WJM107:WJQ107"/>
    <mergeCell ref="WJR107:WJV107"/>
    <mergeCell ref="WHY107:WIC107"/>
    <mergeCell ref="WID107:WIH107"/>
    <mergeCell ref="WII107:WIM107"/>
    <mergeCell ref="WIN107:WIR107"/>
    <mergeCell ref="WIS107:WIW107"/>
    <mergeCell ref="WGZ107:WHD107"/>
    <mergeCell ref="WHE107:WHI107"/>
    <mergeCell ref="WHJ107:WHN107"/>
    <mergeCell ref="WHO107:WHS107"/>
    <mergeCell ref="WHT107:WHX107"/>
    <mergeCell ref="WGA107:WGE107"/>
    <mergeCell ref="WGF107:WGJ107"/>
    <mergeCell ref="WGK107:WGO107"/>
    <mergeCell ref="WGP107:WGT107"/>
    <mergeCell ref="WGU107:WGY107"/>
    <mergeCell ref="WFB107:WFF107"/>
    <mergeCell ref="WFG107:WFK107"/>
    <mergeCell ref="WFL107:WFP107"/>
    <mergeCell ref="WFQ107:WFU107"/>
    <mergeCell ref="WFV107:WFZ107"/>
    <mergeCell ref="WEC107:WEG107"/>
    <mergeCell ref="WEH107:WEL107"/>
    <mergeCell ref="WEM107:WEQ107"/>
    <mergeCell ref="WER107:WEV107"/>
    <mergeCell ref="WEW107:WFA107"/>
    <mergeCell ref="WDD107:WDH107"/>
    <mergeCell ref="WDI107:WDM107"/>
    <mergeCell ref="WDN107:WDR107"/>
    <mergeCell ref="WDS107:WDW107"/>
    <mergeCell ref="WDX107:WEB107"/>
    <mergeCell ref="WCE107:WCI107"/>
    <mergeCell ref="WCJ107:WCN107"/>
    <mergeCell ref="WCO107:WCS107"/>
    <mergeCell ref="WCT107:WCX107"/>
    <mergeCell ref="WCY107:WDC107"/>
    <mergeCell ref="WBF107:WBJ107"/>
    <mergeCell ref="WBK107:WBO107"/>
    <mergeCell ref="WBP107:WBT107"/>
    <mergeCell ref="WBU107:WBY107"/>
    <mergeCell ref="WBZ107:WCD107"/>
    <mergeCell ref="WAG107:WAK107"/>
    <mergeCell ref="WAL107:WAP107"/>
    <mergeCell ref="WAQ107:WAU107"/>
    <mergeCell ref="WAV107:WAZ107"/>
    <mergeCell ref="WBA107:WBE107"/>
    <mergeCell ref="VZH107:VZL107"/>
    <mergeCell ref="VZM107:VZQ107"/>
    <mergeCell ref="VZR107:VZV107"/>
    <mergeCell ref="VZW107:WAA107"/>
    <mergeCell ref="WAB107:WAF107"/>
    <mergeCell ref="VYI107:VYM107"/>
    <mergeCell ref="VYN107:VYR107"/>
    <mergeCell ref="VYS107:VYW107"/>
    <mergeCell ref="VYX107:VZB107"/>
    <mergeCell ref="VZC107:VZG107"/>
    <mergeCell ref="VXJ107:VXN107"/>
    <mergeCell ref="VXO107:VXS107"/>
    <mergeCell ref="VXT107:VXX107"/>
    <mergeCell ref="VXY107:VYC107"/>
    <mergeCell ref="VYD107:VYH107"/>
    <mergeCell ref="VWK107:VWO107"/>
    <mergeCell ref="VWP107:VWT107"/>
    <mergeCell ref="VWU107:VWY107"/>
    <mergeCell ref="VWZ107:VXD107"/>
    <mergeCell ref="VXE107:VXI107"/>
    <mergeCell ref="VVL107:VVP107"/>
    <mergeCell ref="VVQ107:VVU107"/>
    <mergeCell ref="VVV107:VVZ107"/>
    <mergeCell ref="VWA107:VWE107"/>
    <mergeCell ref="VWF107:VWJ107"/>
    <mergeCell ref="VUM107:VUQ107"/>
    <mergeCell ref="VUR107:VUV107"/>
    <mergeCell ref="VUW107:VVA107"/>
    <mergeCell ref="VVB107:VVF107"/>
    <mergeCell ref="VVG107:VVK107"/>
    <mergeCell ref="VTN107:VTR107"/>
    <mergeCell ref="VTS107:VTW107"/>
    <mergeCell ref="VTX107:VUB107"/>
    <mergeCell ref="VUC107:VUG107"/>
    <mergeCell ref="VUH107:VUL107"/>
    <mergeCell ref="VSO107:VSS107"/>
    <mergeCell ref="VST107:VSX107"/>
    <mergeCell ref="VSY107:VTC107"/>
    <mergeCell ref="VTD107:VTH107"/>
    <mergeCell ref="VTI107:VTM107"/>
    <mergeCell ref="VRP107:VRT107"/>
    <mergeCell ref="VRU107:VRY107"/>
    <mergeCell ref="VRZ107:VSD107"/>
    <mergeCell ref="VSE107:VSI107"/>
    <mergeCell ref="VSJ107:VSN107"/>
    <mergeCell ref="VQQ107:VQU107"/>
    <mergeCell ref="VQV107:VQZ107"/>
    <mergeCell ref="VRA107:VRE107"/>
    <mergeCell ref="VRF107:VRJ107"/>
    <mergeCell ref="VRK107:VRO107"/>
    <mergeCell ref="VPR107:VPV107"/>
    <mergeCell ref="VPW107:VQA107"/>
    <mergeCell ref="VQB107:VQF107"/>
    <mergeCell ref="VQG107:VQK107"/>
    <mergeCell ref="VQL107:VQP107"/>
    <mergeCell ref="VOS107:VOW107"/>
    <mergeCell ref="VOX107:VPB107"/>
    <mergeCell ref="VPC107:VPG107"/>
    <mergeCell ref="VPH107:VPL107"/>
    <mergeCell ref="VPM107:VPQ107"/>
    <mergeCell ref="VNT107:VNX107"/>
    <mergeCell ref="VNY107:VOC107"/>
    <mergeCell ref="VOD107:VOH107"/>
    <mergeCell ref="VOI107:VOM107"/>
    <mergeCell ref="VON107:VOR107"/>
    <mergeCell ref="VMU107:VMY107"/>
    <mergeCell ref="VMZ107:VND107"/>
    <mergeCell ref="VNE107:VNI107"/>
    <mergeCell ref="VNJ107:VNN107"/>
    <mergeCell ref="VNO107:VNS107"/>
    <mergeCell ref="VLV107:VLZ107"/>
    <mergeCell ref="VMA107:VME107"/>
    <mergeCell ref="VMF107:VMJ107"/>
    <mergeCell ref="VMK107:VMO107"/>
    <mergeCell ref="VMP107:VMT107"/>
    <mergeCell ref="VKW107:VLA107"/>
    <mergeCell ref="VLB107:VLF107"/>
    <mergeCell ref="VLG107:VLK107"/>
    <mergeCell ref="VLL107:VLP107"/>
    <mergeCell ref="VLQ107:VLU107"/>
    <mergeCell ref="VJX107:VKB107"/>
    <mergeCell ref="VKC107:VKG107"/>
    <mergeCell ref="VKH107:VKL107"/>
    <mergeCell ref="VKM107:VKQ107"/>
    <mergeCell ref="VKR107:VKV107"/>
    <mergeCell ref="VIY107:VJC107"/>
    <mergeCell ref="VJD107:VJH107"/>
    <mergeCell ref="VJI107:VJM107"/>
    <mergeCell ref="VJN107:VJR107"/>
    <mergeCell ref="VJS107:VJW107"/>
    <mergeCell ref="VHZ107:VID107"/>
    <mergeCell ref="VIE107:VII107"/>
    <mergeCell ref="VIJ107:VIN107"/>
    <mergeCell ref="VIO107:VIS107"/>
    <mergeCell ref="VIT107:VIX107"/>
    <mergeCell ref="VHA107:VHE107"/>
    <mergeCell ref="VHF107:VHJ107"/>
    <mergeCell ref="VHK107:VHO107"/>
    <mergeCell ref="VHP107:VHT107"/>
    <mergeCell ref="VHU107:VHY107"/>
    <mergeCell ref="VGB107:VGF107"/>
    <mergeCell ref="VGG107:VGK107"/>
    <mergeCell ref="VGL107:VGP107"/>
    <mergeCell ref="VGQ107:VGU107"/>
    <mergeCell ref="VGV107:VGZ107"/>
    <mergeCell ref="VFC107:VFG107"/>
    <mergeCell ref="VFH107:VFL107"/>
    <mergeCell ref="VFM107:VFQ107"/>
    <mergeCell ref="VFR107:VFV107"/>
    <mergeCell ref="VFW107:VGA107"/>
    <mergeCell ref="VED107:VEH107"/>
    <mergeCell ref="VEI107:VEM107"/>
    <mergeCell ref="VEN107:VER107"/>
    <mergeCell ref="VES107:VEW107"/>
    <mergeCell ref="VEX107:VFB107"/>
    <mergeCell ref="VDE107:VDI107"/>
    <mergeCell ref="VDJ107:VDN107"/>
    <mergeCell ref="VDO107:VDS107"/>
    <mergeCell ref="VDT107:VDX107"/>
    <mergeCell ref="VDY107:VEC107"/>
    <mergeCell ref="VCF107:VCJ107"/>
    <mergeCell ref="VCK107:VCO107"/>
    <mergeCell ref="VCP107:VCT107"/>
    <mergeCell ref="VCU107:VCY107"/>
    <mergeCell ref="VCZ107:VDD107"/>
    <mergeCell ref="VBG107:VBK107"/>
    <mergeCell ref="VBL107:VBP107"/>
    <mergeCell ref="VBQ107:VBU107"/>
    <mergeCell ref="VBV107:VBZ107"/>
    <mergeCell ref="VCA107:VCE107"/>
    <mergeCell ref="VAH107:VAL107"/>
    <mergeCell ref="VAM107:VAQ107"/>
    <mergeCell ref="VAR107:VAV107"/>
    <mergeCell ref="VAW107:VBA107"/>
    <mergeCell ref="VBB107:VBF107"/>
    <mergeCell ref="UZI107:UZM107"/>
    <mergeCell ref="UZN107:UZR107"/>
    <mergeCell ref="UZS107:UZW107"/>
    <mergeCell ref="UZX107:VAB107"/>
    <mergeCell ref="VAC107:VAG107"/>
    <mergeCell ref="UYJ107:UYN107"/>
    <mergeCell ref="UYO107:UYS107"/>
    <mergeCell ref="UYT107:UYX107"/>
    <mergeCell ref="UYY107:UZC107"/>
    <mergeCell ref="UZD107:UZH107"/>
    <mergeCell ref="UXK107:UXO107"/>
    <mergeCell ref="UXP107:UXT107"/>
    <mergeCell ref="UXU107:UXY107"/>
    <mergeCell ref="UXZ107:UYD107"/>
    <mergeCell ref="UYE107:UYI107"/>
    <mergeCell ref="UWL107:UWP107"/>
    <mergeCell ref="UWQ107:UWU107"/>
    <mergeCell ref="UWV107:UWZ107"/>
    <mergeCell ref="UXA107:UXE107"/>
    <mergeCell ref="UXF107:UXJ107"/>
    <mergeCell ref="UVM107:UVQ107"/>
    <mergeCell ref="UVR107:UVV107"/>
    <mergeCell ref="UVW107:UWA107"/>
    <mergeCell ref="UWB107:UWF107"/>
    <mergeCell ref="UWG107:UWK107"/>
    <mergeCell ref="UUN107:UUR107"/>
    <mergeCell ref="UUS107:UUW107"/>
    <mergeCell ref="UUX107:UVB107"/>
    <mergeCell ref="UVC107:UVG107"/>
    <mergeCell ref="UVH107:UVL107"/>
    <mergeCell ref="UTO107:UTS107"/>
    <mergeCell ref="UTT107:UTX107"/>
    <mergeCell ref="UTY107:UUC107"/>
    <mergeCell ref="UUD107:UUH107"/>
    <mergeCell ref="UUI107:UUM107"/>
    <mergeCell ref="USP107:UST107"/>
    <mergeCell ref="USU107:USY107"/>
    <mergeCell ref="USZ107:UTD107"/>
    <mergeCell ref="UTE107:UTI107"/>
    <mergeCell ref="UTJ107:UTN107"/>
    <mergeCell ref="URQ107:URU107"/>
    <mergeCell ref="URV107:URZ107"/>
    <mergeCell ref="USA107:USE107"/>
    <mergeCell ref="USF107:USJ107"/>
    <mergeCell ref="USK107:USO107"/>
    <mergeCell ref="UQR107:UQV107"/>
    <mergeCell ref="UQW107:URA107"/>
    <mergeCell ref="URB107:URF107"/>
    <mergeCell ref="URG107:URK107"/>
    <mergeCell ref="URL107:URP107"/>
    <mergeCell ref="UPS107:UPW107"/>
    <mergeCell ref="UPX107:UQB107"/>
    <mergeCell ref="UQC107:UQG107"/>
    <mergeCell ref="UQH107:UQL107"/>
    <mergeCell ref="UQM107:UQQ107"/>
    <mergeCell ref="UOT107:UOX107"/>
    <mergeCell ref="UOY107:UPC107"/>
    <mergeCell ref="UPD107:UPH107"/>
    <mergeCell ref="UPI107:UPM107"/>
    <mergeCell ref="UPN107:UPR107"/>
    <mergeCell ref="UNU107:UNY107"/>
    <mergeCell ref="UNZ107:UOD107"/>
    <mergeCell ref="UOE107:UOI107"/>
    <mergeCell ref="UOJ107:UON107"/>
    <mergeCell ref="UOO107:UOS107"/>
    <mergeCell ref="UMV107:UMZ107"/>
    <mergeCell ref="UNA107:UNE107"/>
    <mergeCell ref="UNF107:UNJ107"/>
    <mergeCell ref="UNK107:UNO107"/>
    <mergeCell ref="UNP107:UNT107"/>
    <mergeCell ref="ULW107:UMA107"/>
    <mergeCell ref="UMB107:UMF107"/>
    <mergeCell ref="UMG107:UMK107"/>
    <mergeCell ref="UML107:UMP107"/>
    <mergeCell ref="UMQ107:UMU107"/>
    <mergeCell ref="UKX107:ULB107"/>
    <mergeCell ref="ULC107:ULG107"/>
    <mergeCell ref="ULH107:ULL107"/>
    <mergeCell ref="ULM107:ULQ107"/>
    <mergeCell ref="ULR107:ULV107"/>
    <mergeCell ref="UJY107:UKC107"/>
    <mergeCell ref="UKD107:UKH107"/>
    <mergeCell ref="UKI107:UKM107"/>
    <mergeCell ref="UKN107:UKR107"/>
    <mergeCell ref="UKS107:UKW107"/>
    <mergeCell ref="UIZ107:UJD107"/>
    <mergeCell ref="UJE107:UJI107"/>
    <mergeCell ref="UJJ107:UJN107"/>
    <mergeCell ref="UJO107:UJS107"/>
    <mergeCell ref="UJT107:UJX107"/>
    <mergeCell ref="UIA107:UIE107"/>
    <mergeCell ref="UIF107:UIJ107"/>
    <mergeCell ref="UIK107:UIO107"/>
    <mergeCell ref="UIP107:UIT107"/>
    <mergeCell ref="UIU107:UIY107"/>
    <mergeCell ref="UHB107:UHF107"/>
    <mergeCell ref="UHG107:UHK107"/>
    <mergeCell ref="UHL107:UHP107"/>
    <mergeCell ref="UHQ107:UHU107"/>
    <mergeCell ref="UHV107:UHZ107"/>
    <mergeCell ref="UGC107:UGG107"/>
    <mergeCell ref="UGH107:UGL107"/>
    <mergeCell ref="UGM107:UGQ107"/>
    <mergeCell ref="UGR107:UGV107"/>
    <mergeCell ref="UGW107:UHA107"/>
    <mergeCell ref="UFD107:UFH107"/>
    <mergeCell ref="UFI107:UFM107"/>
    <mergeCell ref="UFN107:UFR107"/>
    <mergeCell ref="UFS107:UFW107"/>
    <mergeCell ref="UFX107:UGB107"/>
    <mergeCell ref="UEE107:UEI107"/>
    <mergeCell ref="UEJ107:UEN107"/>
    <mergeCell ref="UEO107:UES107"/>
    <mergeCell ref="UET107:UEX107"/>
    <mergeCell ref="UEY107:UFC107"/>
    <mergeCell ref="UDF107:UDJ107"/>
    <mergeCell ref="UDK107:UDO107"/>
    <mergeCell ref="UDP107:UDT107"/>
    <mergeCell ref="UDU107:UDY107"/>
    <mergeCell ref="UDZ107:UED107"/>
    <mergeCell ref="UCG107:UCK107"/>
    <mergeCell ref="UCL107:UCP107"/>
    <mergeCell ref="UCQ107:UCU107"/>
    <mergeCell ref="UCV107:UCZ107"/>
    <mergeCell ref="UDA107:UDE107"/>
    <mergeCell ref="UBH107:UBL107"/>
    <mergeCell ref="UBM107:UBQ107"/>
    <mergeCell ref="UBR107:UBV107"/>
    <mergeCell ref="UBW107:UCA107"/>
    <mergeCell ref="UCB107:UCF107"/>
    <mergeCell ref="UAI107:UAM107"/>
    <mergeCell ref="UAN107:UAR107"/>
    <mergeCell ref="UAS107:UAW107"/>
    <mergeCell ref="UAX107:UBB107"/>
    <mergeCell ref="UBC107:UBG107"/>
    <mergeCell ref="TZJ107:TZN107"/>
    <mergeCell ref="TZO107:TZS107"/>
    <mergeCell ref="TZT107:TZX107"/>
    <mergeCell ref="TZY107:UAC107"/>
    <mergeCell ref="UAD107:UAH107"/>
    <mergeCell ref="TYK107:TYO107"/>
    <mergeCell ref="TYP107:TYT107"/>
    <mergeCell ref="TYU107:TYY107"/>
    <mergeCell ref="TYZ107:TZD107"/>
    <mergeCell ref="TZE107:TZI107"/>
    <mergeCell ref="TXL107:TXP107"/>
    <mergeCell ref="TXQ107:TXU107"/>
    <mergeCell ref="TXV107:TXZ107"/>
    <mergeCell ref="TYA107:TYE107"/>
    <mergeCell ref="TYF107:TYJ107"/>
    <mergeCell ref="TWM107:TWQ107"/>
    <mergeCell ref="TWR107:TWV107"/>
    <mergeCell ref="TWW107:TXA107"/>
    <mergeCell ref="TXB107:TXF107"/>
    <mergeCell ref="TXG107:TXK107"/>
    <mergeCell ref="TVN107:TVR107"/>
    <mergeCell ref="TVS107:TVW107"/>
    <mergeCell ref="TVX107:TWB107"/>
    <mergeCell ref="TWC107:TWG107"/>
    <mergeCell ref="TWH107:TWL107"/>
    <mergeCell ref="TUO107:TUS107"/>
    <mergeCell ref="TUT107:TUX107"/>
    <mergeCell ref="TUY107:TVC107"/>
    <mergeCell ref="TVD107:TVH107"/>
    <mergeCell ref="TVI107:TVM107"/>
    <mergeCell ref="TTP107:TTT107"/>
    <mergeCell ref="TTU107:TTY107"/>
    <mergeCell ref="TTZ107:TUD107"/>
    <mergeCell ref="TUE107:TUI107"/>
    <mergeCell ref="TUJ107:TUN107"/>
    <mergeCell ref="TSQ107:TSU107"/>
    <mergeCell ref="TSV107:TSZ107"/>
    <mergeCell ref="TTA107:TTE107"/>
    <mergeCell ref="TTF107:TTJ107"/>
    <mergeCell ref="TTK107:TTO107"/>
    <mergeCell ref="TRR107:TRV107"/>
    <mergeCell ref="TRW107:TSA107"/>
    <mergeCell ref="TSB107:TSF107"/>
    <mergeCell ref="TSG107:TSK107"/>
    <mergeCell ref="TSL107:TSP107"/>
    <mergeCell ref="TQS107:TQW107"/>
    <mergeCell ref="TQX107:TRB107"/>
    <mergeCell ref="TRC107:TRG107"/>
    <mergeCell ref="TRH107:TRL107"/>
    <mergeCell ref="TRM107:TRQ107"/>
    <mergeCell ref="TPT107:TPX107"/>
    <mergeCell ref="TPY107:TQC107"/>
    <mergeCell ref="TQD107:TQH107"/>
    <mergeCell ref="TQI107:TQM107"/>
    <mergeCell ref="TQN107:TQR107"/>
    <mergeCell ref="TOU107:TOY107"/>
    <mergeCell ref="TOZ107:TPD107"/>
    <mergeCell ref="TPE107:TPI107"/>
    <mergeCell ref="TPJ107:TPN107"/>
    <mergeCell ref="TPO107:TPS107"/>
    <mergeCell ref="TNV107:TNZ107"/>
    <mergeCell ref="TOA107:TOE107"/>
    <mergeCell ref="TOF107:TOJ107"/>
    <mergeCell ref="TOK107:TOO107"/>
    <mergeCell ref="TOP107:TOT107"/>
    <mergeCell ref="TMW107:TNA107"/>
    <mergeCell ref="TNB107:TNF107"/>
    <mergeCell ref="TNG107:TNK107"/>
    <mergeCell ref="TNL107:TNP107"/>
    <mergeCell ref="TNQ107:TNU107"/>
    <mergeCell ref="TLX107:TMB107"/>
    <mergeCell ref="TMC107:TMG107"/>
    <mergeCell ref="TMH107:TML107"/>
    <mergeCell ref="TMM107:TMQ107"/>
    <mergeCell ref="TMR107:TMV107"/>
    <mergeCell ref="TKY107:TLC107"/>
    <mergeCell ref="TLD107:TLH107"/>
    <mergeCell ref="TLI107:TLM107"/>
    <mergeCell ref="TLN107:TLR107"/>
    <mergeCell ref="TLS107:TLW107"/>
    <mergeCell ref="TJZ107:TKD107"/>
    <mergeCell ref="TKE107:TKI107"/>
    <mergeCell ref="TKJ107:TKN107"/>
    <mergeCell ref="TKO107:TKS107"/>
    <mergeCell ref="TKT107:TKX107"/>
    <mergeCell ref="TJA107:TJE107"/>
    <mergeCell ref="TJF107:TJJ107"/>
    <mergeCell ref="TJK107:TJO107"/>
    <mergeCell ref="TJP107:TJT107"/>
    <mergeCell ref="TJU107:TJY107"/>
    <mergeCell ref="TIB107:TIF107"/>
    <mergeCell ref="TIG107:TIK107"/>
    <mergeCell ref="TIL107:TIP107"/>
    <mergeCell ref="TIQ107:TIU107"/>
    <mergeCell ref="TIV107:TIZ107"/>
    <mergeCell ref="THC107:THG107"/>
    <mergeCell ref="THH107:THL107"/>
    <mergeCell ref="THM107:THQ107"/>
    <mergeCell ref="THR107:THV107"/>
    <mergeCell ref="THW107:TIA107"/>
    <mergeCell ref="TGD107:TGH107"/>
    <mergeCell ref="TGI107:TGM107"/>
    <mergeCell ref="TGN107:TGR107"/>
    <mergeCell ref="TGS107:TGW107"/>
    <mergeCell ref="TGX107:THB107"/>
    <mergeCell ref="TFE107:TFI107"/>
    <mergeCell ref="TFJ107:TFN107"/>
    <mergeCell ref="TFO107:TFS107"/>
    <mergeCell ref="TFT107:TFX107"/>
    <mergeCell ref="TFY107:TGC107"/>
    <mergeCell ref="TEF107:TEJ107"/>
    <mergeCell ref="TEK107:TEO107"/>
    <mergeCell ref="TEP107:TET107"/>
    <mergeCell ref="TEU107:TEY107"/>
    <mergeCell ref="TEZ107:TFD107"/>
    <mergeCell ref="TDG107:TDK107"/>
    <mergeCell ref="TDL107:TDP107"/>
    <mergeCell ref="TDQ107:TDU107"/>
    <mergeCell ref="TDV107:TDZ107"/>
    <mergeCell ref="TEA107:TEE107"/>
    <mergeCell ref="TCH107:TCL107"/>
    <mergeCell ref="TCM107:TCQ107"/>
    <mergeCell ref="TCR107:TCV107"/>
    <mergeCell ref="TCW107:TDA107"/>
    <mergeCell ref="TDB107:TDF107"/>
    <mergeCell ref="TBI107:TBM107"/>
    <mergeCell ref="TBN107:TBR107"/>
    <mergeCell ref="TBS107:TBW107"/>
    <mergeCell ref="TBX107:TCB107"/>
    <mergeCell ref="TCC107:TCG107"/>
    <mergeCell ref="TAJ107:TAN107"/>
    <mergeCell ref="TAO107:TAS107"/>
    <mergeCell ref="TAT107:TAX107"/>
    <mergeCell ref="TAY107:TBC107"/>
    <mergeCell ref="TBD107:TBH107"/>
    <mergeCell ref="SZK107:SZO107"/>
    <mergeCell ref="SZP107:SZT107"/>
    <mergeCell ref="SZU107:SZY107"/>
    <mergeCell ref="SZZ107:TAD107"/>
    <mergeCell ref="TAE107:TAI107"/>
    <mergeCell ref="SYL107:SYP107"/>
    <mergeCell ref="SYQ107:SYU107"/>
    <mergeCell ref="SYV107:SYZ107"/>
    <mergeCell ref="SZA107:SZE107"/>
    <mergeCell ref="SZF107:SZJ107"/>
    <mergeCell ref="SXM107:SXQ107"/>
    <mergeCell ref="SXR107:SXV107"/>
    <mergeCell ref="SXW107:SYA107"/>
    <mergeCell ref="SYB107:SYF107"/>
    <mergeCell ref="SYG107:SYK107"/>
    <mergeCell ref="SWN107:SWR107"/>
    <mergeCell ref="SWS107:SWW107"/>
    <mergeCell ref="SWX107:SXB107"/>
    <mergeCell ref="SXC107:SXG107"/>
    <mergeCell ref="SXH107:SXL107"/>
    <mergeCell ref="SVO107:SVS107"/>
    <mergeCell ref="SVT107:SVX107"/>
    <mergeCell ref="SVY107:SWC107"/>
    <mergeCell ref="SWD107:SWH107"/>
    <mergeCell ref="SWI107:SWM107"/>
    <mergeCell ref="SUP107:SUT107"/>
    <mergeCell ref="SUU107:SUY107"/>
    <mergeCell ref="SUZ107:SVD107"/>
    <mergeCell ref="SVE107:SVI107"/>
    <mergeCell ref="SVJ107:SVN107"/>
    <mergeCell ref="STQ107:STU107"/>
    <mergeCell ref="STV107:STZ107"/>
    <mergeCell ref="SUA107:SUE107"/>
    <mergeCell ref="SUF107:SUJ107"/>
    <mergeCell ref="SUK107:SUO107"/>
    <mergeCell ref="SSR107:SSV107"/>
    <mergeCell ref="SSW107:STA107"/>
    <mergeCell ref="STB107:STF107"/>
    <mergeCell ref="STG107:STK107"/>
    <mergeCell ref="STL107:STP107"/>
    <mergeCell ref="SRS107:SRW107"/>
    <mergeCell ref="SRX107:SSB107"/>
    <mergeCell ref="SSC107:SSG107"/>
    <mergeCell ref="SSH107:SSL107"/>
    <mergeCell ref="SSM107:SSQ107"/>
    <mergeCell ref="SQT107:SQX107"/>
    <mergeCell ref="SQY107:SRC107"/>
    <mergeCell ref="SRD107:SRH107"/>
    <mergeCell ref="SRI107:SRM107"/>
    <mergeCell ref="SRN107:SRR107"/>
    <mergeCell ref="SPU107:SPY107"/>
    <mergeCell ref="SPZ107:SQD107"/>
    <mergeCell ref="SQE107:SQI107"/>
    <mergeCell ref="SQJ107:SQN107"/>
    <mergeCell ref="SQO107:SQS107"/>
    <mergeCell ref="SOV107:SOZ107"/>
    <mergeCell ref="SPA107:SPE107"/>
    <mergeCell ref="SPF107:SPJ107"/>
    <mergeCell ref="SPK107:SPO107"/>
    <mergeCell ref="SPP107:SPT107"/>
    <mergeCell ref="SNW107:SOA107"/>
    <mergeCell ref="SOB107:SOF107"/>
    <mergeCell ref="SOG107:SOK107"/>
    <mergeCell ref="SOL107:SOP107"/>
    <mergeCell ref="SOQ107:SOU107"/>
    <mergeCell ref="SMX107:SNB107"/>
    <mergeCell ref="SNC107:SNG107"/>
    <mergeCell ref="SNH107:SNL107"/>
    <mergeCell ref="SNM107:SNQ107"/>
    <mergeCell ref="SNR107:SNV107"/>
    <mergeCell ref="SLY107:SMC107"/>
    <mergeCell ref="SMD107:SMH107"/>
    <mergeCell ref="SMI107:SMM107"/>
    <mergeCell ref="SMN107:SMR107"/>
    <mergeCell ref="SMS107:SMW107"/>
    <mergeCell ref="SKZ107:SLD107"/>
    <mergeCell ref="SLE107:SLI107"/>
    <mergeCell ref="SLJ107:SLN107"/>
    <mergeCell ref="SLO107:SLS107"/>
    <mergeCell ref="SLT107:SLX107"/>
    <mergeCell ref="SKA107:SKE107"/>
    <mergeCell ref="SKF107:SKJ107"/>
    <mergeCell ref="SKK107:SKO107"/>
    <mergeCell ref="SKP107:SKT107"/>
    <mergeCell ref="SKU107:SKY107"/>
    <mergeCell ref="SJB107:SJF107"/>
    <mergeCell ref="SJG107:SJK107"/>
    <mergeCell ref="SJL107:SJP107"/>
    <mergeCell ref="SJQ107:SJU107"/>
    <mergeCell ref="SJV107:SJZ107"/>
    <mergeCell ref="SIC107:SIG107"/>
    <mergeCell ref="SIH107:SIL107"/>
    <mergeCell ref="SIM107:SIQ107"/>
    <mergeCell ref="SIR107:SIV107"/>
    <mergeCell ref="SIW107:SJA107"/>
    <mergeCell ref="SHD107:SHH107"/>
    <mergeCell ref="SHI107:SHM107"/>
    <mergeCell ref="SHN107:SHR107"/>
    <mergeCell ref="SHS107:SHW107"/>
    <mergeCell ref="SHX107:SIB107"/>
    <mergeCell ref="SGE107:SGI107"/>
    <mergeCell ref="SGJ107:SGN107"/>
    <mergeCell ref="SGO107:SGS107"/>
    <mergeCell ref="SGT107:SGX107"/>
    <mergeCell ref="SGY107:SHC107"/>
    <mergeCell ref="SFF107:SFJ107"/>
    <mergeCell ref="SFK107:SFO107"/>
    <mergeCell ref="SFP107:SFT107"/>
    <mergeCell ref="SFU107:SFY107"/>
    <mergeCell ref="SFZ107:SGD107"/>
    <mergeCell ref="SEG107:SEK107"/>
    <mergeCell ref="SEL107:SEP107"/>
    <mergeCell ref="SEQ107:SEU107"/>
    <mergeCell ref="SEV107:SEZ107"/>
    <mergeCell ref="SFA107:SFE107"/>
    <mergeCell ref="SDH107:SDL107"/>
    <mergeCell ref="SDM107:SDQ107"/>
    <mergeCell ref="SDR107:SDV107"/>
    <mergeCell ref="SDW107:SEA107"/>
    <mergeCell ref="SEB107:SEF107"/>
    <mergeCell ref="SCI107:SCM107"/>
    <mergeCell ref="SCN107:SCR107"/>
    <mergeCell ref="SCS107:SCW107"/>
    <mergeCell ref="SCX107:SDB107"/>
    <mergeCell ref="SDC107:SDG107"/>
    <mergeCell ref="SBJ107:SBN107"/>
    <mergeCell ref="SBO107:SBS107"/>
    <mergeCell ref="SBT107:SBX107"/>
    <mergeCell ref="SBY107:SCC107"/>
    <mergeCell ref="SCD107:SCH107"/>
    <mergeCell ref="SAK107:SAO107"/>
    <mergeCell ref="SAP107:SAT107"/>
    <mergeCell ref="SAU107:SAY107"/>
    <mergeCell ref="SAZ107:SBD107"/>
    <mergeCell ref="SBE107:SBI107"/>
    <mergeCell ref="RZL107:RZP107"/>
    <mergeCell ref="RZQ107:RZU107"/>
    <mergeCell ref="RZV107:RZZ107"/>
    <mergeCell ref="SAA107:SAE107"/>
    <mergeCell ref="SAF107:SAJ107"/>
    <mergeCell ref="RYM107:RYQ107"/>
    <mergeCell ref="RYR107:RYV107"/>
    <mergeCell ref="RYW107:RZA107"/>
    <mergeCell ref="RZB107:RZF107"/>
    <mergeCell ref="RZG107:RZK107"/>
    <mergeCell ref="RXN107:RXR107"/>
    <mergeCell ref="RXS107:RXW107"/>
    <mergeCell ref="RXX107:RYB107"/>
    <mergeCell ref="RYC107:RYG107"/>
    <mergeCell ref="RYH107:RYL107"/>
    <mergeCell ref="RWO107:RWS107"/>
    <mergeCell ref="RWT107:RWX107"/>
    <mergeCell ref="RWY107:RXC107"/>
    <mergeCell ref="RXD107:RXH107"/>
    <mergeCell ref="RXI107:RXM107"/>
    <mergeCell ref="RVP107:RVT107"/>
    <mergeCell ref="RVU107:RVY107"/>
    <mergeCell ref="RVZ107:RWD107"/>
    <mergeCell ref="RWE107:RWI107"/>
    <mergeCell ref="RWJ107:RWN107"/>
    <mergeCell ref="RUQ107:RUU107"/>
    <mergeCell ref="RUV107:RUZ107"/>
    <mergeCell ref="RVA107:RVE107"/>
    <mergeCell ref="RVF107:RVJ107"/>
    <mergeCell ref="RVK107:RVO107"/>
    <mergeCell ref="RTR107:RTV107"/>
    <mergeCell ref="RTW107:RUA107"/>
    <mergeCell ref="RUB107:RUF107"/>
    <mergeCell ref="RUG107:RUK107"/>
    <mergeCell ref="RUL107:RUP107"/>
    <mergeCell ref="RSS107:RSW107"/>
    <mergeCell ref="RSX107:RTB107"/>
    <mergeCell ref="RTC107:RTG107"/>
    <mergeCell ref="RTH107:RTL107"/>
    <mergeCell ref="RTM107:RTQ107"/>
    <mergeCell ref="RRT107:RRX107"/>
    <mergeCell ref="RRY107:RSC107"/>
    <mergeCell ref="RSD107:RSH107"/>
    <mergeCell ref="RSI107:RSM107"/>
    <mergeCell ref="RSN107:RSR107"/>
    <mergeCell ref="RQU107:RQY107"/>
    <mergeCell ref="RQZ107:RRD107"/>
    <mergeCell ref="RRE107:RRI107"/>
    <mergeCell ref="RRJ107:RRN107"/>
    <mergeCell ref="RRO107:RRS107"/>
    <mergeCell ref="RPV107:RPZ107"/>
    <mergeCell ref="RQA107:RQE107"/>
    <mergeCell ref="RQF107:RQJ107"/>
    <mergeCell ref="RQK107:RQO107"/>
    <mergeCell ref="RQP107:RQT107"/>
    <mergeCell ref="ROW107:RPA107"/>
    <mergeCell ref="RPB107:RPF107"/>
    <mergeCell ref="RPG107:RPK107"/>
    <mergeCell ref="RPL107:RPP107"/>
    <mergeCell ref="RPQ107:RPU107"/>
    <mergeCell ref="RNX107:ROB107"/>
    <mergeCell ref="ROC107:ROG107"/>
    <mergeCell ref="ROH107:ROL107"/>
    <mergeCell ref="ROM107:ROQ107"/>
    <mergeCell ref="ROR107:ROV107"/>
    <mergeCell ref="RMY107:RNC107"/>
    <mergeCell ref="RND107:RNH107"/>
    <mergeCell ref="RNI107:RNM107"/>
    <mergeCell ref="RNN107:RNR107"/>
    <mergeCell ref="RNS107:RNW107"/>
    <mergeCell ref="RLZ107:RMD107"/>
    <mergeCell ref="RME107:RMI107"/>
    <mergeCell ref="RMJ107:RMN107"/>
    <mergeCell ref="RMO107:RMS107"/>
    <mergeCell ref="RMT107:RMX107"/>
    <mergeCell ref="RLA107:RLE107"/>
    <mergeCell ref="RLF107:RLJ107"/>
    <mergeCell ref="RLK107:RLO107"/>
    <mergeCell ref="RLP107:RLT107"/>
    <mergeCell ref="RLU107:RLY107"/>
    <mergeCell ref="RKB107:RKF107"/>
    <mergeCell ref="RKG107:RKK107"/>
    <mergeCell ref="RKL107:RKP107"/>
    <mergeCell ref="RKQ107:RKU107"/>
    <mergeCell ref="RKV107:RKZ107"/>
    <mergeCell ref="RJC107:RJG107"/>
    <mergeCell ref="RJH107:RJL107"/>
    <mergeCell ref="RJM107:RJQ107"/>
    <mergeCell ref="RJR107:RJV107"/>
    <mergeCell ref="RJW107:RKA107"/>
    <mergeCell ref="RID107:RIH107"/>
    <mergeCell ref="RII107:RIM107"/>
    <mergeCell ref="RIN107:RIR107"/>
    <mergeCell ref="RIS107:RIW107"/>
    <mergeCell ref="RIX107:RJB107"/>
    <mergeCell ref="RHE107:RHI107"/>
    <mergeCell ref="RHJ107:RHN107"/>
    <mergeCell ref="RHO107:RHS107"/>
    <mergeCell ref="RHT107:RHX107"/>
    <mergeCell ref="RHY107:RIC107"/>
    <mergeCell ref="RGF107:RGJ107"/>
    <mergeCell ref="RGK107:RGO107"/>
    <mergeCell ref="RGP107:RGT107"/>
    <mergeCell ref="RGU107:RGY107"/>
    <mergeCell ref="RGZ107:RHD107"/>
    <mergeCell ref="RFG107:RFK107"/>
    <mergeCell ref="RFL107:RFP107"/>
    <mergeCell ref="RFQ107:RFU107"/>
    <mergeCell ref="RFV107:RFZ107"/>
    <mergeCell ref="RGA107:RGE107"/>
    <mergeCell ref="REH107:REL107"/>
    <mergeCell ref="REM107:REQ107"/>
    <mergeCell ref="RER107:REV107"/>
    <mergeCell ref="REW107:RFA107"/>
    <mergeCell ref="RFB107:RFF107"/>
    <mergeCell ref="RDI107:RDM107"/>
    <mergeCell ref="RDN107:RDR107"/>
    <mergeCell ref="RDS107:RDW107"/>
    <mergeCell ref="RDX107:REB107"/>
    <mergeCell ref="REC107:REG107"/>
    <mergeCell ref="RCJ107:RCN107"/>
    <mergeCell ref="RCO107:RCS107"/>
    <mergeCell ref="RCT107:RCX107"/>
    <mergeCell ref="RCY107:RDC107"/>
    <mergeCell ref="RDD107:RDH107"/>
    <mergeCell ref="RBK107:RBO107"/>
    <mergeCell ref="RBP107:RBT107"/>
    <mergeCell ref="RBU107:RBY107"/>
    <mergeCell ref="RBZ107:RCD107"/>
    <mergeCell ref="RCE107:RCI107"/>
    <mergeCell ref="RAL107:RAP107"/>
    <mergeCell ref="RAQ107:RAU107"/>
    <mergeCell ref="RAV107:RAZ107"/>
    <mergeCell ref="RBA107:RBE107"/>
    <mergeCell ref="RBF107:RBJ107"/>
    <mergeCell ref="QZM107:QZQ107"/>
    <mergeCell ref="QZR107:QZV107"/>
    <mergeCell ref="QZW107:RAA107"/>
    <mergeCell ref="RAB107:RAF107"/>
    <mergeCell ref="RAG107:RAK107"/>
    <mergeCell ref="QYN107:QYR107"/>
    <mergeCell ref="QYS107:QYW107"/>
    <mergeCell ref="QYX107:QZB107"/>
    <mergeCell ref="QZC107:QZG107"/>
    <mergeCell ref="QZH107:QZL107"/>
    <mergeCell ref="QXO107:QXS107"/>
    <mergeCell ref="QXT107:QXX107"/>
    <mergeCell ref="QXY107:QYC107"/>
    <mergeCell ref="QYD107:QYH107"/>
    <mergeCell ref="QYI107:QYM107"/>
    <mergeCell ref="QWP107:QWT107"/>
    <mergeCell ref="QWU107:QWY107"/>
    <mergeCell ref="QWZ107:QXD107"/>
    <mergeCell ref="QXE107:QXI107"/>
    <mergeCell ref="QXJ107:QXN107"/>
    <mergeCell ref="QVQ107:QVU107"/>
    <mergeCell ref="QVV107:QVZ107"/>
    <mergeCell ref="QWA107:QWE107"/>
    <mergeCell ref="QWF107:QWJ107"/>
    <mergeCell ref="QWK107:QWO107"/>
    <mergeCell ref="QUR107:QUV107"/>
    <mergeCell ref="QUW107:QVA107"/>
    <mergeCell ref="QVB107:QVF107"/>
    <mergeCell ref="QVG107:QVK107"/>
    <mergeCell ref="QVL107:QVP107"/>
    <mergeCell ref="QTS107:QTW107"/>
    <mergeCell ref="QTX107:QUB107"/>
    <mergeCell ref="QUC107:QUG107"/>
    <mergeCell ref="QUH107:QUL107"/>
    <mergeCell ref="QUM107:QUQ107"/>
    <mergeCell ref="QST107:QSX107"/>
    <mergeCell ref="QSY107:QTC107"/>
    <mergeCell ref="QTD107:QTH107"/>
    <mergeCell ref="QTI107:QTM107"/>
    <mergeCell ref="QTN107:QTR107"/>
    <mergeCell ref="QRU107:QRY107"/>
    <mergeCell ref="QRZ107:QSD107"/>
    <mergeCell ref="QSE107:QSI107"/>
    <mergeCell ref="QSJ107:QSN107"/>
    <mergeCell ref="QSO107:QSS107"/>
    <mergeCell ref="QQV107:QQZ107"/>
    <mergeCell ref="QRA107:QRE107"/>
    <mergeCell ref="QRF107:QRJ107"/>
    <mergeCell ref="QRK107:QRO107"/>
    <mergeCell ref="QRP107:QRT107"/>
    <mergeCell ref="QPW107:QQA107"/>
    <mergeCell ref="QQB107:QQF107"/>
    <mergeCell ref="QQG107:QQK107"/>
    <mergeCell ref="QQL107:QQP107"/>
    <mergeCell ref="QQQ107:QQU107"/>
    <mergeCell ref="QOX107:QPB107"/>
    <mergeCell ref="QPC107:QPG107"/>
    <mergeCell ref="QPH107:QPL107"/>
    <mergeCell ref="QPM107:QPQ107"/>
    <mergeCell ref="QPR107:QPV107"/>
    <mergeCell ref="QNY107:QOC107"/>
    <mergeCell ref="QOD107:QOH107"/>
    <mergeCell ref="QOI107:QOM107"/>
    <mergeCell ref="QON107:QOR107"/>
    <mergeCell ref="QOS107:QOW107"/>
    <mergeCell ref="QMZ107:QND107"/>
    <mergeCell ref="QNE107:QNI107"/>
    <mergeCell ref="QNJ107:QNN107"/>
    <mergeCell ref="QNO107:QNS107"/>
    <mergeCell ref="QNT107:QNX107"/>
    <mergeCell ref="QMA107:QME107"/>
    <mergeCell ref="QMF107:QMJ107"/>
    <mergeCell ref="QMK107:QMO107"/>
    <mergeCell ref="QMP107:QMT107"/>
    <mergeCell ref="QMU107:QMY107"/>
    <mergeCell ref="QLB107:QLF107"/>
    <mergeCell ref="QLG107:QLK107"/>
    <mergeCell ref="QLL107:QLP107"/>
    <mergeCell ref="QLQ107:QLU107"/>
    <mergeCell ref="QLV107:QLZ107"/>
    <mergeCell ref="QKC107:QKG107"/>
    <mergeCell ref="QKH107:QKL107"/>
    <mergeCell ref="QKM107:QKQ107"/>
    <mergeCell ref="QKR107:QKV107"/>
    <mergeCell ref="QKW107:QLA107"/>
    <mergeCell ref="QJD107:QJH107"/>
    <mergeCell ref="QJI107:QJM107"/>
    <mergeCell ref="QJN107:QJR107"/>
    <mergeCell ref="QJS107:QJW107"/>
    <mergeCell ref="QJX107:QKB107"/>
    <mergeCell ref="QIE107:QII107"/>
    <mergeCell ref="QIJ107:QIN107"/>
    <mergeCell ref="QIO107:QIS107"/>
    <mergeCell ref="QIT107:QIX107"/>
    <mergeCell ref="QIY107:QJC107"/>
    <mergeCell ref="QHF107:QHJ107"/>
    <mergeCell ref="QHK107:QHO107"/>
    <mergeCell ref="QHP107:QHT107"/>
    <mergeCell ref="QHU107:QHY107"/>
    <mergeCell ref="QHZ107:QID107"/>
    <mergeCell ref="QGG107:QGK107"/>
    <mergeCell ref="QGL107:QGP107"/>
    <mergeCell ref="QGQ107:QGU107"/>
    <mergeCell ref="QGV107:QGZ107"/>
    <mergeCell ref="QHA107:QHE107"/>
    <mergeCell ref="QFH107:QFL107"/>
    <mergeCell ref="QFM107:QFQ107"/>
    <mergeCell ref="QFR107:QFV107"/>
    <mergeCell ref="QFW107:QGA107"/>
    <mergeCell ref="QGB107:QGF107"/>
    <mergeCell ref="QEI107:QEM107"/>
    <mergeCell ref="QEN107:QER107"/>
    <mergeCell ref="QES107:QEW107"/>
    <mergeCell ref="QEX107:QFB107"/>
    <mergeCell ref="QFC107:QFG107"/>
    <mergeCell ref="QDJ107:QDN107"/>
    <mergeCell ref="QDO107:QDS107"/>
    <mergeCell ref="QDT107:QDX107"/>
    <mergeCell ref="QDY107:QEC107"/>
    <mergeCell ref="QED107:QEH107"/>
    <mergeCell ref="QCK107:QCO107"/>
    <mergeCell ref="QCP107:QCT107"/>
    <mergeCell ref="QCU107:QCY107"/>
    <mergeCell ref="QCZ107:QDD107"/>
    <mergeCell ref="QDE107:QDI107"/>
    <mergeCell ref="QBL107:QBP107"/>
    <mergeCell ref="QBQ107:QBU107"/>
    <mergeCell ref="QBV107:QBZ107"/>
    <mergeCell ref="QCA107:QCE107"/>
    <mergeCell ref="QCF107:QCJ107"/>
    <mergeCell ref="QAM107:QAQ107"/>
    <mergeCell ref="QAR107:QAV107"/>
    <mergeCell ref="QAW107:QBA107"/>
    <mergeCell ref="QBB107:QBF107"/>
    <mergeCell ref="QBG107:QBK107"/>
    <mergeCell ref="PZN107:PZR107"/>
    <mergeCell ref="PZS107:PZW107"/>
    <mergeCell ref="PZX107:QAB107"/>
    <mergeCell ref="QAC107:QAG107"/>
    <mergeCell ref="QAH107:QAL107"/>
    <mergeCell ref="PYO107:PYS107"/>
    <mergeCell ref="PYT107:PYX107"/>
    <mergeCell ref="PYY107:PZC107"/>
    <mergeCell ref="PZD107:PZH107"/>
    <mergeCell ref="PZI107:PZM107"/>
    <mergeCell ref="PXP107:PXT107"/>
    <mergeCell ref="PXU107:PXY107"/>
    <mergeCell ref="PXZ107:PYD107"/>
    <mergeCell ref="PYE107:PYI107"/>
    <mergeCell ref="PYJ107:PYN107"/>
    <mergeCell ref="PWQ107:PWU107"/>
    <mergeCell ref="PWV107:PWZ107"/>
    <mergeCell ref="PXA107:PXE107"/>
    <mergeCell ref="PXF107:PXJ107"/>
    <mergeCell ref="PXK107:PXO107"/>
    <mergeCell ref="PVR107:PVV107"/>
    <mergeCell ref="PVW107:PWA107"/>
    <mergeCell ref="PWB107:PWF107"/>
    <mergeCell ref="PWG107:PWK107"/>
    <mergeCell ref="PWL107:PWP107"/>
    <mergeCell ref="PUS107:PUW107"/>
    <mergeCell ref="PUX107:PVB107"/>
    <mergeCell ref="PVC107:PVG107"/>
    <mergeCell ref="PVH107:PVL107"/>
    <mergeCell ref="PVM107:PVQ107"/>
    <mergeCell ref="PTT107:PTX107"/>
    <mergeCell ref="PTY107:PUC107"/>
    <mergeCell ref="PUD107:PUH107"/>
    <mergeCell ref="PUI107:PUM107"/>
    <mergeCell ref="PUN107:PUR107"/>
    <mergeCell ref="PSU107:PSY107"/>
    <mergeCell ref="PSZ107:PTD107"/>
    <mergeCell ref="PTE107:PTI107"/>
    <mergeCell ref="PTJ107:PTN107"/>
    <mergeCell ref="PTO107:PTS107"/>
    <mergeCell ref="PRV107:PRZ107"/>
    <mergeCell ref="PSA107:PSE107"/>
    <mergeCell ref="PSF107:PSJ107"/>
    <mergeCell ref="PSK107:PSO107"/>
    <mergeCell ref="PSP107:PST107"/>
    <mergeCell ref="PQW107:PRA107"/>
    <mergeCell ref="PRB107:PRF107"/>
    <mergeCell ref="PRG107:PRK107"/>
    <mergeCell ref="PRL107:PRP107"/>
    <mergeCell ref="PRQ107:PRU107"/>
    <mergeCell ref="PPX107:PQB107"/>
    <mergeCell ref="PQC107:PQG107"/>
    <mergeCell ref="PQH107:PQL107"/>
    <mergeCell ref="PQM107:PQQ107"/>
    <mergeCell ref="PQR107:PQV107"/>
    <mergeCell ref="POY107:PPC107"/>
    <mergeCell ref="PPD107:PPH107"/>
    <mergeCell ref="PPI107:PPM107"/>
    <mergeCell ref="PPN107:PPR107"/>
    <mergeCell ref="PPS107:PPW107"/>
    <mergeCell ref="PNZ107:POD107"/>
    <mergeCell ref="POE107:POI107"/>
    <mergeCell ref="POJ107:PON107"/>
    <mergeCell ref="POO107:POS107"/>
    <mergeCell ref="POT107:POX107"/>
    <mergeCell ref="PNA107:PNE107"/>
    <mergeCell ref="PNF107:PNJ107"/>
    <mergeCell ref="PNK107:PNO107"/>
    <mergeCell ref="PNP107:PNT107"/>
    <mergeCell ref="PNU107:PNY107"/>
    <mergeCell ref="PMB107:PMF107"/>
    <mergeCell ref="PMG107:PMK107"/>
    <mergeCell ref="PML107:PMP107"/>
    <mergeCell ref="PMQ107:PMU107"/>
    <mergeCell ref="PMV107:PMZ107"/>
    <mergeCell ref="PLC107:PLG107"/>
    <mergeCell ref="PLH107:PLL107"/>
    <mergeCell ref="PLM107:PLQ107"/>
    <mergeCell ref="PLR107:PLV107"/>
    <mergeCell ref="PLW107:PMA107"/>
    <mergeCell ref="PKD107:PKH107"/>
    <mergeCell ref="PKI107:PKM107"/>
    <mergeCell ref="PKN107:PKR107"/>
    <mergeCell ref="PKS107:PKW107"/>
    <mergeCell ref="PKX107:PLB107"/>
    <mergeCell ref="PJE107:PJI107"/>
    <mergeCell ref="PJJ107:PJN107"/>
    <mergeCell ref="PJO107:PJS107"/>
    <mergeCell ref="PJT107:PJX107"/>
    <mergeCell ref="PJY107:PKC107"/>
    <mergeCell ref="PIF107:PIJ107"/>
    <mergeCell ref="PIK107:PIO107"/>
    <mergeCell ref="PIP107:PIT107"/>
    <mergeCell ref="PIU107:PIY107"/>
    <mergeCell ref="PIZ107:PJD107"/>
    <mergeCell ref="PHG107:PHK107"/>
    <mergeCell ref="PHL107:PHP107"/>
    <mergeCell ref="PHQ107:PHU107"/>
    <mergeCell ref="PHV107:PHZ107"/>
    <mergeCell ref="PIA107:PIE107"/>
    <mergeCell ref="PGH107:PGL107"/>
    <mergeCell ref="PGM107:PGQ107"/>
    <mergeCell ref="PGR107:PGV107"/>
    <mergeCell ref="PGW107:PHA107"/>
    <mergeCell ref="PHB107:PHF107"/>
    <mergeCell ref="PFI107:PFM107"/>
    <mergeCell ref="PFN107:PFR107"/>
    <mergeCell ref="PFS107:PFW107"/>
    <mergeCell ref="PFX107:PGB107"/>
    <mergeCell ref="PGC107:PGG107"/>
    <mergeCell ref="PEJ107:PEN107"/>
    <mergeCell ref="PEO107:PES107"/>
    <mergeCell ref="PET107:PEX107"/>
    <mergeCell ref="PEY107:PFC107"/>
    <mergeCell ref="PFD107:PFH107"/>
    <mergeCell ref="PDK107:PDO107"/>
    <mergeCell ref="PDP107:PDT107"/>
    <mergeCell ref="PDU107:PDY107"/>
    <mergeCell ref="PDZ107:PED107"/>
    <mergeCell ref="PEE107:PEI107"/>
    <mergeCell ref="PCL107:PCP107"/>
    <mergeCell ref="PCQ107:PCU107"/>
    <mergeCell ref="PCV107:PCZ107"/>
    <mergeCell ref="PDA107:PDE107"/>
    <mergeCell ref="PDF107:PDJ107"/>
    <mergeCell ref="PBM107:PBQ107"/>
    <mergeCell ref="PBR107:PBV107"/>
    <mergeCell ref="PBW107:PCA107"/>
    <mergeCell ref="PCB107:PCF107"/>
    <mergeCell ref="PCG107:PCK107"/>
    <mergeCell ref="PAN107:PAR107"/>
    <mergeCell ref="PAS107:PAW107"/>
    <mergeCell ref="PAX107:PBB107"/>
    <mergeCell ref="PBC107:PBG107"/>
    <mergeCell ref="PBH107:PBL107"/>
    <mergeCell ref="OZO107:OZS107"/>
    <mergeCell ref="OZT107:OZX107"/>
    <mergeCell ref="OZY107:PAC107"/>
    <mergeCell ref="PAD107:PAH107"/>
    <mergeCell ref="PAI107:PAM107"/>
    <mergeCell ref="OYP107:OYT107"/>
    <mergeCell ref="OYU107:OYY107"/>
    <mergeCell ref="OYZ107:OZD107"/>
    <mergeCell ref="OZE107:OZI107"/>
    <mergeCell ref="OZJ107:OZN107"/>
    <mergeCell ref="OXQ107:OXU107"/>
    <mergeCell ref="OXV107:OXZ107"/>
    <mergeCell ref="OYA107:OYE107"/>
    <mergeCell ref="OYF107:OYJ107"/>
    <mergeCell ref="OYK107:OYO107"/>
    <mergeCell ref="OWR107:OWV107"/>
    <mergeCell ref="OWW107:OXA107"/>
    <mergeCell ref="OXB107:OXF107"/>
    <mergeCell ref="OXG107:OXK107"/>
    <mergeCell ref="OXL107:OXP107"/>
    <mergeCell ref="OVS107:OVW107"/>
    <mergeCell ref="OVX107:OWB107"/>
    <mergeCell ref="OWC107:OWG107"/>
    <mergeCell ref="OWH107:OWL107"/>
    <mergeCell ref="OWM107:OWQ107"/>
    <mergeCell ref="OUT107:OUX107"/>
    <mergeCell ref="OUY107:OVC107"/>
    <mergeCell ref="OVD107:OVH107"/>
    <mergeCell ref="OVI107:OVM107"/>
    <mergeCell ref="OVN107:OVR107"/>
    <mergeCell ref="OTU107:OTY107"/>
    <mergeCell ref="OTZ107:OUD107"/>
    <mergeCell ref="OUE107:OUI107"/>
    <mergeCell ref="OUJ107:OUN107"/>
    <mergeCell ref="OUO107:OUS107"/>
    <mergeCell ref="OSV107:OSZ107"/>
    <mergeCell ref="OTA107:OTE107"/>
    <mergeCell ref="OTF107:OTJ107"/>
    <mergeCell ref="OTK107:OTO107"/>
    <mergeCell ref="OTP107:OTT107"/>
    <mergeCell ref="ORW107:OSA107"/>
    <mergeCell ref="OSB107:OSF107"/>
    <mergeCell ref="OSG107:OSK107"/>
    <mergeCell ref="OSL107:OSP107"/>
    <mergeCell ref="OSQ107:OSU107"/>
    <mergeCell ref="OQX107:ORB107"/>
    <mergeCell ref="ORC107:ORG107"/>
    <mergeCell ref="ORH107:ORL107"/>
    <mergeCell ref="ORM107:ORQ107"/>
    <mergeCell ref="ORR107:ORV107"/>
    <mergeCell ref="OPY107:OQC107"/>
    <mergeCell ref="OQD107:OQH107"/>
    <mergeCell ref="OQI107:OQM107"/>
    <mergeCell ref="OQN107:OQR107"/>
    <mergeCell ref="OQS107:OQW107"/>
    <mergeCell ref="OOZ107:OPD107"/>
    <mergeCell ref="OPE107:OPI107"/>
    <mergeCell ref="OPJ107:OPN107"/>
    <mergeCell ref="OPO107:OPS107"/>
    <mergeCell ref="OPT107:OPX107"/>
    <mergeCell ref="OOA107:OOE107"/>
    <mergeCell ref="OOF107:OOJ107"/>
    <mergeCell ref="OOK107:OOO107"/>
    <mergeCell ref="OOP107:OOT107"/>
    <mergeCell ref="OOU107:OOY107"/>
    <mergeCell ref="ONB107:ONF107"/>
    <mergeCell ref="ONG107:ONK107"/>
    <mergeCell ref="ONL107:ONP107"/>
    <mergeCell ref="ONQ107:ONU107"/>
    <mergeCell ref="ONV107:ONZ107"/>
    <mergeCell ref="OMC107:OMG107"/>
    <mergeCell ref="OMH107:OML107"/>
    <mergeCell ref="OMM107:OMQ107"/>
    <mergeCell ref="OMR107:OMV107"/>
    <mergeCell ref="OMW107:ONA107"/>
    <mergeCell ref="OLD107:OLH107"/>
    <mergeCell ref="OLI107:OLM107"/>
    <mergeCell ref="OLN107:OLR107"/>
    <mergeCell ref="OLS107:OLW107"/>
    <mergeCell ref="OLX107:OMB107"/>
    <mergeCell ref="OKE107:OKI107"/>
    <mergeCell ref="OKJ107:OKN107"/>
    <mergeCell ref="OKO107:OKS107"/>
    <mergeCell ref="OKT107:OKX107"/>
    <mergeCell ref="OKY107:OLC107"/>
    <mergeCell ref="OJF107:OJJ107"/>
    <mergeCell ref="OJK107:OJO107"/>
    <mergeCell ref="OJP107:OJT107"/>
    <mergeCell ref="OJU107:OJY107"/>
    <mergeCell ref="OJZ107:OKD107"/>
    <mergeCell ref="OIG107:OIK107"/>
    <mergeCell ref="OIL107:OIP107"/>
    <mergeCell ref="OIQ107:OIU107"/>
    <mergeCell ref="OIV107:OIZ107"/>
    <mergeCell ref="OJA107:OJE107"/>
    <mergeCell ref="OHH107:OHL107"/>
    <mergeCell ref="OHM107:OHQ107"/>
    <mergeCell ref="OHR107:OHV107"/>
    <mergeCell ref="OHW107:OIA107"/>
    <mergeCell ref="OIB107:OIF107"/>
    <mergeCell ref="OGI107:OGM107"/>
    <mergeCell ref="OGN107:OGR107"/>
    <mergeCell ref="OGS107:OGW107"/>
    <mergeCell ref="OGX107:OHB107"/>
    <mergeCell ref="OHC107:OHG107"/>
    <mergeCell ref="OFJ107:OFN107"/>
    <mergeCell ref="OFO107:OFS107"/>
    <mergeCell ref="OFT107:OFX107"/>
    <mergeCell ref="OFY107:OGC107"/>
    <mergeCell ref="OGD107:OGH107"/>
    <mergeCell ref="OEK107:OEO107"/>
    <mergeCell ref="OEP107:OET107"/>
    <mergeCell ref="OEU107:OEY107"/>
    <mergeCell ref="OEZ107:OFD107"/>
    <mergeCell ref="OFE107:OFI107"/>
    <mergeCell ref="ODL107:ODP107"/>
    <mergeCell ref="ODQ107:ODU107"/>
    <mergeCell ref="ODV107:ODZ107"/>
    <mergeCell ref="OEA107:OEE107"/>
    <mergeCell ref="OEF107:OEJ107"/>
    <mergeCell ref="OCM107:OCQ107"/>
    <mergeCell ref="OCR107:OCV107"/>
    <mergeCell ref="OCW107:ODA107"/>
    <mergeCell ref="ODB107:ODF107"/>
    <mergeCell ref="ODG107:ODK107"/>
    <mergeCell ref="OBN107:OBR107"/>
    <mergeCell ref="OBS107:OBW107"/>
    <mergeCell ref="OBX107:OCB107"/>
    <mergeCell ref="OCC107:OCG107"/>
    <mergeCell ref="OCH107:OCL107"/>
    <mergeCell ref="OAO107:OAS107"/>
    <mergeCell ref="OAT107:OAX107"/>
    <mergeCell ref="OAY107:OBC107"/>
    <mergeCell ref="OBD107:OBH107"/>
    <mergeCell ref="OBI107:OBM107"/>
    <mergeCell ref="NZP107:NZT107"/>
    <mergeCell ref="NZU107:NZY107"/>
    <mergeCell ref="NZZ107:OAD107"/>
    <mergeCell ref="OAE107:OAI107"/>
    <mergeCell ref="OAJ107:OAN107"/>
    <mergeCell ref="NYQ107:NYU107"/>
    <mergeCell ref="NYV107:NYZ107"/>
    <mergeCell ref="NZA107:NZE107"/>
    <mergeCell ref="NZF107:NZJ107"/>
    <mergeCell ref="NZK107:NZO107"/>
    <mergeCell ref="NXR107:NXV107"/>
    <mergeCell ref="NXW107:NYA107"/>
    <mergeCell ref="NYB107:NYF107"/>
    <mergeCell ref="NYG107:NYK107"/>
    <mergeCell ref="NYL107:NYP107"/>
    <mergeCell ref="NWS107:NWW107"/>
    <mergeCell ref="NWX107:NXB107"/>
    <mergeCell ref="NXC107:NXG107"/>
    <mergeCell ref="NXH107:NXL107"/>
    <mergeCell ref="NXM107:NXQ107"/>
    <mergeCell ref="NVT107:NVX107"/>
    <mergeCell ref="NVY107:NWC107"/>
    <mergeCell ref="NWD107:NWH107"/>
    <mergeCell ref="NWI107:NWM107"/>
    <mergeCell ref="NWN107:NWR107"/>
    <mergeCell ref="NUU107:NUY107"/>
    <mergeCell ref="NUZ107:NVD107"/>
    <mergeCell ref="NVE107:NVI107"/>
    <mergeCell ref="NVJ107:NVN107"/>
    <mergeCell ref="NVO107:NVS107"/>
    <mergeCell ref="NTV107:NTZ107"/>
    <mergeCell ref="NUA107:NUE107"/>
    <mergeCell ref="NUF107:NUJ107"/>
    <mergeCell ref="NUK107:NUO107"/>
    <mergeCell ref="NUP107:NUT107"/>
    <mergeCell ref="NSW107:NTA107"/>
    <mergeCell ref="NTB107:NTF107"/>
    <mergeCell ref="NTG107:NTK107"/>
    <mergeCell ref="NTL107:NTP107"/>
    <mergeCell ref="NTQ107:NTU107"/>
    <mergeCell ref="NRX107:NSB107"/>
    <mergeCell ref="NSC107:NSG107"/>
    <mergeCell ref="NSH107:NSL107"/>
    <mergeCell ref="NSM107:NSQ107"/>
    <mergeCell ref="NSR107:NSV107"/>
    <mergeCell ref="NQY107:NRC107"/>
    <mergeCell ref="NRD107:NRH107"/>
    <mergeCell ref="NRI107:NRM107"/>
    <mergeCell ref="NRN107:NRR107"/>
    <mergeCell ref="NRS107:NRW107"/>
    <mergeCell ref="NPZ107:NQD107"/>
    <mergeCell ref="NQE107:NQI107"/>
    <mergeCell ref="NQJ107:NQN107"/>
    <mergeCell ref="NQO107:NQS107"/>
    <mergeCell ref="NQT107:NQX107"/>
    <mergeCell ref="NPA107:NPE107"/>
    <mergeCell ref="NPF107:NPJ107"/>
    <mergeCell ref="NPK107:NPO107"/>
    <mergeCell ref="NPP107:NPT107"/>
    <mergeCell ref="NPU107:NPY107"/>
    <mergeCell ref="NOB107:NOF107"/>
    <mergeCell ref="NOG107:NOK107"/>
    <mergeCell ref="NOL107:NOP107"/>
    <mergeCell ref="NOQ107:NOU107"/>
    <mergeCell ref="NOV107:NOZ107"/>
    <mergeCell ref="NNC107:NNG107"/>
    <mergeCell ref="NNH107:NNL107"/>
    <mergeCell ref="NNM107:NNQ107"/>
    <mergeCell ref="NNR107:NNV107"/>
    <mergeCell ref="NNW107:NOA107"/>
    <mergeCell ref="NMD107:NMH107"/>
    <mergeCell ref="NMI107:NMM107"/>
    <mergeCell ref="NMN107:NMR107"/>
    <mergeCell ref="NMS107:NMW107"/>
    <mergeCell ref="NMX107:NNB107"/>
    <mergeCell ref="NLE107:NLI107"/>
    <mergeCell ref="NLJ107:NLN107"/>
    <mergeCell ref="NLO107:NLS107"/>
    <mergeCell ref="NLT107:NLX107"/>
    <mergeCell ref="NLY107:NMC107"/>
    <mergeCell ref="NKF107:NKJ107"/>
    <mergeCell ref="NKK107:NKO107"/>
    <mergeCell ref="NKP107:NKT107"/>
    <mergeCell ref="NKU107:NKY107"/>
    <mergeCell ref="NKZ107:NLD107"/>
    <mergeCell ref="NJG107:NJK107"/>
    <mergeCell ref="NJL107:NJP107"/>
    <mergeCell ref="NJQ107:NJU107"/>
    <mergeCell ref="NJV107:NJZ107"/>
    <mergeCell ref="NKA107:NKE107"/>
    <mergeCell ref="NIH107:NIL107"/>
    <mergeCell ref="NIM107:NIQ107"/>
    <mergeCell ref="NIR107:NIV107"/>
    <mergeCell ref="NIW107:NJA107"/>
    <mergeCell ref="NJB107:NJF107"/>
    <mergeCell ref="NHI107:NHM107"/>
    <mergeCell ref="NHN107:NHR107"/>
    <mergeCell ref="NHS107:NHW107"/>
    <mergeCell ref="NHX107:NIB107"/>
    <mergeCell ref="NIC107:NIG107"/>
    <mergeCell ref="NGJ107:NGN107"/>
    <mergeCell ref="NGO107:NGS107"/>
    <mergeCell ref="NGT107:NGX107"/>
    <mergeCell ref="NGY107:NHC107"/>
    <mergeCell ref="NHD107:NHH107"/>
    <mergeCell ref="NFK107:NFO107"/>
    <mergeCell ref="NFP107:NFT107"/>
    <mergeCell ref="NFU107:NFY107"/>
    <mergeCell ref="NFZ107:NGD107"/>
    <mergeCell ref="NGE107:NGI107"/>
    <mergeCell ref="NEL107:NEP107"/>
    <mergeCell ref="NEQ107:NEU107"/>
    <mergeCell ref="NEV107:NEZ107"/>
    <mergeCell ref="NFA107:NFE107"/>
    <mergeCell ref="NFF107:NFJ107"/>
    <mergeCell ref="NDM107:NDQ107"/>
    <mergeCell ref="NDR107:NDV107"/>
    <mergeCell ref="NDW107:NEA107"/>
    <mergeCell ref="NEB107:NEF107"/>
    <mergeCell ref="NEG107:NEK107"/>
    <mergeCell ref="NCN107:NCR107"/>
    <mergeCell ref="NCS107:NCW107"/>
    <mergeCell ref="NCX107:NDB107"/>
    <mergeCell ref="NDC107:NDG107"/>
    <mergeCell ref="NDH107:NDL107"/>
    <mergeCell ref="NBO107:NBS107"/>
    <mergeCell ref="NBT107:NBX107"/>
    <mergeCell ref="NBY107:NCC107"/>
    <mergeCell ref="NCD107:NCH107"/>
    <mergeCell ref="NCI107:NCM107"/>
    <mergeCell ref="NAP107:NAT107"/>
    <mergeCell ref="NAU107:NAY107"/>
    <mergeCell ref="NAZ107:NBD107"/>
    <mergeCell ref="NBE107:NBI107"/>
    <mergeCell ref="NBJ107:NBN107"/>
    <mergeCell ref="MZQ107:MZU107"/>
    <mergeCell ref="MZV107:MZZ107"/>
    <mergeCell ref="NAA107:NAE107"/>
    <mergeCell ref="NAF107:NAJ107"/>
    <mergeCell ref="NAK107:NAO107"/>
    <mergeCell ref="MYR107:MYV107"/>
    <mergeCell ref="MYW107:MZA107"/>
    <mergeCell ref="MZB107:MZF107"/>
    <mergeCell ref="MZG107:MZK107"/>
    <mergeCell ref="MZL107:MZP107"/>
    <mergeCell ref="MXS107:MXW107"/>
    <mergeCell ref="MXX107:MYB107"/>
    <mergeCell ref="MYC107:MYG107"/>
    <mergeCell ref="MYH107:MYL107"/>
    <mergeCell ref="MYM107:MYQ107"/>
    <mergeCell ref="MWT107:MWX107"/>
    <mergeCell ref="MWY107:MXC107"/>
    <mergeCell ref="MXD107:MXH107"/>
    <mergeCell ref="MXI107:MXM107"/>
    <mergeCell ref="MXN107:MXR107"/>
    <mergeCell ref="MVU107:MVY107"/>
    <mergeCell ref="MVZ107:MWD107"/>
    <mergeCell ref="MWE107:MWI107"/>
    <mergeCell ref="MWJ107:MWN107"/>
    <mergeCell ref="MWO107:MWS107"/>
    <mergeCell ref="MUV107:MUZ107"/>
    <mergeCell ref="MVA107:MVE107"/>
    <mergeCell ref="MVF107:MVJ107"/>
    <mergeCell ref="MVK107:MVO107"/>
    <mergeCell ref="MVP107:MVT107"/>
    <mergeCell ref="MTW107:MUA107"/>
    <mergeCell ref="MUB107:MUF107"/>
    <mergeCell ref="MUG107:MUK107"/>
    <mergeCell ref="MUL107:MUP107"/>
    <mergeCell ref="MUQ107:MUU107"/>
    <mergeCell ref="MSX107:MTB107"/>
    <mergeCell ref="MTC107:MTG107"/>
    <mergeCell ref="MTH107:MTL107"/>
    <mergeCell ref="MTM107:MTQ107"/>
    <mergeCell ref="MTR107:MTV107"/>
    <mergeCell ref="MRY107:MSC107"/>
    <mergeCell ref="MSD107:MSH107"/>
    <mergeCell ref="MSI107:MSM107"/>
    <mergeCell ref="MSN107:MSR107"/>
    <mergeCell ref="MSS107:MSW107"/>
    <mergeCell ref="MQZ107:MRD107"/>
    <mergeCell ref="MRE107:MRI107"/>
    <mergeCell ref="MRJ107:MRN107"/>
    <mergeCell ref="MRO107:MRS107"/>
    <mergeCell ref="MRT107:MRX107"/>
    <mergeCell ref="MQA107:MQE107"/>
    <mergeCell ref="MQF107:MQJ107"/>
    <mergeCell ref="MQK107:MQO107"/>
    <mergeCell ref="MQP107:MQT107"/>
    <mergeCell ref="MQU107:MQY107"/>
    <mergeCell ref="MPB107:MPF107"/>
    <mergeCell ref="MPG107:MPK107"/>
    <mergeCell ref="MPL107:MPP107"/>
    <mergeCell ref="MPQ107:MPU107"/>
    <mergeCell ref="MPV107:MPZ107"/>
    <mergeCell ref="MOC107:MOG107"/>
    <mergeCell ref="MOH107:MOL107"/>
    <mergeCell ref="MOM107:MOQ107"/>
    <mergeCell ref="MOR107:MOV107"/>
    <mergeCell ref="MOW107:MPA107"/>
    <mergeCell ref="MND107:MNH107"/>
    <mergeCell ref="MNI107:MNM107"/>
    <mergeCell ref="MNN107:MNR107"/>
    <mergeCell ref="MNS107:MNW107"/>
    <mergeCell ref="MNX107:MOB107"/>
    <mergeCell ref="MME107:MMI107"/>
    <mergeCell ref="MMJ107:MMN107"/>
    <mergeCell ref="MMO107:MMS107"/>
    <mergeCell ref="MMT107:MMX107"/>
    <mergeCell ref="MMY107:MNC107"/>
    <mergeCell ref="MLF107:MLJ107"/>
    <mergeCell ref="MLK107:MLO107"/>
    <mergeCell ref="MLP107:MLT107"/>
    <mergeCell ref="MLU107:MLY107"/>
    <mergeCell ref="MLZ107:MMD107"/>
    <mergeCell ref="MKG107:MKK107"/>
    <mergeCell ref="MKL107:MKP107"/>
    <mergeCell ref="MKQ107:MKU107"/>
    <mergeCell ref="MKV107:MKZ107"/>
    <mergeCell ref="MLA107:MLE107"/>
    <mergeCell ref="MJH107:MJL107"/>
    <mergeCell ref="MJM107:MJQ107"/>
    <mergeCell ref="MJR107:MJV107"/>
    <mergeCell ref="MJW107:MKA107"/>
    <mergeCell ref="MKB107:MKF107"/>
    <mergeCell ref="MII107:MIM107"/>
    <mergeCell ref="MIN107:MIR107"/>
    <mergeCell ref="MIS107:MIW107"/>
    <mergeCell ref="MIX107:MJB107"/>
    <mergeCell ref="MJC107:MJG107"/>
    <mergeCell ref="MHJ107:MHN107"/>
    <mergeCell ref="MHO107:MHS107"/>
    <mergeCell ref="MHT107:MHX107"/>
    <mergeCell ref="MHY107:MIC107"/>
    <mergeCell ref="MID107:MIH107"/>
    <mergeCell ref="MGK107:MGO107"/>
    <mergeCell ref="MGP107:MGT107"/>
    <mergeCell ref="MGU107:MGY107"/>
    <mergeCell ref="MGZ107:MHD107"/>
    <mergeCell ref="MHE107:MHI107"/>
    <mergeCell ref="MFL107:MFP107"/>
    <mergeCell ref="MFQ107:MFU107"/>
    <mergeCell ref="MFV107:MFZ107"/>
    <mergeCell ref="MGA107:MGE107"/>
    <mergeCell ref="MGF107:MGJ107"/>
    <mergeCell ref="MEM107:MEQ107"/>
    <mergeCell ref="MER107:MEV107"/>
    <mergeCell ref="MEW107:MFA107"/>
    <mergeCell ref="MFB107:MFF107"/>
    <mergeCell ref="MFG107:MFK107"/>
    <mergeCell ref="MDN107:MDR107"/>
    <mergeCell ref="MDS107:MDW107"/>
    <mergeCell ref="MDX107:MEB107"/>
    <mergeCell ref="MEC107:MEG107"/>
    <mergeCell ref="MEH107:MEL107"/>
    <mergeCell ref="MCO107:MCS107"/>
    <mergeCell ref="MCT107:MCX107"/>
    <mergeCell ref="MCY107:MDC107"/>
    <mergeCell ref="MDD107:MDH107"/>
    <mergeCell ref="MDI107:MDM107"/>
    <mergeCell ref="MBP107:MBT107"/>
    <mergeCell ref="MBU107:MBY107"/>
    <mergeCell ref="MBZ107:MCD107"/>
    <mergeCell ref="MCE107:MCI107"/>
    <mergeCell ref="MCJ107:MCN107"/>
    <mergeCell ref="MAQ107:MAU107"/>
    <mergeCell ref="MAV107:MAZ107"/>
    <mergeCell ref="MBA107:MBE107"/>
    <mergeCell ref="MBF107:MBJ107"/>
    <mergeCell ref="MBK107:MBO107"/>
    <mergeCell ref="LZR107:LZV107"/>
    <mergeCell ref="LZW107:MAA107"/>
    <mergeCell ref="MAB107:MAF107"/>
    <mergeCell ref="MAG107:MAK107"/>
    <mergeCell ref="MAL107:MAP107"/>
    <mergeCell ref="LYS107:LYW107"/>
    <mergeCell ref="LYX107:LZB107"/>
    <mergeCell ref="LZC107:LZG107"/>
    <mergeCell ref="LZH107:LZL107"/>
    <mergeCell ref="LZM107:LZQ107"/>
    <mergeCell ref="LXT107:LXX107"/>
    <mergeCell ref="LXY107:LYC107"/>
    <mergeCell ref="LYD107:LYH107"/>
    <mergeCell ref="LYI107:LYM107"/>
    <mergeCell ref="LYN107:LYR107"/>
    <mergeCell ref="LWU107:LWY107"/>
    <mergeCell ref="LWZ107:LXD107"/>
    <mergeCell ref="LXE107:LXI107"/>
    <mergeCell ref="LXJ107:LXN107"/>
    <mergeCell ref="LXO107:LXS107"/>
    <mergeCell ref="LVV107:LVZ107"/>
    <mergeCell ref="LWA107:LWE107"/>
    <mergeCell ref="LWF107:LWJ107"/>
    <mergeCell ref="LWK107:LWO107"/>
    <mergeCell ref="LWP107:LWT107"/>
    <mergeCell ref="LUW107:LVA107"/>
    <mergeCell ref="LVB107:LVF107"/>
    <mergeCell ref="LVG107:LVK107"/>
    <mergeCell ref="LVL107:LVP107"/>
    <mergeCell ref="LVQ107:LVU107"/>
    <mergeCell ref="LTX107:LUB107"/>
    <mergeCell ref="LUC107:LUG107"/>
    <mergeCell ref="LUH107:LUL107"/>
    <mergeCell ref="LUM107:LUQ107"/>
    <mergeCell ref="LUR107:LUV107"/>
    <mergeCell ref="LSY107:LTC107"/>
    <mergeCell ref="LTD107:LTH107"/>
    <mergeCell ref="LTI107:LTM107"/>
    <mergeCell ref="LTN107:LTR107"/>
    <mergeCell ref="LTS107:LTW107"/>
    <mergeCell ref="LRZ107:LSD107"/>
    <mergeCell ref="LSE107:LSI107"/>
    <mergeCell ref="LSJ107:LSN107"/>
    <mergeCell ref="LSO107:LSS107"/>
    <mergeCell ref="LST107:LSX107"/>
    <mergeCell ref="LRA107:LRE107"/>
    <mergeCell ref="LRF107:LRJ107"/>
    <mergeCell ref="LRK107:LRO107"/>
    <mergeCell ref="LRP107:LRT107"/>
    <mergeCell ref="LRU107:LRY107"/>
    <mergeCell ref="LQB107:LQF107"/>
    <mergeCell ref="LQG107:LQK107"/>
    <mergeCell ref="LQL107:LQP107"/>
    <mergeCell ref="LQQ107:LQU107"/>
    <mergeCell ref="LQV107:LQZ107"/>
    <mergeCell ref="LPC107:LPG107"/>
    <mergeCell ref="LPH107:LPL107"/>
    <mergeCell ref="LPM107:LPQ107"/>
    <mergeCell ref="LPR107:LPV107"/>
    <mergeCell ref="LPW107:LQA107"/>
    <mergeCell ref="LOD107:LOH107"/>
    <mergeCell ref="LOI107:LOM107"/>
    <mergeCell ref="LON107:LOR107"/>
    <mergeCell ref="LOS107:LOW107"/>
    <mergeCell ref="LOX107:LPB107"/>
    <mergeCell ref="LNE107:LNI107"/>
    <mergeCell ref="LNJ107:LNN107"/>
    <mergeCell ref="LNO107:LNS107"/>
    <mergeCell ref="LNT107:LNX107"/>
    <mergeCell ref="LNY107:LOC107"/>
    <mergeCell ref="LMF107:LMJ107"/>
    <mergeCell ref="LMK107:LMO107"/>
    <mergeCell ref="LMP107:LMT107"/>
    <mergeCell ref="LMU107:LMY107"/>
    <mergeCell ref="LMZ107:LND107"/>
    <mergeCell ref="LLG107:LLK107"/>
    <mergeCell ref="LLL107:LLP107"/>
    <mergeCell ref="LLQ107:LLU107"/>
    <mergeCell ref="LLV107:LLZ107"/>
    <mergeCell ref="LMA107:LME107"/>
    <mergeCell ref="LKH107:LKL107"/>
    <mergeCell ref="LKM107:LKQ107"/>
    <mergeCell ref="LKR107:LKV107"/>
    <mergeCell ref="LKW107:LLA107"/>
    <mergeCell ref="LLB107:LLF107"/>
    <mergeCell ref="LJI107:LJM107"/>
    <mergeCell ref="LJN107:LJR107"/>
    <mergeCell ref="LJS107:LJW107"/>
    <mergeCell ref="LJX107:LKB107"/>
    <mergeCell ref="LKC107:LKG107"/>
    <mergeCell ref="LIJ107:LIN107"/>
    <mergeCell ref="LIO107:LIS107"/>
    <mergeCell ref="LIT107:LIX107"/>
    <mergeCell ref="LIY107:LJC107"/>
    <mergeCell ref="LJD107:LJH107"/>
    <mergeCell ref="LHK107:LHO107"/>
    <mergeCell ref="LHP107:LHT107"/>
    <mergeCell ref="LHU107:LHY107"/>
    <mergeCell ref="LHZ107:LID107"/>
    <mergeCell ref="LIE107:LII107"/>
    <mergeCell ref="LGL107:LGP107"/>
    <mergeCell ref="LGQ107:LGU107"/>
    <mergeCell ref="LGV107:LGZ107"/>
    <mergeCell ref="LHA107:LHE107"/>
    <mergeCell ref="LHF107:LHJ107"/>
    <mergeCell ref="LFM107:LFQ107"/>
    <mergeCell ref="LFR107:LFV107"/>
    <mergeCell ref="LFW107:LGA107"/>
    <mergeCell ref="LGB107:LGF107"/>
    <mergeCell ref="LGG107:LGK107"/>
    <mergeCell ref="LEN107:LER107"/>
    <mergeCell ref="LES107:LEW107"/>
    <mergeCell ref="LEX107:LFB107"/>
    <mergeCell ref="LFC107:LFG107"/>
    <mergeCell ref="LFH107:LFL107"/>
    <mergeCell ref="LDO107:LDS107"/>
    <mergeCell ref="LDT107:LDX107"/>
    <mergeCell ref="LDY107:LEC107"/>
    <mergeCell ref="LED107:LEH107"/>
    <mergeCell ref="LEI107:LEM107"/>
    <mergeCell ref="LCP107:LCT107"/>
    <mergeCell ref="LCU107:LCY107"/>
    <mergeCell ref="LCZ107:LDD107"/>
    <mergeCell ref="LDE107:LDI107"/>
    <mergeCell ref="LDJ107:LDN107"/>
    <mergeCell ref="LBQ107:LBU107"/>
    <mergeCell ref="LBV107:LBZ107"/>
    <mergeCell ref="LCA107:LCE107"/>
    <mergeCell ref="LCF107:LCJ107"/>
    <mergeCell ref="LCK107:LCO107"/>
    <mergeCell ref="LAR107:LAV107"/>
    <mergeCell ref="LAW107:LBA107"/>
    <mergeCell ref="LBB107:LBF107"/>
    <mergeCell ref="LBG107:LBK107"/>
    <mergeCell ref="LBL107:LBP107"/>
    <mergeCell ref="KZS107:KZW107"/>
    <mergeCell ref="KZX107:LAB107"/>
    <mergeCell ref="LAC107:LAG107"/>
    <mergeCell ref="LAH107:LAL107"/>
    <mergeCell ref="LAM107:LAQ107"/>
    <mergeCell ref="KYT107:KYX107"/>
    <mergeCell ref="KYY107:KZC107"/>
    <mergeCell ref="KZD107:KZH107"/>
    <mergeCell ref="KZI107:KZM107"/>
    <mergeCell ref="KZN107:KZR107"/>
    <mergeCell ref="KXU107:KXY107"/>
    <mergeCell ref="KXZ107:KYD107"/>
    <mergeCell ref="KYE107:KYI107"/>
    <mergeCell ref="KYJ107:KYN107"/>
    <mergeCell ref="KYO107:KYS107"/>
    <mergeCell ref="KWV107:KWZ107"/>
    <mergeCell ref="KXA107:KXE107"/>
    <mergeCell ref="KXF107:KXJ107"/>
    <mergeCell ref="KXK107:KXO107"/>
    <mergeCell ref="KXP107:KXT107"/>
    <mergeCell ref="KVW107:KWA107"/>
    <mergeCell ref="KWB107:KWF107"/>
    <mergeCell ref="KWG107:KWK107"/>
    <mergeCell ref="KWL107:KWP107"/>
    <mergeCell ref="KWQ107:KWU107"/>
    <mergeCell ref="KUX107:KVB107"/>
    <mergeCell ref="KVC107:KVG107"/>
    <mergeCell ref="KVH107:KVL107"/>
    <mergeCell ref="KVM107:KVQ107"/>
    <mergeCell ref="KVR107:KVV107"/>
    <mergeCell ref="KTY107:KUC107"/>
    <mergeCell ref="KUD107:KUH107"/>
    <mergeCell ref="KUI107:KUM107"/>
    <mergeCell ref="KUN107:KUR107"/>
    <mergeCell ref="KUS107:KUW107"/>
    <mergeCell ref="KSZ107:KTD107"/>
    <mergeCell ref="KTE107:KTI107"/>
    <mergeCell ref="KTJ107:KTN107"/>
    <mergeCell ref="KTO107:KTS107"/>
    <mergeCell ref="KTT107:KTX107"/>
    <mergeCell ref="KSA107:KSE107"/>
    <mergeCell ref="KSF107:KSJ107"/>
    <mergeCell ref="KSK107:KSO107"/>
    <mergeCell ref="KSP107:KST107"/>
    <mergeCell ref="KSU107:KSY107"/>
    <mergeCell ref="KRB107:KRF107"/>
    <mergeCell ref="KRG107:KRK107"/>
    <mergeCell ref="KRL107:KRP107"/>
    <mergeCell ref="KRQ107:KRU107"/>
    <mergeCell ref="KRV107:KRZ107"/>
    <mergeCell ref="KQC107:KQG107"/>
    <mergeCell ref="KQH107:KQL107"/>
    <mergeCell ref="KQM107:KQQ107"/>
    <mergeCell ref="KQR107:KQV107"/>
    <mergeCell ref="KQW107:KRA107"/>
    <mergeCell ref="KPD107:KPH107"/>
    <mergeCell ref="KPI107:KPM107"/>
    <mergeCell ref="KPN107:KPR107"/>
    <mergeCell ref="KPS107:KPW107"/>
    <mergeCell ref="KPX107:KQB107"/>
    <mergeCell ref="KOE107:KOI107"/>
    <mergeCell ref="KOJ107:KON107"/>
    <mergeCell ref="KOO107:KOS107"/>
    <mergeCell ref="KOT107:KOX107"/>
    <mergeCell ref="KOY107:KPC107"/>
    <mergeCell ref="KNF107:KNJ107"/>
    <mergeCell ref="KNK107:KNO107"/>
    <mergeCell ref="KNP107:KNT107"/>
    <mergeCell ref="KNU107:KNY107"/>
    <mergeCell ref="KNZ107:KOD107"/>
    <mergeCell ref="KMG107:KMK107"/>
    <mergeCell ref="KML107:KMP107"/>
    <mergeCell ref="KMQ107:KMU107"/>
    <mergeCell ref="KMV107:KMZ107"/>
    <mergeCell ref="KNA107:KNE107"/>
    <mergeCell ref="KLH107:KLL107"/>
    <mergeCell ref="KLM107:KLQ107"/>
    <mergeCell ref="KLR107:KLV107"/>
    <mergeCell ref="KLW107:KMA107"/>
    <mergeCell ref="KMB107:KMF107"/>
    <mergeCell ref="KKI107:KKM107"/>
    <mergeCell ref="KKN107:KKR107"/>
    <mergeCell ref="KKS107:KKW107"/>
    <mergeCell ref="KKX107:KLB107"/>
    <mergeCell ref="KLC107:KLG107"/>
    <mergeCell ref="KJJ107:KJN107"/>
    <mergeCell ref="KJO107:KJS107"/>
    <mergeCell ref="KJT107:KJX107"/>
    <mergeCell ref="KJY107:KKC107"/>
    <mergeCell ref="KKD107:KKH107"/>
    <mergeCell ref="KIK107:KIO107"/>
    <mergeCell ref="KIP107:KIT107"/>
    <mergeCell ref="KIU107:KIY107"/>
    <mergeCell ref="KIZ107:KJD107"/>
    <mergeCell ref="KJE107:KJI107"/>
    <mergeCell ref="KHL107:KHP107"/>
    <mergeCell ref="KHQ107:KHU107"/>
    <mergeCell ref="KHV107:KHZ107"/>
    <mergeCell ref="KIA107:KIE107"/>
    <mergeCell ref="KIF107:KIJ107"/>
    <mergeCell ref="KGM107:KGQ107"/>
    <mergeCell ref="KGR107:KGV107"/>
    <mergeCell ref="KGW107:KHA107"/>
    <mergeCell ref="KHB107:KHF107"/>
    <mergeCell ref="KHG107:KHK107"/>
    <mergeCell ref="KFN107:KFR107"/>
    <mergeCell ref="KFS107:KFW107"/>
    <mergeCell ref="KFX107:KGB107"/>
    <mergeCell ref="KGC107:KGG107"/>
    <mergeCell ref="KGH107:KGL107"/>
    <mergeCell ref="KEO107:KES107"/>
    <mergeCell ref="KET107:KEX107"/>
    <mergeCell ref="KEY107:KFC107"/>
    <mergeCell ref="KFD107:KFH107"/>
    <mergeCell ref="KFI107:KFM107"/>
    <mergeCell ref="KDP107:KDT107"/>
    <mergeCell ref="KDU107:KDY107"/>
    <mergeCell ref="KDZ107:KED107"/>
    <mergeCell ref="KEE107:KEI107"/>
    <mergeCell ref="KEJ107:KEN107"/>
    <mergeCell ref="KCQ107:KCU107"/>
    <mergeCell ref="KCV107:KCZ107"/>
    <mergeCell ref="KDA107:KDE107"/>
    <mergeCell ref="KDF107:KDJ107"/>
    <mergeCell ref="KDK107:KDO107"/>
    <mergeCell ref="KBR107:KBV107"/>
    <mergeCell ref="KBW107:KCA107"/>
    <mergeCell ref="KCB107:KCF107"/>
    <mergeCell ref="KCG107:KCK107"/>
    <mergeCell ref="KCL107:KCP107"/>
    <mergeCell ref="KAS107:KAW107"/>
    <mergeCell ref="KAX107:KBB107"/>
    <mergeCell ref="KBC107:KBG107"/>
    <mergeCell ref="KBH107:KBL107"/>
    <mergeCell ref="KBM107:KBQ107"/>
    <mergeCell ref="JZT107:JZX107"/>
    <mergeCell ref="JZY107:KAC107"/>
    <mergeCell ref="KAD107:KAH107"/>
    <mergeCell ref="KAI107:KAM107"/>
    <mergeCell ref="KAN107:KAR107"/>
    <mergeCell ref="JYU107:JYY107"/>
    <mergeCell ref="JYZ107:JZD107"/>
    <mergeCell ref="JZE107:JZI107"/>
    <mergeCell ref="JZJ107:JZN107"/>
    <mergeCell ref="JZO107:JZS107"/>
    <mergeCell ref="JXV107:JXZ107"/>
    <mergeCell ref="JYA107:JYE107"/>
    <mergeCell ref="JYF107:JYJ107"/>
    <mergeCell ref="JYK107:JYO107"/>
    <mergeCell ref="JYP107:JYT107"/>
    <mergeCell ref="JWW107:JXA107"/>
    <mergeCell ref="JXB107:JXF107"/>
    <mergeCell ref="JXG107:JXK107"/>
    <mergeCell ref="JXL107:JXP107"/>
    <mergeCell ref="JXQ107:JXU107"/>
    <mergeCell ref="JVX107:JWB107"/>
    <mergeCell ref="JWC107:JWG107"/>
    <mergeCell ref="JWH107:JWL107"/>
    <mergeCell ref="JWM107:JWQ107"/>
    <mergeCell ref="JWR107:JWV107"/>
    <mergeCell ref="JUY107:JVC107"/>
    <mergeCell ref="JVD107:JVH107"/>
    <mergeCell ref="JVI107:JVM107"/>
    <mergeCell ref="JVN107:JVR107"/>
    <mergeCell ref="JVS107:JVW107"/>
    <mergeCell ref="JTZ107:JUD107"/>
    <mergeCell ref="JUE107:JUI107"/>
    <mergeCell ref="JUJ107:JUN107"/>
    <mergeCell ref="JUO107:JUS107"/>
    <mergeCell ref="JUT107:JUX107"/>
    <mergeCell ref="JTA107:JTE107"/>
    <mergeCell ref="JTF107:JTJ107"/>
    <mergeCell ref="JTK107:JTO107"/>
    <mergeCell ref="JTP107:JTT107"/>
    <mergeCell ref="JTU107:JTY107"/>
    <mergeCell ref="JSB107:JSF107"/>
    <mergeCell ref="JSG107:JSK107"/>
    <mergeCell ref="JSL107:JSP107"/>
    <mergeCell ref="JSQ107:JSU107"/>
    <mergeCell ref="JSV107:JSZ107"/>
    <mergeCell ref="JRC107:JRG107"/>
    <mergeCell ref="JRH107:JRL107"/>
    <mergeCell ref="JRM107:JRQ107"/>
    <mergeCell ref="JRR107:JRV107"/>
    <mergeCell ref="JRW107:JSA107"/>
    <mergeCell ref="JQD107:JQH107"/>
    <mergeCell ref="JQI107:JQM107"/>
    <mergeCell ref="JQN107:JQR107"/>
    <mergeCell ref="JQS107:JQW107"/>
    <mergeCell ref="JQX107:JRB107"/>
    <mergeCell ref="JPE107:JPI107"/>
    <mergeCell ref="JPJ107:JPN107"/>
    <mergeCell ref="JPO107:JPS107"/>
    <mergeCell ref="JPT107:JPX107"/>
    <mergeCell ref="JPY107:JQC107"/>
    <mergeCell ref="JOF107:JOJ107"/>
    <mergeCell ref="JOK107:JOO107"/>
    <mergeCell ref="JOP107:JOT107"/>
    <mergeCell ref="JOU107:JOY107"/>
    <mergeCell ref="JOZ107:JPD107"/>
    <mergeCell ref="JNG107:JNK107"/>
    <mergeCell ref="JNL107:JNP107"/>
    <mergeCell ref="JNQ107:JNU107"/>
    <mergeCell ref="JNV107:JNZ107"/>
    <mergeCell ref="JOA107:JOE107"/>
    <mergeCell ref="JMH107:JML107"/>
    <mergeCell ref="JMM107:JMQ107"/>
    <mergeCell ref="JMR107:JMV107"/>
    <mergeCell ref="JMW107:JNA107"/>
    <mergeCell ref="JNB107:JNF107"/>
    <mergeCell ref="JLI107:JLM107"/>
    <mergeCell ref="JLN107:JLR107"/>
    <mergeCell ref="JLS107:JLW107"/>
    <mergeCell ref="JLX107:JMB107"/>
    <mergeCell ref="JMC107:JMG107"/>
    <mergeCell ref="JKJ107:JKN107"/>
    <mergeCell ref="JKO107:JKS107"/>
    <mergeCell ref="JKT107:JKX107"/>
    <mergeCell ref="JKY107:JLC107"/>
    <mergeCell ref="JLD107:JLH107"/>
    <mergeCell ref="JJK107:JJO107"/>
    <mergeCell ref="JJP107:JJT107"/>
    <mergeCell ref="JJU107:JJY107"/>
    <mergeCell ref="JJZ107:JKD107"/>
    <mergeCell ref="JKE107:JKI107"/>
    <mergeCell ref="JIL107:JIP107"/>
    <mergeCell ref="JIQ107:JIU107"/>
    <mergeCell ref="JIV107:JIZ107"/>
    <mergeCell ref="JJA107:JJE107"/>
    <mergeCell ref="JJF107:JJJ107"/>
    <mergeCell ref="JHM107:JHQ107"/>
    <mergeCell ref="JHR107:JHV107"/>
    <mergeCell ref="JHW107:JIA107"/>
    <mergeCell ref="JIB107:JIF107"/>
    <mergeCell ref="JIG107:JIK107"/>
    <mergeCell ref="JGN107:JGR107"/>
    <mergeCell ref="JGS107:JGW107"/>
    <mergeCell ref="JGX107:JHB107"/>
    <mergeCell ref="JHC107:JHG107"/>
    <mergeCell ref="JHH107:JHL107"/>
    <mergeCell ref="JFO107:JFS107"/>
    <mergeCell ref="JFT107:JFX107"/>
    <mergeCell ref="JFY107:JGC107"/>
    <mergeCell ref="JGD107:JGH107"/>
    <mergeCell ref="JGI107:JGM107"/>
    <mergeCell ref="JEP107:JET107"/>
    <mergeCell ref="JEU107:JEY107"/>
    <mergeCell ref="JEZ107:JFD107"/>
    <mergeCell ref="JFE107:JFI107"/>
    <mergeCell ref="JFJ107:JFN107"/>
    <mergeCell ref="JDQ107:JDU107"/>
    <mergeCell ref="JDV107:JDZ107"/>
    <mergeCell ref="JEA107:JEE107"/>
    <mergeCell ref="JEF107:JEJ107"/>
    <mergeCell ref="JEK107:JEO107"/>
    <mergeCell ref="JCR107:JCV107"/>
    <mergeCell ref="JCW107:JDA107"/>
    <mergeCell ref="JDB107:JDF107"/>
    <mergeCell ref="JDG107:JDK107"/>
    <mergeCell ref="JDL107:JDP107"/>
    <mergeCell ref="JBS107:JBW107"/>
    <mergeCell ref="JBX107:JCB107"/>
    <mergeCell ref="JCC107:JCG107"/>
    <mergeCell ref="JCH107:JCL107"/>
    <mergeCell ref="JCM107:JCQ107"/>
    <mergeCell ref="JAT107:JAX107"/>
    <mergeCell ref="JAY107:JBC107"/>
    <mergeCell ref="JBD107:JBH107"/>
    <mergeCell ref="JBI107:JBM107"/>
    <mergeCell ref="JBN107:JBR107"/>
    <mergeCell ref="IZU107:IZY107"/>
    <mergeCell ref="IZZ107:JAD107"/>
    <mergeCell ref="JAE107:JAI107"/>
    <mergeCell ref="JAJ107:JAN107"/>
    <mergeCell ref="JAO107:JAS107"/>
    <mergeCell ref="IYV107:IYZ107"/>
    <mergeCell ref="IZA107:IZE107"/>
    <mergeCell ref="IZF107:IZJ107"/>
    <mergeCell ref="IZK107:IZO107"/>
    <mergeCell ref="IZP107:IZT107"/>
    <mergeCell ref="IXW107:IYA107"/>
    <mergeCell ref="IYB107:IYF107"/>
    <mergeCell ref="IYG107:IYK107"/>
    <mergeCell ref="IYL107:IYP107"/>
    <mergeCell ref="IYQ107:IYU107"/>
    <mergeCell ref="IWX107:IXB107"/>
    <mergeCell ref="IXC107:IXG107"/>
    <mergeCell ref="IXH107:IXL107"/>
    <mergeCell ref="IXM107:IXQ107"/>
    <mergeCell ref="IXR107:IXV107"/>
    <mergeCell ref="IVY107:IWC107"/>
    <mergeCell ref="IWD107:IWH107"/>
    <mergeCell ref="IWI107:IWM107"/>
    <mergeCell ref="IWN107:IWR107"/>
    <mergeCell ref="IWS107:IWW107"/>
    <mergeCell ref="IUZ107:IVD107"/>
    <mergeCell ref="IVE107:IVI107"/>
    <mergeCell ref="IVJ107:IVN107"/>
    <mergeCell ref="IVO107:IVS107"/>
    <mergeCell ref="IVT107:IVX107"/>
    <mergeCell ref="IUA107:IUE107"/>
    <mergeCell ref="IUF107:IUJ107"/>
    <mergeCell ref="IUK107:IUO107"/>
    <mergeCell ref="IUP107:IUT107"/>
    <mergeCell ref="IUU107:IUY107"/>
    <mergeCell ref="ITB107:ITF107"/>
    <mergeCell ref="ITG107:ITK107"/>
    <mergeCell ref="ITL107:ITP107"/>
    <mergeCell ref="ITQ107:ITU107"/>
    <mergeCell ref="ITV107:ITZ107"/>
    <mergeCell ref="ISC107:ISG107"/>
    <mergeCell ref="ISH107:ISL107"/>
    <mergeCell ref="ISM107:ISQ107"/>
    <mergeCell ref="ISR107:ISV107"/>
    <mergeCell ref="ISW107:ITA107"/>
    <mergeCell ref="IRD107:IRH107"/>
    <mergeCell ref="IRI107:IRM107"/>
    <mergeCell ref="IRN107:IRR107"/>
    <mergeCell ref="IRS107:IRW107"/>
    <mergeCell ref="IRX107:ISB107"/>
    <mergeCell ref="IQE107:IQI107"/>
    <mergeCell ref="IQJ107:IQN107"/>
    <mergeCell ref="IQO107:IQS107"/>
    <mergeCell ref="IQT107:IQX107"/>
    <mergeCell ref="IQY107:IRC107"/>
    <mergeCell ref="IPF107:IPJ107"/>
    <mergeCell ref="IPK107:IPO107"/>
    <mergeCell ref="IPP107:IPT107"/>
    <mergeCell ref="IPU107:IPY107"/>
    <mergeCell ref="IPZ107:IQD107"/>
    <mergeCell ref="IOG107:IOK107"/>
    <mergeCell ref="IOL107:IOP107"/>
    <mergeCell ref="IOQ107:IOU107"/>
    <mergeCell ref="IOV107:IOZ107"/>
    <mergeCell ref="IPA107:IPE107"/>
    <mergeCell ref="INH107:INL107"/>
    <mergeCell ref="INM107:INQ107"/>
    <mergeCell ref="INR107:INV107"/>
    <mergeCell ref="INW107:IOA107"/>
    <mergeCell ref="IOB107:IOF107"/>
    <mergeCell ref="IMI107:IMM107"/>
    <mergeCell ref="IMN107:IMR107"/>
    <mergeCell ref="IMS107:IMW107"/>
    <mergeCell ref="IMX107:INB107"/>
    <mergeCell ref="INC107:ING107"/>
    <mergeCell ref="ILJ107:ILN107"/>
    <mergeCell ref="ILO107:ILS107"/>
    <mergeCell ref="ILT107:ILX107"/>
    <mergeCell ref="ILY107:IMC107"/>
    <mergeCell ref="IMD107:IMH107"/>
    <mergeCell ref="IKK107:IKO107"/>
    <mergeCell ref="IKP107:IKT107"/>
    <mergeCell ref="IKU107:IKY107"/>
    <mergeCell ref="IKZ107:ILD107"/>
    <mergeCell ref="ILE107:ILI107"/>
    <mergeCell ref="IJL107:IJP107"/>
    <mergeCell ref="IJQ107:IJU107"/>
    <mergeCell ref="IJV107:IJZ107"/>
    <mergeCell ref="IKA107:IKE107"/>
    <mergeCell ref="IKF107:IKJ107"/>
    <mergeCell ref="IIM107:IIQ107"/>
    <mergeCell ref="IIR107:IIV107"/>
    <mergeCell ref="IIW107:IJA107"/>
    <mergeCell ref="IJB107:IJF107"/>
    <mergeCell ref="IJG107:IJK107"/>
    <mergeCell ref="IHN107:IHR107"/>
    <mergeCell ref="IHS107:IHW107"/>
    <mergeCell ref="IHX107:IIB107"/>
    <mergeCell ref="IIC107:IIG107"/>
    <mergeCell ref="IIH107:IIL107"/>
    <mergeCell ref="IGO107:IGS107"/>
    <mergeCell ref="IGT107:IGX107"/>
    <mergeCell ref="IGY107:IHC107"/>
    <mergeCell ref="IHD107:IHH107"/>
    <mergeCell ref="IHI107:IHM107"/>
    <mergeCell ref="IFP107:IFT107"/>
    <mergeCell ref="IFU107:IFY107"/>
    <mergeCell ref="IFZ107:IGD107"/>
    <mergeCell ref="IGE107:IGI107"/>
    <mergeCell ref="IGJ107:IGN107"/>
    <mergeCell ref="IEQ107:IEU107"/>
    <mergeCell ref="IEV107:IEZ107"/>
    <mergeCell ref="IFA107:IFE107"/>
    <mergeCell ref="IFF107:IFJ107"/>
    <mergeCell ref="IFK107:IFO107"/>
    <mergeCell ref="IDR107:IDV107"/>
    <mergeCell ref="IDW107:IEA107"/>
    <mergeCell ref="IEB107:IEF107"/>
    <mergeCell ref="IEG107:IEK107"/>
    <mergeCell ref="IEL107:IEP107"/>
    <mergeCell ref="ICS107:ICW107"/>
    <mergeCell ref="ICX107:IDB107"/>
    <mergeCell ref="IDC107:IDG107"/>
    <mergeCell ref="IDH107:IDL107"/>
    <mergeCell ref="IDM107:IDQ107"/>
    <mergeCell ref="IBT107:IBX107"/>
    <mergeCell ref="IBY107:ICC107"/>
    <mergeCell ref="ICD107:ICH107"/>
    <mergeCell ref="ICI107:ICM107"/>
    <mergeCell ref="ICN107:ICR107"/>
    <mergeCell ref="IAU107:IAY107"/>
    <mergeCell ref="IAZ107:IBD107"/>
    <mergeCell ref="IBE107:IBI107"/>
    <mergeCell ref="IBJ107:IBN107"/>
    <mergeCell ref="IBO107:IBS107"/>
    <mergeCell ref="HZV107:HZZ107"/>
    <mergeCell ref="IAA107:IAE107"/>
    <mergeCell ref="IAF107:IAJ107"/>
    <mergeCell ref="IAK107:IAO107"/>
    <mergeCell ref="IAP107:IAT107"/>
    <mergeCell ref="HYW107:HZA107"/>
    <mergeCell ref="HZB107:HZF107"/>
    <mergeCell ref="HZG107:HZK107"/>
    <mergeCell ref="HZL107:HZP107"/>
    <mergeCell ref="HZQ107:HZU107"/>
    <mergeCell ref="HXX107:HYB107"/>
    <mergeCell ref="HYC107:HYG107"/>
    <mergeCell ref="HYH107:HYL107"/>
    <mergeCell ref="HYM107:HYQ107"/>
    <mergeCell ref="HYR107:HYV107"/>
    <mergeCell ref="HWY107:HXC107"/>
    <mergeCell ref="HXD107:HXH107"/>
    <mergeCell ref="HXI107:HXM107"/>
    <mergeCell ref="HXN107:HXR107"/>
    <mergeCell ref="HXS107:HXW107"/>
    <mergeCell ref="HVZ107:HWD107"/>
    <mergeCell ref="HWE107:HWI107"/>
    <mergeCell ref="HWJ107:HWN107"/>
    <mergeCell ref="HWO107:HWS107"/>
    <mergeCell ref="HWT107:HWX107"/>
    <mergeCell ref="HVA107:HVE107"/>
    <mergeCell ref="HVF107:HVJ107"/>
    <mergeCell ref="HVK107:HVO107"/>
    <mergeCell ref="HVP107:HVT107"/>
    <mergeCell ref="HVU107:HVY107"/>
    <mergeCell ref="HUB107:HUF107"/>
    <mergeCell ref="HUG107:HUK107"/>
    <mergeCell ref="HUL107:HUP107"/>
    <mergeCell ref="HUQ107:HUU107"/>
    <mergeCell ref="HUV107:HUZ107"/>
    <mergeCell ref="HTC107:HTG107"/>
    <mergeCell ref="HTH107:HTL107"/>
    <mergeCell ref="HTM107:HTQ107"/>
    <mergeCell ref="HTR107:HTV107"/>
    <mergeCell ref="HTW107:HUA107"/>
    <mergeCell ref="HSD107:HSH107"/>
    <mergeCell ref="HSI107:HSM107"/>
    <mergeCell ref="HSN107:HSR107"/>
    <mergeCell ref="HSS107:HSW107"/>
    <mergeCell ref="HSX107:HTB107"/>
    <mergeCell ref="HRE107:HRI107"/>
    <mergeCell ref="HRJ107:HRN107"/>
    <mergeCell ref="HRO107:HRS107"/>
    <mergeCell ref="HRT107:HRX107"/>
    <mergeCell ref="HRY107:HSC107"/>
    <mergeCell ref="HQF107:HQJ107"/>
    <mergeCell ref="HQK107:HQO107"/>
    <mergeCell ref="HQP107:HQT107"/>
    <mergeCell ref="HQU107:HQY107"/>
    <mergeCell ref="HQZ107:HRD107"/>
    <mergeCell ref="HPG107:HPK107"/>
    <mergeCell ref="HPL107:HPP107"/>
    <mergeCell ref="HPQ107:HPU107"/>
    <mergeCell ref="HPV107:HPZ107"/>
    <mergeCell ref="HQA107:HQE107"/>
    <mergeCell ref="HOH107:HOL107"/>
    <mergeCell ref="HOM107:HOQ107"/>
    <mergeCell ref="HOR107:HOV107"/>
    <mergeCell ref="HOW107:HPA107"/>
    <mergeCell ref="HPB107:HPF107"/>
    <mergeCell ref="HNI107:HNM107"/>
    <mergeCell ref="HNN107:HNR107"/>
    <mergeCell ref="HNS107:HNW107"/>
    <mergeCell ref="HNX107:HOB107"/>
    <mergeCell ref="HOC107:HOG107"/>
    <mergeCell ref="HMJ107:HMN107"/>
    <mergeCell ref="HMO107:HMS107"/>
    <mergeCell ref="HMT107:HMX107"/>
    <mergeCell ref="HMY107:HNC107"/>
    <mergeCell ref="HND107:HNH107"/>
    <mergeCell ref="HLK107:HLO107"/>
    <mergeCell ref="HLP107:HLT107"/>
    <mergeCell ref="HLU107:HLY107"/>
    <mergeCell ref="HLZ107:HMD107"/>
    <mergeCell ref="HME107:HMI107"/>
    <mergeCell ref="HKL107:HKP107"/>
    <mergeCell ref="HKQ107:HKU107"/>
    <mergeCell ref="HKV107:HKZ107"/>
    <mergeCell ref="HLA107:HLE107"/>
    <mergeCell ref="HLF107:HLJ107"/>
    <mergeCell ref="HJM107:HJQ107"/>
    <mergeCell ref="HJR107:HJV107"/>
    <mergeCell ref="HJW107:HKA107"/>
    <mergeCell ref="HKB107:HKF107"/>
    <mergeCell ref="HKG107:HKK107"/>
    <mergeCell ref="HIN107:HIR107"/>
    <mergeCell ref="HIS107:HIW107"/>
    <mergeCell ref="HIX107:HJB107"/>
    <mergeCell ref="HJC107:HJG107"/>
    <mergeCell ref="HJH107:HJL107"/>
    <mergeCell ref="HHO107:HHS107"/>
    <mergeCell ref="HHT107:HHX107"/>
    <mergeCell ref="HHY107:HIC107"/>
    <mergeCell ref="HID107:HIH107"/>
    <mergeCell ref="HII107:HIM107"/>
    <mergeCell ref="HGP107:HGT107"/>
    <mergeCell ref="HGU107:HGY107"/>
    <mergeCell ref="HGZ107:HHD107"/>
    <mergeCell ref="HHE107:HHI107"/>
    <mergeCell ref="HHJ107:HHN107"/>
    <mergeCell ref="HFQ107:HFU107"/>
    <mergeCell ref="HFV107:HFZ107"/>
    <mergeCell ref="HGA107:HGE107"/>
    <mergeCell ref="HGF107:HGJ107"/>
    <mergeCell ref="HGK107:HGO107"/>
    <mergeCell ref="HER107:HEV107"/>
    <mergeCell ref="HEW107:HFA107"/>
    <mergeCell ref="HFB107:HFF107"/>
    <mergeCell ref="HFG107:HFK107"/>
    <mergeCell ref="HFL107:HFP107"/>
    <mergeCell ref="HDS107:HDW107"/>
    <mergeCell ref="HDX107:HEB107"/>
    <mergeCell ref="HEC107:HEG107"/>
    <mergeCell ref="HEH107:HEL107"/>
    <mergeCell ref="HEM107:HEQ107"/>
    <mergeCell ref="HCT107:HCX107"/>
    <mergeCell ref="HCY107:HDC107"/>
    <mergeCell ref="HDD107:HDH107"/>
    <mergeCell ref="HDI107:HDM107"/>
    <mergeCell ref="HDN107:HDR107"/>
    <mergeCell ref="HBU107:HBY107"/>
    <mergeCell ref="HBZ107:HCD107"/>
    <mergeCell ref="HCE107:HCI107"/>
    <mergeCell ref="HCJ107:HCN107"/>
    <mergeCell ref="HCO107:HCS107"/>
    <mergeCell ref="HAV107:HAZ107"/>
    <mergeCell ref="HBA107:HBE107"/>
    <mergeCell ref="HBF107:HBJ107"/>
    <mergeCell ref="HBK107:HBO107"/>
    <mergeCell ref="HBP107:HBT107"/>
    <mergeCell ref="GZW107:HAA107"/>
    <mergeCell ref="HAB107:HAF107"/>
    <mergeCell ref="HAG107:HAK107"/>
    <mergeCell ref="HAL107:HAP107"/>
    <mergeCell ref="HAQ107:HAU107"/>
    <mergeCell ref="GYX107:GZB107"/>
    <mergeCell ref="GZC107:GZG107"/>
    <mergeCell ref="GZH107:GZL107"/>
    <mergeCell ref="GZM107:GZQ107"/>
    <mergeCell ref="GZR107:GZV107"/>
    <mergeCell ref="GXY107:GYC107"/>
    <mergeCell ref="GYD107:GYH107"/>
    <mergeCell ref="GYI107:GYM107"/>
    <mergeCell ref="GYN107:GYR107"/>
    <mergeCell ref="GYS107:GYW107"/>
    <mergeCell ref="GWZ107:GXD107"/>
    <mergeCell ref="GXE107:GXI107"/>
    <mergeCell ref="GXJ107:GXN107"/>
    <mergeCell ref="GXO107:GXS107"/>
    <mergeCell ref="GXT107:GXX107"/>
    <mergeCell ref="GWA107:GWE107"/>
    <mergeCell ref="GWF107:GWJ107"/>
    <mergeCell ref="GWK107:GWO107"/>
    <mergeCell ref="GWP107:GWT107"/>
    <mergeCell ref="GWU107:GWY107"/>
    <mergeCell ref="GVB107:GVF107"/>
    <mergeCell ref="GVG107:GVK107"/>
    <mergeCell ref="GVL107:GVP107"/>
    <mergeCell ref="GVQ107:GVU107"/>
    <mergeCell ref="GVV107:GVZ107"/>
    <mergeCell ref="GUC107:GUG107"/>
    <mergeCell ref="GUH107:GUL107"/>
    <mergeCell ref="GUM107:GUQ107"/>
    <mergeCell ref="GUR107:GUV107"/>
    <mergeCell ref="GUW107:GVA107"/>
    <mergeCell ref="GTD107:GTH107"/>
    <mergeCell ref="GTI107:GTM107"/>
    <mergeCell ref="GTN107:GTR107"/>
    <mergeCell ref="GTS107:GTW107"/>
    <mergeCell ref="GTX107:GUB107"/>
    <mergeCell ref="GSE107:GSI107"/>
    <mergeCell ref="GSJ107:GSN107"/>
    <mergeCell ref="GSO107:GSS107"/>
    <mergeCell ref="GST107:GSX107"/>
    <mergeCell ref="GSY107:GTC107"/>
    <mergeCell ref="GRF107:GRJ107"/>
    <mergeCell ref="GRK107:GRO107"/>
    <mergeCell ref="GRP107:GRT107"/>
    <mergeCell ref="GRU107:GRY107"/>
    <mergeCell ref="GRZ107:GSD107"/>
    <mergeCell ref="GQG107:GQK107"/>
    <mergeCell ref="GQL107:GQP107"/>
    <mergeCell ref="GQQ107:GQU107"/>
    <mergeCell ref="GQV107:GQZ107"/>
    <mergeCell ref="GRA107:GRE107"/>
    <mergeCell ref="GPH107:GPL107"/>
    <mergeCell ref="GPM107:GPQ107"/>
    <mergeCell ref="GPR107:GPV107"/>
    <mergeCell ref="GPW107:GQA107"/>
    <mergeCell ref="GQB107:GQF107"/>
    <mergeCell ref="GOI107:GOM107"/>
    <mergeCell ref="GON107:GOR107"/>
    <mergeCell ref="GOS107:GOW107"/>
    <mergeCell ref="GOX107:GPB107"/>
    <mergeCell ref="GPC107:GPG107"/>
    <mergeCell ref="GNJ107:GNN107"/>
    <mergeCell ref="GNO107:GNS107"/>
    <mergeCell ref="GNT107:GNX107"/>
    <mergeCell ref="GNY107:GOC107"/>
    <mergeCell ref="GOD107:GOH107"/>
    <mergeCell ref="GMK107:GMO107"/>
    <mergeCell ref="GMP107:GMT107"/>
    <mergeCell ref="GMU107:GMY107"/>
    <mergeCell ref="GMZ107:GND107"/>
    <mergeCell ref="GNE107:GNI107"/>
    <mergeCell ref="GLL107:GLP107"/>
    <mergeCell ref="GLQ107:GLU107"/>
    <mergeCell ref="GLV107:GLZ107"/>
    <mergeCell ref="GMA107:GME107"/>
    <mergeCell ref="GMF107:GMJ107"/>
    <mergeCell ref="GKM107:GKQ107"/>
    <mergeCell ref="GKR107:GKV107"/>
    <mergeCell ref="GKW107:GLA107"/>
    <mergeCell ref="GLB107:GLF107"/>
    <mergeCell ref="GLG107:GLK107"/>
    <mergeCell ref="GJN107:GJR107"/>
    <mergeCell ref="GJS107:GJW107"/>
    <mergeCell ref="GJX107:GKB107"/>
    <mergeCell ref="GKC107:GKG107"/>
    <mergeCell ref="GKH107:GKL107"/>
    <mergeCell ref="GIO107:GIS107"/>
    <mergeCell ref="GIT107:GIX107"/>
    <mergeCell ref="GIY107:GJC107"/>
    <mergeCell ref="GJD107:GJH107"/>
    <mergeCell ref="GJI107:GJM107"/>
    <mergeCell ref="GHP107:GHT107"/>
    <mergeCell ref="GHU107:GHY107"/>
    <mergeCell ref="GHZ107:GID107"/>
    <mergeCell ref="GIE107:GII107"/>
    <mergeCell ref="GIJ107:GIN107"/>
    <mergeCell ref="GGQ107:GGU107"/>
    <mergeCell ref="GGV107:GGZ107"/>
    <mergeCell ref="GHA107:GHE107"/>
    <mergeCell ref="GHF107:GHJ107"/>
    <mergeCell ref="GHK107:GHO107"/>
    <mergeCell ref="GFR107:GFV107"/>
    <mergeCell ref="GFW107:GGA107"/>
    <mergeCell ref="GGB107:GGF107"/>
    <mergeCell ref="GGG107:GGK107"/>
    <mergeCell ref="GGL107:GGP107"/>
    <mergeCell ref="GES107:GEW107"/>
    <mergeCell ref="GEX107:GFB107"/>
    <mergeCell ref="GFC107:GFG107"/>
    <mergeCell ref="GFH107:GFL107"/>
    <mergeCell ref="GFM107:GFQ107"/>
    <mergeCell ref="GDT107:GDX107"/>
    <mergeCell ref="GDY107:GEC107"/>
    <mergeCell ref="GED107:GEH107"/>
    <mergeCell ref="GEI107:GEM107"/>
    <mergeCell ref="GEN107:GER107"/>
    <mergeCell ref="GCU107:GCY107"/>
    <mergeCell ref="GCZ107:GDD107"/>
    <mergeCell ref="GDE107:GDI107"/>
    <mergeCell ref="GDJ107:GDN107"/>
    <mergeCell ref="GDO107:GDS107"/>
    <mergeCell ref="GBV107:GBZ107"/>
    <mergeCell ref="GCA107:GCE107"/>
    <mergeCell ref="GCF107:GCJ107"/>
    <mergeCell ref="GCK107:GCO107"/>
    <mergeCell ref="GCP107:GCT107"/>
    <mergeCell ref="GAW107:GBA107"/>
    <mergeCell ref="GBB107:GBF107"/>
    <mergeCell ref="GBG107:GBK107"/>
    <mergeCell ref="GBL107:GBP107"/>
    <mergeCell ref="GBQ107:GBU107"/>
    <mergeCell ref="FZX107:GAB107"/>
    <mergeCell ref="GAC107:GAG107"/>
    <mergeCell ref="GAH107:GAL107"/>
    <mergeCell ref="GAM107:GAQ107"/>
    <mergeCell ref="GAR107:GAV107"/>
    <mergeCell ref="FYY107:FZC107"/>
    <mergeCell ref="FZD107:FZH107"/>
    <mergeCell ref="FZI107:FZM107"/>
    <mergeCell ref="FZN107:FZR107"/>
    <mergeCell ref="FZS107:FZW107"/>
    <mergeCell ref="FXZ107:FYD107"/>
    <mergeCell ref="FYE107:FYI107"/>
    <mergeCell ref="FYJ107:FYN107"/>
    <mergeCell ref="FYO107:FYS107"/>
    <mergeCell ref="FYT107:FYX107"/>
    <mergeCell ref="FXA107:FXE107"/>
    <mergeCell ref="FXF107:FXJ107"/>
    <mergeCell ref="FXK107:FXO107"/>
    <mergeCell ref="FXP107:FXT107"/>
    <mergeCell ref="FXU107:FXY107"/>
    <mergeCell ref="FWB107:FWF107"/>
    <mergeCell ref="FWG107:FWK107"/>
    <mergeCell ref="FWL107:FWP107"/>
    <mergeCell ref="FWQ107:FWU107"/>
    <mergeCell ref="FWV107:FWZ107"/>
    <mergeCell ref="FVC107:FVG107"/>
    <mergeCell ref="FVH107:FVL107"/>
    <mergeCell ref="FVM107:FVQ107"/>
    <mergeCell ref="FVR107:FVV107"/>
    <mergeCell ref="FVW107:FWA107"/>
    <mergeCell ref="FUD107:FUH107"/>
    <mergeCell ref="FUI107:FUM107"/>
    <mergeCell ref="FUN107:FUR107"/>
    <mergeCell ref="FUS107:FUW107"/>
    <mergeCell ref="FUX107:FVB107"/>
    <mergeCell ref="FTE107:FTI107"/>
    <mergeCell ref="FTJ107:FTN107"/>
    <mergeCell ref="FTO107:FTS107"/>
    <mergeCell ref="FTT107:FTX107"/>
    <mergeCell ref="FTY107:FUC107"/>
    <mergeCell ref="FSF107:FSJ107"/>
    <mergeCell ref="FSK107:FSO107"/>
    <mergeCell ref="FSP107:FST107"/>
    <mergeCell ref="FSU107:FSY107"/>
    <mergeCell ref="FSZ107:FTD107"/>
    <mergeCell ref="FRG107:FRK107"/>
    <mergeCell ref="FRL107:FRP107"/>
    <mergeCell ref="FRQ107:FRU107"/>
    <mergeCell ref="FRV107:FRZ107"/>
    <mergeCell ref="FSA107:FSE107"/>
    <mergeCell ref="FQH107:FQL107"/>
    <mergeCell ref="FQM107:FQQ107"/>
    <mergeCell ref="FQR107:FQV107"/>
    <mergeCell ref="FQW107:FRA107"/>
    <mergeCell ref="FRB107:FRF107"/>
    <mergeCell ref="FPI107:FPM107"/>
    <mergeCell ref="FPN107:FPR107"/>
    <mergeCell ref="FPS107:FPW107"/>
    <mergeCell ref="FPX107:FQB107"/>
    <mergeCell ref="FQC107:FQG107"/>
    <mergeCell ref="FOJ107:FON107"/>
    <mergeCell ref="FOO107:FOS107"/>
    <mergeCell ref="FOT107:FOX107"/>
    <mergeCell ref="FOY107:FPC107"/>
    <mergeCell ref="FPD107:FPH107"/>
    <mergeCell ref="FNK107:FNO107"/>
    <mergeCell ref="FNP107:FNT107"/>
    <mergeCell ref="FNU107:FNY107"/>
    <mergeCell ref="FNZ107:FOD107"/>
    <mergeCell ref="FOE107:FOI107"/>
    <mergeCell ref="FML107:FMP107"/>
    <mergeCell ref="FMQ107:FMU107"/>
    <mergeCell ref="FMV107:FMZ107"/>
    <mergeCell ref="FNA107:FNE107"/>
    <mergeCell ref="FNF107:FNJ107"/>
    <mergeCell ref="FLM107:FLQ107"/>
    <mergeCell ref="FLR107:FLV107"/>
    <mergeCell ref="FLW107:FMA107"/>
    <mergeCell ref="FMB107:FMF107"/>
    <mergeCell ref="FMG107:FMK107"/>
    <mergeCell ref="FKN107:FKR107"/>
    <mergeCell ref="FKS107:FKW107"/>
    <mergeCell ref="FKX107:FLB107"/>
    <mergeCell ref="FLC107:FLG107"/>
    <mergeCell ref="FLH107:FLL107"/>
    <mergeCell ref="FJO107:FJS107"/>
    <mergeCell ref="FJT107:FJX107"/>
    <mergeCell ref="FJY107:FKC107"/>
    <mergeCell ref="FKD107:FKH107"/>
    <mergeCell ref="FKI107:FKM107"/>
    <mergeCell ref="FIP107:FIT107"/>
    <mergeCell ref="FIU107:FIY107"/>
    <mergeCell ref="FIZ107:FJD107"/>
    <mergeCell ref="FJE107:FJI107"/>
    <mergeCell ref="FJJ107:FJN107"/>
    <mergeCell ref="FHQ107:FHU107"/>
    <mergeCell ref="FHV107:FHZ107"/>
    <mergeCell ref="FIA107:FIE107"/>
    <mergeCell ref="FIF107:FIJ107"/>
    <mergeCell ref="FIK107:FIO107"/>
    <mergeCell ref="FGR107:FGV107"/>
    <mergeCell ref="FGW107:FHA107"/>
    <mergeCell ref="FHB107:FHF107"/>
    <mergeCell ref="FHG107:FHK107"/>
    <mergeCell ref="FHL107:FHP107"/>
    <mergeCell ref="FFS107:FFW107"/>
    <mergeCell ref="FFX107:FGB107"/>
    <mergeCell ref="FGC107:FGG107"/>
    <mergeCell ref="FGH107:FGL107"/>
    <mergeCell ref="FGM107:FGQ107"/>
    <mergeCell ref="FET107:FEX107"/>
    <mergeCell ref="FEY107:FFC107"/>
    <mergeCell ref="FFD107:FFH107"/>
    <mergeCell ref="FFI107:FFM107"/>
    <mergeCell ref="FFN107:FFR107"/>
    <mergeCell ref="FDU107:FDY107"/>
    <mergeCell ref="FDZ107:FED107"/>
    <mergeCell ref="FEE107:FEI107"/>
    <mergeCell ref="FEJ107:FEN107"/>
    <mergeCell ref="FEO107:FES107"/>
    <mergeCell ref="FCV107:FCZ107"/>
    <mergeCell ref="FDA107:FDE107"/>
    <mergeCell ref="FDF107:FDJ107"/>
    <mergeCell ref="FDK107:FDO107"/>
    <mergeCell ref="FDP107:FDT107"/>
    <mergeCell ref="FBW107:FCA107"/>
    <mergeCell ref="FCB107:FCF107"/>
    <mergeCell ref="FCG107:FCK107"/>
    <mergeCell ref="FCL107:FCP107"/>
    <mergeCell ref="FCQ107:FCU107"/>
    <mergeCell ref="FAX107:FBB107"/>
    <mergeCell ref="FBC107:FBG107"/>
    <mergeCell ref="FBH107:FBL107"/>
    <mergeCell ref="FBM107:FBQ107"/>
    <mergeCell ref="FBR107:FBV107"/>
    <mergeCell ref="EZY107:FAC107"/>
    <mergeCell ref="FAD107:FAH107"/>
    <mergeCell ref="FAI107:FAM107"/>
    <mergeCell ref="FAN107:FAR107"/>
    <mergeCell ref="FAS107:FAW107"/>
    <mergeCell ref="EYZ107:EZD107"/>
    <mergeCell ref="EZE107:EZI107"/>
    <mergeCell ref="EZJ107:EZN107"/>
    <mergeCell ref="EZO107:EZS107"/>
    <mergeCell ref="EZT107:EZX107"/>
    <mergeCell ref="EYA107:EYE107"/>
    <mergeCell ref="EYF107:EYJ107"/>
    <mergeCell ref="EYK107:EYO107"/>
    <mergeCell ref="EYP107:EYT107"/>
    <mergeCell ref="EYU107:EYY107"/>
    <mergeCell ref="EXB107:EXF107"/>
    <mergeCell ref="EXG107:EXK107"/>
    <mergeCell ref="EXL107:EXP107"/>
    <mergeCell ref="EXQ107:EXU107"/>
    <mergeCell ref="EXV107:EXZ107"/>
    <mergeCell ref="EWC107:EWG107"/>
    <mergeCell ref="EWH107:EWL107"/>
    <mergeCell ref="EWM107:EWQ107"/>
    <mergeCell ref="EWR107:EWV107"/>
    <mergeCell ref="EWW107:EXA107"/>
    <mergeCell ref="EVD107:EVH107"/>
    <mergeCell ref="EVI107:EVM107"/>
    <mergeCell ref="EVN107:EVR107"/>
    <mergeCell ref="EVS107:EVW107"/>
    <mergeCell ref="EVX107:EWB107"/>
    <mergeCell ref="EUE107:EUI107"/>
    <mergeCell ref="EUJ107:EUN107"/>
    <mergeCell ref="EUO107:EUS107"/>
    <mergeCell ref="EUT107:EUX107"/>
    <mergeCell ref="EUY107:EVC107"/>
    <mergeCell ref="ETF107:ETJ107"/>
    <mergeCell ref="ETK107:ETO107"/>
    <mergeCell ref="ETP107:ETT107"/>
    <mergeCell ref="ETU107:ETY107"/>
    <mergeCell ref="ETZ107:EUD107"/>
    <mergeCell ref="ESG107:ESK107"/>
    <mergeCell ref="ESL107:ESP107"/>
    <mergeCell ref="ESQ107:ESU107"/>
    <mergeCell ref="ESV107:ESZ107"/>
    <mergeCell ref="ETA107:ETE107"/>
    <mergeCell ref="ERH107:ERL107"/>
    <mergeCell ref="ERM107:ERQ107"/>
    <mergeCell ref="ERR107:ERV107"/>
    <mergeCell ref="ERW107:ESA107"/>
    <mergeCell ref="ESB107:ESF107"/>
    <mergeCell ref="EQI107:EQM107"/>
    <mergeCell ref="EQN107:EQR107"/>
    <mergeCell ref="EQS107:EQW107"/>
    <mergeCell ref="EQX107:ERB107"/>
    <mergeCell ref="ERC107:ERG107"/>
    <mergeCell ref="EPJ107:EPN107"/>
    <mergeCell ref="EPO107:EPS107"/>
    <mergeCell ref="EPT107:EPX107"/>
    <mergeCell ref="EPY107:EQC107"/>
    <mergeCell ref="EQD107:EQH107"/>
    <mergeCell ref="EOK107:EOO107"/>
    <mergeCell ref="EOP107:EOT107"/>
    <mergeCell ref="EOU107:EOY107"/>
    <mergeCell ref="EOZ107:EPD107"/>
    <mergeCell ref="EPE107:EPI107"/>
    <mergeCell ref="ENL107:ENP107"/>
    <mergeCell ref="ENQ107:ENU107"/>
    <mergeCell ref="ENV107:ENZ107"/>
    <mergeCell ref="EOA107:EOE107"/>
    <mergeCell ref="EOF107:EOJ107"/>
    <mergeCell ref="EMM107:EMQ107"/>
    <mergeCell ref="EMR107:EMV107"/>
    <mergeCell ref="EMW107:ENA107"/>
    <mergeCell ref="ENB107:ENF107"/>
    <mergeCell ref="ENG107:ENK107"/>
    <mergeCell ref="ELN107:ELR107"/>
    <mergeCell ref="ELS107:ELW107"/>
    <mergeCell ref="ELX107:EMB107"/>
    <mergeCell ref="EMC107:EMG107"/>
    <mergeCell ref="EMH107:EML107"/>
    <mergeCell ref="EKO107:EKS107"/>
    <mergeCell ref="EKT107:EKX107"/>
    <mergeCell ref="EKY107:ELC107"/>
    <mergeCell ref="ELD107:ELH107"/>
    <mergeCell ref="ELI107:ELM107"/>
    <mergeCell ref="EJP107:EJT107"/>
    <mergeCell ref="EJU107:EJY107"/>
    <mergeCell ref="EJZ107:EKD107"/>
    <mergeCell ref="EKE107:EKI107"/>
    <mergeCell ref="EKJ107:EKN107"/>
    <mergeCell ref="EIQ107:EIU107"/>
    <mergeCell ref="EIV107:EIZ107"/>
    <mergeCell ref="EJA107:EJE107"/>
    <mergeCell ref="EJF107:EJJ107"/>
    <mergeCell ref="EJK107:EJO107"/>
    <mergeCell ref="EHR107:EHV107"/>
    <mergeCell ref="EHW107:EIA107"/>
    <mergeCell ref="EIB107:EIF107"/>
    <mergeCell ref="EIG107:EIK107"/>
    <mergeCell ref="EIL107:EIP107"/>
    <mergeCell ref="EGS107:EGW107"/>
    <mergeCell ref="EGX107:EHB107"/>
    <mergeCell ref="EHC107:EHG107"/>
    <mergeCell ref="EHH107:EHL107"/>
    <mergeCell ref="EHM107:EHQ107"/>
    <mergeCell ref="EFT107:EFX107"/>
    <mergeCell ref="EFY107:EGC107"/>
    <mergeCell ref="EGD107:EGH107"/>
    <mergeCell ref="EGI107:EGM107"/>
    <mergeCell ref="EGN107:EGR107"/>
    <mergeCell ref="EEU107:EEY107"/>
    <mergeCell ref="EEZ107:EFD107"/>
    <mergeCell ref="EFE107:EFI107"/>
    <mergeCell ref="EFJ107:EFN107"/>
    <mergeCell ref="EFO107:EFS107"/>
    <mergeCell ref="EDV107:EDZ107"/>
    <mergeCell ref="EEA107:EEE107"/>
    <mergeCell ref="EEF107:EEJ107"/>
    <mergeCell ref="EEK107:EEO107"/>
    <mergeCell ref="EEP107:EET107"/>
    <mergeCell ref="ECW107:EDA107"/>
    <mergeCell ref="EDB107:EDF107"/>
    <mergeCell ref="EDG107:EDK107"/>
    <mergeCell ref="EDL107:EDP107"/>
    <mergeCell ref="EDQ107:EDU107"/>
    <mergeCell ref="EBX107:ECB107"/>
    <mergeCell ref="ECC107:ECG107"/>
    <mergeCell ref="ECH107:ECL107"/>
    <mergeCell ref="ECM107:ECQ107"/>
    <mergeCell ref="ECR107:ECV107"/>
    <mergeCell ref="EAY107:EBC107"/>
    <mergeCell ref="EBD107:EBH107"/>
    <mergeCell ref="EBI107:EBM107"/>
    <mergeCell ref="EBN107:EBR107"/>
    <mergeCell ref="EBS107:EBW107"/>
    <mergeCell ref="DZZ107:EAD107"/>
    <mergeCell ref="EAE107:EAI107"/>
    <mergeCell ref="EAJ107:EAN107"/>
    <mergeCell ref="EAO107:EAS107"/>
    <mergeCell ref="EAT107:EAX107"/>
    <mergeCell ref="DZA107:DZE107"/>
    <mergeCell ref="DZF107:DZJ107"/>
    <mergeCell ref="DZK107:DZO107"/>
    <mergeCell ref="DZP107:DZT107"/>
    <mergeCell ref="DZU107:DZY107"/>
    <mergeCell ref="DYB107:DYF107"/>
    <mergeCell ref="DYG107:DYK107"/>
    <mergeCell ref="DYL107:DYP107"/>
    <mergeCell ref="DYQ107:DYU107"/>
    <mergeCell ref="DYV107:DYZ107"/>
    <mergeCell ref="DXC107:DXG107"/>
    <mergeCell ref="DXH107:DXL107"/>
    <mergeCell ref="DXM107:DXQ107"/>
    <mergeCell ref="DXR107:DXV107"/>
    <mergeCell ref="DXW107:DYA107"/>
    <mergeCell ref="DWD107:DWH107"/>
    <mergeCell ref="DWI107:DWM107"/>
    <mergeCell ref="DWN107:DWR107"/>
    <mergeCell ref="DWS107:DWW107"/>
    <mergeCell ref="DWX107:DXB107"/>
    <mergeCell ref="DVE107:DVI107"/>
    <mergeCell ref="DVJ107:DVN107"/>
    <mergeCell ref="DVO107:DVS107"/>
    <mergeCell ref="DVT107:DVX107"/>
    <mergeCell ref="DVY107:DWC107"/>
    <mergeCell ref="DUF107:DUJ107"/>
    <mergeCell ref="DUK107:DUO107"/>
    <mergeCell ref="DUP107:DUT107"/>
    <mergeCell ref="DUU107:DUY107"/>
    <mergeCell ref="DUZ107:DVD107"/>
    <mergeCell ref="DTG107:DTK107"/>
    <mergeCell ref="DTL107:DTP107"/>
    <mergeCell ref="DTQ107:DTU107"/>
    <mergeCell ref="DTV107:DTZ107"/>
    <mergeCell ref="DUA107:DUE107"/>
    <mergeCell ref="DSH107:DSL107"/>
    <mergeCell ref="DSM107:DSQ107"/>
    <mergeCell ref="DSR107:DSV107"/>
    <mergeCell ref="DSW107:DTA107"/>
    <mergeCell ref="DTB107:DTF107"/>
    <mergeCell ref="DRI107:DRM107"/>
    <mergeCell ref="DRN107:DRR107"/>
    <mergeCell ref="DRS107:DRW107"/>
    <mergeCell ref="DRX107:DSB107"/>
    <mergeCell ref="DSC107:DSG107"/>
    <mergeCell ref="DQJ107:DQN107"/>
    <mergeCell ref="DQO107:DQS107"/>
    <mergeCell ref="DQT107:DQX107"/>
    <mergeCell ref="DQY107:DRC107"/>
    <mergeCell ref="DRD107:DRH107"/>
    <mergeCell ref="DPK107:DPO107"/>
    <mergeCell ref="DPP107:DPT107"/>
    <mergeCell ref="DPU107:DPY107"/>
    <mergeCell ref="DPZ107:DQD107"/>
    <mergeCell ref="DQE107:DQI107"/>
    <mergeCell ref="DOL107:DOP107"/>
    <mergeCell ref="DOQ107:DOU107"/>
    <mergeCell ref="DOV107:DOZ107"/>
    <mergeCell ref="DPA107:DPE107"/>
    <mergeCell ref="DPF107:DPJ107"/>
    <mergeCell ref="DNM107:DNQ107"/>
    <mergeCell ref="DNR107:DNV107"/>
    <mergeCell ref="DNW107:DOA107"/>
    <mergeCell ref="DOB107:DOF107"/>
    <mergeCell ref="DOG107:DOK107"/>
    <mergeCell ref="DMN107:DMR107"/>
    <mergeCell ref="DMS107:DMW107"/>
    <mergeCell ref="DMX107:DNB107"/>
    <mergeCell ref="DNC107:DNG107"/>
    <mergeCell ref="DNH107:DNL107"/>
    <mergeCell ref="DLO107:DLS107"/>
    <mergeCell ref="DLT107:DLX107"/>
    <mergeCell ref="DLY107:DMC107"/>
    <mergeCell ref="DMD107:DMH107"/>
    <mergeCell ref="DMI107:DMM107"/>
    <mergeCell ref="DKP107:DKT107"/>
    <mergeCell ref="DKU107:DKY107"/>
    <mergeCell ref="DKZ107:DLD107"/>
    <mergeCell ref="DLE107:DLI107"/>
    <mergeCell ref="DLJ107:DLN107"/>
    <mergeCell ref="DJQ107:DJU107"/>
    <mergeCell ref="DJV107:DJZ107"/>
    <mergeCell ref="DKA107:DKE107"/>
    <mergeCell ref="DKF107:DKJ107"/>
    <mergeCell ref="DKK107:DKO107"/>
    <mergeCell ref="DIR107:DIV107"/>
    <mergeCell ref="DIW107:DJA107"/>
    <mergeCell ref="DJB107:DJF107"/>
    <mergeCell ref="DJG107:DJK107"/>
    <mergeCell ref="DJL107:DJP107"/>
    <mergeCell ref="DHS107:DHW107"/>
    <mergeCell ref="DHX107:DIB107"/>
    <mergeCell ref="DIC107:DIG107"/>
    <mergeCell ref="DIH107:DIL107"/>
    <mergeCell ref="DIM107:DIQ107"/>
    <mergeCell ref="DGT107:DGX107"/>
    <mergeCell ref="DGY107:DHC107"/>
    <mergeCell ref="DHD107:DHH107"/>
    <mergeCell ref="DHI107:DHM107"/>
    <mergeCell ref="DHN107:DHR107"/>
    <mergeCell ref="DFU107:DFY107"/>
    <mergeCell ref="DFZ107:DGD107"/>
    <mergeCell ref="DGE107:DGI107"/>
    <mergeCell ref="DGJ107:DGN107"/>
    <mergeCell ref="DGO107:DGS107"/>
    <mergeCell ref="DEV107:DEZ107"/>
    <mergeCell ref="DFA107:DFE107"/>
    <mergeCell ref="DFF107:DFJ107"/>
    <mergeCell ref="DFK107:DFO107"/>
    <mergeCell ref="DFP107:DFT107"/>
    <mergeCell ref="DDW107:DEA107"/>
    <mergeCell ref="DEB107:DEF107"/>
    <mergeCell ref="DEG107:DEK107"/>
    <mergeCell ref="DEL107:DEP107"/>
    <mergeCell ref="DEQ107:DEU107"/>
    <mergeCell ref="DCX107:DDB107"/>
    <mergeCell ref="DDC107:DDG107"/>
    <mergeCell ref="DDH107:DDL107"/>
    <mergeCell ref="DDM107:DDQ107"/>
    <mergeCell ref="DDR107:DDV107"/>
    <mergeCell ref="DBY107:DCC107"/>
    <mergeCell ref="DCD107:DCH107"/>
    <mergeCell ref="DCI107:DCM107"/>
    <mergeCell ref="DCN107:DCR107"/>
    <mergeCell ref="DCS107:DCW107"/>
    <mergeCell ref="DAZ107:DBD107"/>
    <mergeCell ref="DBE107:DBI107"/>
    <mergeCell ref="DBJ107:DBN107"/>
    <mergeCell ref="DBO107:DBS107"/>
    <mergeCell ref="DBT107:DBX107"/>
    <mergeCell ref="DAA107:DAE107"/>
    <mergeCell ref="DAF107:DAJ107"/>
    <mergeCell ref="DAK107:DAO107"/>
    <mergeCell ref="DAP107:DAT107"/>
    <mergeCell ref="DAU107:DAY107"/>
    <mergeCell ref="CZB107:CZF107"/>
    <mergeCell ref="CZG107:CZK107"/>
    <mergeCell ref="CZL107:CZP107"/>
    <mergeCell ref="CZQ107:CZU107"/>
    <mergeCell ref="CZV107:CZZ107"/>
    <mergeCell ref="CYC107:CYG107"/>
    <mergeCell ref="CYH107:CYL107"/>
    <mergeCell ref="CYM107:CYQ107"/>
    <mergeCell ref="CYR107:CYV107"/>
    <mergeCell ref="CYW107:CZA107"/>
    <mergeCell ref="CXD107:CXH107"/>
    <mergeCell ref="CXI107:CXM107"/>
    <mergeCell ref="CXN107:CXR107"/>
    <mergeCell ref="CXS107:CXW107"/>
    <mergeCell ref="CXX107:CYB107"/>
    <mergeCell ref="CWE107:CWI107"/>
    <mergeCell ref="CWJ107:CWN107"/>
    <mergeCell ref="CWO107:CWS107"/>
    <mergeCell ref="CWT107:CWX107"/>
    <mergeCell ref="CWY107:CXC107"/>
    <mergeCell ref="CVF107:CVJ107"/>
    <mergeCell ref="CVK107:CVO107"/>
    <mergeCell ref="CVP107:CVT107"/>
    <mergeCell ref="CVU107:CVY107"/>
    <mergeCell ref="CVZ107:CWD107"/>
    <mergeCell ref="CUG107:CUK107"/>
    <mergeCell ref="CUL107:CUP107"/>
    <mergeCell ref="CUQ107:CUU107"/>
    <mergeCell ref="CUV107:CUZ107"/>
    <mergeCell ref="CVA107:CVE107"/>
    <mergeCell ref="CTH107:CTL107"/>
    <mergeCell ref="CTM107:CTQ107"/>
    <mergeCell ref="CTR107:CTV107"/>
    <mergeCell ref="CTW107:CUA107"/>
    <mergeCell ref="CUB107:CUF107"/>
    <mergeCell ref="CSI107:CSM107"/>
    <mergeCell ref="CSN107:CSR107"/>
    <mergeCell ref="CSS107:CSW107"/>
    <mergeCell ref="CSX107:CTB107"/>
    <mergeCell ref="CTC107:CTG107"/>
    <mergeCell ref="CRJ107:CRN107"/>
    <mergeCell ref="CRO107:CRS107"/>
    <mergeCell ref="CRT107:CRX107"/>
    <mergeCell ref="CRY107:CSC107"/>
    <mergeCell ref="CSD107:CSH107"/>
    <mergeCell ref="CQK107:CQO107"/>
    <mergeCell ref="CQP107:CQT107"/>
    <mergeCell ref="CQU107:CQY107"/>
    <mergeCell ref="CQZ107:CRD107"/>
    <mergeCell ref="CRE107:CRI107"/>
    <mergeCell ref="CPL107:CPP107"/>
    <mergeCell ref="CPQ107:CPU107"/>
    <mergeCell ref="CPV107:CPZ107"/>
    <mergeCell ref="CQA107:CQE107"/>
    <mergeCell ref="CQF107:CQJ107"/>
    <mergeCell ref="COM107:COQ107"/>
    <mergeCell ref="COR107:COV107"/>
    <mergeCell ref="COW107:CPA107"/>
    <mergeCell ref="CPB107:CPF107"/>
    <mergeCell ref="CPG107:CPK107"/>
    <mergeCell ref="CNN107:CNR107"/>
    <mergeCell ref="CNS107:CNW107"/>
    <mergeCell ref="CNX107:COB107"/>
    <mergeCell ref="COC107:COG107"/>
    <mergeCell ref="COH107:COL107"/>
    <mergeCell ref="CMO107:CMS107"/>
    <mergeCell ref="CMT107:CMX107"/>
    <mergeCell ref="CMY107:CNC107"/>
    <mergeCell ref="CND107:CNH107"/>
    <mergeCell ref="CNI107:CNM107"/>
    <mergeCell ref="CLP107:CLT107"/>
    <mergeCell ref="CLU107:CLY107"/>
    <mergeCell ref="CLZ107:CMD107"/>
    <mergeCell ref="CME107:CMI107"/>
    <mergeCell ref="CMJ107:CMN107"/>
    <mergeCell ref="CKQ107:CKU107"/>
    <mergeCell ref="CKV107:CKZ107"/>
    <mergeCell ref="CLA107:CLE107"/>
    <mergeCell ref="CLF107:CLJ107"/>
    <mergeCell ref="CLK107:CLO107"/>
    <mergeCell ref="CJR107:CJV107"/>
    <mergeCell ref="CJW107:CKA107"/>
    <mergeCell ref="CKB107:CKF107"/>
    <mergeCell ref="CKG107:CKK107"/>
    <mergeCell ref="CKL107:CKP107"/>
    <mergeCell ref="CIS107:CIW107"/>
    <mergeCell ref="CIX107:CJB107"/>
    <mergeCell ref="CJC107:CJG107"/>
    <mergeCell ref="CJH107:CJL107"/>
    <mergeCell ref="CJM107:CJQ107"/>
    <mergeCell ref="CHT107:CHX107"/>
    <mergeCell ref="CHY107:CIC107"/>
    <mergeCell ref="CID107:CIH107"/>
    <mergeCell ref="CII107:CIM107"/>
    <mergeCell ref="CIN107:CIR107"/>
    <mergeCell ref="CGU107:CGY107"/>
    <mergeCell ref="CGZ107:CHD107"/>
    <mergeCell ref="CHE107:CHI107"/>
    <mergeCell ref="CHJ107:CHN107"/>
    <mergeCell ref="CHO107:CHS107"/>
    <mergeCell ref="CFV107:CFZ107"/>
    <mergeCell ref="CGA107:CGE107"/>
    <mergeCell ref="CGF107:CGJ107"/>
    <mergeCell ref="CGK107:CGO107"/>
    <mergeCell ref="CGP107:CGT107"/>
    <mergeCell ref="CEW107:CFA107"/>
    <mergeCell ref="CFB107:CFF107"/>
    <mergeCell ref="CFG107:CFK107"/>
    <mergeCell ref="CFL107:CFP107"/>
    <mergeCell ref="CFQ107:CFU107"/>
    <mergeCell ref="CDX107:CEB107"/>
    <mergeCell ref="CEC107:CEG107"/>
    <mergeCell ref="CEH107:CEL107"/>
    <mergeCell ref="CEM107:CEQ107"/>
    <mergeCell ref="CER107:CEV107"/>
    <mergeCell ref="CCY107:CDC107"/>
    <mergeCell ref="CDD107:CDH107"/>
    <mergeCell ref="CDI107:CDM107"/>
    <mergeCell ref="CDN107:CDR107"/>
    <mergeCell ref="CDS107:CDW107"/>
    <mergeCell ref="CBZ107:CCD107"/>
    <mergeCell ref="CCE107:CCI107"/>
    <mergeCell ref="CCJ107:CCN107"/>
    <mergeCell ref="CCO107:CCS107"/>
    <mergeCell ref="CCT107:CCX107"/>
    <mergeCell ref="CBA107:CBE107"/>
    <mergeCell ref="CBF107:CBJ107"/>
    <mergeCell ref="CBK107:CBO107"/>
    <mergeCell ref="CBP107:CBT107"/>
    <mergeCell ref="CBU107:CBY107"/>
    <mergeCell ref="CAB107:CAF107"/>
    <mergeCell ref="CAG107:CAK107"/>
    <mergeCell ref="CAL107:CAP107"/>
    <mergeCell ref="CAQ107:CAU107"/>
    <mergeCell ref="CAV107:CAZ107"/>
    <mergeCell ref="BZC107:BZG107"/>
    <mergeCell ref="BZH107:BZL107"/>
    <mergeCell ref="BZM107:BZQ107"/>
    <mergeCell ref="BZR107:BZV107"/>
    <mergeCell ref="BZW107:CAA107"/>
    <mergeCell ref="BYD107:BYH107"/>
    <mergeCell ref="BYI107:BYM107"/>
    <mergeCell ref="BYN107:BYR107"/>
    <mergeCell ref="BYS107:BYW107"/>
    <mergeCell ref="BYX107:BZB107"/>
    <mergeCell ref="BXE107:BXI107"/>
    <mergeCell ref="BXJ107:BXN107"/>
    <mergeCell ref="BXO107:BXS107"/>
    <mergeCell ref="BXT107:BXX107"/>
    <mergeCell ref="BXY107:BYC107"/>
    <mergeCell ref="BWF107:BWJ107"/>
    <mergeCell ref="BWK107:BWO107"/>
    <mergeCell ref="BWP107:BWT107"/>
    <mergeCell ref="BWU107:BWY107"/>
    <mergeCell ref="BWZ107:BXD107"/>
    <mergeCell ref="BVG107:BVK107"/>
    <mergeCell ref="BVL107:BVP107"/>
    <mergeCell ref="BVQ107:BVU107"/>
    <mergeCell ref="BVV107:BVZ107"/>
    <mergeCell ref="BWA107:BWE107"/>
    <mergeCell ref="BUH107:BUL107"/>
    <mergeCell ref="BUM107:BUQ107"/>
    <mergeCell ref="BUR107:BUV107"/>
    <mergeCell ref="BUW107:BVA107"/>
    <mergeCell ref="BVB107:BVF107"/>
    <mergeCell ref="BTI107:BTM107"/>
    <mergeCell ref="BTN107:BTR107"/>
    <mergeCell ref="BTS107:BTW107"/>
    <mergeCell ref="BTX107:BUB107"/>
    <mergeCell ref="BUC107:BUG107"/>
    <mergeCell ref="BSJ107:BSN107"/>
    <mergeCell ref="BSO107:BSS107"/>
    <mergeCell ref="BST107:BSX107"/>
    <mergeCell ref="BSY107:BTC107"/>
    <mergeCell ref="BTD107:BTH107"/>
    <mergeCell ref="BRK107:BRO107"/>
    <mergeCell ref="BRP107:BRT107"/>
    <mergeCell ref="BRU107:BRY107"/>
    <mergeCell ref="BRZ107:BSD107"/>
    <mergeCell ref="BSE107:BSI107"/>
    <mergeCell ref="BQL107:BQP107"/>
    <mergeCell ref="BQQ107:BQU107"/>
    <mergeCell ref="BQV107:BQZ107"/>
    <mergeCell ref="BRA107:BRE107"/>
    <mergeCell ref="BRF107:BRJ107"/>
    <mergeCell ref="BPM107:BPQ107"/>
    <mergeCell ref="BPR107:BPV107"/>
    <mergeCell ref="BPW107:BQA107"/>
    <mergeCell ref="BQB107:BQF107"/>
    <mergeCell ref="BQG107:BQK107"/>
    <mergeCell ref="BON107:BOR107"/>
    <mergeCell ref="BOS107:BOW107"/>
    <mergeCell ref="BOX107:BPB107"/>
    <mergeCell ref="BPC107:BPG107"/>
    <mergeCell ref="BPH107:BPL107"/>
    <mergeCell ref="BNO107:BNS107"/>
    <mergeCell ref="BNT107:BNX107"/>
    <mergeCell ref="BNY107:BOC107"/>
    <mergeCell ref="BOD107:BOH107"/>
    <mergeCell ref="BOI107:BOM107"/>
    <mergeCell ref="BMP107:BMT107"/>
    <mergeCell ref="BMU107:BMY107"/>
    <mergeCell ref="BMZ107:BND107"/>
    <mergeCell ref="BNE107:BNI107"/>
    <mergeCell ref="BNJ107:BNN107"/>
    <mergeCell ref="BLQ107:BLU107"/>
    <mergeCell ref="BLV107:BLZ107"/>
    <mergeCell ref="BMA107:BME107"/>
    <mergeCell ref="BMF107:BMJ107"/>
    <mergeCell ref="BMK107:BMO107"/>
    <mergeCell ref="BKR107:BKV107"/>
    <mergeCell ref="BKW107:BLA107"/>
    <mergeCell ref="BLB107:BLF107"/>
    <mergeCell ref="BLG107:BLK107"/>
    <mergeCell ref="BLL107:BLP107"/>
    <mergeCell ref="BJS107:BJW107"/>
    <mergeCell ref="BJX107:BKB107"/>
    <mergeCell ref="BKC107:BKG107"/>
    <mergeCell ref="BKH107:BKL107"/>
    <mergeCell ref="BKM107:BKQ107"/>
    <mergeCell ref="BIT107:BIX107"/>
    <mergeCell ref="BIY107:BJC107"/>
    <mergeCell ref="BJD107:BJH107"/>
    <mergeCell ref="BJI107:BJM107"/>
    <mergeCell ref="BJN107:BJR107"/>
    <mergeCell ref="BHU107:BHY107"/>
    <mergeCell ref="BHZ107:BID107"/>
    <mergeCell ref="BIE107:BII107"/>
    <mergeCell ref="BIJ107:BIN107"/>
    <mergeCell ref="BIO107:BIS107"/>
    <mergeCell ref="BGV107:BGZ107"/>
    <mergeCell ref="BHA107:BHE107"/>
    <mergeCell ref="BHF107:BHJ107"/>
    <mergeCell ref="BHK107:BHO107"/>
    <mergeCell ref="BHP107:BHT107"/>
    <mergeCell ref="BFW107:BGA107"/>
    <mergeCell ref="BGB107:BGF107"/>
    <mergeCell ref="BGG107:BGK107"/>
    <mergeCell ref="BGL107:BGP107"/>
    <mergeCell ref="BGQ107:BGU107"/>
    <mergeCell ref="BEX107:BFB107"/>
    <mergeCell ref="BFC107:BFG107"/>
    <mergeCell ref="BFH107:BFL107"/>
    <mergeCell ref="BFM107:BFQ107"/>
    <mergeCell ref="BFR107:BFV107"/>
    <mergeCell ref="BDY107:BEC107"/>
    <mergeCell ref="BED107:BEH107"/>
    <mergeCell ref="BEI107:BEM107"/>
    <mergeCell ref="BEN107:BER107"/>
    <mergeCell ref="BES107:BEW107"/>
    <mergeCell ref="BCZ107:BDD107"/>
    <mergeCell ref="BDE107:BDI107"/>
    <mergeCell ref="BDJ107:BDN107"/>
    <mergeCell ref="BDO107:BDS107"/>
    <mergeCell ref="BDT107:BDX107"/>
    <mergeCell ref="BCA107:BCE107"/>
    <mergeCell ref="BCF107:BCJ107"/>
    <mergeCell ref="BCK107:BCO107"/>
    <mergeCell ref="BCP107:BCT107"/>
    <mergeCell ref="BCU107:BCY107"/>
    <mergeCell ref="BBB107:BBF107"/>
    <mergeCell ref="BBG107:BBK107"/>
    <mergeCell ref="BBL107:BBP107"/>
    <mergeCell ref="BBQ107:BBU107"/>
    <mergeCell ref="BBV107:BBZ107"/>
    <mergeCell ref="BAC107:BAG107"/>
    <mergeCell ref="BAH107:BAL107"/>
    <mergeCell ref="BAM107:BAQ107"/>
    <mergeCell ref="BAR107:BAV107"/>
    <mergeCell ref="BAW107:BBA107"/>
    <mergeCell ref="AZD107:AZH107"/>
    <mergeCell ref="AZI107:AZM107"/>
    <mergeCell ref="AZN107:AZR107"/>
    <mergeCell ref="AZS107:AZW107"/>
    <mergeCell ref="AZX107:BAB107"/>
    <mergeCell ref="AYE107:AYI107"/>
    <mergeCell ref="AYJ107:AYN107"/>
    <mergeCell ref="AYO107:AYS107"/>
    <mergeCell ref="AYT107:AYX107"/>
    <mergeCell ref="AYY107:AZC107"/>
    <mergeCell ref="AXF107:AXJ107"/>
    <mergeCell ref="AXK107:AXO107"/>
    <mergeCell ref="AXP107:AXT107"/>
    <mergeCell ref="AXU107:AXY107"/>
    <mergeCell ref="AXZ107:AYD107"/>
    <mergeCell ref="AWG107:AWK107"/>
    <mergeCell ref="AWL107:AWP107"/>
    <mergeCell ref="AWQ107:AWU107"/>
    <mergeCell ref="AWV107:AWZ107"/>
    <mergeCell ref="AXA107:AXE107"/>
    <mergeCell ref="AVH107:AVL107"/>
    <mergeCell ref="AVM107:AVQ107"/>
    <mergeCell ref="AVR107:AVV107"/>
    <mergeCell ref="AVW107:AWA107"/>
    <mergeCell ref="AWB107:AWF107"/>
    <mergeCell ref="AUI107:AUM107"/>
    <mergeCell ref="AUN107:AUR107"/>
    <mergeCell ref="AUS107:AUW107"/>
    <mergeCell ref="AUX107:AVB107"/>
    <mergeCell ref="AVC107:AVG107"/>
    <mergeCell ref="ATJ107:ATN107"/>
    <mergeCell ref="ATO107:ATS107"/>
    <mergeCell ref="ATT107:ATX107"/>
    <mergeCell ref="ATY107:AUC107"/>
    <mergeCell ref="AUD107:AUH107"/>
    <mergeCell ref="ASK107:ASO107"/>
    <mergeCell ref="ASP107:AST107"/>
    <mergeCell ref="ASU107:ASY107"/>
    <mergeCell ref="ASZ107:ATD107"/>
    <mergeCell ref="ATE107:ATI107"/>
    <mergeCell ref="ARL107:ARP107"/>
    <mergeCell ref="ARQ107:ARU107"/>
    <mergeCell ref="ARV107:ARZ107"/>
    <mergeCell ref="ASA107:ASE107"/>
    <mergeCell ref="ASF107:ASJ107"/>
    <mergeCell ref="AQM107:AQQ107"/>
    <mergeCell ref="AQR107:AQV107"/>
    <mergeCell ref="AQW107:ARA107"/>
    <mergeCell ref="ARB107:ARF107"/>
    <mergeCell ref="ARG107:ARK107"/>
    <mergeCell ref="APN107:APR107"/>
    <mergeCell ref="APS107:APW107"/>
    <mergeCell ref="APX107:AQB107"/>
    <mergeCell ref="AQC107:AQG107"/>
    <mergeCell ref="AQH107:AQL107"/>
    <mergeCell ref="AOO107:AOS107"/>
    <mergeCell ref="AOT107:AOX107"/>
    <mergeCell ref="AOY107:APC107"/>
    <mergeCell ref="APD107:APH107"/>
    <mergeCell ref="API107:APM107"/>
    <mergeCell ref="ANP107:ANT107"/>
    <mergeCell ref="ANU107:ANY107"/>
    <mergeCell ref="ANZ107:AOD107"/>
    <mergeCell ref="AOE107:AOI107"/>
    <mergeCell ref="AOJ107:AON107"/>
    <mergeCell ref="AMQ107:AMU107"/>
    <mergeCell ref="AMV107:AMZ107"/>
    <mergeCell ref="ANA107:ANE107"/>
    <mergeCell ref="ANF107:ANJ107"/>
    <mergeCell ref="ANK107:ANO107"/>
    <mergeCell ref="ALR107:ALV107"/>
    <mergeCell ref="ALW107:AMA107"/>
    <mergeCell ref="AMB107:AMF107"/>
    <mergeCell ref="AMG107:AMK107"/>
    <mergeCell ref="AML107:AMP107"/>
    <mergeCell ref="AKS107:AKW107"/>
    <mergeCell ref="AKX107:ALB107"/>
    <mergeCell ref="ALC107:ALG107"/>
    <mergeCell ref="ALH107:ALL107"/>
    <mergeCell ref="ALM107:ALQ107"/>
    <mergeCell ref="AJT107:AJX107"/>
    <mergeCell ref="AJY107:AKC107"/>
    <mergeCell ref="AKD107:AKH107"/>
    <mergeCell ref="AKI107:AKM107"/>
    <mergeCell ref="AKN107:AKR107"/>
    <mergeCell ref="AIU107:AIY107"/>
    <mergeCell ref="AIZ107:AJD107"/>
    <mergeCell ref="AJE107:AJI107"/>
    <mergeCell ref="AJJ107:AJN107"/>
    <mergeCell ref="AJO107:AJS107"/>
    <mergeCell ref="AHV107:AHZ107"/>
    <mergeCell ref="AIA107:AIE107"/>
    <mergeCell ref="AIF107:AIJ107"/>
    <mergeCell ref="AIK107:AIO107"/>
    <mergeCell ref="AIP107:AIT107"/>
    <mergeCell ref="AGW107:AHA107"/>
    <mergeCell ref="AHB107:AHF107"/>
    <mergeCell ref="AHG107:AHK107"/>
    <mergeCell ref="AHL107:AHP107"/>
    <mergeCell ref="AHQ107:AHU107"/>
    <mergeCell ref="AFX107:AGB107"/>
    <mergeCell ref="AGC107:AGG107"/>
    <mergeCell ref="AGH107:AGL107"/>
    <mergeCell ref="AGM107:AGQ107"/>
    <mergeCell ref="AGR107:AGV107"/>
    <mergeCell ref="AEY107:AFC107"/>
    <mergeCell ref="AFD107:AFH107"/>
    <mergeCell ref="AFI107:AFM107"/>
    <mergeCell ref="AFN107:AFR107"/>
    <mergeCell ref="AFS107:AFW107"/>
    <mergeCell ref="ADZ107:AED107"/>
    <mergeCell ref="AEE107:AEI107"/>
    <mergeCell ref="AEJ107:AEN107"/>
    <mergeCell ref="AEO107:AES107"/>
    <mergeCell ref="AET107:AEX107"/>
    <mergeCell ref="ADA107:ADE107"/>
    <mergeCell ref="ADF107:ADJ107"/>
    <mergeCell ref="ADK107:ADO107"/>
    <mergeCell ref="ADP107:ADT107"/>
    <mergeCell ref="ADU107:ADY107"/>
    <mergeCell ref="ACB107:ACF107"/>
    <mergeCell ref="ACG107:ACK107"/>
    <mergeCell ref="ACL107:ACP107"/>
    <mergeCell ref="ACQ107:ACU107"/>
    <mergeCell ref="ACV107:ACZ107"/>
    <mergeCell ref="ABC107:ABG107"/>
    <mergeCell ref="ABH107:ABL107"/>
    <mergeCell ref="ABM107:ABQ107"/>
    <mergeCell ref="ABR107:ABV107"/>
    <mergeCell ref="ABW107:ACA107"/>
    <mergeCell ref="AAD107:AAH107"/>
    <mergeCell ref="AAI107:AAM107"/>
    <mergeCell ref="AAN107:AAR107"/>
    <mergeCell ref="AAS107:AAW107"/>
    <mergeCell ref="AAX107:ABB107"/>
    <mergeCell ref="ZE107:ZI107"/>
    <mergeCell ref="ZJ107:ZN107"/>
    <mergeCell ref="ZO107:ZS107"/>
    <mergeCell ref="ZT107:ZX107"/>
    <mergeCell ref="ZY107:AAC107"/>
    <mergeCell ref="YF107:YJ107"/>
    <mergeCell ref="YK107:YO107"/>
    <mergeCell ref="YP107:YT107"/>
    <mergeCell ref="YU107:YY107"/>
    <mergeCell ref="YZ107:ZD107"/>
    <mergeCell ref="XG107:XK107"/>
    <mergeCell ref="XL107:XP107"/>
    <mergeCell ref="XQ107:XU107"/>
    <mergeCell ref="XV107:XZ107"/>
    <mergeCell ref="YA107:YE107"/>
    <mergeCell ref="WH107:WL107"/>
    <mergeCell ref="WM107:WQ107"/>
    <mergeCell ref="WR107:WV107"/>
    <mergeCell ref="WW107:XA107"/>
    <mergeCell ref="XB107:XF107"/>
    <mergeCell ref="VI107:VM107"/>
    <mergeCell ref="VN107:VR107"/>
    <mergeCell ref="VS107:VW107"/>
    <mergeCell ref="VX107:WB107"/>
    <mergeCell ref="WC107:WG107"/>
    <mergeCell ref="UJ107:UN107"/>
    <mergeCell ref="UO107:US107"/>
    <mergeCell ref="UT107:UX107"/>
    <mergeCell ref="UY107:VC107"/>
    <mergeCell ref="VD107:VH107"/>
    <mergeCell ref="TK107:TO107"/>
    <mergeCell ref="TP107:TT107"/>
    <mergeCell ref="TU107:TY107"/>
    <mergeCell ref="TZ107:UD107"/>
    <mergeCell ref="UE107:UI107"/>
    <mergeCell ref="SL107:SP107"/>
    <mergeCell ref="SQ107:SU107"/>
    <mergeCell ref="SV107:SZ107"/>
    <mergeCell ref="TA107:TE107"/>
    <mergeCell ref="TF107:TJ107"/>
    <mergeCell ref="RM107:RQ107"/>
    <mergeCell ref="RR107:RV107"/>
    <mergeCell ref="RW107:SA107"/>
    <mergeCell ref="SB107:SF107"/>
    <mergeCell ref="SG107:SK107"/>
    <mergeCell ref="QN107:QR107"/>
    <mergeCell ref="QS107:QW107"/>
    <mergeCell ref="QX107:RB107"/>
    <mergeCell ref="RC107:RG107"/>
    <mergeCell ref="RH107:RL107"/>
    <mergeCell ref="PO107:PS107"/>
    <mergeCell ref="PT107:PX107"/>
    <mergeCell ref="PY107:QC107"/>
    <mergeCell ref="QD107:QH107"/>
    <mergeCell ref="QI107:QM107"/>
    <mergeCell ref="OP107:OT107"/>
    <mergeCell ref="OU107:OY107"/>
    <mergeCell ref="OZ107:PD107"/>
    <mergeCell ref="PE107:PI107"/>
    <mergeCell ref="PJ107:PN107"/>
    <mergeCell ref="NQ107:NU107"/>
    <mergeCell ref="NV107:NZ107"/>
    <mergeCell ref="OA107:OE107"/>
    <mergeCell ref="OF107:OJ107"/>
    <mergeCell ref="OK107:OO107"/>
    <mergeCell ref="MR107:MV107"/>
    <mergeCell ref="MW107:NA107"/>
    <mergeCell ref="NB107:NF107"/>
    <mergeCell ref="NG107:NK107"/>
    <mergeCell ref="NL107:NP107"/>
    <mergeCell ref="LS107:LW107"/>
    <mergeCell ref="LX107:MB107"/>
    <mergeCell ref="MC107:MG107"/>
    <mergeCell ref="MH107:ML107"/>
    <mergeCell ref="MM107:MQ107"/>
    <mergeCell ref="KT107:KX107"/>
    <mergeCell ref="KY107:LC107"/>
    <mergeCell ref="LD107:LH107"/>
    <mergeCell ref="LI107:LM107"/>
    <mergeCell ref="LN107:LR107"/>
    <mergeCell ref="JU107:JY107"/>
    <mergeCell ref="JZ107:KD107"/>
    <mergeCell ref="KE107:KI107"/>
    <mergeCell ref="KJ107:KN107"/>
    <mergeCell ref="KO107:KS107"/>
    <mergeCell ref="IV107:IZ107"/>
    <mergeCell ref="JA107:JE107"/>
    <mergeCell ref="JF107:JJ107"/>
    <mergeCell ref="JK107:JO107"/>
    <mergeCell ref="JP107:JT107"/>
    <mergeCell ref="HW107:IA107"/>
    <mergeCell ref="IB107:IF107"/>
    <mergeCell ref="IG107:IK107"/>
    <mergeCell ref="IL107:IP107"/>
    <mergeCell ref="IQ107:IU107"/>
    <mergeCell ref="GX107:HB107"/>
    <mergeCell ref="HC107:HG107"/>
    <mergeCell ref="HH107:HL107"/>
    <mergeCell ref="HM107:HQ107"/>
    <mergeCell ref="HR107:HV107"/>
    <mergeCell ref="FY107:GC107"/>
    <mergeCell ref="GD107:GH107"/>
    <mergeCell ref="GI107:GM107"/>
    <mergeCell ref="GN107:GR107"/>
    <mergeCell ref="GS107:GW107"/>
    <mergeCell ref="EZ107:FD107"/>
    <mergeCell ref="FE107:FI107"/>
    <mergeCell ref="FJ107:FN107"/>
    <mergeCell ref="FO107:FS107"/>
    <mergeCell ref="FT107:FX107"/>
    <mergeCell ref="EA107:EE107"/>
    <mergeCell ref="EF107:EJ107"/>
    <mergeCell ref="EK107:EO107"/>
    <mergeCell ref="EP107:ET107"/>
    <mergeCell ref="EU107:EY107"/>
    <mergeCell ref="DB107:DF107"/>
    <mergeCell ref="DG107:DK107"/>
    <mergeCell ref="DL107:DP107"/>
    <mergeCell ref="DQ107:DU107"/>
    <mergeCell ref="DV107:DZ107"/>
    <mergeCell ref="CC107:CG107"/>
    <mergeCell ref="CH107:CL107"/>
    <mergeCell ref="CM107:CQ107"/>
    <mergeCell ref="CR107:CV107"/>
    <mergeCell ref="CW107:DA107"/>
    <mergeCell ref="XFA106:XFD106"/>
    <mergeCell ref="B107:E107"/>
    <mergeCell ref="F107:J107"/>
    <mergeCell ref="P107:T107"/>
    <mergeCell ref="U107:Y107"/>
    <mergeCell ref="Z107:AD107"/>
    <mergeCell ref="AE107:AI107"/>
    <mergeCell ref="AJ107:AN107"/>
    <mergeCell ref="AO107:AS107"/>
    <mergeCell ref="AT107:AX107"/>
    <mergeCell ref="AY107:BC107"/>
    <mergeCell ref="BD107:BH107"/>
    <mergeCell ref="BI107:BM107"/>
    <mergeCell ref="BN107:BR107"/>
    <mergeCell ref="BS107:BW107"/>
    <mergeCell ref="BX107:CB107"/>
    <mergeCell ref="XEB106:XEF106"/>
    <mergeCell ref="XEG106:XEK106"/>
    <mergeCell ref="XEL106:XEP106"/>
    <mergeCell ref="XEQ106:XEU106"/>
    <mergeCell ref="XEV106:XEZ106"/>
    <mergeCell ref="XDC106:XDG106"/>
    <mergeCell ref="XDH106:XDL106"/>
    <mergeCell ref="XDM106:XDQ106"/>
    <mergeCell ref="XDR106:XDV106"/>
    <mergeCell ref="XDW106:XEA106"/>
    <mergeCell ref="XCD106:XCH106"/>
    <mergeCell ref="XCI106:XCM106"/>
    <mergeCell ref="XCN106:XCR106"/>
    <mergeCell ref="XCS106:XCW106"/>
    <mergeCell ref="XCX106:XDB106"/>
    <mergeCell ref="XBE106:XBI106"/>
    <mergeCell ref="XBJ106:XBN106"/>
    <mergeCell ref="XBO106:XBS106"/>
    <mergeCell ref="XBT106:XBX106"/>
    <mergeCell ref="XBY106:XCC106"/>
    <mergeCell ref="XAF106:XAJ106"/>
    <mergeCell ref="XAK106:XAO106"/>
    <mergeCell ref="XAP106:XAT106"/>
    <mergeCell ref="XAU106:XAY106"/>
    <mergeCell ref="XAZ106:XBD106"/>
    <mergeCell ref="WZG106:WZK106"/>
    <mergeCell ref="WZL106:WZP106"/>
    <mergeCell ref="WZQ106:WZU106"/>
    <mergeCell ref="WZV106:WZZ106"/>
    <mergeCell ref="XAA106:XAE106"/>
    <mergeCell ref="WYH106:WYL106"/>
    <mergeCell ref="WYM106:WYQ106"/>
    <mergeCell ref="WYR106:WYV106"/>
    <mergeCell ref="WYW106:WZA106"/>
    <mergeCell ref="WZB106:WZF106"/>
    <mergeCell ref="WXI106:WXM106"/>
    <mergeCell ref="WXN106:WXR106"/>
    <mergeCell ref="WXS106:WXW106"/>
    <mergeCell ref="WXX106:WYB106"/>
    <mergeCell ref="WYC106:WYG106"/>
    <mergeCell ref="WWJ106:WWN106"/>
    <mergeCell ref="WWO106:WWS106"/>
    <mergeCell ref="WWT106:WWX106"/>
    <mergeCell ref="WWY106:WXC106"/>
    <mergeCell ref="WXD106:WXH106"/>
    <mergeCell ref="WVK106:WVO106"/>
    <mergeCell ref="WVP106:WVT106"/>
    <mergeCell ref="WVU106:WVY106"/>
    <mergeCell ref="WVZ106:WWD106"/>
    <mergeCell ref="WWE106:WWI106"/>
    <mergeCell ref="WUL106:WUP106"/>
    <mergeCell ref="WUQ106:WUU106"/>
    <mergeCell ref="WUV106:WUZ106"/>
    <mergeCell ref="WVA106:WVE106"/>
    <mergeCell ref="WVF106:WVJ106"/>
    <mergeCell ref="WTM106:WTQ106"/>
    <mergeCell ref="WTR106:WTV106"/>
    <mergeCell ref="WTW106:WUA106"/>
    <mergeCell ref="WUB106:WUF106"/>
    <mergeCell ref="WUG106:WUK106"/>
    <mergeCell ref="WSN106:WSR106"/>
    <mergeCell ref="WSS106:WSW106"/>
    <mergeCell ref="WSX106:WTB106"/>
    <mergeCell ref="WTC106:WTG106"/>
    <mergeCell ref="WTH106:WTL106"/>
    <mergeCell ref="WRO106:WRS106"/>
    <mergeCell ref="WRT106:WRX106"/>
    <mergeCell ref="WRY106:WSC106"/>
    <mergeCell ref="WSD106:WSH106"/>
    <mergeCell ref="WSI106:WSM106"/>
    <mergeCell ref="WQP106:WQT106"/>
    <mergeCell ref="WQU106:WQY106"/>
    <mergeCell ref="WQZ106:WRD106"/>
    <mergeCell ref="WRE106:WRI106"/>
    <mergeCell ref="WRJ106:WRN106"/>
    <mergeCell ref="WPQ106:WPU106"/>
    <mergeCell ref="WPV106:WPZ106"/>
    <mergeCell ref="WQA106:WQE106"/>
    <mergeCell ref="WQF106:WQJ106"/>
    <mergeCell ref="WQK106:WQO106"/>
    <mergeCell ref="WOR106:WOV106"/>
    <mergeCell ref="WOW106:WPA106"/>
    <mergeCell ref="WPB106:WPF106"/>
    <mergeCell ref="WPG106:WPK106"/>
    <mergeCell ref="WPL106:WPP106"/>
    <mergeCell ref="WNS106:WNW106"/>
    <mergeCell ref="WNX106:WOB106"/>
    <mergeCell ref="WOC106:WOG106"/>
    <mergeCell ref="WOH106:WOL106"/>
    <mergeCell ref="WOM106:WOQ106"/>
    <mergeCell ref="WMT106:WMX106"/>
    <mergeCell ref="WMY106:WNC106"/>
    <mergeCell ref="WND106:WNH106"/>
    <mergeCell ref="WNI106:WNM106"/>
    <mergeCell ref="WNN106:WNR106"/>
    <mergeCell ref="WLU106:WLY106"/>
    <mergeCell ref="WLZ106:WMD106"/>
    <mergeCell ref="WME106:WMI106"/>
    <mergeCell ref="WMJ106:WMN106"/>
    <mergeCell ref="WMO106:WMS106"/>
    <mergeCell ref="WKV106:WKZ106"/>
    <mergeCell ref="WLA106:WLE106"/>
    <mergeCell ref="WLF106:WLJ106"/>
    <mergeCell ref="WLK106:WLO106"/>
    <mergeCell ref="WLP106:WLT106"/>
    <mergeCell ref="WJW106:WKA106"/>
    <mergeCell ref="WKB106:WKF106"/>
    <mergeCell ref="WKG106:WKK106"/>
    <mergeCell ref="WKL106:WKP106"/>
    <mergeCell ref="WKQ106:WKU106"/>
    <mergeCell ref="WIX106:WJB106"/>
    <mergeCell ref="WJC106:WJG106"/>
    <mergeCell ref="WJH106:WJL106"/>
    <mergeCell ref="WJM106:WJQ106"/>
    <mergeCell ref="WJR106:WJV106"/>
    <mergeCell ref="WHY106:WIC106"/>
    <mergeCell ref="WID106:WIH106"/>
    <mergeCell ref="WII106:WIM106"/>
    <mergeCell ref="WIN106:WIR106"/>
    <mergeCell ref="WIS106:WIW106"/>
    <mergeCell ref="WGZ106:WHD106"/>
    <mergeCell ref="WHE106:WHI106"/>
    <mergeCell ref="WHJ106:WHN106"/>
    <mergeCell ref="WHO106:WHS106"/>
    <mergeCell ref="WHT106:WHX106"/>
    <mergeCell ref="WGA106:WGE106"/>
    <mergeCell ref="WGF106:WGJ106"/>
    <mergeCell ref="WGK106:WGO106"/>
    <mergeCell ref="WGP106:WGT106"/>
    <mergeCell ref="WGU106:WGY106"/>
    <mergeCell ref="WFB106:WFF106"/>
    <mergeCell ref="WFG106:WFK106"/>
    <mergeCell ref="WFL106:WFP106"/>
    <mergeCell ref="WFQ106:WFU106"/>
    <mergeCell ref="WFV106:WFZ106"/>
    <mergeCell ref="WEC106:WEG106"/>
    <mergeCell ref="WEH106:WEL106"/>
    <mergeCell ref="WEM106:WEQ106"/>
    <mergeCell ref="WER106:WEV106"/>
    <mergeCell ref="WEW106:WFA106"/>
    <mergeCell ref="WDD106:WDH106"/>
    <mergeCell ref="WDI106:WDM106"/>
    <mergeCell ref="WDN106:WDR106"/>
    <mergeCell ref="WDS106:WDW106"/>
    <mergeCell ref="WDX106:WEB106"/>
    <mergeCell ref="WCE106:WCI106"/>
    <mergeCell ref="WCJ106:WCN106"/>
    <mergeCell ref="WCO106:WCS106"/>
    <mergeCell ref="WCT106:WCX106"/>
    <mergeCell ref="WCY106:WDC106"/>
    <mergeCell ref="WBF106:WBJ106"/>
    <mergeCell ref="WBK106:WBO106"/>
    <mergeCell ref="WBP106:WBT106"/>
    <mergeCell ref="WBU106:WBY106"/>
    <mergeCell ref="WBZ106:WCD106"/>
    <mergeCell ref="WAG106:WAK106"/>
    <mergeCell ref="WAL106:WAP106"/>
    <mergeCell ref="WAQ106:WAU106"/>
    <mergeCell ref="WAV106:WAZ106"/>
    <mergeCell ref="WBA106:WBE106"/>
    <mergeCell ref="VZH106:VZL106"/>
    <mergeCell ref="VZM106:VZQ106"/>
    <mergeCell ref="VZR106:VZV106"/>
    <mergeCell ref="VZW106:WAA106"/>
    <mergeCell ref="WAB106:WAF106"/>
    <mergeCell ref="VYI106:VYM106"/>
    <mergeCell ref="VYN106:VYR106"/>
    <mergeCell ref="VYS106:VYW106"/>
    <mergeCell ref="VYX106:VZB106"/>
    <mergeCell ref="VZC106:VZG106"/>
    <mergeCell ref="VXJ106:VXN106"/>
    <mergeCell ref="VXO106:VXS106"/>
    <mergeCell ref="VXT106:VXX106"/>
    <mergeCell ref="VXY106:VYC106"/>
    <mergeCell ref="VYD106:VYH106"/>
    <mergeCell ref="VWK106:VWO106"/>
    <mergeCell ref="VWP106:VWT106"/>
    <mergeCell ref="VWU106:VWY106"/>
    <mergeCell ref="VWZ106:VXD106"/>
    <mergeCell ref="VXE106:VXI106"/>
    <mergeCell ref="VVL106:VVP106"/>
    <mergeCell ref="VVQ106:VVU106"/>
    <mergeCell ref="VVV106:VVZ106"/>
    <mergeCell ref="VWA106:VWE106"/>
    <mergeCell ref="VWF106:VWJ106"/>
    <mergeCell ref="VUM106:VUQ106"/>
    <mergeCell ref="VUR106:VUV106"/>
    <mergeCell ref="VUW106:VVA106"/>
    <mergeCell ref="VVB106:VVF106"/>
    <mergeCell ref="VVG106:VVK106"/>
    <mergeCell ref="VTN106:VTR106"/>
    <mergeCell ref="VTS106:VTW106"/>
    <mergeCell ref="VTX106:VUB106"/>
    <mergeCell ref="VUC106:VUG106"/>
    <mergeCell ref="VUH106:VUL106"/>
    <mergeCell ref="VSO106:VSS106"/>
    <mergeCell ref="VST106:VSX106"/>
    <mergeCell ref="VSY106:VTC106"/>
    <mergeCell ref="VTD106:VTH106"/>
    <mergeCell ref="VTI106:VTM106"/>
    <mergeCell ref="VRP106:VRT106"/>
    <mergeCell ref="VRU106:VRY106"/>
    <mergeCell ref="VRZ106:VSD106"/>
    <mergeCell ref="VSE106:VSI106"/>
    <mergeCell ref="VSJ106:VSN106"/>
    <mergeCell ref="VQQ106:VQU106"/>
    <mergeCell ref="VQV106:VQZ106"/>
    <mergeCell ref="VRA106:VRE106"/>
    <mergeCell ref="VRF106:VRJ106"/>
    <mergeCell ref="VRK106:VRO106"/>
    <mergeCell ref="VPR106:VPV106"/>
    <mergeCell ref="VPW106:VQA106"/>
    <mergeCell ref="VQB106:VQF106"/>
    <mergeCell ref="VQG106:VQK106"/>
    <mergeCell ref="VQL106:VQP106"/>
    <mergeCell ref="VOS106:VOW106"/>
    <mergeCell ref="VOX106:VPB106"/>
    <mergeCell ref="VPC106:VPG106"/>
    <mergeCell ref="VPH106:VPL106"/>
    <mergeCell ref="VPM106:VPQ106"/>
    <mergeCell ref="VNT106:VNX106"/>
    <mergeCell ref="VNY106:VOC106"/>
    <mergeCell ref="VOD106:VOH106"/>
    <mergeCell ref="VOI106:VOM106"/>
    <mergeCell ref="VON106:VOR106"/>
    <mergeCell ref="VMU106:VMY106"/>
    <mergeCell ref="VMZ106:VND106"/>
    <mergeCell ref="VNE106:VNI106"/>
    <mergeCell ref="VNJ106:VNN106"/>
    <mergeCell ref="VNO106:VNS106"/>
    <mergeCell ref="VLV106:VLZ106"/>
    <mergeCell ref="VMA106:VME106"/>
    <mergeCell ref="VMF106:VMJ106"/>
    <mergeCell ref="VMK106:VMO106"/>
    <mergeCell ref="VMP106:VMT106"/>
    <mergeCell ref="VKW106:VLA106"/>
    <mergeCell ref="VLB106:VLF106"/>
    <mergeCell ref="VLG106:VLK106"/>
    <mergeCell ref="VLL106:VLP106"/>
    <mergeCell ref="VLQ106:VLU106"/>
    <mergeCell ref="VJX106:VKB106"/>
    <mergeCell ref="VKC106:VKG106"/>
    <mergeCell ref="VKH106:VKL106"/>
    <mergeCell ref="VKM106:VKQ106"/>
    <mergeCell ref="VKR106:VKV106"/>
    <mergeCell ref="VIY106:VJC106"/>
    <mergeCell ref="VJD106:VJH106"/>
    <mergeCell ref="VJI106:VJM106"/>
    <mergeCell ref="VJN106:VJR106"/>
    <mergeCell ref="VJS106:VJW106"/>
    <mergeCell ref="VHZ106:VID106"/>
    <mergeCell ref="VIE106:VII106"/>
    <mergeCell ref="VIJ106:VIN106"/>
    <mergeCell ref="VIO106:VIS106"/>
    <mergeCell ref="VIT106:VIX106"/>
    <mergeCell ref="VHA106:VHE106"/>
    <mergeCell ref="VHF106:VHJ106"/>
    <mergeCell ref="VHK106:VHO106"/>
    <mergeCell ref="VHP106:VHT106"/>
    <mergeCell ref="VHU106:VHY106"/>
    <mergeCell ref="VGB106:VGF106"/>
    <mergeCell ref="VGG106:VGK106"/>
    <mergeCell ref="VGL106:VGP106"/>
    <mergeCell ref="VGQ106:VGU106"/>
    <mergeCell ref="VGV106:VGZ106"/>
    <mergeCell ref="VFC106:VFG106"/>
    <mergeCell ref="VFH106:VFL106"/>
    <mergeCell ref="VFM106:VFQ106"/>
    <mergeCell ref="VFR106:VFV106"/>
    <mergeCell ref="VFW106:VGA106"/>
    <mergeCell ref="VED106:VEH106"/>
    <mergeCell ref="VEI106:VEM106"/>
    <mergeCell ref="VEN106:VER106"/>
    <mergeCell ref="VES106:VEW106"/>
    <mergeCell ref="VEX106:VFB106"/>
    <mergeCell ref="VDE106:VDI106"/>
    <mergeCell ref="VDJ106:VDN106"/>
    <mergeCell ref="VDO106:VDS106"/>
    <mergeCell ref="VDT106:VDX106"/>
    <mergeCell ref="VDY106:VEC106"/>
    <mergeCell ref="VCF106:VCJ106"/>
    <mergeCell ref="VCK106:VCO106"/>
    <mergeCell ref="VCP106:VCT106"/>
    <mergeCell ref="VCU106:VCY106"/>
    <mergeCell ref="VCZ106:VDD106"/>
    <mergeCell ref="VBG106:VBK106"/>
    <mergeCell ref="VBL106:VBP106"/>
    <mergeCell ref="VBQ106:VBU106"/>
    <mergeCell ref="VBV106:VBZ106"/>
    <mergeCell ref="VCA106:VCE106"/>
    <mergeCell ref="VAH106:VAL106"/>
    <mergeCell ref="VAM106:VAQ106"/>
    <mergeCell ref="VAR106:VAV106"/>
    <mergeCell ref="VAW106:VBA106"/>
    <mergeCell ref="VBB106:VBF106"/>
    <mergeCell ref="UZI106:UZM106"/>
    <mergeCell ref="UZN106:UZR106"/>
    <mergeCell ref="UZS106:UZW106"/>
    <mergeCell ref="UZX106:VAB106"/>
    <mergeCell ref="VAC106:VAG106"/>
    <mergeCell ref="UYJ106:UYN106"/>
    <mergeCell ref="UYO106:UYS106"/>
    <mergeCell ref="UYT106:UYX106"/>
    <mergeCell ref="UYY106:UZC106"/>
    <mergeCell ref="UZD106:UZH106"/>
    <mergeCell ref="UXK106:UXO106"/>
    <mergeCell ref="UXP106:UXT106"/>
    <mergeCell ref="UXU106:UXY106"/>
    <mergeCell ref="UXZ106:UYD106"/>
    <mergeCell ref="UYE106:UYI106"/>
    <mergeCell ref="UWL106:UWP106"/>
    <mergeCell ref="UWQ106:UWU106"/>
    <mergeCell ref="UWV106:UWZ106"/>
    <mergeCell ref="UXA106:UXE106"/>
    <mergeCell ref="UXF106:UXJ106"/>
    <mergeCell ref="UVM106:UVQ106"/>
    <mergeCell ref="UVR106:UVV106"/>
    <mergeCell ref="UVW106:UWA106"/>
    <mergeCell ref="UWB106:UWF106"/>
    <mergeCell ref="UWG106:UWK106"/>
    <mergeCell ref="UUN106:UUR106"/>
    <mergeCell ref="UUS106:UUW106"/>
    <mergeCell ref="UUX106:UVB106"/>
    <mergeCell ref="UVC106:UVG106"/>
    <mergeCell ref="UVH106:UVL106"/>
    <mergeCell ref="UTO106:UTS106"/>
    <mergeCell ref="UTT106:UTX106"/>
    <mergeCell ref="UTY106:UUC106"/>
    <mergeCell ref="UUD106:UUH106"/>
    <mergeCell ref="UUI106:UUM106"/>
    <mergeCell ref="USP106:UST106"/>
    <mergeCell ref="USU106:USY106"/>
    <mergeCell ref="USZ106:UTD106"/>
    <mergeCell ref="UTE106:UTI106"/>
    <mergeCell ref="UTJ106:UTN106"/>
    <mergeCell ref="URQ106:URU106"/>
    <mergeCell ref="URV106:URZ106"/>
    <mergeCell ref="USA106:USE106"/>
    <mergeCell ref="USF106:USJ106"/>
    <mergeCell ref="USK106:USO106"/>
    <mergeCell ref="UQR106:UQV106"/>
    <mergeCell ref="UQW106:URA106"/>
    <mergeCell ref="URB106:URF106"/>
    <mergeCell ref="URG106:URK106"/>
    <mergeCell ref="URL106:URP106"/>
    <mergeCell ref="UPS106:UPW106"/>
    <mergeCell ref="UPX106:UQB106"/>
    <mergeCell ref="UQC106:UQG106"/>
    <mergeCell ref="UQH106:UQL106"/>
    <mergeCell ref="UQM106:UQQ106"/>
    <mergeCell ref="UOT106:UOX106"/>
    <mergeCell ref="UOY106:UPC106"/>
    <mergeCell ref="UPD106:UPH106"/>
    <mergeCell ref="UPI106:UPM106"/>
    <mergeCell ref="UPN106:UPR106"/>
    <mergeCell ref="UNU106:UNY106"/>
    <mergeCell ref="UNZ106:UOD106"/>
    <mergeCell ref="UOE106:UOI106"/>
    <mergeCell ref="UOJ106:UON106"/>
    <mergeCell ref="UOO106:UOS106"/>
    <mergeCell ref="UMV106:UMZ106"/>
    <mergeCell ref="UNA106:UNE106"/>
    <mergeCell ref="UNF106:UNJ106"/>
    <mergeCell ref="UNK106:UNO106"/>
    <mergeCell ref="UNP106:UNT106"/>
    <mergeCell ref="ULW106:UMA106"/>
    <mergeCell ref="UMB106:UMF106"/>
    <mergeCell ref="UMG106:UMK106"/>
    <mergeCell ref="UML106:UMP106"/>
    <mergeCell ref="UMQ106:UMU106"/>
    <mergeCell ref="UKX106:ULB106"/>
    <mergeCell ref="ULC106:ULG106"/>
    <mergeCell ref="ULH106:ULL106"/>
    <mergeCell ref="ULM106:ULQ106"/>
    <mergeCell ref="ULR106:ULV106"/>
    <mergeCell ref="UJY106:UKC106"/>
    <mergeCell ref="UKD106:UKH106"/>
    <mergeCell ref="UKI106:UKM106"/>
    <mergeCell ref="UKN106:UKR106"/>
    <mergeCell ref="UKS106:UKW106"/>
    <mergeCell ref="UIZ106:UJD106"/>
    <mergeCell ref="UJE106:UJI106"/>
    <mergeCell ref="UJJ106:UJN106"/>
    <mergeCell ref="UJO106:UJS106"/>
    <mergeCell ref="UJT106:UJX106"/>
    <mergeCell ref="UIA106:UIE106"/>
    <mergeCell ref="UIF106:UIJ106"/>
    <mergeCell ref="UIK106:UIO106"/>
    <mergeCell ref="UIP106:UIT106"/>
    <mergeCell ref="UIU106:UIY106"/>
    <mergeCell ref="UHB106:UHF106"/>
    <mergeCell ref="UHG106:UHK106"/>
    <mergeCell ref="UHL106:UHP106"/>
    <mergeCell ref="UHQ106:UHU106"/>
    <mergeCell ref="UHV106:UHZ106"/>
    <mergeCell ref="UGC106:UGG106"/>
    <mergeCell ref="UGH106:UGL106"/>
    <mergeCell ref="UGM106:UGQ106"/>
    <mergeCell ref="UGR106:UGV106"/>
    <mergeCell ref="UGW106:UHA106"/>
    <mergeCell ref="UFD106:UFH106"/>
    <mergeCell ref="UFI106:UFM106"/>
    <mergeCell ref="UFN106:UFR106"/>
    <mergeCell ref="UFS106:UFW106"/>
    <mergeCell ref="UFX106:UGB106"/>
    <mergeCell ref="UEE106:UEI106"/>
    <mergeCell ref="UEJ106:UEN106"/>
    <mergeCell ref="UEO106:UES106"/>
    <mergeCell ref="UET106:UEX106"/>
    <mergeCell ref="UEY106:UFC106"/>
    <mergeCell ref="UDF106:UDJ106"/>
    <mergeCell ref="UDK106:UDO106"/>
    <mergeCell ref="UDP106:UDT106"/>
    <mergeCell ref="UDU106:UDY106"/>
    <mergeCell ref="UDZ106:UED106"/>
    <mergeCell ref="UCG106:UCK106"/>
    <mergeCell ref="UCL106:UCP106"/>
    <mergeCell ref="UCQ106:UCU106"/>
    <mergeCell ref="UCV106:UCZ106"/>
    <mergeCell ref="UDA106:UDE106"/>
    <mergeCell ref="UBH106:UBL106"/>
    <mergeCell ref="UBM106:UBQ106"/>
    <mergeCell ref="UBR106:UBV106"/>
    <mergeCell ref="UBW106:UCA106"/>
    <mergeCell ref="UCB106:UCF106"/>
    <mergeCell ref="UAI106:UAM106"/>
    <mergeCell ref="UAN106:UAR106"/>
    <mergeCell ref="UAS106:UAW106"/>
    <mergeCell ref="UAX106:UBB106"/>
    <mergeCell ref="UBC106:UBG106"/>
    <mergeCell ref="TZJ106:TZN106"/>
    <mergeCell ref="TZO106:TZS106"/>
    <mergeCell ref="TZT106:TZX106"/>
    <mergeCell ref="TZY106:UAC106"/>
    <mergeCell ref="UAD106:UAH106"/>
    <mergeCell ref="TYK106:TYO106"/>
    <mergeCell ref="TYP106:TYT106"/>
    <mergeCell ref="TYU106:TYY106"/>
    <mergeCell ref="TYZ106:TZD106"/>
    <mergeCell ref="TZE106:TZI106"/>
    <mergeCell ref="TXL106:TXP106"/>
    <mergeCell ref="TXQ106:TXU106"/>
    <mergeCell ref="TXV106:TXZ106"/>
    <mergeCell ref="TYA106:TYE106"/>
    <mergeCell ref="TYF106:TYJ106"/>
    <mergeCell ref="TWM106:TWQ106"/>
    <mergeCell ref="TWR106:TWV106"/>
    <mergeCell ref="TWW106:TXA106"/>
    <mergeCell ref="TXB106:TXF106"/>
    <mergeCell ref="TXG106:TXK106"/>
    <mergeCell ref="TVN106:TVR106"/>
    <mergeCell ref="TVS106:TVW106"/>
    <mergeCell ref="TVX106:TWB106"/>
    <mergeCell ref="TWC106:TWG106"/>
    <mergeCell ref="TWH106:TWL106"/>
    <mergeCell ref="TUO106:TUS106"/>
    <mergeCell ref="TUT106:TUX106"/>
    <mergeCell ref="TUY106:TVC106"/>
    <mergeCell ref="TVD106:TVH106"/>
    <mergeCell ref="TVI106:TVM106"/>
    <mergeCell ref="TTP106:TTT106"/>
    <mergeCell ref="TTU106:TTY106"/>
    <mergeCell ref="TTZ106:TUD106"/>
    <mergeCell ref="TUE106:TUI106"/>
    <mergeCell ref="TUJ106:TUN106"/>
    <mergeCell ref="TSQ106:TSU106"/>
    <mergeCell ref="TSV106:TSZ106"/>
    <mergeCell ref="TTA106:TTE106"/>
    <mergeCell ref="TTF106:TTJ106"/>
    <mergeCell ref="TTK106:TTO106"/>
    <mergeCell ref="TRR106:TRV106"/>
    <mergeCell ref="TRW106:TSA106"/>
    <mergeCell ref="TSB106:TSF106"/>
    <mergeCell ref="TSG106:TSK106"/>
    <mergeCell ref="TSL106:TSP106"/>
    <mergeCell ref="TQS106:TQW106"/>
    <mergeCell ref="TQX106:TRB106"/>
    <mergeCell ref="TRC106:TRG106"/>
    <mergeCell ref="TRH106:TRL106"/>
    <mergeCell ref="TRM106:TRQ106"/>
    <mergeCell ref="TPT106:TPX106"/>
    <mergeCell ref="TPY106:TQC106"/>
    <mergeCell ref="TQD106:TQH106"/>
    <mergeCell ref="TQI106:TQM106"/>
    <mergeCell ref="TQN106:TQR106"/>
    <mergeCell ref="TOU106:TOY106"/>
    <mergeCell ref="TOZ106:TPD106"/>
    <mergeCell ref="TPE106:TPI106"/>
    <mergeCell ref="TPJ106:TPN106"/>
    <mergeCell ref="TPO106:TPS106"/>
    <mergeCell ref="TNV106:TNZ106"/>
    <mergeCell ref="TOA106:TOE106"/>
    <mergeCell ref="TOF106:TOJ106"/>
    <mergeCell ref="TOK106:TOO106"/>
    <mergeCell ref="TOP106:TOT106"/>
    <mergeCell ref="TMW106:TNA106"/>
    <mergeCell ref="TNB106:TNF106"/>
    <mergeCell ref="TNG106:TNK106"/>
    <mergeCell ref="TNL106:TNP106"/>
    <mergeCell ref="TNQ106:TNU106"/>
    <mergeCell ref="TLX106:TMB106"/>
    <mergeCell ref="TMC106:TMG106"/>
    <mergeCell ref="TMH106:TML106"/>
    <mergeCell ref="TMM106:TMQ106"/>
    <mergeCell ref="TMR106:TMV106"/>
    <mergeCell ref="TKY106:TLC106"/>
    <mergeCell ref="TLD106:TLH106"/>
    <mergeCell ref="TLI106:TLM106"/>
    <mergeCell ref="TLN106:TLR106"/>
    <mergeCell ref="TLS106:TLW106"/>
    <mergeCell ref="TJZ106:TKD106"/>
    <mergeCell ref="TKE106:TKI106"/>
    <mergeCell ref="TKJ106:TKN106"/>
    <mergeCell ref="TKO106:TKS106"/>
    <mergeCell ref="TKT106:TKX106"/>
    <mergeCell ref="TJA106:TJE106"/>
    <mergeCell ref="TJF106:TJJ106"/>
    <mergeCell ref="TJK106:TJO106"/>
    <mergeCell ref="TJP106:TJT106"/>
    <mergeCell ref="TJU106:TJY106"/>
    <mergeCell ref="TIB106:TIF106"/>
    <mergeCell ref="TIG106:TIK106"/>
    <mergeCell ref="TIL106:TIP106"/>
    <mergeCell ref="TIQ106:TIU106"/>
    <mergeCell ref="TIV106:TIZ106"/>
    <mergeCell ref="THC106:THG106"/>
    <mergeCell ref="THH106:THL106"/>
    <mergeCell ref="THM106:THQ106"/>
    <mergeCell ref="THR106:THV106"/>
    <mergeCell ref="THW106:TIA106"/>
    <mergeCell ref="TGD106:TGH106"/>
    <mergeCell ref="TGI106:TGM106"/>
    <mergeCell ref="TGN106:TGR106"/>
    <mergeCell ref="TGS106:TGW106"/>
    <mergeCell ref="TGX106:THB106"/>
    <mergeCell ref="TFE106:TFI106"/>
    <mergeCell ref="TFJ106:TFN106"/>
    <mergeCell ref="TFO106:TFS106"/>
    <mergeCell ref="TFT106:TFX106"/>
    <mergeCell ref="TFY106:TGC106"/>
    <mergeCell ref="TEF106:TEJ106"/>
    <mergeCell ref="TEK106:TEO106"/>
    <mergeCell ref="TEP106:TET106"/>
    <mergeCell ref="TEU106:TEY106"/>
    <mergeCell ref="TEZ106:TFD106"/>
    <mergeCell ref="TDG106:TDK106"/>
    <mergeCell ref="TDL106:TDP106"/>
    <mergeCell ref="TDQ106:TDU106"/>
    <mergeCell ref="TDV106:TDZ106"/>
    <mergeCell ref="TEA106:TEE106"/>
    <mergeCell ref="TCH106:TCL106"/>
    <mergeCell ref="TCM106:TCQ106"/>
    <mergeCell ref="TCR106:TCV106"/>
    <mergeCell ref="TCW106:TDA106"/>
    <mergeCell ref="TDB106:TDF106"/>
    <mergeCell ref="TBI106:TBM106"/>
    <mergeCell ref="TBN106:TBR106"/>
    <mergeCell ref="TBS106:TBW106"/>
    <mergeCell ref="TBX106:TCB106"/>
    <mergeCell ref="TCC106:TCG106"/>
    <mergeCell ref="TAJ106:TAN106"/>
    <mergeCell ref="TAO106:TAS106"/>
    <mergeCell ref="TAT106:TAX106"/>
    <mergeCell ref="TAY106:TBC106"/>
    <mergeCell ref="TBD106:TBH106"/>
    <mergeCell ref="SZK106:SZO106"/>
    <mergeCell ref="SZP106:SZT106"/>
    <mergeCell ref="SZU106:SZY106"/>
    <mergeCell ref="SZZ106:TAD106"/>
    <mergeCell ref="TAE106:TAI106"/>
    <mergeCell ref="SYL106:SYP106"/>
    <mergeCell ref="SYQ106:SYU106"/>
    <mergeCell ref="SYV106:SYZ106"/>
    <mergeCell ref="SZA106:SZE106"/>
    <mergeCell ref="SZF106:SZJ106"/>
    <mergeCell ref="SXM106:SXQ106"/>
    <mergeCell ref="SXR106:SXV106"/>
    <mergeCell ref="SXW106:SYA106"/>
    <mergeCell ref="SYB106:SYF106"/>
    <mergeCell ref="SYG106:SYK106"/>
    <mergeCell ref="SWN106:SWR106"/>
    <mergeCell ref="SWS106:SWW106"/>
    <mergeCell ref="SWX106:SXB106"/>
    <mergeCell ref="SXC106:SXG106"/>
    <mergeCell ref="SXH106:SXL106"/>
    <mergeCell ref="SVO106:SVS106"/>
    <mergeCell ref="SVT106:SVX106"/>
    <mergeCell ref="SVY106:SWC106"/>
    <mergeCell ref="SWD106:SWH106"/>
    <mergeCell ref="SWI106:SWM106"/>
    <mergeCell ref="SUP106:SUT106"/>
    <mergeCell ref="SUU106:SUY106"/>
    <mergeCell ref="SUZ106:SVD106"/>
    <mergeCell ref="SVE106:SVI106"/>
    <mergeCell ref="SVJ106:SVN106"/>
    <mergeCell ref="STQ106:STU106"/>
    <mergeCell ref="STV106:STZ106"/>
    <mergeCell ref="SUA106:SUE106"/>
    <mergeCell ref="SUF106:SUJ106"/>
    <mergeCell ref="SUK106:SUO106"/>
    <mergeCell ref="SSR106:SSV106"/>
    <mergeCell ref="SSW106:STA106"/>
    <mergeCell ref="STB106:STF106"/>
    <mergeCell ref="STG106:STK106"/>
    <mergeCell ref="STL106:STP106"/>
    <mergeCell ref="SRS106:SRW106"/>
    <mergeCell ref="SRX106:SSB106"/>
    <mergeCell ref="SSC106:SSG106"/>
    <mergeCell ref="SSH106:SSL106"/>
    <mergeCell ref="SSM106:SSQ106"/>
    <mergeCell ref="SQT106:SQX106"/>
    <mergeCell ref="SQY106:SRC106"/>
    <mergeCell ref="SRD106:SRH106"/>
    <mergeCell ref="SRI106:SRM106"/>
    <mergeCell ref="SRN106:SRR106"/>
    <mergeCell ref="SPU106:SPY106"/>
    <mergeCell ref="SPZ106:SQD106"/>
    <mergeCell ref="SQE106:SQI106"/>
    <mergeCell ref="SQJ106:SQN106"/>
    <mergeCell ref="SQO106:SQS106"/>
    <mergeCell ref="SOV106:SOZ106"/>
    <mergeCell ref="SPA106:SPE106"/>
    <mergeCell ref="SPF106:SPJ106"/>
    <mergeCell ref="SPK106:SPO106"/>
    <mergeCell ref="SPP106:SPT106"/>
    <mergeCell ref="SNW106:SOA106"/>
    <mergeCell ref="SOB106:SOF106"/>
    <mergeCell ref="SOG106:SOK106"/>
    <mergeCell ref="SOL106:SOP106"/>
    <mergeCell ref="SOQ106:SOU106"/>
    <mergeCell ref="SMX106:SNB106"/>
    <mergeCell ref="SNC106:SNG106"/>
    <mergeCell ref="SNH106:SNL106"/>
    <mergeCell ref="SNM106:SNQ106"/>
    <mergeCell ref="SNR106:SNV106"/>
    <mergeCell ref="SLY106:SMC106"/>
    <mergeCell ref="SMD106:SMH106"/>
    <mergeCell ref="SMI106:SMM106"/>
    <mergeCell ref="SMN106:SMR106"/>
    <mergeCell ref="SMS106:SMW106"/>
    <mergeCell ref="SKZ106:SLD106"/>
    <mergeCell ref="SLE106:SLI106"/>
    <mergeCell ref="SLJ106:SLN106"/>
    <mergeCell ref="SLO106:SLS106"/>
    <mergeCell ref="SLT106:SLX106"/>
    <mergeCell ref="SKA106:SKE106"/>
    <mergeCell ref="SKF106:SKJ106"/>
    <mergeCell ref="SKK106:SKO106"/>
    <mergeCell ref="SKP106:SKT106"/>
    <mergeCell ref="SKU106:SKY106"/>
    <mergeCell ref="SJB106:SJF106"/>
    <mergeCell ref="SJG106:SJK106"/>
    <mergeCell ref="SJL106:SJP106"/>
    <mergeCell ref="SJQ106:SJU106"/>
    <mergeCell ref="SJV106:SJZ106"/>
    <mergeCell ref="SIC106:SIG106"/>
    <mergeCell ref="SIH106:SIL106"/>
    <mergeCell ref="SIM106:SIQ106"/>
    <mergeCell ref="SIR106:SIV106"/>
    <mergeCell ref="SIW106:SJA106"/>
    <mergeCell ref="SHD106:SHH106"/>
    <mergeCell ref="SHI106:SHM106"/>
    <mergeCell ref="SHN106:SHR106"/>
    <mergeCell ref="SHS106:SHW106"/>
    <mergeCell ref="SHX106:SIB106"/>
    <mergeCell ref="SGE106:SGI106"/>
    <mergeCell ref="SGJ106:SGN106"/>
    <mergeCell ref="SGO106:SGS106"/>
    <mergeCell ref="SGT106:SGX106"/>
    <mergeCell ref="SGY106:SHC106"/>
    <mergeCell ref="SFF106:SFJ106"/>
    <mergeCell ref="SFK106:SFO106"/>
    <mergeCell ref="SFP106:SFT106"/>
    <mergeCell ref="SFU106:SFY106"/>
    <mergeCell ref="SFZ106:SGD106"/>
    <mergeCell ref="SEG106:SEK106"/>
    <mergeCell ref="SEL106:SEP106"/>
    <mergeCell ref="SEQ106:SEU106"/>
    <mergeCell ref="SEV106:SEZ106"/>
    <mergeCell ref="SFA106:SFE106"/>
    <mergeCell ref="SDH106:SDL106"/>
    <mergeCell ref="SDM106:SDQ106"/>
    <mergeCell ref="SDR106:SDV106"/>
    <mergeCell ref="SDW106:SEA106"/>
    <mergeCell ref="SEB106:SEF106"/>
    <mergeCell ref="SCI106:SCM106"/>
    <mergeCell ref="SCN106:SCR106"/>
    <mergeCell ref="SCS106:SCW106"/>
    <mergeCell ref="SCX106:SDB106"/>
    <mergeCell ref="SDC106:SDG106"/>
    <mergeCell ref="SBJ106:SBN106"/>
    <mergeCell ref="SBO106:SBS106"/>
    <mergeCell ref="SBT106:SBX106"/>
    <mergeCell ref="SBY106:SCC106"/>
    <mergeCell ref="SCD106:SCH106"/>
    <mergeCell ref="SAK106:SAO106"/>
    <mergeCell ref="SAP106:SAT106"/>
    <mergeCell ref="SAU106:SAY106"/>
    <mergeCell ref="SAZ106:SBD106"/>
    <mergeCell ref="SBE106:SBI106"/>
    <mergeCell ref="RZL106:RZP106"/>
    <mergeCell ref="RZQ106:RZU106"/>
    <mergeCell ref="RZV106:RZZ106"/>
    <mergeCell ref="SAA106:SAE106"/>
    <mergeCell ref="SAF106:SAJ106"/>
    <mergeCell ref="RYM106:RYQ106"/>
    <mergeCell ref="RYR106:RYV106"/>
    <mergeCell ref="RYW106:RZA106"/>
    <mergeCell ref="RZB106:RZF106"/>
    <mergeCell ref="RZG106:RZK106"/>
    <mergeCell ref="RXN106:RXR106"/>
    <mergeCell ref="RXS106:RXW106"/>
    <mergeCell ref="RXX106:RYB106"/>
    <mergeCell ref="RYC106:RYG106"/>
    <mergeCell ref="RYH106:RYL106"/>
    <mergeCell ref="RWO106:RWS106"/>
    <mergeCell ref="RWT106:RWX106"/>
    <mergeCell ref="RWY106:RXC106"/>
    <mergeCell ref="RXD106:RXH106"/>
    <mergeCell ref="RXI106:RXM106"/>
    <mergeCell ref="RVP106:RVT106"/>
    <mergeCell ref="RVU106:RVY106"/>
    <mergeCell ref="RVZ106:RWD106"/>
    <mergeCell ref="RWE106:RWI106"/>
    <mergeCell ref="RWJ106:RWN106"/>
    <mergeCell ref="RUQ106:RUU106"/>
    <mergeCell ref="RUV106:RUZ106"/>
    <mergeCell ref="RVA106:RVE106"/>
    <mergeCell ref="RVF106:RVJ106"/>
    <mergeCell ref="RVK106:RVO106"/>
    <mergeCell ref="RTR106:RTV106"/>
    <mergeCell ref="RTW106:RUA106"/>
    <mergeCell ref="RUB106:RUF106"/>
    <mergeCell ref="RUG106:RUK106"/>
    <mergeCell ref="RUL106:RUP106"/>
    <mergeCell ref="RSS106:RSW106"/>
    <mergeCell ref="RSX106:RTB106"/>
    <mergeCell ref="RTC106:RTG106"/>
    <mergeCell ref="RTH106:RTL106"/>
    <mergeCell ref="RTM106:RTQ106"/>
    <mergeCell ref="RRT106:RRX106"/>
    <mergeCell ref="RRY106:RSC106"/>
    <mergeCell ref="RSD106:RSH106"/>
    <mergeCell ref="RSI106:RSM106"/>
    <mergeCell ref="RSN106:RSR106"/>
    <mergeCell ref="RQU106:RQY106"/>
    <mergeCell ref="RQZ106:RRD106"/>
    <mergeCell ref="RRE106:RRI106"/>
    <mergeCell ref="RRJ106:RRN106"/>
    <mergeCell ref="RRO106:RRS106"/>
    <mergeCell ref="RPV106:RPZ106"/>
    <mergeCell ref="RQA106:RQE106"/>
    <mergeCell ref="RQF106:RQJ106"/>
    <mergeCell ref="RQK106:RQO106"/>
    <mergeCell ref="RQP106:RQT106"/>
    <mergeCell ref="ROW106:RPA106"/>
    <mergeCell ref="RPB106:RPF106"/>
    <mergeCell ref="RPG106:RPK106"/>
    <mergeCell ref="RPL106:RPP106"/>
    <mergeCell ref="RPQ106:RPU106"/>
    <mergeCell ref="RNX106:ROB106"/>
    <mergeCell ref="ROC106:ROG106"/>
    <mergeCell ref="ROH106:ROL106"/>
    <mergeCell ref="ROM106:ROQ106"/>
    <mergeCell ref="ROR106:ROV106"/>
    <mergeCell ref="RMY106:RNC106"/>
    <mergeCell ref="RND106:RNH106"/>
    <mergeCell ref="RNI106:RNM106"/>
    <mergeCell ref="RNN106:RNR106"/>
    <mergeCell ref="RNS106:RNW106"/>
    <mergeCell ref="RLZ106:RMD106"/>
    <mergeCell ref="RME106:RMI106"/>
    <mergeCell ref="RMJ106:RMN106"/>
    <mergeCell ref="RMO106:RMS106"/>
    <mergeCell ref="RMT106:RMX106"/>
    <mergeCell ref="RLA106:RLE106"/>
    <mergeCell ref="RLF106:RLJ106"/>
    <mergeCell ref="RLK106:RLO106"/>
    <mergeCell ref="RLP106:RLT106"/>
    <mergeCell ref="RLU106:RLY106"/>
    <mergeCell ref="RKB106:RKF106"/>
    <mergeCell ref="RKG106:RKK106"/>
    <mergeCell ref="RKL106:RKP106"/>
    <mergeCell ref="RKQ106:RKU106"/>
    <mergeCell ref="RKV106:RKZ106"/>
    <mergeCell ref="RJC106:RJG106"/>
    <mergeCell ref="RJH106:RJL106"/>
    <mergeCell ref="RJM106:RJQ106"/>
    <mergeCell ref="RJR106:RJV106"/>
    <mergeCell ref="RJW106:RKA106"/>
    <mergeCell ref="RID106:RIH106"/>
    <mergeCell ref="RII106:RIM106"/>
    <mergeCell ref="RIN106:RIR106"/>
    <mergeCell ref="RIS106:RIW106"/>
    <mergeCell ref="RIX106:RJB106"/>
    <mergeCell ref="RHE106:RHI106"/>
    <mergeCell ref="RHJ106:RHN106"/>
    <mergeCell ref="RHO106:RHS106"/>
    <mergeCell ref="RHT106:RHX106"/>
    <mergeCell ref="RHY106:RIC106"/>
    <mergeCell ref="RGF106:RGJ106"/>
    <mergeCell ref="RGK106:RGO106"/>
    <mergeCell ref="RGP106:RGT106"/>
    <mergeCell ref="RGU106:RGY106"/>
    <mergeCell ref="RGZ106:RHD106"/>
    <mergeCell ref="RFG106:RFK106"/>
    <mergeCell ref="RFL106:RFP106"/>
    <mergeCell ref="RFQ106:RFU106"/>
    <mergeCell ref="RFV106:RFZ106"/>
    <mergeCell ref="RGA106:RGE106"/>
    <mergeCell ref="REH106:REL106"/>
    <mergeCell ref="REM106:REQ106"/>
    <mergeCell ref="RER106:REV106"/>
    <mergeCell ref="REW106:RFA106"/>
    <mergeCell ref="RFB106:RFF106"/>
    <mergeCell ref="RDI106:RDM106"/>
    <mergeCell ref="RDN106:RDR106"/>
    <mergeCell ref="RDS106:RDW106"/>
    <mergeCell ref="RDX106:REB106"/>
    <mergeCell ref="REC106:REG106"/>
    <mergeCell ref="RCJ106:RCN106"/>
    <mergeCell ref="RCO106:RCS106"/>
    <mergeCell ref="RCT106:RCX106"/>
    <mergeCell ref="RCY106:RDC106"/>
    <mergeCell ref="RDD106:RDH106"/>
    <mergeCell ref="RBK106:RBO106"/>
    <mergeCell ref="RBP106:RBT106"/>
    <mergeCell ref="RBU106:RBY106"/>
    <mergeCell ref="RBZ106:RCD106"/>
    <mergeCell ref="RCE106:RCI106"/>
    <mergeCell ref="RAL106:RAP106"/>
    <mergeCell ref="RAQ106:RAU106"/>
    <mergeCell ref="RAV106:RAZ106"/>
    <mergeCell ref="RBA106:RBE106"/>
    <mergeCell ref="RBF106:RBJ106"/>
    <mergeCell ref="QZM106:QZQ106"/>
    <mergeCell ref="QZR106:QZV106"/>
    <mergeCell ref="QZW106:RAA106"/>
    <mergeCell ref="RAB106:RAF106"/>
    <mergeCell ref="RAG106:RAK106"/>
    <mergeCell ref="QYN106:QYR106"/>
    <mergeCell ref="QYS106:QYW106"/>
    <mergeCell ref="QYX106:QZB106"/>
    <mergeCell ref="QZC106:QZG106"/>
    <mergeCell ref="QZH106:QZL106"/>
    <mergeCell ref="QXO106:QXS106"/>
    <mergeCell ref="QXT106:QXX106"/>
    <mergeCell ref="QXY106:QYC106"/>
    <mergeCell ref="QYD106:QYH106"/>
    <mergeCell ref="QYI106:QYM106"/>
    <mergeCell ref="QWP106:QWT106"/>
    <mergeCell ref="QWU106:QWY106"/>
    <mergeCell ref="QWZ106:QXD106"/>
    <mergeCell ref="QXE106:QXI106"/>
    <mergeCell ref="QXJ106:QXN106"/>
    <mergeCell ref="QVQ106:QVU106"/>
    <mergeCell ref="QVV106:QVZ106"/>
    <mergeCell ref="QWA106:QWE106"/>
    <mergeCell ref="QWF106:QWJ106"/>
    <mergeCell ref="QWK106:QWO106"/>
    <mergeCell ref="QUR106:QUV106"/>
    <mergeCell ref="QUW106:QVA106"/>
    <mergeCell ref="QVB106:QVF106"/>
    <mergeCell ref="QVG106:QVK106"/>
    <mergeCell ref="QVL106:QVP106"/>
    <mergeCell ref="QTS106:QTW106"/>
    <mergeCell ref="QTX106:QUB106"/>
    <mergeCell ref="QUC106:QUG106"/>
    <mergeCell ref="QUH106:QUL106"/>
    <mergeCell ref="QUM106:QUQ106"/>
    <mergeCell ref="QST106:QSX106"/>
    <mergeCell ref="QSY106:QTC106"/>
    <mergeCell ref="QTD106:QTH106"/>
    <mergeCell ref="QTI106:QTM106"/>
    <mergeCell ref="QTN106:QTR106"/>
    <mergeCell ref="QRU106:QRY106"/>
    <mergeCell ref="QRZ106:QSD106"/>
    <mergeCell ref="QSE106:QSI106"/>
    <mergeCell ref="QSJ106:QSN106"/>
    <mergeCell ref="QSO106:QSS106"/>
    <mergeCell ref="QQV106:QQZ106"/>
    <mergeCell ref="QRA106:QRE106"/>
    <mergeCell ref="QRF106:QRJ106"/>
    <mergeCell ref="QRK106:QRO106"/>
    <mergeCell ref="QRP106:QRT106"/>
    <mergeCell ref="QPW106:QQA106"/>
    <mergeCell ref="QQB106:QQF106"/>
    <mergeCell ref="QQG106:QQK106"/>
    <mergeCell ref="QQL106:QQP106"/>
    <mergeCell ref="QQQ106:QQU106"/>
    <mergeCell ref="QOX106:QPB106"/>
    <mergeCell ref="QPC106:QPG106"/>
    <mergeCell ref="QPH106:QPL106"/>
    <mergeCell ref="QPM106:QPQ106"/>
    <mergeCell ref="QPR106:QPV106"/>
    <mergeCell ref="QNY106:QOC106"/>
    <mergeCell ref="QOD106:QOH106"/>
    <mergeCell ref="QOI106:QOM106"/>
    <mergeCell ref="QON106:QOR106"/>
    <mergeCell ref="QOS106:QOW106"/>
    <mergeCell ref="QMZ106:QND106"/>
    <mergeCell ref="QNE106:QNI106"/>
    <mergeCell ref="QNJ106:QNN106"/>
    <mergeCell ref="QNO106:QNS106"/>
    <mergeCell ref="QNT106:QNX106"/>
    <mergeCell ref="QMA106:QME106"/>
    <mergeCell ref="QMF106:QMJ106"/>
    <mergeCell ref="QMK106:QMO106"/>
    <mergeCell ref="QMP106:QMT106"/>
    <mergeCell ref="QMU106:QMY106"/>
    <mergeCell ref="QLB106:QLF106"/>
    <mergeCell ref="QLG106:QLK106"/>
    <mergeCell ref="QLL106:QLP106"/>
    <mergeCell ref="QLQ106:QLU106"/>
    <mergeCell ref="QLV106:QLZ106"/>
    <mergeCell ref="QKC106:QKG106"/>
    <mergeCell ref="QKH106:QKL106"/>
    <mergeCell ref="QKM106:QKQ106"/>
    <mergeCell ref="QKR106:QKV106"/>
    <mergeCell ref="QKW106:QLA106"/>
    <mergeCell ref="QJD106:QJH106"/>
    <mergeCell ref="QJI106:QJM106"/>
    <mergeCell ref="QJN106:QJR106"/>
    <mergeCell ref="QJS106:QJW106"/>
    <mergeCell ref="QJX106:QKB106"/>
    <mergeCell ref="QIE106:QII106"/>
    <mergeCell ref="QIJ106:QIN106"/>
    <mergeCell ref="QIO106:QIS106"/>
    <mergeCell ref="QIT106:QIX106"/>
    <mergeCell ref="QIY106:QJC106"/>
    <mergeCell ref="QHF106:QHJ106"/>
    <mergeCell ref="QHK106:QHO106"/>
    <mergeCell ref="QHP106:QHT106"/>
    <mergeCell ref="QHU106:QHY106"/>
    <mergeCell ref="QHZ106:QID106"/>
    <mergeCell ref="QGG106:QGK106"/>
    <mergeCell ref="QGL106:QGP106"/>
    <mergeCell ref="QGQ106:QGU106"/>
    <mergeCell ref="QGV106:QGZ106"/>
    <mergeCell ref="QHA106:QHE106"/>
    <mergeCell ref="QFH106:QFL106"/>
    <mergeCell ref="QFM106:QFQ106"/>
    <mergeCell ref="QFR106:QFV106"/>
    <mergeCell ref="QFW106:QGA106"/>
    <mergeCell ref="QGB106:QGF106"/>
    <mergeCell ref="QEI106:QEM106"/>
    <mergeCell ref="QEN106:QER106"/>
    <mergeCell ref="QES106:QEW106"/>
    <mergeCell ref="QEX106:QFB106"/>
    <mergeCell ref="QFC106:QFG106"/>
    <mergeCell ref="QDJ106:QDN106"/>
    <mergeCell ref="QDO106:QDS106"/>
    <mergeCell ref="QDT106:QDX106"/>
    <mergeCell ref="QDY106:QEC106"/>
    <mergeCell ref="QED106:QEH106"/>
    <mergeCell ref="QCK106:QCO106"/>
    <mergeCell ref="QCP106:QCT106"/>
    <mergeCell ref="QCU106:QCY106"/>
    <mergeCell ref="QCZ106:QDD106"/>
    <mergeCell ref="QDE106:QDI106"/>
    <mergeCell ref="QBL106:QBP106"/>
    <mergeCell ref="QBQ106:QBU106"/>
    <mergeCell ref="QBV106:QBZ106"/>
    <mergeCell ref="QCA106:QCE106"/>
    <mergeCell ref="QCF106:QCJ106"/>
    <mergeCell ref="QAM106:QAQ106"/>
    <mergeCell ref="QAR106:QAV106"/>
    <mergeCell ref="QAW106:QBA106"/>
    <mergeCell ref="QBB106:QBF106"/>
    <mergeCell ref="QBG106:QBK106"/>
    <mergeCell ref="PZN106:PZR106"/>
    <mergeCell ref="PZS106:PZW106"/>
    <mergeCell ref="PZX106:QAB106"/>
    <mergeCell ref="QAC106:QAG106"/>
    <mergeCell ref="QAH106:QAL106"/>
    <mergeCell ref="PYO106:PYS106"/>
    <mergeCell ref="PYT106:PYX106"/>
    <mergeCell ref="PYY106:PZC106"/>
    <mergeCell ref="PZD106:PZH106"/>
    <mergeCell ref="PZI106:PZM106"/>
    <mergeCell ref="PXP106:PXT106"/>
    <mergeCell ref="PXU106:PXY106"/>
    <mergeCell ref="PXZ106:PYD106"/>
    <mergeCell ref="PYE106:PYI106"/>
    <mergeCell ref="PYJ106:PYN106"/>
    <mergeCell ref="PWQ106:PWU106"/>
    <mergeCell ref="PWV106:PWZ106"/>
    <mergeCell ref="PXA106:PXE106"/>
    <mergeCell ref="PXF106:PXJ106"/>
    <mergeCell ref="PXK106:PXO106"/>
    <mergeCell ref="PVR106:PVV106"/>
    <mergeCell ref="PVW106:PWA106"/>
    <mergeCell ref="PWB106:PWF106"/>
    <mergeCell ref="PWG106:PWK106"/>
    <mergeCell ref="PWL106:PWP106"/>
    <mergeCell ref="PUS106:PUW106"/>
    <mergeCell ref="PUX106:PVB106"/>
    <mergeCell ref="PVC106:PVG106"/>
    <mergeCell ref="PVH106:PVL106"/>
    <mergeCell ref="PVM106:PVQ106"/>
    <mergeCell ref="PTT106:PTX106"/>
    <mergeCell ref="PTY106:PUC106"/>
    <mergeCell ref="PUD106:PUH106"/>
    <mergeCell ref="PUI106:PUM106"/>
    <mergeCell ref="PUN106:PUR106"/>
    <mergeCell ref="PSU106:PSY106"/>
    <mergeCell ref="PSZ106:PTD106"/>
    <mergeCell ref="PTE106:PTI106"/>
    <mergeCell ref="PTJ106:PTN106"/>
    <mergeCell ref="PTO106:PTS106"/>
    <mergeCell ref="PRV106:PRZ106"/>
    <mergeCell ref="PSA106:PSE106"/>
    <mergeCell ref="PSF106:PSJ106"/>
    <mergeCell ref="PSK106:PSO106"/>
    <mergeCell ref="PSP106:PST106"/>
    <mergeCell ref="PQW106:PRA106"/>
    <mergeCell ref="PRB106:PRF106"/>
    <mergeCell ref="PRG106:PRK106"/>
    <mergeCell ref="PRL106:PRP106"/>
    <mergeCell ref="PRQ106:PRU106"/>
    <mergeCell ref="PPX106:PQB106"/>
    <mergeCell ref="PQC106:PQG106"/>
    <mergeCell ref="PQH106:PQL106"/>
    <mergeCell ref="PQM106:PQQ106"/>
    <mergeCell ref="PQR106:PQV106"/>
    <mergeCell ref="POY106:PPC106"/>
    <mergeCell ref="PPD106:PPH106"/>
    <mergeCell ref="PPI106:PPM106"/>
    <mergeCell ref="PPN106:PPR106"/>
    <mergeCell ref="PPS106:PPW106"/>
    <mergeCell ref="PNZ106:POD106"/>
    <mergeCell ref="POE106:POI106"/>
    <mergeCell ref="POJ106:PON106"/>
    <mergeCell ref="POO106:POS106"/>
    <mergeCell ref="POT106:POX106"/>
    <mergeCell ref="PNA106:PNE106"/>
    <mergeCell ref="PNF106:PNJ106"/>
    <mergeCell ref="PNK106:PNO106"/>
    <mergeCell ref="PNP106:PNT106"/>
    <mergeCell ref="PNU106:PNY106"/>
    <mergeCell ref="PMB106:PMF106"/>
    <mergeCell ref="PMG106:PMK106"/>
    <mergeCell ref="PML106:PMP106"/>
    <mergeCell ref="PMQ106:PMU106"/>
    <mergeCell ref="PMV106:PMZ106"/>
    <mergeCell ref="PLC106:PLG106"/>
    <mergeCell ref="PLH106:PLL106"/>
    <mergeCell ref="PLM106:PLQ106"/>
    <mergeCell ref="PLR106:PLV106"/>
    <mergeCell ref="PLW106:PMA106"/>
    <mergeCell ref="PKD106:PKH106"/>
    <mergeCell ref="PKI106:PKM106"/>
    <mergeCell ref="PKN106:PKR106"/>
    <mergeCell ref="PKS106:PKW106"/>
    <mergeCell ref="PKX106:PLB106"/>
    <mergeCell ref="PJE106:PJI106"/>
    <mergeCell ref="PJJ106:PJN106"/>
    <mergeCell ref="PJO106:PJS106"/>
    <mergeCell ref="PJT106:PJX106"/>
    <mergeCell ref="PJY106:PKC106"/>
    <mergeCell ref="PIF106:PIJ106"/>
    <mergeCell ref="PIK106:PIO106"/>
    <mergeCell ref="PIP106:PIT106"/>
    <mergeCell ref="PIU106:PIY106"/>
    <mergeCell ref="PIZ106:PJD106"/>
    <mergeCell ref="PHG106:PHK106"/>
    <mergeCell ref="PHL106:PHP106"/>
    <mergeCell ref="PHQ106:PHU106"/>
    <mergeCell ref="PHV106:PHZ106"/>
    <mergeCell ref="PIA106:PIE106"/>
    <mergeCell ref="PGH106:PGL106"/>
    <mergeCell ref="PGM106:PGQ106"/>
    <mergeCell ref="PGR106:PGV106"/>
    <mergeCell ref="PGW106:PHA106"/>
    <mergeCell ref="PHB106:PHF106"/>
    <mergeCell ref="PFI106:PFM106"/>
    <mergeCell ref="PFN106:PFR106"/>
    <mergeCell ref="PFS106:PFW106"/>
    <mergeCell ref="PFX106:PGB106"/>
    <mergeCell ref="PGC106:PGG106"/>
    <mergeCell ref="PEJ106:PEN106"/>
    <mergeCell ref="PEO106:PES106"/>
    <mergeCell ref="PET106:PEX106"/>
    <mergeCell ref="PEY106:PFC106"/>
    <mergeCell ref="PFD106:PFH106"/>
    <mergeCell ref="PDK106:PDO106"/>
    <mergeCell ref="PDP106:PDT106"/>
    <mergeCell ref="PDU106:PDY106"/>
    <mergeCell ref="PDZ106:PED106"/>
    <mergeCell ref="PEE106:PEI106"/>
    <mergeCell ref="PCL106:PCP106"/>
    <mergeCell ref="PCQ106:PCU106"/>
    <mergeCell ref="PCV106:PCZ106"/>
    <mergeCell ref="PDA106:PDE106"/>
    <mergeCell ref="PDF106:PDJ106"/>
    <mergeCell ref="PBM106:PBQ106"/>
    <mergeCell ref="PBR106:PBV106"/>
    <mergeCell ref="PBW106:PCA106"/>
    <mergeCell ref="PCB106:PCF106"/>
    <mergeCell ref="PCG106:PCK106"/>
    <mergeCell ref="PAN106:PAR106"/>
    <mergeCell ref="PAS106:PAW106"/>
    <mergeCell ref="PAX106:PBB106"/>
    <mergeCell ref="PBC106:PBG106"/>
    <mergeCell ref="PBH106:PBL106"/>
    <mergeCell ref="OZO106:OZS106"/>
    <mergeCell ref="OZT106:OZX106"/>
    <mergeCell ref="OZY106:PAC106"/>
    <mergeCell ref="PAD106:PAH106"/>
    <mergeCell ref="PAI106:PAM106"/>
    <mergeCell ref="OYP106:OYT106"/>
    <mergeCell ref="OYU106:OYY106"/>
    <mergeCell ref="OYZ106:OZD106"/>
    <mergeCell ref="OZE106:OZI106"/>
    <mergeCell ref="OZJ106:OZN106"/>
    <mergeCell ref="OXQ106:OXU106"/>
    <mergeCell ref="OXV106:OXZ106"/>
    <mergeCell ref="OYA106:OYE106"/>
    <mergeCell ref="OYF106:OYJ106"/>
    <mergeCell ref="OYK106:OYO106"/>
    <mergeCell ref="OWR106:OWV106"/>
    <mergeCell ref="OWW106:OXA106"/>
    <mergeCell ref="OXB106:OXF106"/>
    <mergeCell ref="OXG106:OXK106"/>
    <mergeCell ref="OXL106:OXP106"/>
    <mergeCell ref="OVS106:OVW106"/>
    <mergeCell ref="OVX106:OWB106"/>
    <mergeCell ref="OWC106:OWG106"/>
    <mergeCell ref="OWH106:OWL106"/>
    <mergeCell ref="OWM106:OWQ106"/>
    <mergeCell ref="OUT106:OUX106"/>
    <mergeCell ref="OUY106:OVC106"/>
    <mergeCell ref="OVD106:OVH106"/>
    <mergeCell ref="OVI106:OVM106"/>
    <mergeCell ref="OVN106:OVR106"/>
    <mergeCell ref="OTU106:OTY106"/>
    <mergeCell ref="OTZ106:OUD106"/>
    <mergeCell ref="OUE106:OUI106"/>
    <mergeCell ref="OUJ106:OUN106"/>
    <mergeCell ref="OUO106:OUS106"/>
    <mergeCell ref="OSV106:OSZ106"/>
    <mergeCell ref="OTA106:OTE106"/>
    <mergeCell ref="OTF106:OTJ106"/>
    <mergeCell ref="OTK106:OTO106"/>
    <mergeCell ref="OTP106:OTT106"/>
    <mergeCell ref="ORW106:OSA106"/>
    <mergeCell ref="OSB106:OSF106"/>
    <mergeCell ref="OSG106:OSK106"/>
    <mergeCell ref="OSL106:OSP106"/>
    <mergeCell ref="OSQ106:OSU106"/>
    <mergeCell ref="OQX106:ORB106"/>
    <mergeCell ref="ORC106:ORG106"/>
    <mergeCell ref="ORH106:ORL106"/>
    <mergeCell ref="ORM106:ORQ106"/>
    <mergeCell ref="ORR106:ORV106"/>
    <mergeCell ref="OPY106:OQC106"/>
    <mergeCell ref="OQD106:OQH106"/>
    <mergeCell ref="OQI106:OQM106"/>
    <mergeCell ref="OQN106:OQR106"/>
    <mergeCell ref="OQS106:OQW106"/>
    <mergeCell ref="OOZ106:OPD106"/>
    <mergeCell ref="OPE106:OPI106"/>
    <mergeCell ref="OPJ106:OPN106"/>
    <mergeCell ref="OPO106:OPS106"/>
    <mergeCell ref="OPT106:OPX106"/>
    <mergeCell ref="OOA106:OOE106"/>
    <mergeCell ref="OOF106:OOJ106"/>
    <mergeCell ref="OOK106:OOO106"/>
    <mergeCell ref="OOP106:OOT106"/>
    <mergeCell ref="OOU106:OOY106"/>
    <mergeCell ref="ONB106:ONF106"/>
    <mergeCell ref="ONG106:ONK106"/>
    <mergeCell ref="ONL106:ONP106"/>
    <mergeCell ref="ONQ106:ONU106"/>
    <mergeCell ref="ONV106:ONZ106"/>
    <mergeCell ref="OMC106:OMG106"/>
    <mergeCell ref="OMH106:OML106"/>
    <mergeCell ref="OMM106:OMQ106"/>
    <mergeCell ref="OMR106:OMV106"/>
    <mergeCell ref="OMW106:ONA106"/>
    <mergeCell ref="OLD106:OLH106"/>
    <mergeCell ref="OLI106:OLM106"/>
    <mergeCell ref="OLN106:OLR106"/>
    <mergeCell ref="OLS106:OLW106"/>
    <mergeCell ref="OLX106:OMB106"/>
    <mergeCell ref="OKE106:OKI106"/>
    <mergeCell ref="OKJ106:OKN106"/>
    <mergeCell ref="OKO106:OKS106"/>
    <mergeCell ref="OKT106:OKX106"/>
    <mergeCell ref="OKY106:OLC106"/>
    <mergeCell ref="OJF106:OJJ106"/>
    <mergeCell ref="OJK106:OJO106"/>
    <mergeCell ref="OJP106:OJT106"/>
    <mergeCell ref="OJU106:OJY106"/>
    <mergeCell ref="OJZ106:OKD106"/>
    <mergeCell ref="OIG106:OIK106"/>
    <mergeCell ref="OIL106:OIP106"/>
    <mergeCell ref="OIQ106:OIU106"/>
    <mergeCell ref="OIV106:OIZ106"/>
    <mergeCell ref="OJA106:OJE106"/>
    <mergeCell ref="OHH106:OHL106"/>
    <mergeCell ref="OHM106:OHQ106"/>
    <mergeCell ref="OHR106:OHV106"/>
    <mergeCell ref="OHW106:OIA106"/>
    <mergeCell ref="OIB106:OIF106"/>
    <mergeCell ref="OGI106:OGM106"/>
    <mergeCell ref="OGN106:OGR106"/>
    <mergeCell ref="OGS106:OGW106"/>
    <mergeCell ref="OGX106:OHB106"/>
    <mergeCell ref="OHC106:OHG106"/>
    <mergeCell ref="OFJ106:OFN106"/>
    <mergeCell ref="OFO106:OFS106"/>
    <mergeCell ref="OFT106:OFX106"/>
    <mergeCell ref="OFY106:OGC106"/>
    <mergeCell ref="OGD106:OGH106"/>
    <mergeCell ref="OEK106:OEO106"/>
    <mergeCell ref="OEP106:OET106"/>
    <mergeCell ref="OEU106:OEY106"/>
    <mergeCell ref="OEZ106:OFD106"/>
    <mergeCell ref="OFE106:OFI106"/>
    <mergeCell ref="ODL106:ODP106"/>
    <mergeCell ref="ODQ106:ODU106"/>
    <mergeCell ref="ODV106:ODZ106"/>
    <mergeCell ref="OEA106:OEE106"/>
    <mergeCell ref="OEF106:OEJ106"/>
    <mergeCell ref="OCM106:OCQ106"/>
    <mergeCell ref="OCR106:OCV106"/>
    <mergeCell ref="OCW106:ODA106"/>
    <mergeCell ref="ODB106:ODF106"/>
    <mergeCell ref="ODG106:ODK106"/>
    <mergeCell ref="OBN106:OBR106"/>
    <mergeCell ref="OBS106:OBW106"/>
    <mergeCell ref="OBX106:OCB106"/>
    <mergeCell ref="OCC106:OCG106"/>
    <mergeCell ref="OCH106:OCL106"/>
    <mergeCell ref="OAO106:OAS106"/>
    <mergeCell ref="OAT106:OAX106"/>
    <mergeCell ref="OAY106:OBC106"/>
    <mergeCell ref="OBD106:OBH106"/>
    <mergeCell ref="OBI106:OBM106"/>
    <mergeCell ref="NZP106:NZT106"/>
    <mergeCell ref="NZU106:NZY106"/>
    <mergeCell ref="NZZ106:OAD106"/>
    <mergeCell ref="OAE106:OAI106"/>
    <mergeCell ref="OAJ106:OAN106"/>
    <mergeCell ref="NYQ106:NYU106"/>
    <mergeCell ref="NYV106:NYZ106"/>
    <mergeCell ref="NZA106:NZE106"/>
    <mergeCell ref="NZF106:NZJ106"/>
    <mergeCell ref="NZK106:NZO106"/>
    <mergeCell ref="NXR106:NXV106"/>
    <mergeCell ref="NXW106:NYA106"/>
    <mergeCell ref="NYB106:NYF106"/>
    <mergeCell ref="NYG106:NYK106"/>
    <mergeCell ref="NYL106:NYP106"/>
    <mergeCell ref="NWS106:NWW106"/>
    <mergeCell ref="NWX106:NXB106"/>
    <mergeCell ref="NXC106:NXG106"/>
    <mergeCell ref="NXH106:NXL106"/>
    <mergeCell ref="NXM106:NXQ106"/>
    <mergeCell ref="NVT106:NVX106"/>
    <mergeCell ref="NVY106:NWC106"/>
    <mergeCell ref="NWD106:NWH106"/>
    <mergeCell ref="NWI106:NWM106"/>
    <mergeCell ref="NWN106:NWR106"/>
    <mergeCell ref="NUU106:NUY106"/>
    <mergeCell ref="NUZ106:NVD106"/>
    <mergeCell ref="NVE106:NVI106"/>
    <mergeCell ref="NVJ106:NVN106"/>
    <mergeCell ref="NVO106:NVS106"/>
    <mergeCell ref="NTV106:NTZ106"/>
    <mergeCell ref="NUA106:NUE106"/>
    <mergeCell ref="NUF106:NUJ106"/>
    <mergeCell ref="NUK106:NUO106"/>
    <mergeCell ref="NUP106:NUT106"/>
    <mergeCell ref="NSW106:NTA106"/>
    <mergeCell ref="NTB106:NTF106"/>
    <mergeCell ref="NTG106:NTK106"/>
    <mergeCell ref="NTL106:NTP106"/>
    <mergeCell ref="NTQ106:NTU106"/>
    <mergeCell ref="NRX106:NSB106"/>
    <mergeCell ref="NSC106:NSG106"/>
    <mergeCell ref="NSH106:NSL106"/>
    <mergeCell ref="NSM106:NSQ106"/>
    <mergeCell ref="NSR106:NSV106"/>
    <mergeCell ref="NQY106:NRC106"/>
    <mergeCell ref="NRD106:NRH106"/>
    <mergeCell ref="NRI106:NRM106"/>
    <mergeCell ref="NRN106:NRR106"/>
    <mergeCell ref="NRS106:NRW106"/>
    <mergeCell ref="NPZ106:NQD106"/>
    <mergeCell ref="NQE106:NQI106"/>
    <mergeCell ref="NQJ106:NQN106"/>
    <mergeCell ref="NQO106:NQS106"/>
    <mergeCell ref="NQT106:NQX106"/>
    <mergeCell ref="NPA106:NPE106"/>
    <mergeCell ref="NPF106:NPJ106"/>
    <mergeCell ref="NPK106:NPO106"/>
    <mergeCell ref="NPP106:NPT106"/>
    <mergeCell ref="NPU106:NPY106"/>
    <mergeCell ref="NOB106:NOF106"/>
    <mergeCell ref="NOG106:NOK106"/>
    <mergeCell ref="NOL106:NOP106"/>
    <mergeCell ref="NOQ106:NOU106"/>
    <mergeCell ref="NOV106:NOZ106"/>
    <mergeCell ref="NNC106:NNG106"/>
    <mergeCell ref="NNH106:NNL106"/>
    <mergeCell ref="NNM106:NNQ106"/>
    <mergeCell ref="NNR106:NNV106"/>
    <mergeCell ref="NNW106:NOA106"/>
    <mergeCell ref="NMD106:NMH106"/>
    <mergeCell ref="NMI106:NMM106"/>
    <mergeCell ref="NMN106:NMR106"/>
    <mergeCell ref="NMS106:NMW106"/>
    <mergeCell ref="NMX106:NNB106"/>
    <mergeCell ref="NLE106:NLI106"/>
    <mergeCell ref="NLJ106:NLN106"/>
    <mergeCell ref="NLO106:NLS106"/>
    <mergeCell ref="NLT106:NLX106"/>
    <mergeCell ref="NLY106:NMC106"/>
    <mergeCell ref="NKF106:NKJ106"/>
    <mergeCell ref="NKK106:NKO106"/>
    <mergeCell ref="NKP106:NKT106"/>
    <mergeCell ref="NKU106:NKY106"/>
    <mergeCell ref="NKZ106:NLD106"/>
    <mergeCell ref="NJG106:NJK106"/>
    <mergeCell ref="NJL106:NJP106"/>
    <mergeCell ref="NJQ106:NJU106"/>
    <mergeCell ref="NJV106:NJZ106"/>
    <mergeCell ref="NKA106:NKE106"/>
    <mergeCell ref="NIH106:NIL106"/>
    <mergeCell ref="NIM106:NIQ106"/>
    <mergeCell ref="NIR106:NIV106"/>
    <mergeCell ref="NIW106:NJA106"/>
    <mergeCell ref="NJB106:NJF106"/>
    <mergeCell ref="NHI106:NHM106"/>
    <mergeCell ref="NHN106:NHR106"/>
    <mergeCell ref="NHS106:NHW106"/>
    <mergeCell ref="NHX106:NIB106"/>
    <mergeCell ref="NIC106:NIG106"/>
    <mergeCell ref="NGJ106:NGN106"/>
    <mergeCell ref="NGO106:NGS106"/>
    <mergeCell ref="NGT106:NGX106"/>
    <mergeCell ref="NGY106:NHC106"/>
    <mergeCell ref="NHD106:NHH106"/>
    <mergeCell ref="NFK106:NFO106"/>
    <mergeCell ref="NFP106:NFT106"/>
    <mergeCell ref="NFU106:NFY106"/>
    <mergeCell ref="NFZ106:NGD106"/>
    <mergeCell ref="NGE106:NGI106"/>
    <mergeCell ref="NEL106:NEP106"/>
    <mergeCell ref="NEQ106:NEU106"/>
    <mergeCell ref="NEV106:NEZ106"/>
    <mergeCell ref="NFA106:NFE106"/>
    <mergeCell ref="NFF106:NFJ106"/>
    <mergeCell ref="NDM106:NDQ106"/>
    <mergeCell ref="NDR106:NDV106"/>
    <mergeCell ref="NDW106:NEA106"/>
    <mergeCell ref="NEB106:NEF106"/>
    <mergeCell ref="NEG106:NEK106"/>
    <mergeCell ref="NCN106:NCR106"/>
    <mergeCell ref="NCS106:NCW106"/>
    <mergeCell ref="NCX106:NDB106"/>
    <mergeCell ref="NDC106:NDG106"/>
    <mergeCell ref="NDH106:NDL106"/>
    <mergeCell ref="NBO106:NBS106"/>
    <mergeCell ref="NBT106:NBX106"/>
    <mergeCell ref="NBY106:NCC106"/>
    <mergeCell ref="NCD106:NCH106"/>
    <mergeCell ref="NCI106:NCM106"/>
    <mergeCell ref="NAP106:NAT106"/>
    <mergeCell ref="NAU106:NAY106"/>
    <mergeCell ref="NAZ106:NBD106"/>
    <mergeCell ref="NBE106:NBI106"/>
    <mergeCell ref="NBJ106:NBN106"/>
    <mergeCell ref="MZQ106:MZU106"/>
    <mergeCell ref="MZV106:MZZ106"/>
    <mergeCell ref="NAA106:NAE106"/>
    <mergeCell ref="NAF106:NAJ106"/>
    <mergeCell ref="NAK106:NAO106"/>
    <mergeCell ref="MYR106:MYV106"/>
    <mergeCell ref="MYW106:MZA106"/>
    <mergeCell ref="MZB106:MZF106"/>
    <mergeCell ref="MZG106:MZK106"/>
    <mergeCell ref="MZL106:MZP106"/>
    <mergeCell ref="MXS106:MXW106"/>
    <mergeCell ref="MXX106:MYB106"/>
    <mergeCell ref="MYC106:MYG106"/>
    <mergeCell ref="MYH106:MYL106"/>
    <mergeCell ref="MYM106:MYQ106"/>
    <mergeCell ref="MWT106:MWX106"/>
    <mergeCell ref="MWY106:MXC106"/>
    <mergeCell ref="MXD106:MXH106"/>
    <mergeCell ref="MXI106:MXM106"/>
    <mergeCell ref="MXN106:MXR106"/>
    <mergeCell ref="MVU106:MVY106"/>
    <mergeCell ref="MVZ106:MWD106"/>
    <mergeCell ref="MWE106:MWI106"/>
    <mergeCell ref="MWJ106:MWN106"/>
    <mergeCell ref="MWO106:MWS106"/>
    <mergeCell ref="MUV106:MUZ106"/>
    <mergeCell ref="MVA106:MVE106"/>
    <mergeCell ref="MVF106:MVJ106"/>
    <mergeCell ref="MVK106:MVO106"/>
    <mergeCell ref="MVP106:MVT106"/>
    <mergeCell ref="MTW106:MUA106"/>
    <mergeCell ref="MUB106:MUF106"/>
    <mergeCell ref="MUG106:MUK106"/>
    <mergeCell ref="MUL106:MUP106"/>
    <mergeCell ref="MUQ106:MUU106"/>
    <mergeCell ref="MSX106:MTB106"/>
    <mergeCell ref="MTC106:MTG106"/>
    <mergeCell ref="MTH106:MTL106"/>
    <mergeCell ref="MTM106:MTQ106"/>
    <mergeCell ref="MTR106:MTV106"/>
    <mergeCell ref="MRY106:MSC106"/>
    <mergeCell ref="MSD106:MSH106"/>
    <mergeCell ref="MSI106:MSM106"/>
    <mergeCell ref="MSN106:MSR106"/>
    <mergeCell ref="MSS106:MSW106"/>
    <mergeCell ref="MQZ106:MRD106"/>
    <mergeCell ref="MRE106:MRI106"/>
    <mergeCell ref="MRJ106:MRN106"/>
    <mergeCell ref="MRO106:MRS106"/>
    <mergeCell ref="MRT106:MRX106"/>
    <mergeCell ref="MQA106:MQE106"/>
    <mergeCell ref="MQF106:MQJ106"/>
    <mergeCell ref="MQK106:MQO106"/>
    <mergeCell ref="MQP106:MQT106"/>
    <mergeCell ref="MQU106:MQY106"/>
    <mergeCell ref="MPB106:MPF106"/>
    <mergeCell ref="MPG106:MPK106"/>
    <mergeCell ref="MPL106:MPP106"/>
    <mergeCell ref="MPQ106:MPU106"/>
    <mergeCell ref="MPV106:MPZ106"/>
    <mergeCell ref="MOC106:MOG106"/>
    <mergeCell ref="MOH106:MOL106"/>
    <mergeCell ref="MOM106:MOQ106"/>
    <mergeCell ref="MOR106:MOV106"/>
    <mergeCell ref="MOW106:MPA106"/>
    <mergeCell ref="MND106:MNH106"/>
    <mergeCell ref="MNI106:MNM106"/>
    <mergeCell ref="MNN106:MNR106"/>
    <mergeCell ref="MNS106:MNW106"/>
    <mergeCell ref="MNX106:MOB106"/>
    <mergeCell ref="MME106:MMI106"/>
    <mergeCell ref="MMJ106:MMN106"/>
    <mergeCell ref="MMO106:MMS106"/>
    <mergeCell ref="MMT106:MMX106"/>
    <mergeCell ref="MMY106:MNC106"/>
    <mergeCell ref="MLF106:MLJ106"/>
    <mergeCell ref="MLK106:MLO106"/>
    <mergeCell ref="MLP106:MLT106"/>
    <mergeCell ref="MLU106:MLY106"/>
    <mergeCell ref="MLZ106:MMD106"/>
    <mergeCell ref="MKG106:MKK106"/>
    <mergeCell ref="MKL106:MKP106"/>
    <mergeCell ref="MKQ106:MKU106"/>
    <mergeCell ref="MKV106:MKZ106"/>
    <mergeCell ref="MLA106:MLE106"/>
    <mergeCell ref="MJH106:MJL106"/>
    <mergeCell ref="MJM106:MJQ106"/>
    <mergeCell ref="MJR106:MJV106"/>
    <mergeCell ref="MJW106:MKA106"/>
    <mergeCell ref="MKB106:MKF106"/>
    <mergeCell ref="MII106:MIM106"/>
    <mergeCell ref="MIN106:MIR106"/>
    <mergeCell ref="MIS106:MIW106"/>
    <mergeCell ref="MIX106:MJB106"/>
    <mergeCell ref="MJC106:MJG106"/>
    <mergeCell ref="MHJ106:MHN106"/>
    <mergeCell ref="MHO106:MHS106"/>
    <mergeCell ref="MHT106:MHX106"/>
    <mergeCell ref="MHY106:MIC106"/>
    <mergeCell ref="MID106:MIH106"/>
    <mergeCell ref="MGK106:MGO106"/>
    <mergeCell ref="MGP106:MGT106"/>
    <mergeCell ref="MGU106:MGY106"/>
    <mergeCell ref="MGZ106:MHD106"/>
    <mergeCell ref="MHE106:MHI106"/>
    <mergeCell ref="MFL106:MFP106"/>
    <mergeCell ref="MFQ106:MFU106"/>
    <mergeCell ref="MFV106:MFZ106"/>
    <mergeCell ref="MGA106:MGE106"/>
    <mergeCell ref="MGF106:MGJ106"/>
    <mergeCell ref="MEM106:MEQ106"/>
    <mergeCell ref="MER106:MEV106"/>
    <mergeCell ref="MEW106:MFA106"/>
    <mergeCell ref="MFB106:MFF106"/>
    <mergeCell ref="MFG106:MFK106"/>
    <mergeCell ref="MDN106:MDR106"/>
    <mergeCell ref="MDS106:MDW106"/>
    <mergeCell ref="MDX106:MEB106"/>
    <mergeCell ref="MEC106:MEG106"/>
    <mergeCell ref="MEH106:MEL106"/>
    <mergeCell ref="MCO106:MCS106"/>
    <mergeCell ref="MCT106:MCX106"/>
    <mergeCell ref="MCY106:MDC106"/>
    <mergeCell ref="MDD106:MDH106"/>
    <mergeCell ref="MDI106:MDM106"/>
    <mergeCell ref="MBP106:MBT106"/>
    <mergeCell ref="MBU106:MBY106"/>
    <mergeCell ref="MBZ106:MCD106"/>
    <mergeCell ref="MCE106:MCI106"/>
    <mergeCell ref="MCJ106:MCN106"/>
    <mergeCell ref="MAQ106:MAU106"/>
    <mergeCell ref="MAV106:MAZ106"/>
    <mergeCell ref="MBA106:MBE106"/>
    <mergeCell ref="MBF106:MBJ106"/>
    <mergeCell ref="MBK106:MBO106"/>
    <mergeCell ref="LZR106:LZV106"/>
    <mergeCell ref="LZW106:MAA106"/>
    <mergeCell ref="MAB106:MAF106"/>
    <mergeCell ref="MAG106:MAK106"/>
    <mergeCell ref="MAL106:MAP106"/>
    <mergeCell ref="LYS106:LYW106"/>
    <mergeCell ref="LYX106:LZB106"/>
    <mergeCell ref="LZC106:LZG106"/>
    <mergeCell ref="LZH106:LZL106"/>
    <mergeCell ref="LZM106:LZQ106"/>
    <mergeCell ref="LXT106:LXX106"/>
    <mergeCell ref="LXY106:LYC106"/>
    <mergeCell ref="LYD106:LYH106"/>
    <mergeCell ref="LYI106:LYM106"/>
    <mergeCell ref="LYN106:LYR106"/>
    <mergeCell ref="LWU106:LWY106"/>
    <mergeCell ref="LWZ106:LXD106"/>
    <mergeCell ref="LXE106:LXI106"/>
    <mergeCell ref="LXJ106:LXN106"/>
    <mergeCell ref="LXO106:LXS106"/>
    <mergeCell ref="LVV106:LVZ106"/>
    <mergeCell ref="LWA106:LWE106"/>
    <mergeCell ref="LWF106:LWJ106"/>
    <mergeCell ref="LWK106:LWO106"/>
    <mergeCell ref="LWP106:LWT106"/>
    <mergeCell ref="LUW106:LVA106"/>
    <mergeCell ref="LVB106:LVF106"/>
    <mergeCell ref="LVG106:LVK106"/>
    <mergeCell ref="LVL106:LVP106"/>
    <mergeCell ref="LVQ106:LVU106"/>
    <mergeCell ref="LTX106:LUB106"/>
    <mergeCell ref="LUC106:LUG106"/>
    <mergeCell ref="LUH106:LUL106"/>
    <mergeCell ref="LUM106:LUQ106"/>
    <mergeCell ref="LUR106:LUV106"/>
    <mergeCell ref="LSY106:LTC106"/>
    <mergeCell ref="LTD106:LTH106"/>
    <mergeCell ref="LTI106:LTM106"/>
    <mergeCell ref="LTN106:LTR106"/>
    <mergeCell ref="LTS106:LTW106"/>
    <mergeCell ref="LRZ106:LSD106"/>
    <mergeCell ref="LSE106:LSI106"/>
    <mergeCell ref="LSJ106:LSN106"/>
    <mergeCell ref="LSO106:LSS106"/>
    <mergeCell ref="LST106:LSX106"/>
    <mergeCell ref="LRA106:LRE106"/>
    <mergeCell ref="LRF106:LRJ106"/>
    <mergeCell ref="LRK106:LRO106"/>
    <mergeCell ref="LRP106:LRT106"/>
    <mergeCell ref="LRU106:LRY106"/>
    <mergeCell ref="LQB106:LQF106"/>
    <mergeCell ref="LQG106:LQK106"/>
    <mergeCell ref="LQL106:LQP106"/>
    <mergeCell ref="LQQ106:LQU106"/>
    <mergeCell ref="LQV106:LQZ106"/>
    <mergeCell ref="LPC106:LPG106"/>
    <mergeCell ref="LPH106:LPL106"/>
    <mergeCell ref="LPM106:LPQ106"/>
    <mergeCell ref="LPR106:LPV106"/>
    <mergeCell ref="LPW106:LQA106"/>
    <mergeCell ref="LOD106:LOH106"/>
    <mergeCell ref="LOI106:LOM106"/>
    <mergeCell ref="LON106:LOR106"/>
    <mergeCell ref="LOS106:LOW106"/>
    <mergeCell ref="LOX106:LPB106"/>
    <mergeCell ref="LNE106:LNI106"/>
    <mergeCell ref="LNJ106:LNN106"/>
    <mergeCell ref="LNO106:LNS106"/>
    <mergeCell ref="LNT106:LNX106"/>
    <mergeCell ref="LNY106:LOC106"/>
    <mergeCell ref="LMF106:LMJ106"/>
    <mergeCell ref="LMK106:LMO106"/>
    <mergeCell ref="LMP106:LMT106"/>
    <mergeCell ref="LMU106:LMY106"/>
    <mergeCell ref="LMZ106:LND106"/>
    <mergeCell ref="LLG106:LLK106"/>
    <mergeCell ref="LLL106:LLP106"/>
    <mergeCell ref="LLQ106:LLU106"/>
    <mergeCell ref="LLV106:LLZ106"/>
    <mergeCell ref="LMA106:LME106"/>
    <mergeCell ref="LKH106:LKL106"/>
    <mergeCell ref="LKM106:LKQ106"/>
    <mergeCell ref="LKR106:LKV106"/>
    <mergeCell ref="LKW106:LLA106"/>
    <mergeCell ref="LLB106:LLF106"/>
    <mergeCell ref="LJI106:LJM106"/>
    <mergeCell ref="LJN106:LJR106"/>
    <mergeCell ref="LJS106:LJW106"/>
    <mergeCell ref="LJX106:LKB106"/>
    <mergeCell ref="LKC106:LKG106"/>
    <mergeCell ref="LIJ106:LIN106"/>
    <mergeCell ref="LIO106:LIS106"/>
    <mergeCell ref="LIT106:LIX106"/>
    <mergeCell ref="LIY106:LJC106"/>
    <mergeCell ref="LJD106:LJH106"/>
    <mergeCell ref="LHK106:LHO106"/>
    <mergeCell ref="LHP106:LHT106"/>
    <mergeCell ref="LHU106:LHY106"/>
    <mergeCell ref="LHZ106:LID106"/>
    <mergeCell ref="LIE106:LII106"/>
    <mergeCell ref="LGL106:LGP106"/>
    <mergeCell ref="LGQ106:LGU106"/>
    <mergeCell ref="LGV106:LGZ106"/>
    <mergeCell ref="LHA106:LHE106"/>
    <mergeCell ref="LHF106:LHJ106"/>
    <mergeCell ref="LFM106:LFQ106"/>
    <mergeCell ref="LFR106:LFV106"/>
    <mergeCell ref="LFW106:LGA106"/>
    <mergeCell ref="LGB106:LGF106"/>
    <mergeCell ref="LGG106:LGK106"/>
    <mergeCell ref="LEN106:LER106"/>
    <mergeCell ref="LES106:LEW106"/>
    <mergeCell ref="LEX106:LFB106"/>
    <mergeCell ref="LFC106:LFG106"/>
    <mergeCell ref="LFH106:LFL106"/>
    <mergeCell ref="LDO106:LDS106"/>
    <mergeCell ref="LDT106:LDX106"/>
    <mergeCell ref="LDY106:LEC106"/>
    <mergeCell ref="LED106:LEH106"/>
    <mergeCell ref="LEI106:LEM106"/>
    <mergeCell ref="LCP106:LCT106"/>
    <mergeCell ref="LCU106:LCY106"/>
    <mergeCell ref="LCZ106:LDD106"/>
    <mergeCell ref="LDE106:LDI106"/>
    <mergeCell ref="LDJ106:LDN106"/>
    <mergeCell ref="LBQ106:LBU106"/>
    <mergeCell ref="LBV106:LBZ106"/>
    <mergeCell ref="LCA106:LCE106"/>
    <mergeCell ref="LCF106:LCJ106"/>
    <mergeCell ref="LCK106:LCO106"/>
    <mergeCell ref="LAR106:LAV106"/>
    <mergeCell ref="LAW106:LBA106"/>
    <mergeCell ref="LBB106:LBF106"/>
    <mergeCell ref="LBG106:LBK106"/>
    <mergeCell ref="LBL106:LBP106"/>
    <mergeCell ref="KZS106:KZW106"/>
    <mergeCell ref="KZX106:LAB106"/>
    <mergeCell ref="LAC106:LAG106"/>
    <mergeCell ref="LAH106:LAL106"/>
    <mergeCell ref="LAM106:LAQ106"/>
    <mergeCell ref="KYT106:KYX106"/>
    <mergeCell ref="KYY106:KZC106"/>
    <mergeCell ref="KZD106:KZH106"/>
    <mergeCell ref="KZI106:KZM106"/>
    <mergeCell ref="KZN106:KZR106"/>
    <mergeCell ref="KXU106:KXY106"/>
    <mergeCell ref="KXZ106:KYD106"/>
    <mergeCell ref="KYE106:KYI106"/>
    <mergeCell ref="KYJ106:KYN106"/>
    <mergeCell ref="KYO106:KYS106"/>
    <mergeCell ref="KWV106:KWZ106"/>
    <mergeCell ref="KXA106:KXE106"/>
    <mergeCell ref="KXF106:KXJ106"/>
    <mergeCell ref="KXK106:KXO106"/>
    <mergeCell ref="KXP106:KXT106"/>
    <mergeCell ref="KVW106:KWA106"/>
    <mergeCell ref="KWB106:KWF106"/>
    <mergeCell ref="KWG106:KWK106"/>
    <mergeCell ref="KWL106:KWP106"/>
    <mergeCell ref="KWQ106:KWU106"/>
    <mergeCell ref="KUX106:KVB106"/>
    <mergeCell ref="KVC106:KVG106"/>
    <mergeCell ref="KVH106:KVL106"/>
    <mergeCell ref="KVM106:KVQ106"/>
    <mergeCell ref="KVR106:KVV106"/>
    <mergeCell ref="KTY106:KUC106"/>
    <mergeCell ref="KUD106:KUH106"/>
    <mergeCell ref="KUI106:KUM106"/>
    <mergeCell ref="KUN106:KUR106"/>
    <mergeCell ref="KUS106:KUW106"/>
    <mergeCell ref="KSZ106:KTD106"/>
    <mergeCell ref="KTE106:KTI106"/>
    <mergeCell ref="KTJ106:KTN106"/>
    <mergeCell ref="KTO106:KTS106"/>
    <mergeCell ref="KTT106:KTX106"/>
    <mergeCell ref="KSA106:KSE106"/>
    <mergeCell ref="KSF106:KSJ106"/>
    <mergeCell ref="KSK106:KSO106"/>
    <mergeCell ref="KSP106:KST106"/>
    <mergeCell ref="KSU106:KSY106"/>
    <mergeCell ref="KRB106:KRF106"/>
    <mergeCell ref="KRG106:KRK106"/>
    <mergeCell ref="KRL106:KRP106"/>
    <mergeCell ref="KRQ106:KRU106"/>
    <mergeCell ref="KRV106:KRZ106"/>
    <mergeCell ref="KQC106:KQG106"/>
    <mergeCell ref="KQH106:KQL106"/>
    <mergeCell ref="KQM106:KQQ106"/>
    <mergeCell ref="KQR106:KQV106"/>
    <mergeCell ref="KQW106:KRA106"/>
    <mergeCell ref="KPD106:KPH106"/>
    <mergeCell ref="KPI106:KPM106"/>
    <mergeCell ref="KPN106:KPR106"/>
    <mergeCell ref="KPS106:KPW106"/>
    <mergeCell ref="KPX106:KQB106"/>
    <mergeCell ref="KOE106:KOI106"/>
    <mergeCell ref="KOJ106:KON106"/>
    <mergeCell ref="KOO106:KOS106"/>
    <mergeCell ref="KOT106:KOX106"/>
    <mergeCell ref="KOY106:KPC106"/>
    <mergeCell ref="KNF106:KNJ106"/>
    <mergeCell ref="KNK106:KNO106"/>
    <mergeCell ref="KNP106:KNT106"/>
    <mergeCell ref="KNU106:KNY106"/>
    <mergeCell ref="KNZ106:KOD106"/>
    <mergeCell ref="KMG106:KMK106"/>
    <mergeCell ref="KML106:KMP106"/>
    <mergeCell ref="KMQ106:KMU106"/>
    <mergeCell ref="KMV106:KMZ106"/>
    <mergeCell ref="KNA106:KNE106"/>
    <mergeCell ref="KLH106:KLL106"/>
    <mergeCell ref="KLM106:KLQ106"/>
    <mergeCell ref="KLR106:KLV106"/>
    <mergeCell ref="KLW106:KMA106"/>
    <mergeCell ref="KMB106:KMF106"/>
    <mergeCell ref="KKI106:KKM106"/>
    <mergeCell ref="KKN106:KKR106"/>
    <mergeCell ref="KKS106:KKW106"/>
    <mergeCell ref="KKX106:KLB106"/>
    <mergeCell ref="KLC106:KLG106"/>
    <mergeCell ref="KJJ106:KJN106"/>
    <mergeCell ref="KJO106:KJS106"/>
    <mergeCell ref="KJT106:KJX106"/>
    <mergeCell ref="KJY106:KKC106"/>
    <mergeCell ref="KKD106:KKH106"/>
    <mergeCell ref="KIK106:KIO106"/>
    <mergeCell ref="KIP106:KIT106"/>
    <mergeCell ref="KIU106:KIY106"/>
    <mergeCell ref="KIZ106:KJD106"/>
    <mergeCell ref="KJE106:KJI106"/>
    <mergeCell ref="KHL106:KHP106"/>
    <mergeCell ref="KHQ106:KHU106"/>
    <mergeCell ref="KHV106:KHZ106"/>
    <mergeCell ref="KIA106:KIE106"/>
    <mergeCell ref="KIF106:KIJ106"/>
    <mergeCell ref="KGM106:KGQ106"/>
    <mergeCell ref="KGR106:KGV106"/>
    <mergeCell ref="KGW106:KHA106"/>
    <mergeCell ref="KHB106:KHF106"/>
    <mergeCell ref="KHG106:KHK106"/>
    <mergeCell ref="KFN106:KFR106"/>
    <mergeCell ref="KFS106:KFW106"/>
    <mergeCell ref="KFX106:KGB106"/>
    <mergeCell ref="KGC106:KGG106"/>
    <mergeCell ref="KGH106:KGL106"/>
    <mergeCell ref="KEO106:KES106"/>
    <mergeCell ref="KET106:KEX106"/>
    <mergeCell ref="KEY106:KFC106"/>
    <mergeCell ref="KFD106:KFH106"/>
    <mergeCell ref="KFI106:KFM106"/>
    <mergeCell ref="KDP106:KDT106"/>
    <mergeCell ref="KDU106:KDY106"/>
    <mergeCell ref="KDZ106:KED106"/>
    <mergeCell ref="KEE106:KEI106"/>
    <mergeCell ref="KEJ106:KEN106"/>
    <mergeCell ref="KCQ106:KCU106"/>
    <mergeCell ref="KCV106:KCZ106"/>
    <mergeCell ref="KDA106:KDE106"/>
    <mergeCell ref="KDF106:KDJ106"/>
    <mergeCell ref="KDK106:KDO106"/>
    <mergeCell ref="KBR106:KBV106"/>
    <mergeCell ref="KBW106:KCA106"/>
    <mergeCell ref="KCB106:KCF106"/>
    <mergeCell ref="KCG106:KCK106"/>
    <mergeCell ref="KCL106:KCP106"/>
    <mergeCell ref="KAS106:KAW106"/>
    <mergeCell ref="KAX106:KBB106"/>
    <mergeCell ref="KBC106:KBG106"/>
    <mergeCell ref="KBH106:KBL106"/>
    <mergeCell ref="KBM106:KBQ106"/>
    <mergeCell ref="JZT106:JZX106"/>
    <mergeCell ref="JZY106:KAC106"/>
    <mergeCell ref="KAD106:KAH106"/>
    <mergeCell ref="KAI106:KAM106"/>
    <mergeCell ref="KAN106:KAR106"/>
    <mergeCell ref="JYU106:JYY106"/>
    <mergeCell ref="JYZ106:JZD106"/>
    <mergeCell ref="JZE106:JZI106"/>
    <mergeCell ref="JZJ106:JZN106"/>
    <mergeCell ref="JZO106:JZS106"/>
    <mergeCell ref="JXV106:JXZ106"/>
    <mergeCell ref="JYA106:JYE106"/>
    <mergeCell ref="JYF106:JYJ106"/>
    <mergeCell ref="JYK106:JYO106"/>
    <mergeCell ref="JYP106:JYT106"/>
    <mergeCell ref="JWW106:JXA106"/>
    <mergeCell ref="JXB106:JXF106"/>
    <mergeCell ref="JXG106:JXK106"/>
    <mergeCell ref="JXL106:JXP106"/>
    <mergeCell ref="JXQ106:JXU106"/>
    <mergeCell ref="JVX106:JWB106"/>
    <mergeCell ref="JWC106:JWG106"/>
    <mergeCell ref="JWH106:JWL106"/>
    <mergeCell ref="JWM106:JWQ106"/>
    <mergeCell ref="JWR106:JWV106"/>
    <mergeCell ref="JUY106:JVC106"/>
    <mergeCell ref="JVD106:JVH106"/>
    <mergeCell ref="JVI106:JVM106"/>
    <mergeCell ref="JVN106:JVR106"/>
    <mergeCell ref="JVS106:JVW106"/>
    <mergeCell ref="JTZ106:JUD106"/>
    <mergeCell ref="JUE106:JUI106"/>
    <mergeCell ref="JUJ106:JUN106"/>
    <mergeCell ref="JUO106:JUS106"/>
    <mergeCell ref="JUT106:JUX106"/>
    <mergeCell ref="JTA106:JTE106"/>
    <mergeCell ref="JTF106:JTJ106"/>
    <mergeCell ref="JTK106:JTO106"/>
    <mergeCell ref="JTP106:JTT106"/>
    <mergeCell ref="JTU106:JTY106"/>
    <mergeCell ref="JSB106:JSF106"/>
    <mergeCell ref="JSG106:JSK106"/>
    <mergeCell ref="JSL106:JSP106"/>
    <mergeCell ref="JSQ106:JSU106"/>
    <mergeCell ref="JSV106:JSZ106"/>
    <mergeCell ref="JRC106:JRG106"/>
    <mergeCell ref="JRH106:JRL106"/>
    <mergeCell ref="JRM106:JRQ106"/>
    <mergeCell ref="JRR106:JRV106"/>
    <mergeCell ref="JRW106:JSA106"/>
    <mergeCell ref="JQD106:JQH106"/>
    <mergeCell ref="JQI106:JQM106"/>
    <mergeCell ref="JQN106:JQR106"/>
    <mergeCell ref="JQS106:JQW106"/>
    <mergeCell ref="JQX106:JRB106"/>
    <mergeCell ref="JPE106:JPI106"/>
    <mergeCell ref="JPJ106:JPN106"/>
    <mergeCell ref="JPO106:JPS106"/>
    <mergeCell ref="JPT106:JPX106"/>
    <mergeCell ref="JPY106:JQC106"/>
    <mergeCell ref="JOF106:JOJ106"/>
    <mergeCell ref="JOK106:JOO106"/>
    <mergeCell ref="JOP106:JOT106"/>
    <mergeCell ref="JOU106:JOY106"/>
    <mergeCell ref="JOZ106:JPD106"/>
    <mergeCell ref="JNG106:JNK106"/>
    <mergeCell ref="JNL106:JNP106"/>
    <mergeCell ref="JNQ106:JNU106"/>
    <mergeCell ref="JNV106:JNZ106"/>
    <mergeCell ref="JOA106:JOE106"/>
    <mergeCell ref="JMH106:JML106"/>
    <mergeCell ref="JMM106:JMQ106"/>
    <mergeCell ref="JMR106:JMV106"/>
    <mergeCell ref="JMW106:JNA106"/>
    <mergeCell ref="JNB106:JNF106"/>
    <mergeCell ref="JLI106:JLM106"/>
    <mergeCell ref="JLN106:JLR106"/>
    <mergeCell ref="JLS106:JLW106"/>
    <mergeCell ref="JLX106:JMB106"/>
    <mergeCell ref="JMC106:JMG106"/>
    <mergeCell ref="JKJ106:JKN106"/>
    <mergeCell ref="JKO106:JKS106"/>
    <mergeCell ref="JKT106:JKX106"/>
    <mergeCell ref="JKY106:JLC106"/>
    <mergeCell ref="JLD106:JLH106"/>
    <mergeCell ref="JJK106:JJO106"/>
    <mergeCell ref="JJP106:JJT106"/>
    <mergeCell ref="JJU106:JJY106"/>
    <mergeCell ref="JJZ106:JKD106"/>
    <mergeCell ref="JKE106:JKI106"/>
    <mergeCell ref="JIL106:JIP106"/>
    <mergeCell ref="JIQ106:JIU106"/>
    <mergeCell ref="JIV106:JIZ106"/>
    <mergeCell ref="JJA106:JJE106"/>
    <mergeCell ref="JJF106:JJJ106"/>
    <mergeCell ref="JHM106:JHQ106"/>
    <mergeCell ref="JHR106:JHV106"/>
    <mergeCell ref="JHW106:JIA106"/>
    <mergeCell ref="JIB106:JIF106"/>
    <mergeCell ref="JIG106:JIK106"/>
    <mergeCell ref="JGN106:JGR106"/>
    <mergeCell ref="JGS106:JGW106"/>
    <mergeCell ref="JGX106:JHB106"/>
    <mergeCell ref="JHC106:JHG106"/>
    <mergeCell ref="JHH106:JHL106"/>
    <mergeCell ref="JFO106:JFS106"/>
    <mergeCell ref="JFT106:JFX106"/>
    <mergeCell ref="JFY106:JGC106"/>
    <mergeCell ref="JGD106:JGH106"/>
    <mergeCell ref="JGI106:JGM106"/>
    <mergeCell ref="JEP106:JET106"/>
    <mergeCell ref="JEU106:JEY106"/>
    <mergeCell ref="JEZ106:JFD106"/>
    <mergeCell ref="JFE106:JFI106"/>
    <mergeCell ref="JFJ106:JFN106"/>
    <mergeCell ref="JDQ106:JDU106"/>
    <mergeCell ref="JDV106:JDZ106"/>
    <mergeCell ref="JEA106:JEE106"/>
    <mergeCell ref="JEF106:JEJ106"/>
    <mergeCell ref="JEK106:JEO106"/>
    <mergeCell ref="JCR106:JCV106"/>
    <mergeCell ref="JCW106:JDA106"/>
    <mergeCell ref="JDB106:JDF106"/>
    <mergeCell ref="JDG106:JDK106"/>
    <mergeCell ref="JDL106:JDP106"/>
    <mergeCell ref="JBS106:JBW106"/>
    <mergeCell ref="JBX106:JCB106"/>
    <mergeCell ref="JCC106:JCG106"/>
    <mergeCell ref="JCH106:JCL106"/>
    <mergeCell ref="JCM106:JCQ106"/>
    <mergeCell ref="JAT106:JAX106"/>
    <mergeCell ref="JAY106:JBC106"/>
    <mergeCell ref="JBD106:JBH106"/>
    <mergeCell ref="JBI106:JBM106"/>
    <mergeCell ref="JBN106:JBR106"/>
    <mergeCell ref="IZU106:IZY106"/>
    <mergeCell ref="IZZ106:JAD106"/>
    <mergeCell ref="JAE106:JAI106"/>
    <mergeCell ref="JAJ106:JAN106"/>
    <mergeCell ref="JAO106:JAS106"/>
    <mergeCell ref="IYV106:IYZ106"/>
    <mergeCell ref="IZA106:IZE106"/>
    <mergeCell ref="IZF106:IZJ106"/>
    <mergeCell ref="IZK106:IZO106"/>
    <mergeCell ref="IZP106:IZT106"/>
    <mergeCell ref="IXW106:IYA106"/>
    <mergeCell ref="IYB106:IYF106"/>
    <mergeCell ref="IYG106:IYK106"/>
    <mergeCell ref="IYL106:IYP106"/>
    <mergeCell ref="IYQ106:IYU106"/>
    <mergeCell ref="IWX106:IXB106"/>
    <mergeCell ref="IXC106:IXG106"/>
    <mergeCell ref="IXH106:IXL106"/>
    <mergeCell ref="IXM106:IXQ106"/>
    <mergeCell ref="IXR106:IXV106"/>
    <mergeCell ref="IVY106:IWC106"/>
    <mergeCell ref="IWD106:IWH106"/>
    <mergeCell ref="IWI106:IWM106"/>
    <mergeCell ref="IWN106:IWR106"/>
    <mergeCell ref="IWS106:IWW106"/>
    <mergeCell ref="IUZ106:IVD106"/>
    <mergeCell ref="IVE106:IVI106"/>
    <mergeCell ref="IVJ106:IVN106"/>
    <mergeCell ref="IVO106:IVS106"/>
    <mergeCell ref="IVT106:IVX106"/>
    <mergeCell ref="IUA106:IUE106"/>
    <mergeCell ref="IUF106:IUJ106"/>
    <mergeCell ref="IUK106:IUO106"/>
    <mergeCell ref="IUP106:IUT106"/>
    <mergeCell ref="IUU106:IUY106"/>
    <mergeCell ref="ITB106:ITF106"/>
    <mergeCell ref="ITG106:ITK106"/>
    <mergeCell ref="ITL106:ITP106"/>
    <mergeCell ref="ITQ106:ITU106"/>
    <mergeCell ref="ITV106:ITZ106"/>
    <mergeCell ref="ISC106:ISG106"/>
    <mergeCell ref="ISH106:ISL106"/>
    <mergeCell ref="ISM106:ISQ106"/>
    <mergeCell ref="ISR106:ISV106"/>
    <mergeCell ref="ISW106:ITA106"/>
    <mergeCell ref="IRD106:IRH106"/>
    <mergeCell ref="IRI106:IRM106"/>
    <mergeCell ref="IRN106:IRR106"/>
    <mergeCell ref="IRS106:IRW106"/>
    <mergeCell ref="IRX106:ISB106"/>
    <mergeCell ref="IQE106:IQI106"/>
    <mergeCell ref="IQJ106:IQN106"/>
    <mergeCell ref="IQO106:IQS106"/>
    <mergeCell ref="IQT106:IQX106"/>
    <mergeCell ref="IQY106:IRC106"/>
    <mergeCell ref="IPF106:IPJ106"/>
    <mergeCell ref="IPK106:IPO106"/>
    <mergeCell ref="IPP106:IPT106"/>
    <mergeCell ref="IPU106:IPY106"/>
    <mergeCell ref="IPZ106:IQD106"/>
    <mergeCell ref="IOG106:IOK106"/>
    <mergeCell ref="IOL106:IOP106"/>
    <mergeCell ref="IOQ106:IOU106"/>
    <mergeCell ref="IOV106:IOZ106"/>
    <mergeCell ref="IPA106:IPE106"/>
    <mergeCell ref="INH106:INL106"/>
    <mergeCell ref="INM106:INQ106"/>
    <mergeCell ref="INR106:INV106"/>
    <mergeCell ref="INW106:IOA106"/>
    <mergeCell ref="IOB106:IOF106"/>
    <mergeCell ref="IMI106:IMM106"/>
    <mergeCell ref="IMN106:IMR106"/>
    <mergeCell ref="IMS106:IMW106"/>
    <mergeCell ref="IMX106:INB106"/>
    <mergeCell ref="INC106:ING106"/>
    <mergeCell ref="ILJ106:ILN106"/>
    <mergeCell ref="ILO106:ILS106"/>
    <mergeCell ref="ILT106:ILX106"/>
    <mergeCell ref="ILY106:IMC106"/>
    <mergeCell ref="IMD106:IMH106"/>
    <mergeCell ref="IKK106:IKO106"/>
    <mergeCell ref="IKP106:IKT106"/>
    <mergeCell ref="IKU106:IKY106"/>
    <mergeCell ref="IKZ106:ILD106"/>
    <mergeCell ref="ILE106:ILI106"/>
    <mergeCell ref="IJL106:IJP106"/>
    <mergeCell ref="IJQ106:IJU106"/>
    <mergeCell ref="IJV106:IJZ106"/>
    <mergeCell ref="IKA106:IKE106"/>
    <mergeCell ref="IKF106:IKJ106"/>
    <mergeCell ref="IIM106:IIQ106"/>
    <mergeCell ref="IIR106:IIV106"/>
    <mergeCell ref="IIW106:IJA106"/>
    <mergeCell ref="IJB106:IJF106"/>
    <mergeCell ref="IJG106:IJK106"/>
    <mergeCell ref="IHN106:IHR106"/>
    <mergeCell ref="IHS106:IHW106"/>
    <mergeCell ref="IHX106:IIB106"/>
    <mergeCell ref="IIC106:IIG106"/>
    <mergeCell ref="IIH106:IIL106"/>
    <mergeCell ref="IGO106:IGS106"/>
    <mergeCell ref="IGT106:IGX106"/>
    <mergeCell ref="IGY106:IHC106"/>
    <mergeCell ref="IHD106:IHH106"/>
    <mergeCell ref="IHI106:IHM106"/>
    <mergeCell ref="IFP106:IFT106"/>
    <mergeCell ref="IFU106:IFY106"/>
    <mergeCell ref="IFZ106:IGD106"/>
    <mergeCell ref="IGE106:IGI106"/>
    <mergeCell ref="IGJ106:IGN106"/>
    <mergeCell ref="IEQ106:IEU106"/>
    <mergeCell ref="IEV106:IEZ106"/>
    <mergeCell ref="IFA106:IFE106"/>
    <mergeCell ref="IFF106:IFJ106"/>
    <mergeCell ref="IFK106:IFO106"/>
    <mergeCell ref="IDR106:IDV106"/>
    <mergeCell ref="IDW106:IEA106"/>
    <mergeCell ref="IEB106:IEF106"/>
    <mergeCell ref="IEG106:IEK106"/>
    <mergeCell ref="IEL106:IEP106"/>
    <mergeCell ref="ICS106:ICW106"/>
    <mergeCell ref="ICX106:IDB106"/>
    <mergeCell ref="IDC106:IDG106"/>
    <mergeCell ref="IDH106:IDL106"/>
    <mergeCell ref="IDM106:IDQ106"/>
    <mergeCell ref="IBT106:IBX106"/>
    <mergeCell ref="IBY106:ICC106"/>
    <mergeCell ref="ICD106:ICH106"/>
    <mergeCell ref="ICI106:ICM106"/>
    <mergeCell ref="ICN106:ICR106"/>
    <mergeCell ref="IAU106:IAY106"/>
    <mergeCell ref="IAZ106:IBD106"/>
    <mergeCell ref="IBE106:IBI106"/>
    <mergeCell ref="IBJ106:IBN106"/>
    <mergeCell ref="IBO106:IBS106"/>
    <mergeCell ref="HZV106:HZZ106"/>
    <mergeCell ref="IAA106:IAE106"/>
    <mergeCell ref="IAF106:IAJ106"/>
    <mergeCell ref="IAK106:IAO106"/>
    <mergeCell ref="IAP106:IAT106"/>
    <mergeCell ref="HYW106:HZA106"/>
    <mergeCell ref="HZB106:HZF106"/>
    <mergeCell ref="HZG106:HZK106"/>
    <mergeCell ref="HZL106:HZP106"/>
    <mergeCell ref="HZQ106:HZU106"/>
    <mergeCell ref="HXX106:HYB106"/>
    <mergeCell ref="HYC106:HYG106"/>
    <mergeCell ref="HYH106:HYL106"/>
    <mergeCell ref="HYM106:HYQ106"/>
    <mergeCell ref="HYR106:HYV106"/>
    <mergeCell ref="HWY106:HXC106"/>
    <mergeCell ref="HXD106:HXH106"/>
    <mergeCell ref="HXI106:HXM106"/>
    <mergeCell ref="HXN106:HXR106"/>
    <mergeCell ref="HXS106:HXW106"/>
    <mergeCell ref="HVZ106:HWD106"/>
    <mergeCell ref="HWE106:HWI106"/>
    <mergeCell ref="HWJ106:HWN106"/>
    <mergeCell ref="HWO106:HWS106"/>
    <mergeCell ref="HWT106:HWX106"/>
    <mergeCell ref="HVA106:HVE106"/>
    <mergeCell ref="HVF106:HVJ106"/>
    <mergeCell ref="HVK106:HVO106"/>
    <mergeCell ref="HVP106:HVT106"/>
    <mergeCell ref="HVU106:HVY106"/>
    <mergeCell ref="HUB106:HUF106"/>
    <mergeCell ref="HUG106:HUK106"/>
    <mergeCell ref="HUL106:HUP106"/>
    <mergeCell ref="HUQ106:HUU106"/>
    <mergeCell ref="HUV106:HUZ106"/>
    <mergeCell ref="HTC106:HTG106"/>
    <mergeCell ref="HTH106:HTL106"/>
    <mergeCell ref="HTM106:HTQ106"/>
    <mergeCell ref="HTR106:HTV106"/>
    <mergeCell ref="HTW106:HUA106"/>
    <mergeCell ref="HSD106:HSH106"/>
    <mergeCell ref="HSI106:HSM106"/>
    <mergeCell ref="HSN106:HSR106"/>
    <mergeCell ref="HSS106:HSW106"/>
    <mergeCell ref="HSX106:HTB106"/>
    <mergeCell ref="HRE106:HRI106"/>
    <mergeCell ref="HRJ106:HRN106"/>
    <mergeCell ref="HRO106:HRS106"/>
    <mergeCell ref="HRT106:HRX106"/>
    <mergeCell ref="HRY106:HSC106"/>
    <mergeCell ref="HQF106:HQJ106"/>
    <mergeCell ref="HQK106:HQO106"/>
    <mergeCell ref="HQP106:HQT106"/>
    <mergeCell ref="HQU106:HQY106"/>
    <mergeCell ref="HQZ106:HRD106"/>
    <mergeCell ref="HPG106:HPK106"/>
    <mergeCell ref="HPL106:HPP106"/>
    <mergeCell ref="HPQ106:HPU106"/>
    <mergeCell ref="HPV106:HPZ106"/>
    <mergeCell ref="HQA106:HQE106"/>
    <mergeCell ref="HOH106:HOL106"/>
    <mergeCell ref="HOM106:HOQ106"/>
    <mergeCell ref="HOR106:HOV106"/>
    <mergeCell ref="HOW106:HPA106"/>
    <mergeCell ref="HPB106:HPF106"/>
    <mergeCell ref="HNI106:HNM106"/>
    <mergeCell ref="HNN106:HNR106"/>
    <mergeCell ref="HNS106:HNW106"/>
    <mergeCell ref="HNX106:HOB106"/>
    <mergeCell ref="HOC106:HOG106"/>
    <mergeCell ref="HMJ106:HMN106"/>
    <mergeCell ref="HMO106:HMS106"/>
    <mergeCell ref="HMT106:HMX106"/>
    <mergeCell ref="HMY106:HNC106"/>
    <mergeCell ref="HND106:HNH106"/>
    <mergeCell ref="HLK106:HLO106"/>
    <mergeCell ref="HLP106:HLT106"/>
    <mergeCell ref="HLU106:HLY106"/>
    <mergeCell ref="HLZ106:HMD106"/>
    <mergeCell ref="HME106:HMI106"/>
    <mergeCell ref="HKL106:HKP106"/>
    <mergeCell ref="HKQ106:HKU106"/>
    <mergeCell ref="HKV106:HKZ106"/>
    <mergeCell ref="HLA106:HLE106"/>
    <mergeCell ref="HLF106:HLJ106"/>
    <mergeCell ref="HJM106:HJQ106"/>
    <mergeCell ref="HJR106:HJV106"/>
    <mergeCell ref="HJW106:HKA106"/>
    <mergeCell ref="HKB106:HKF106"/>
    <mergeCell ref="HKG106:HKK106"/>
    <mergeCell ref="HIN106:HIR106"/>
    <mergeCell ref="HIS106:HIW106"/>
    <mergeCell ref="HIX106:HJB106"/>
    <mergeCell ref="HJC106:HJG106"/>
    <mergeCell ref="HJH106:HJL106"/>
    <mergeCell ref="HHO106:HHS106"/>
    <mergeCell ref="HHT106:HHX106"/>
    <mergeCell ref="HHY106:HIC106"/>
    <mergeCell ref="HID106:HIH106"/>
    <mergeCell ref="HII106:HIM106"/>
    <mergeCell ref="HGP106:HGT106"/>
    <mergeCell ref="HGU106:HGY106"/>
    <mergeCell ref="HGZ106:HHD106"/>
    <mergeCell ref="HHE106:HHI106"/>
    <mergeCell ref="HHJ106:HHN106"/>
    <mergeCell ref="HFQ106:HFU106"/>
    <mergeCell ref="HFV106:HFZ106"/>
    <mergeCell ref="HGA106:HGE106"/>
    <mergeCell ref="HGF106:HGJ106"/>
    <mergeCell ref="HGK106:HGO106"/>
    <mergeCell ref="HER106:HEV106"/>
    <mergeCell ref="HEW106:HFA106"/>
    <mergeCell ref="HFB106:HFF106"/>
    <mergeCell ref="HFG106:HFK106"/>
    <mergeCell ref="HFL106:HFP106"/>
    <mergeCell ref="HDS106:HDW106"/>
    <mergeCell ref="HDX106:HEB106"/>
    <mergeCell ref="HEC106:HEG106"/>
    <mergeCell ref="HEH106:HEL106"/>
    <mergeCell ref="HEM106:HEQ106"/>
    <mergeCell ref="HCT106:HCX106"/>
    <mergeCell ref="HCY106:HDC106"/>
    <mergeCell ref="HDD106:HDH106"/>
    <mergeCell ref="HDI106:HDM106"/>
    <mergeCell ref="HDN106:HDR106"/>
    <mergeCell ref="HBU106:HBY106"/>
    <mergeCell ref="HBZ106:HCD106"/>
    <mergeCell ref="HCE106:HCI106"/>
    <mergeCell ref="HCJ106:HCN106"/>
    <mergeCell ref="HCO106:HCS106"/>
    <mergeCell ref="HAV106:HAZ106"/>
    <mergeCell ref="HBA106:HBE106"/>
    <mergeCell ref="HBF106:HBJ106"/>
    <mergeCell ref="HBK106:HBO106"/>
    <mergeCell ref="HBP106:HBT106"/>
    <mergeCell ref="GZW106:HAA106"/>
    <mergeCell ref="HAB106:HAF106"/>
    <mergeCell ref="HAG106:HAK106"/>
    <mergeCell ref="HAL106:HAP106"/>
    <mergeCell ref="HAQ106:HAU106"/>
    <mergeCell ref="GYX106:GZB106"/>
    <mergeCell ref="GZC106:GZG106"/>
    <mergeCell ref="GZH106:GZL106"/>
    <mergeCell ref="GZM106:GZQ106"/>
    <mergeCell ref="GZR106:GZV106"/>
    <mergeCell ref="GXY106:GYC106"/>
    <mergeCell ref="GYD106:GYH106"/>
    <mergeCell ref="GYI106:GYM106"/>
    <mergeCell ref="GYN106:GYR106"/>
    <mergeCell ref="GYS106:GYW106"/>
    <mergeCell ref="GWZ106:GXD106"/>
    <mergeCell ref="GXE106:GXI106"/>
    <mergeCell ref="GXJ106:GXN106"/>
    <mergeCell ref="GXO106:GXS106"/>
    <mergeCell ref="GXT106:GXX106"/>
    <mergeCell ref="GWA106:GWE106"/>
    <mergeCell ref="GWF106:GWJ106"/>
    <mergeCell ref="GWK106:GWO106"/>
    <mergeCell ref="GWP106:GWT106"/>
    <mergeCell ref="GWU106:GWY106"/>
    <mergeCell ref="GVB106:GVF106"/>
    <mergeCell ref="GVG106:GVK106"/>
    <mergeCell ref="GVL106:GVP106"/>
    <mergeCell ref="GVQ106:GVU106"/>
    <mergeCell ref="GVV106:GVZ106"/>
    <mergeCell ref="GUC106:GUG106"/>
    <mergeCell ref="GUH106:GUL106"/>
    <mergeCell ref="GUM106:GUQ106"/>
    <mergeCell ref="GUR106:GUV106"/>
    <mergeCell ref="GUW106:GVA106"/>
    <mergeCell ref="GTD106:GTH106"/>
    <mergeCell ref="GTI106:GTM106"/>
    <mergeCell ref="GTN106:GTR106"/>
    <mergeCell ref="GTS106:GTW106"/>
    <mergeCell ref="GTX106:GUB106"/>
    <mergeCell ref="GSE106:GSI106"/>
    <mergeCell ref="GSJ106:GSN106"/>
    <mergeCell ref="GSO106:GSS106"/>
    <mergeCell ref="GST106:GSX106"/>
    <mergeCell ref="GSY106:GTC106"/>
    <mergeCell ref="GRF106:GRJ106"/>
    <mergeCell ref="GRK106:GRO106"/>
    <mergeCell ref="GRP106:GRT106"/>
    <mergeCell ref="GRU106:GRY106"/>
    <mergeCell ref="GRZ106:GSD106"/>
    <mergeCell ref="GQG106:GQK106"/>
    <mergeCell ref="GQL106:GQP106"/>
    <mergeCell ref="GQQ106:GQU106"/>
    <mergeCell ref="GQV106:GQZ106"/>
    <mergeCell ref="GRA106:GRE106"/>
    <mergeCell ref="GPH106:GPL106"/>
    <mergeCell ref="GPM106:GPQ106"/>
    <mergeCell ref="GPR106:GPV106"/>
    <mergeCell ref="GPW106:GQA106"/>
    <mergeCell ref="GQB106:GQF106"/>
    <mergeCell ref="GOI106:GOM106"/>
    <mergeCell ref="GON106:GOR106"/>
    <mergeCell ref="GOS106:GOW106"/>
    <mergeCell ref="GOX106:GPB106"/>
    <mergeCell ref="GPC106:GPG106"/>
    <mergeCell ref="GNJ106:GNN106"/>
    <mergeCell ref="GNO106:GNS106"/>
    <mergeCell ref="GNT106:GNX106"/>
    <mergeCell ref="GNY106:GOC106"/>
    <mergeCell ref="GOD106:GOH106"/>
    <mergeCell ref="GMK106:GMO106"/>
    <mergeCell ref="GMP106:GMT106"/>
    <mergeCell ref="GMU106:GMY106"/>
    <mergeCell ref="GMZ106:GND106"/>
    <mergeCell ref="GNE106:GNI106"/>
    <mergeCell ref="GLL106:GLP106"/>
    <mergeCell ref="GLQ106:GLU106"/>
    <mergeCell ref="GLV106:GLZ106"/>
    <mergeCell ref="GMA106:GME106"/>
    <mergeCell ref="GMF106:GMJ106"/>
    <mergeCell ref="GKM106:GKQ106"/>
    <mergeCell ref="GKR106:GKV106"/>
    <mergeCell ref="GKW106:GLA106"/>
    <mergeCell ref="GLB106:GLF106"/>
    <mergeCell ref="GLG106:GLK106"/>
    <mergeCell ref="GJN106:GJR106"/>
    <mergeCell ref="GJS106:GJW106"/>
    <mergeCell ref="GJX106:GKB106"/>
    <mergeCell ref="GKC106:GKG106"/>
    <mergeCell ref="GKH106:GKL106"/>
    <mergeCell ref="GIO106:GIS106"/>
    <mergeCell ref="GIT106:GIX106"/>
    <mergeCell ref="GIY106:GJC106"/>
    <mergeCell ref="GJD106:GJH106"/>
    <mergeCell ref="GJI106:GJM106"/>
    <mergeCell ref="GHP106:GHT106"/>
    <mergeCell ref="GHU106:GHY106"/>
    <mergeCell ref="GHZ106:GID106"/>
    <mergeCell ref="GIE106:GII106"/>
    <mergeCell ref="GIJ106:GIN106"/>
    <mergeCell ref="GGQ106:GGU106"/>
    <mergeCell ref="GGV106:GGZ106"/>
    <mergeCell ref="GHA106:GHE106"/>
    <mergeCell ref="GHF106:GHJ106"/>
    <mergeCell ref="GHK106:GHO106"/>
    <mergeCell ref="GFR106:GFV106"/>
    <mergeCell ref="GFW106:GGA106"/>
    <mergeCell ref="GGB106:GGF106"/>
    <mergeCell ref="GGG106:GGK106"/>
    <mergeCell ref="GGL106:GGP106"/>
    <mergeCell ref="GES106:GEW106"/>
    <mergeCell ref="GEX106:GFB106"/>
    <mergeCell ref="GFC106:GFG106"/>
    <mergeCell ref="GFH106:GFL106"/>
    <mergeCell ref="GFM106:GFQ106"/>
    <mergeCell ref="GDT106:GDX106"/>
    <mergeCell ref="GDY106:GEC106"/>
    <mergeCell ref="GED106:GEH106"/>
    <mergeCell ref="GEI106:GEM106"/>
    <mergeCell ref="GEN106:GER106"/>
    <mergeCell ref="GCU106:GCY106"/>
    <mergeCell ref="GCZ106:GDD106"/>
    <mergeCell ref="GDE106:GDI106"/>
    <mergeCell ref="GDJ106:GDN106"/>
    <mergeCell ref="GDO106:GDS106"/>
    <mergeCell ref="GBV106:GBZ106"/>
    <mergeCell ref="GCA106:GCE106"/>
    <mergeCell ref="GCF106:GCJ106"/>
    <mergeCell ref="GCK106:GCO106"/>
    <mergeCell ref="GCP106:GCT106"/>
    <mergeCell ref="GAW106:GBA106"/>
    <mergeCell ref="GBB106:GBF106"/>
    <mergeCell ref="GBG106:GBK106"/>
    <mergeCell ref="GBL106:GBP106"/>
    <mergeCell ref="GBQ106:GBU106"/>
    <mergeCell ref="FZX106:GAB106"/>
    <mergeCell ref="GAC106:GAG106"/>
    <mergeCell ref="GAH106:GAL106"/>
    <mergeCell ref="GAM106:GAQ106"/>
    <mergeCell ref="GAR106:GAV106"/>
    <mergeCell ref="FYY106:FZC106"/>
    <mergeCell ref="FZD106:FZH106"/>
    <mergeCell ref="FZI106:FZM106"/>
    <mergeCell ref="FZN106:FZR106"/>
    <mergeCell ref="FZS106:FZW106"/>
    <mergeCell ref="FXZ106:FYD106"/>
    <mergeCell ref="FYE106:FYI106"/>
    <mergeCell ref="FYJ106:FYN106"/>
    <mergeCell ref="FYO106:FYS106"/>
    <mergeCell ref="FYT106:FYX106"/>
    <mergeCell ref="FXA106:FXE106"/>
    <mergeCell ref="FXF106:FXJ106"/>
    <mergeCell ref="FXK106:FXO106"/>
    <mergeCell ref="FXP106:FXT106"/>
    <mergeCell ref="FXU106:FXY106"/>
    <mergeCell ref="FWB106:FWF106"/>
    <mergeCell ref="FWG106:FWK106"/>
    <mergeCell ref="FWL106:FWP106"/>
    <mergeCell ref="FWQ106:FWU106"/>
    <mergeCell ref="FWV106:FWZ106"/>
    <mergeCell ref="FVC106:FVG106"/>
    <mergeCell ref="FVH106:FVL106"/>
    <mergeCell ref="FVM106:FVQ106"/>
    <mergeCell ref="FVR106:FVV106"/>
    <mergeCell ref="FVW106:FWA106"/>
    <mergeCell ref="FUD106:FUH106"/>
    <mergeCell ref="FUI106:FUM106"/>
    <mergeCell ref="FUN106:FUR106"/>
    <mergeCell ref="FUS106:FUW106"/>
    <mergeCell ref="FUX106:FVB106"/>
    <mergeCell ref="FTE106:FTI106"/>
    <mergeCell ref="FTJ106:FTN106"/>
    <mergeCell ref="FTO106:FTS106"/>
    <mergeCell ref="FTT106:FTX106"/>
    <mergeCell ref="FTY106:FUC106"/>
    <mergeCell ref="FSF106:FSJ106"/>
    <mergeCell ref="FSK106:FSO106"/>
    <mergeCell ref="FSP106:FST106"/>
    <mergeCell ref="FSU106:FSY106"/>
    <mergeCell ref="FSZ106:FTD106"/>
    <mergeCell ref="FRG106:FRK106"/>
    <mergeCell ref="FRL106:FRP106"/>
    <mergeCell ref="FRQ106:FRU106"/>
    <mergeCell ref="FRV106:FRZ106"/>
    <mergeCell ref="FSA106:FSE106"/>
    <mergeCell ref="FQH106:FQL106"/>
    <mergeCell ref="FQM106:FQQ106"/>
    <mergeCell ref="FQR106:FQV106"/>
    <mergeCell ref="FQW106:FRA106"/>
    <mergeCell ref="FRB106:FRF106"/>
    <mergeCell ref="FPI106:FPM106"/>
    <mergeCell ref="FPN106:FPR106"/>
    <mergeCell ref="FPS106:FPW106"/>
    <mergeCell ref="FPX106:FQB106"/>
    <mergeCell ref="FQC106:FQG106"/>
    <mergeCell ref="FOJ106:FON106"/>
    <mergeCell ref="FOO106:FOS106"/>
    <mergeCell ref="FOT106:FOX106"/>
    <mergeCell ref="FOY106:FPC106"/>
    <mergeCell ref="FPD106:FPH106"/>
    <mergeCell ref="FNK106:FNO106"/>
    <mergeCell ref="FNP106:FNT106"/>
    <mergeCell ref="FNU106:FNY106"/>
    <mergeCell ref="FNZ106:FOD106"/>
    <mergeCell ref="FOE106:FOI106"/>
    <mergeCell ref="FML106:FMP106"/>
    <mergeCell ref="FMQ106:FMU106"/>
    <mergeCell ref="FMV106:FMZ106"/>
    <mergeCell ref="FNA106:FNE106"/>
    <mergeCell ref="FNF106:FNJ106"/>
    <mergeCell ref="FLM106:FLQ106"/>
    <mergeCell ref="FLR106:FLV106"/>
    <mergeCell ref="FLW106:FMA106"/>
    <mergeCell ref="FMB106:FMF106"/>
    <mergeCell ref="FMG106:FMK106"/>
    <mergeCell ref="FKN106:FKR106"/>
    <mergeCell ref="FKS106:FKW106"/>
    <mergeCell ref="FKX106:FLB106"/>
    <mergeCell ref="FLC106:FLG106"/>
    <mergeCell ref="FLH106:FLL106"/>
    <mergeCell ref="FJO106:FJS106"/>
    <mergeCell ref="FJT106:FJX106"/>
    <mergeCell ref="FJY106:FKC106"/>
    <mergeCell ref="FKD106:FKH106"/>
    <mergeCell ref="FKI106:FKM106"/>
    <mergeCell ref="FIP106:FIT106"/>
    <mergeCell ref="FIU106:FIY106"/>
    <mergeCell ref="FIZ106:FJD106"/>
    <mergeCell ref="FJE106:FJI106"/>
    <mergeCell ref="FJJ106:FJN106"/>
    <mergeCell ref="FHQ106:FHU106"/>
    <mergeCell ref="FHV106:FHZ106"/>
    <mergeCell ref="FIA106:FIE106"/>
    <mergeCell ref="FIF106:FIJ106"/>
    <mergeCell ref="FIK106:FIO106"/>
    <mergeCell ref="FGR106:FGV106"/>
    <mergeCell ref="FGW106:FHA106"/>
    <mergeCell ref="FHB106:FHF106"/>
    <mergeCell ref="FHG106:FHK106"/>
    <mergeCell ref="FHL106:FHP106"/>
    <mergeCell ref="FFS106:FFW106"/>
    <mergeCell ref="FFX106:FGB106"/>
    <mergeCell ref="FGC106:FGG106"/>
    <mergeCell ref="FGH106:FGL106"/>
    <mergeCell ref="FGM106:FGQ106"/>
    <mergeCell ref="FET106:FEX106"/>
    <mergeCell ref="FEY106:FFC106"/>
    <mergeCell ref="FFD106:FFH106"/>
    <mergeCell ref="FFI106:FFM106"/>
    <mergeCell ref="FFN106:FFR106"/>
    <mergeCell ref="FDU106:FDY106"/>
    <mergeCell ref="FDZ106:FED106"/>
    <mergeCell ref="FEE106:FEI106"/>
    <mergeCell ref="FEJ106:FEN106"/>
    <mergeCell ref="FEO106:FES106"/>
    <mergeCell ref="FCV106:FCZ106"/>
    <mergeCell ref="FDA106:FDE106"/>
    <mergeCell ref="FDF106:FDJ106"/>
    <mergeCell ref="FDK106:FDO106"/>
    <mergeCell ref="FDP106:FDT106"/>
    <mergeCell ref="FBW106:FCA106"/>
    <mergeCell ref="FCB106:FCF106"/>
    <mergeCell ref="FCG106:FCK106"/>
    <mergeCell ref="FCL106:FCP106"/>
    <mergeCell ref="FCQ106:FCU106"/>
    <mergeCell ref="FAX106:FBB106"/>
    <mergeCell ref="FBC106:FBG106"/>
    <mergeCell ref="FBH106:FBL106"/>
    <mergeCell ref="FBM106:FBQ106"/>
    <mergeCell ref="FBR106:FBV106"/>
    <mergeCell ref="EZY106:FAC106"/>
    <mergeCell ref="FAD106:FAH106"/>
    <mergeCell ref="FAI106:FAM106"/>
    <mergeCell ref="FAN106:FAR106"/>
    <mergeCell ref="FAS106:FAW106"/>
    <mergeCell ref="EYZ106:EZD106"/>
    <mergeCell ref="EZE106:EZI106"/>
    <mergeCell ref="EZJ106:EZN106"/>
    <mergeCell ref="EZO106:EZS106"/>
    <mergeCell ref="EZT106:EZX106"/>
    <mergeCell ref="EYA106:EYE106"/>
    <mergeCell ref="EYF106:EYJ106"/>
    <mergeCell ref="EYK106:EYO106"/>
    <mergeCell ref="EYP106:EYT106"/>
    <mergeCell ref="EYU106:EYY106"/>
    <mergeCell ref="EXB106:EXF106"/>
    <mergeCell ref="EXG106:EXK106"/>
    <mergeCell ref="EXL106:EXP106"/>
    <mergeCell ref="EXQ106:EXU106"/>
    <mergeCell ref="EXV106:EXZ106"/>
    <mergeCell ref="EWC106:EWG106"/>
    <mergeCell ref="EWH106:EWL106"/>
    <mergeCell ref="EWM106:EWQ106"/>
    <mergeCell ref="EWR106:EWV106"/>
    <mergeCell ref="EWW106:EXA106"/>
    <mergeCell ref="EVD106:EVH106"/>
    <mergeCell ref="EVI106:EVM106"/>
    <mergeCell ref="EVN106:EVR106"/>
    <mergeCell ref="EVS106:EVW106"/>
    <mergeCell ref="EVX106:EWB106"/>
    <mergeCell ref="EUE106:EUI106"/>
    <mergeCell ref="EUJ106:EUN106"/>
    <mergeCell ref="EUO106:EUS106"/>
    <mergeCell ref="EUT106:EUX106"/>
    <mergeCell ref="EUY106:EVC106"/>
    <mergeCell ref="ETF106:ETJ106"/>
    <mergeCell ref="ETK106:ETO106"/>
    <mergeCell ref="ETP106:ETT106"/>
    <mergeCell ref="ETU106:ETY106"/>
    <mergeCell ref="ETZ106:EUD106"/>
    <mergeCell ref="ESG106:ESK106"/>
    <mergeCell ref="ESL106:ESP106"/>
    <mergeCell ref="ESQ106:ESU106"/>
    <mergeCell ref="ESV106:ESZ106"/>
    <mergeCell ref="ETA106:ETE106"/>
    <mergeCell ref="ERH106:ERL106"/>
    <mergeCell ref="ERM106:ERQ106"/>
    <mergeCell ref="ERR106:ERV106"/>
    <mergeCell ref="ERW106:ESA106"/>
    <mergeCell ref="ESB106:ESF106"/>
    <mergeCell ref="EQI106:EQM106"/>
    <mergeCell ref="EQN106:EQR106"/>
    <mergeCell ref="EQS106:EQW106"/>
    <mergeCell ref="EQX106:ERB106"/>
    <mergeCell ref="ERC106:ERG106"/>
    <mergeCell ref="EPJ106:EPN106"/>
    <mergeCell ref="EPO106:EPS106"/>
    <mergeCell ref="EPT106:EPX106"/>
    <mergeCell ref="EPY106:EQC106"/>
    <mergeCell ref="EQD106:EQH106"/>
    <mergeCell ref="EOK106:EOO106"/>
    <mergeCell ref="EOP106:EOT106"/>
    <mergeCell ref="EOU106:EOY106"/>
    <mergeCell ref="EOZ106:EPD106"/>
    <mergeCell ref="EPE106:EPI106"/>
    <mergeCell ref="ENL106:ENP106"/>
    <mergeCell ref="ENQ106:ENU106"/>
    <mergeCell ref="ENV106:ENZ106"/>
    <mergeCell ref="EOA106:EOE106"/>
    <mergeCell ref="EOF106:EOJ106"/>
    <mergeCell ref="EMM106:EMQ106"/>
    <mergeCell ref="EMR106:EMV106"/>
    <mergeCell ref="EMW106:ENA106"/>
    <mergeCell ref="ENB106:ENF106"/>
    <mergeCell ref="ENG106:ENK106"/>
    <mergeCell ref="ELN106:ELR106"/>
    <mergeCell ref="ELS106:ELW106"/>
    <mergeCell ref="ELX106:EMB106"/>
    <mergeCell ref="EMC106:EMG106"/>
    <mergeCell ref="EMH106:EML106"/>
    <mergeCell ref="EKO106:EKS106"/>
    <mergeCell ref="EKT106:EKX106"/>
    <mergeCell ref="EKY106:ELC106"/>
    <mergeCell ref="ELD106:ELH106"/>
    <mergeCell ref="ELI106:ELM106"/>
    <mergeCell ref="EJP106:EJT106"/>
    <mergeCell ref="EJU106:EJY106"/>
    <mergeCell ref="EJZ106:EKD106"/>
    <mergeCell ref="EKE106:EKI106"/>
    <mergeCell ref="EKJ106:EKN106"/>
    <mergeCell ref="EIQ106:EIU106"/>
    <mergeCell ref="EIV106:EIZ106"/>
    <mergeCell ref="EJA106:EJE106"/>
    <mergeCell ref="EJF106:EJJ106"/>
    <mergeCell ref="EJK106:EJO106"/>
    <mergeCell ref="EHR106:EHV106"/>
    <mergeCell ref="EHW106:EIA106"/>
    <mergeCell ref="EIB106:EIF106"/>
    <mergeCell ref="EIG106:EIK106"/>
    <mergeCell ref="EIL106:EIP106"/>
    <mergeCell ref="EGS106:EGW106"/>
    <mergeCell ref="EGX106:EHB106"/>
    <mergeCell ref="EHC106:EHG106"/>
    <mergeCell ref="EHH106:EHL106"/>
    <mergeCell ref="EHM106:EHQ106"/>
    <mergeCell ref="EFT106:EFX106"/>
    <mergeCell ref="EFY106:EGC106"/>
    <mergeCell ref="EGD106:EGH106"/>
    <mergeCell ref="EGI106:EGM106"/>
    <mergeCell ref="EGN106:EGR106"/>
    <mergeCell ref="EEU106:EEY106"/>
    <mergeCell ref="EEZ106:EFD106"/>
    <mergeCell ref="EFE106:EFI106"/>
    <mergeCell ref="EFJ106:EFN106"/>
    <mergeCell ref="EFO106:EFS106"/>
    <mergeCell ref="EDV106:EDZ106"/>
    <mergeCell ref="EEA106:EEE106"/>
    <mergeCell ref="EEF106:EEJ106"/>
    <mergeCell ref="EEK106:EEO106"/>
    <mergeCell ref="EEP106:EET106"/>
    <mergeCell ref="ECW106:EDA106"/>
    <mergeCell ref="EDB106:EDF106"/>
    <mergeCell ref="EDG106:EDK106"/>
    <mergeCell ref="EDL106:EDP106"/>
    <mergeCell ref="EDQ106:EDU106"/>
    <mergeCell ref="EBX106:ECB106"/>
    <mergeCell ref="ECC106:ECG106"/>
    <mergeCell ref="ECH106:ECL106"/>
    <mergeCell ref="ECM106:ECQ106"/>
    <mergeCell ref="ECR106:ECV106"/>
    <mergeCell ref="EAY106:EBC106"/>
    <mergeCell ref="EBD106:EBH106"/>
    <mergeCell ref="EBI106:EBM106"/>
    <mergeCell ref="EBN106:EBR106"/>
    <mergeCell ref="EBS106:EBW106"/>
    <mergeCell ref="DZZ106:EAD106"/>
    <mergeCell ref="EAE106:EAI106"/>
    <mergeCell ref="EAJ106:EAN106"/>
    <mergeCell ref="EAO106:EAS106"/>
    <mergeCell ref="EAT106:EAX106"/>
    <mergeCell ref="DZA106:DZE106"/>
    <mergeCell ref="DZF106:DZJ106"/>
    <mergeCell ref="DZK106:DZO106"/>
    <mergeCell ref="DZP106:DZT106"/>
    <mergeCell ref="DZU106:DZY106"/>
    <mergeCell ref="DYB106:DYF106"/>
    <mergeCell ref="DYG106:DYK106"/>
    <mergeCell ref="DYL106:DYP106"/>
    <mergeCell ref="DYQ106:DYU106"/>
    <mergeCell ref="DYV106:DYZ106"/>
    <mergeCell ref="DXC106:DXG106"/>
    <mergeCell ref="DXH106:DXL106"/>
    <mergeCell ref="DXM106:DXQ106"/>
    <mergeCell ref="DXR106:DXV106"/>
    <mergeCell ref="DXW106:DYA106"/>
    <mergeCell ref="DWD106:DWH106"/>
    <mergeCell ref="DWI106:DWM106"/>
    <mergeCell ref="DWN106:DWR106"/>
    <mergeCell ref="DWS106:DWW106"/>
    <mergeCell ref="DWX106:DXB106"/>
    <mergeCell ref="DVE106:DVI106"/>
    <mergeCell ref="DVJ106:DVN106"/>
    <mergeCell ref="DVO106:DVS106"/>
    <mergeCell ref="DVT106:DVX106"/>
    <mergeCell ref="DVY106:DWC106"/>
    <mergeCell ref="DUF106:DUJ106"/>
    <mergeCell ref="DUK106:DUO106"/>
    <mergeCell ref="DUP106:DUT106"/>
    <mergeCell ref="DUU106:DUY106"/>
    <mergeCell ref="DUZ106:DVD106"/>
    <mergeCell ref="DTG106:DTK106"/>
    <mergeCell ref="DTL106:DTP106"/>
    <mergeCell ref="DTQ106:DTU106"/>
    <mergeCell ref="DTV106:DTZ106"/>
    <mergeCell ref="DUA106:DUE106"/>
    <mergeCell ref="DSH106:DSL106"/>
    <mergeCell ref="DSM106:DSQ106"/>
    <mergeCell ref="DSR106:DSV106"/>
    <mergeCell ref="DSW106:DTA106"/>
    <mergeCell ref="DTB106:DTF106"/>
    <mergeCell ref="DRI106:DRM106"/>
    <mergeCell ref="DRN106:DRR106"/>
    <mergeCell ref="DRS106:DRW106"/>
    <mergeCell ref="DRX106:DSB106"/>
    <mergeCell ref="DSC106:DSG106"/>
    <mergeCell ref="DQJ106:DQN106"/>
    <mergeCell ref="DQO106:DQS106"/>
    <mergeCell ref="DQT106:DQX106"/>
    <mergeCell ref="DQY106:DRC106"/>
    <mergeCell ref="DRD106:DRH106"/>
    <mergeCell ref="DPK106:DPO106"/>
    <mergeCell ref="DPP106:DPT106"/>
    <mergeCell ref="DPU106:DPY106"/>
    <mergeCell ref="DPZ106:DQD106"/>
    <mergeCell ref="DQE106:DQI106"/>
    <mergeCell ref="DOL106:DOP106"/>
    <mergeCell ref="DOQ106:DOU106"/>
    <mergeCell ref="DOV106:DOZ106"/>
    <mergeCell ref="DPA106:DPE106"/>
    <mergeCell ref="DPF106:DPJ106"/>
    <mergeCell ref="DNM106:DNQ106"/>
    <mergeCell ref="DNR106:DNV106"/>
    <mergeCell ref="DNW106:DOA106"/>
    <mergeCell ref="DOB106:DOF106"/>
    <mergeCell ref="DOG106:DOK106"/>
    <mergeCell ref="DMN106:DMR106"/>
    <mergeCell ref="DMS106:DMW106"/>
    <mergeCell ref="DMX106:DNB106"/>
    <mergeCell ref="DNC106:DNG106"/>
    <mergeCell ref="DNH106:DNL106"/>
    <mergeCell ref="DLO106:DLS106"/>
    <mergeCell ref="DLT106:DLX106"/>
    <mergeCell ref="DLY106:DMC106"/>
    <mergeCell ref="DMD106:DMH106"/>
    <mergeCell ref="DMI106:DMM106"/>
    <mergeCell ref="DKP106:DKT106"/>
    <mergeCell ref="DKU106:DKY106"/>
    <mergeCell ref="DKZ106:DLD106"/>
    <mergeCell ref="DLE106:DLI106"/>
    <mergeCell ref="DLJ106:DLN106"/>
    <mergeCell ref="DJQ106:DJU106"/>
    <mergeCell ref="DJV106:DJZ106"/>
    <mergeCell ref="DKA106:DKE106"/>
    <mergeCell ref="DKF106:DKJ106"/>
    <mergeCell ref="DKK106:DKO106"/>
    <mergeCell ref="DIR106:DIV106"/>
    <mergeCell ref="DIW106:DJA106"/>
    <mergeCell ref="DJB106:DJF106"/>
    <mergeCell ref="DJG106:DJK106"/>
    <mergeCell ref="DJL106:DJP106"/>
    <mergeCell ref="DHS106:DHW106"/>
    <mergeCell ref="DHX106:DIB106"/>
    <mergeCell ref="DIC106:DIG106"/>
    <mergeCell ref="DIH106:DIL106"/>
    <mergeCell ref="DIM106:DIQ106"/>
    <mergeCell ref="DGT106:DGX106"/>
    <mergeCell ref="DGY106:DHC106"/>
    <mergeCell ref="DHD106:DHH106"/>
    <mergeCell ref="DHI106:DHM106"/>
    <mergeCell ref="DHN106:DHR106"/>
    <mergeCell ref="DFU106:DFY106"/>
    <mergeCell ref="DFZ106:DGD106"/>
    <mergeCell ref="DGE106:DGI106"/>
    <mergeCell ref="DGJ106:DGN106"/>
    <mergeCell ref="DGO106:DGS106"/>
    <mergeCell ref="DEV106:DEZ106"/>
    <mergeCell ref="DFA106:DFE106"/>
    <mergeCell ref="DFF106:DFJ106"/>
    <mergeCell ref="DFK106:DFO106"/>
    <mergeCell ref="DFP106:DFT106"/>
    <mergeCell ref="DDW106:DEA106"/>
    <mergeCell ref="DEB106:DEF106"/>
    <mergeCell ref="DEG106:DEK106"/>
    <mergeCell ref="DEL106:DEP106"/>
    <mergeCell ref="DEQ106:DEU106"/>
    <mergeCell ref="DCX106:DDB106"/>
    <mergeCell ref="DDC106:DDG106"/>
    <mergeCell ref="DDH106:DDL106"/>
    <mergeCell ref="DDM106:DDQ106"/>
    <mergeCell ref="DDR106:DDV106"/>
    <mergeCell ref="DBY106:DCC106"/>
    <mergeCell ref="DCD106:DCH106"/>
    <mergeCell ref="DCI106:DCM106"/>
    <mergeCell ref="DCN106:DCR106"/>
    <mergeCell ref="DCS106:DCW106"/>
    <mergeCell ref="DAZ106:DBD106"/>
    <mergeCell ref="DBE106:DBI106"/>
    <mergeCell ref="DBJ106:DBN106"/>
    <mergeCell ref="DBO106:DBS106"/>
    <mergeCell ref="DBT106:DBX106"/>
    <mergeCell ref="DAA106:DAE106"/>
    <mergeCell ref="DAF106:DAJ106"/>
    <mergeCell ref="DAK106:DAO106"/>
    <mergeCell ref="DAP106:DAT106"/>
    <mergeCell ref="DAU106:DAY106"/>
    <mergeCell ref="CZB106:CZF106"/>
    <mergeCell ref="CZG106:CZK106"/>
    <mergeCell ref="CZL106:CZP106"/>
    <mergeCell ref="CZQ106:CZU106"/>
    <mergeCell ref="CZV106:CZZ106"/>
    <mergeCell ref="CYC106:CYG106"/>
    <mergeCell ref="CYH106:CYL106"/>
    <mergeCell ref="CYM106:CYQ106"/>
    <mergeCell ref="CYR106:CYV106"/>
    <mergeCell ref="CYW106:CZA106"/>
    <mergeCell ref="CXD106:CXH106"/>
    <mergeCell ref="CXI106:CXM106"/>
    <mergeCell ref="CXN106:CXR106"/>
    <mergeCell ref="CXS106:CXW106"/>
    <mergeCell ref="CXX106:CYB106"/>
    <mergeCell ref="CWE106:CWI106"/>
    <mergeCell ref="CWJ106:CWN106"/>
    <mergeCell ref="CWO106:CWS106"/>
    <mergeCell ref="CWT106:CWX106"/>
    <mergeCell ref="CWY106:CXC106"/>
    <mergeCell ref="CVF106:CVJ106"/>
    <mergeCell ref="CVK106:CVO106"/>
    <mergeCell ref="CVP106:CVT106"/>
    <mergeCell ref="CVU106:CVY106"/>
    <mergeCell ref="CVZ106:CWD106"/>
    <mergeCell ref="CUG106:CUK106"/>
    <mergeCell ref="CUL106:CUP106"/>
    <mergeCell ref="CUQ106:CUU106"/>
    <mergeCell ref="CUV106:CUZ106"/>
    <mergeCell ref="CVA106:CVE106"/>
    <mergeCell ref="CTH106:CTL106"/>
    <mergeCell ref="CTM106:CTQ106"/>
    <mergeCell ref="CTR106:CTV106"/>
    <mergeCell ref="CTW106:CUA106"/>
    <mergeCell ref="CUB106:CUF106"/>
    <mergeCell ref="CSI106:CSM106"/>
    <mergeCell ref="CSN106:CSR106"/>
    <mergeCell ref="CSS106:CSW106"/>
    <mergeCell ref="CSX106:CTB106"/>
    <mergeCell ref="CTC106:CTG106"/>
    <mergeCell ref="CRJ106:CRN106"/>
    <mergeCell ref="CRO106:CRS106"/>
    <mergeCell ref="CRT106:CRX106"/>
    <mergeCell ref="CRY106:CSC106"/>
    <mergeCell ref="CSD106:CSH106"/>
    <mergeCell ref="CQK106:CQO106"/>
    <mergeCell ref="CQP106:CQT106"/>
    <mergeCell ref="CQU106:CQY106"/>
    <mergeCell ref="CQZ106:CRD106"/>
    <mergeCell ref="CRE106:CRI106"/>
    <mergeCell ref="CPL106:CPP106"/>
    <mergeCell ref="CPQ106:CPU106"/>
    <mergeCell ref="CPV106:CPZ106"/>
    <mergeCell ref="CQA106:CQE106"/>
    <mergeCell ref="CQF106:CQJ106"/>
    <mergeCell ref="COM106:COQ106"/>
    <mergeCell ref="COR106:COV106"/>
    <mergeCell ref="COW106:CPA106"/>
    <mergeCell ref="CPB106:CPF106"/>
    <mergeCell ref="CPG106:CPK106"/>
    <mergeCell ref="CNN106:CNR106"/>
    <mergeCell ref="CNS106:CNW106"/>
    <mergeCell ref="CNX106:COB106"/>
    <mergeCell ref="COC106:COG106"/>
    <mergeCell ref="COH106:COL106"/>
    <mergeCell ref="CMO106:CMS106"/>
    <mergeCell ref="CMT106:CMX106"/>
    <mergeCell ref="CMY106:CNC106"/>
    <mergeCell ref="CND106:CNH106"/>
    <mergeCell ref="CNI106:CNM106"/>
    <mergeCell ref="CLP106:CLT106"/>
    <mergeCell ref="CLU106:CLY106"/>
    <mergeCell ref="CLZ106:CMD106"/>
    <mergeCell ref="CME106:CMI106"/>
    <mergeCell ref="CMJ106:CMN106"/>
    <mergeCell ref="CKQ106:CKU106"/>
    <mergeCell ref="CKV106:CKZ106"/>
    <mergeCell ref="CLA106:CLE106"/>
    <mergeCell ref="CLF106:CLJ106"/>
    <mergeCell ref="CLK106:CLO106"/>
    <mergeCell ref="CJR106:CJV106"/>
    <mergeCell ref="CJW106:CKA106"/>
    <mergeCell ref="CKB106:CKF106"/>
    <mergeCell ref="CKG106:CKK106"/>
    <mergeCell ref="CKL106:CKP106"/>
    <mergeCell ref="CIS106:CIW106"/>
    <mergeCell ref="CIX106:CJB106"/>
    <mergeCell ref="CJC106:CJG106"/>
    <mergeCell ref="CJH106:CJL106"/>
    <mergeCell ref="CJM106:CJQ106"/>
    <mergeCell ref="CHT106:CHX106"/>
    <mergeCell ref="CHY106:CIC106"/>
    <mergeCell ref="CID106:CIH106"/>
    <mergeCell ref="CII106:CIM106"/>
    <mergeCell ref="CIN106:CIR106"/>
    <mergeCell ref="CGU106:CGY106"/>
    <mergeCell ref="CGZ106:CHD106"/>
    <mergeCell ref="CHE106:CHI106"/>
    <mergeCell ref="CHJ106:CHN106"/>
    <mergeCell ref="CHO106:CHS106"/>
    <mergeCell ref="CFV106:CFZ106"/>
    <mergeCell ref="CGA106:CGE106"/>
    <mergeCell ref="CGF106:CGJ106"/>
    <mergeCell ref="CGK106:CGO106"/>
    <mergeCell ref="CGP106:CGT106"/>
    <mergeCell ref="CEW106:CFA106"/>
    <mergeCell ref="CFB106:CFF106"/>
    <mergeCell ref="CFG106:CFK106"/>
    <mergeCell ref="CFL106:CFP106"/>
    <mergeCell ref="CFQ106:CFU106"/>
    <mergeCell ref="CDX106:CEB106"/>
    <mergeCell ref="CEC106:CEG106"/>
    <mergeCell ref="CEH106:CEL106"/>
    <mergeCell ref="CEM106:CEQ106"/>
    <mergeCell ref="CER106:CEV106"/>
    <mergeCell ref="CCY106:CDC106"/>
    <mergeCell ref="CDD106:CDH106"/>
    <mergeCell ref="CDI106:CDM106"/>
    <mergeCell ref="CDN106:CDR106"/>
    <mergeCell ref="CDS106:CDW106"/>
    <mergeCell ref="CBZ106:CCD106"/>
    <mergeCell ref="CCE106:CCI106"/>
    <mergeCell ref="CCJ106:CCN106"/>
    <mergeCell ref="CCO106:CCS106"/>
    <mergeCell ref="CCT106:CCX106"/>
    <mergeCell ref="CBA106:CBE106"/>
    <mergeCell ref="CBF106:CBJ106"/>
    <mergeCell ref="CBK106:CBO106"/>
    <mergeCell ref="CBP106:CBT106"/>
    <mergeCell ref="CBU106:CBY106"/>
    <mergeCell ref="CAB106:CAF106"/>
    <mergeCell ref="CAG106:CAK106"/>
    <mergeCell ref="CAL106:CAP106"/>
    <mergeCell ref="CAQ106:CAU106"/>
    <mergeCell ref="CAV106:CAZ106"/>
    <mergeCell ref="BZC106:BZG106"/>
    <mergeCell ref="BZH106:BZL106"/>
    <mergeCell ref="BZM106:BZQ106"/>
    <mergeCell ref="BZR106:BZV106"/>
    <mergeCell ref="BZW106:CAA106"/>
    <mergeCell ref="BYD106:BYH106"/>
    <mergeCell ref="BYI106:BYM106"/>
    <mergeCell ref="BYN106:BYR106"/>
    <mergeCell ref="BYS106:BYW106"/>
    <mergeCell ref="BYX106:BZB106"/>
    <mergeCell ref="BXE106:BXI106"/>
    <mergeCell ref="BXJ106:BXN106"/>
    <mergeCell ref="BXO106:BXS106"/>
    <mergeCell ref="BXT106:BXX106"/>
    <mergeCell ref="BXY106:BYC106"/>
    <mergeCell ref="BWF106:BWJ106"/>
    <mergeCell ref="BWK106:BWO106"/>
    <mergeCell ref="BWP106:BWT106"/>
    <mergeCell ref="BWU106:BWY106"/>
    <mergeCell ref="BWZ106:BXD106"/>
    <mergeCell ref="BVG106:BVK106"/>
    <mergeCell ref="BVL106:BVP106"/>
    <mergeCell ref="BVQ106:BVU106"/>
    <mergeCell ref="BVV106:BVZ106"/>
    <mergeCell ref="BWA106:BWE106"/>
    <mergeCell ref="BUH106:BUL106"/>
    <mergeCell ref="BUM106:BUQ106"/>
    <mergeCell ref="BUR106:BUV106"/>
    <mergeCell ref="BUW106:BVA106"/>
    <mergeCell ref="BVB106:BVF106"/>
    <mergeCell ref="BTI106:BTM106"/>
    <mergeCell ref="BTN106:BTR106"/>
    <mergeCell ref="BTS106:BTW106"/>
    <mergeCell ref="BTX106:BUB106"/>
    <mergeCell ref="BUC106:BUG106"/>
    <mergeCell ref="BSJ106:BSN106"/>
    <mergeCell ref="BSO106:BSS106"/>
    <mergeCell ref="BST106:BSX106"/>
    <mergeCell ref="BSY106:BTC106"/>
    <mergeCell ref="BTD106:BTH106"/>
    <mergeCell ref="BRK106:BRO106"/>
    <mergeCell ref="BRP106:BRT106"/>
    <mergeCell ref="BRU106:BRY106"/>
    <mergeCell ref="BRZ106:BSD106"/>
    <mergeCell ref="BSE106:BSI106"/>
    <mergeCell ref="BQL106:BQP106"/>
    <mergeCell ref="BQQ106:BQU106"/>
    <mergeCell ref="BQV106:BQZ106"/>
    <mergeCell ref="BRA106:BRE106"/>
    <mergeCell ref="BRF106:BRJ106"/>
    <mergeCell ref="BPM106:BPQ106"/>
    <mergeCell ref="BPR106:BPV106"/>
    <mergeCell ref="BPW106:BQA106"/>
    <mergeCell ref="BQB106:BQF106"/>
    <mergeCell ref="BQG106:BQK106"/>
    <mergeCell ref="BON106:BOR106"/>
    <mergeCell ref="BOS106:BOW106"/>
    <mergeCell ref="BOX106:BPB106"/>
    <mergeCell ref="BPC106:BPG106"/>
    <mergeCell ref="BPH106:BPL106"/>
    <mergeCell ref="BNO106:BNS106"/>
    <mergeCell ref="BNT106:BNX106"/>
    <mergeCell ref="BNY106:BOC106"/>
    <mergeCell ref="BOD106:BOH106"/>
    <mergeCell ref="BOI106:BOM106"/>
    <mergeCell ref="BMP106:BMT106"/>
    <mergeCell ref="BMU106:BMY106"/>
    <mergeCell ref="BMZ106:BND106"/>
    <mergeCell ref="BNE106:BNI106"/>
    <mergeCell ref="BNJ106:BNN106"/>
    <mergeCell ref="BLQ106:BLU106"/>
    <mergeCell ref="BLV106:BLZ106"/>
    <mergeCell ref="BMA106:BME106"/>
    <mergeCell ref="BMF106:BMJ106"/>
    <mergeCell ref="BMK106:BMO106"/>
    <mergeCell ref="BKR106:BKV106"/>
    <mergeCell ref="BKW106:BLA106"/>
    <mergeCell ref="BLB106:BLF106"/>
    <mergeCell ref="BLG106:BLK106"/>
    <mergeCell ref="BLL106:BLP106"/>
    <mergeCell ref="BJS106:BJW106"/>
    <mergeCell ref="BJX106:BKB106"/>
    <mergeCell ref="BKC106:BKG106"/>
    <mergeCell ref="BKH106:BKL106"/>
    <mergeCell ref="BKM106:BKQ106"/>
    <mergeCell ref="BIT106:BIX106"/>
    <mergeCell ref="BIY106:BJC106"/>
    <mergeCell ref="BJD106:BJH106"/>
    <mergeCell ref="BJI106:BJM106"/>
    <mergeCell ref="BJN106:BJR106"/>
    <mergeCell ref="BHU106:BHY106"/>
    <mergeCell ref="BHZ106:BID106"/>
    <mergeCell ref="BIE106:BII106"/>
    <mergeCell ref="BIJ106:BIN106"/>
    <mergeCell ref="BIO106:BIS106"/>
    <mergeCell ref="BGV106:BGZ106"/>
    <mergeCell ref="BHA106:BHE106"/>
    <mergeCell ref="BHF106:BHJ106"/>
    <mergeCell ref="BHK106:BHO106"/>
    <mergeCell ref="BHP106:BHT106"/>
    <mergeCell ref="BFW106:BGA106"/>
    <mergeCell ref="BGB106:BGF106"/>
    <mergeCell ref="BGG106:BGK106"/>
    <mergeCell ref="BGL106:BGP106"/>
    <mergeCell ref="BGQ106:BGU106"/>
    <mergeCell ref="BEX106:BFB106"/>
    <mergeCell ref="BFC106:BFG106"/>
    <mergeCell ref="BFH106:BFL106"/>
    <mergeCell ref="BFM106:BFQ106"/>
    <mergeCell ref="BFR106:BFV106"/>
    <mergeCell ref="BDY106:BEC106"/>
    <mergeCell ref="BED106:BEH106"/>
    <mergeCell ref="BEI106:BEM106"/>
    <mergeCell ref="BEN106:BER106"/>
    <mergeCell ref="BES106:BEW106"/>
    <mergeCell ref="BCZ106:BDD106"/>
    <mergeCell ref="BDE106:BDI106"/>
    <mergeCell ref="BDJ106:BDN106"/>
    <mergeCell ref="BDO106:BDS106"/>
    <mergeCell ref="BDT106:BDX106"/>
    <mergeCell ref="BCA106:BCE106"/>
    <mergeCell ref="BCF106:BCJ106"/>
    <mergeCell ref="BCK106:BCO106"/>
    <mergeCell ref="BCP106:BCT106"/>
    <mergeCell ref="BCU106:BCY106"/>
    <mergeCell ref="BBB106:BBF106"/>
    <mergeCell ref="BBG106:BBK106"/>
    <mergeCell ref="BBL106:BBP106"/>
    <mergeCell ref="BBQ106:BBU106"/>
    <mergeCell ref="BBV106:BBZ106"/>
    <mergeCell ref="BAC106:BAG106"/>
    <mergeCell ref="BAH106:BAL106"/>
    <mergeCell ref="BAM106:BAQ106"/>
    <mergeCell ref="BAR106:BAV106"/>
    <mergeCell ref="BAW106:BBA106"/>
    <mergeCell ref="AZD106:AZH106"/>
    <mergeCell ref="AZI106:AZM106"/>
    <mergeCell ref="AZN106:AZR106"/>
    <mergeCell ref="AZS106:AZW106"/>
    <mergeCell ref="AZX106:BAB106"/>
    <mergeCell ref="AYE106:AYI106"/>
    <mergeCell ref="AYJ106:AYN106"/>
    <mergeCell ref="AYO106:AYS106"/>
    <mergeCell ref="AYT106:AYX106"/>
    <mergeCell ref="AYY106:AZC106"/>
    <mergeCell ref="AXF106:AXJ106"/>
    <mergeCell ref="AXK106:AXO106"/>
    <mergeCell ref="AXP106:AXT106"/>
    <mergeCell ref="AXU106:AXY106"/>
    <mergeCell ref="AXZ106:AYD106"/>
    <mergeCell ref="AWG106:AWK106"/>
    <mergeCell ref="AWL106:AWP106"/>
    <mergeCell ref="AWQ106:AWU106"/>
    <mergeCell ref="AWV106:AWZ106"/>
    <mergeCell ref="AXA106:AXE106"/>
    <mergeCell ref="AVH106:AVL106"/>
    <mergeCell ref="AVM106:AVQ106"/>
    <mergeCell ref="AVR106:AVV106"/>
    <mergeCell ref="AVW106:AWA106"/>
    <mergeCell ref="AWB106:AWF106"/>
    <mergeCell ref="AUI106:AUM106"/>
    <mergeCell ref="AUN106:AUR106"/>
    <mergeCell ref="AUS106:AUW106"/>
    <mergeCell ref="AUX106:AVB106"/>
    <mergeCell ref="AVC106:AVG106"/>
    <mergeCell ref="ATJ106:ATN106"/>
    <mergeCell ref="ATO106:ATS106"/>
    <mergeCell ref="ATT106:ATX106"/>
    <mergeCell ref="ATY106:AUC106"/>
    <mergeCell ref="AUD106:AUH106"/>
    <mergeCell ref="ASK106:ASO106"/>
    <mergeCell ref="ASP106:AST106"/>
    <mergeCell ref="ASU106:ASY106"/>
    <mergeCell ref="ASZ106:ATD106"/>
    <mergeCell ref="ATE106:ATI106"/>
    <mergeCell ref="ARL106:ARP106"/>
    <mergeCell ref="ARQ106:ARU106"/>
    <mergeCell ref="ARV106:ARZ106"/>
    <mergeCell ref="ASA106:ASE106"/>
    <mergeCell ref="ASF106:ASJ106"/>
    <mergeCell ref="AQM106:AQQ106"/>
    <mergeCell ref="AQR106:AQV106"/>
    <mergeCell ref="AQW106:ARA106"/>
    <mergeCell ref="ARB106:ARF106"/>
    <mergeCell ref="ARG106:ARK106"/>
    <mergeCell ref="APN106:APR106"/>
    <mergeCell ref="APS106:APW106"/>
    <mergeCell ref="APX106:AQB106"/>
    <mergeCell ref="AQC106:AQG106"/>
    <mergeCell ref="AQH106:AQL106"/>
    <mergeCell ref="AOO106:AOS106"/>
    <mergeCell ref="AOT106:AOX106"/>
    <mergeCell ref="AOY106:APC106"/>
    <mergeCell ref="APD106:APH106"/>
    <mergeCell ref="API106:APM106"/>
    <mergeCell ref="ANP106:ANT106"/>
    <mergeCell ref="ANU106:ANY106"/>
    <mergeCell ref="ANZ106:AOD106"/>
    <mergeCell ref="AOE106:AOI106"/>
    <mergeCell ref="AOJ106:AON106"/>
    <mergeCell ref="AMQ106:AMU106"/>
    <mergeCell ref="AMV106:AMZ106"/>
    <mergeCell ref="ANA106:ANE106"/>
    <mergeCell ref="ANF106:ANJ106"/>
    <mergeCell ref="ANK106:ANO106"/>
    <mergeCell ref="ALR106:ALV106"/>
    <mergeCell ref="ALW106:AMA106"/>
    <mergeCell ref="AMB106:AMF106"/>
    <mergeCell ref="AMG106:AMK106"/>
    <mergeCell ref="AML106:AMP106"/>
    <mergeCell ref="AKS106:AKW106"/>
    <mergeCell ref="AKX106:ALB106"/>
    <mergeCell ref="ALC106:ALG106"/>
    <mergeCell ref="ALH106:ALL106"/>
    <mergeCell ref="ALM106:ALQ106"/>
    <mergeCell ref="AJT106:AJX106"/>
    <mergeCell ref="AJY106:AKC106"/>
    <mergeCell ref="AKD106:AKH106"/>
    <mergeCell ref="AKI106:AKM106"/>
    <mergeCell ref="AKN106:AKR106"/>
    <mergeCell ref="AIU106:AIY106"/>
    <mergeCell ref="AIZ106:AJD106"/>
    <mergeCell ref="AJE106:AJI106"/>
    <mergeCell ref="AJJ106:AJN106"/>
    <mergeCell ref="AJO106:AJS106"/>
    <mergeCell ref="AHV106:AHZ106"/>
    <mergeCell ref="AIA106:AIE106"/>
    <mergeCell ref="AIF106:AIJ106"/>
    <mergeCell ref="AIK106:AIO106"/>
    <mergeCell ref="AIP106:AIT106"/>
    <mergeCell ref="AGW106:AHA106"/>
    <mergeCell ref="AHB106:AHF106"/>
    <mergeCell ref="AHG106:AHK106"/>
    <mergeCell ref="AHL106:AHP106"/>
    <mergeCell ref="AHQ106:AHU106"/>
    <mergeCell ref="AFX106:AGB106"/>
    <mergeCell ref="AGC106:AGG106"/>
    <mergeCell ref="AGH106:AGL106"/>
    <mergeCell ref="AGM106:AGQ106"/>
    <mergeCell ref="AGR106:AGV106"/>
    <mergeCell ref="AEY106:AFC106"/>
    <mergeCell ref="AFD106:AFH106"/>
    <mergeCell ref="AFI106:AFM106"/>
    <mergeCell ref="AFN106:AFR106"/>
    <mergeCell ref="AFS106:AFW106"/>
    <mergeCell ref="ADZ106:AED106"/>
    <mergeCell ref="AEE106:AEI106"/>
    <mergeCell ref="AEJ106:AEN106"/>
    <mergeCell ref="AEO106:AES106"/>
    <mergeCell ref="AET106:AEX106"/>
    <mergeCell ref="ADA106:ADE106"/>
    <mergeCell ref="ADF106:ADJ106"/>
    <mergeCell ref="ADK106:ADO106"/>
    <mergeCell ref="ADP106:ADT106"/>
    <mergeCell ref="ADU106:ADY106"/>
    <mergeCell ref="ACB106:ACF106"/>
    <mergeCell ref="ACG106:ACK106"/>
    <mergeCell ref="ACL106:ACP106"/>
    <mergeCell ref="ACQ106:ACU106"/>
    <mergeCell ref="ACV106:ACZ106"/>
    <mergeCell ref="ABC106:ABG106"/>
    <mergeCell ref="ABH106:ABL106"/>
    <mergeCell ref="ABM106:ABQ106"/>
    <mergeCell ref="ABR106:ABV106"/>
    <mergeCell ref="ABW106:ACA106"/>
    <mergeCell ref="AAD106:AAH106"/>
    <mergeCell ref="AAI106:AAM106"/>
    <mergeCell ref="AAN106:AAR106"/>
    <mergeCell ref="AAS106:AAW106"/>
    <mergeCell ref="AAX106:ABB106"/>
    <mergeCell ref="ZE106:ZI106"/>
    <mergeCell ref="ZJ106:ZN106"/>
    <mergeCell ref="ZO106:ZS106"/>
    <mergeCell ref="ZT106:ZX106"/>
    <mergeCell ref="ZY106:AAC106"/>
    <mergeCell ref="YF106:YJ106"/>
    <mergeCell ref="YK106:YO106"/>
    <mergeCell ref="YP106:YT106"/>
    <mergeCell ref="YU106:YY106"/>
    <mergeCell ref="YZ106:ZD106"/>
    <mergeCell ref="XG106:XK106"/>
    <mergeCell ref="XL106:XP106"/>
    <mergeCell ref="XQ106:XU106"/>
    <mergeCell ref="XV106:XZ106"/>
    <mergeCell ref="YA106:YE106"/>
    <mergeCell ref="WH106:WL106"/>
    <mergeCell ref="WM106:WQ106"/>
    <mergeCell ref="WR106:WV106"/>
    <mergeCell ref="WW106:XA106"/>
    <mergeCell ref="XB106:XF106"/>
    <mergeCell ref="VI106:VM106"/>
    <mergeCell ref="VN106:VR106"/>
    <mergeCell ref="VS106:VW106"/>
    <mergeCell ref="VX106:WB106"/>
    <mergeCell ref="WC106:WG106"/>
    <mergeCell ref="UJ106:UN106"/>
    <mergeCell ref="UO106:US106"/>
    <mergeCell ref="UT106:UX106"/>
    <mergeCell ref="UY106:VC106"/>
    <mergeCell ref="VD106:VH106"/>
    <mergeCell ref="TK106:TO106"/>
    <mergeCell ref="TP106:TT106"/>
    <mergeCell ref="TU106:TY106"/>
    <mergeCell ref="TZ106:UD106"/>
    <mergeCell ref="UE106:UI106"/>
    <mergeCell ref="SL106:SP106"/>
    <mergeCell ref="SQ106:SU106"/>
    <mergeCell ref="SV106:SZ106"/>
    <mergeCell ref="TA106:TE106"/>
    <mergeCell ref="TF106:TJ106"/>
    <mergeCell ref="RM106:RQ106"/>
    <mergeCell ref="RR106:RV106"/>
    <mergeCell ref="RW106:SA106"/>
    <mergeCell ref="SB106:SF106"/>
    <mergeCell ref="SG106:SK106"/>
    <mergeCell ref="QN106:QR106"/>
    <mergeCell ref="QS106:QW106"/>
    <mergeCell ref="QX106:RB106"/>
    <mergeCell ref="RC106:RG106"/>
    <mergeCell ref="RH106:RL106"/>
    <mergeCell ref="PO106:PS106"/>
    <mergeCell ref="PT106:PX106"/>
    <mergeCell ref="PY106:QC106"/>
    <mergeCell ref="QD106:QH106"/>
    <mergeCell ref="QI106:QM106"/>
    <mergeCell ref="OP106:OT106"/>
    <mergeCell ref="OU106:OY106"/>
    <mergeCell ref="OZ106:PD106"/>
    <mergeCell ref="PE106:PI106"/>
    <mergeCell ref="PJ106:PN106"/>
    <mergeCell ref="NQ106:NU106"/>
    <mergeCell ref="NV106:NZ106"/>
    <mergeCell ref="OA106:OE106"/>
    <mergeCell ref="OF106:OJ106"/>
    <mergeCell ref="OK106:OO106"/>
    <mergeCell ref="MR106:MV106"/>
    <mergeCell ref="MW106:NA106"/>
    <mergeCell ref="NB106:NF106"/>
    <mergeCell ref="NG106:NK106"/>
    <mergeCell ref="NL106:NP106"/>
    <mergeCell ref="LS106:LW106"/>
    <mergeCell ref="LX106:MB106"/>
    <mergeCell ref="MC106:MG106"/>
    <mergeCell ref="MH106:ML106"/>
    <mergeCell ref="MM106:MQ106"/>
    <mergeCell ref="KT106:KX106"/>
    <mergeCell ref="KY106:LC106"/>
    <mergeCell ref="LD106:LH106"/>
    <mergeCell ref="LI106:LM106"/>
    <mergeCell ref="LN106:LR106"/>
    <mergeCell ref="JU106:JY106"/>
    <mergeCell ref="JZ106:KD106"/>
    <mergeCell ref="KE106:KI106"/>
    <mergeCell ref="KJ106:KN106"/>
    <mergeCell ref="KO106:KS106"/>
    <mergeCell ref="IV106:IZ106"/>
    <mergeCell ref="JA106:JE106"/>
    <mergeCell ref="JF106:JJ106"/>
    <mergeCell ref="JK106:JO106"/>
    <mergeCell ref="JP106:JT106"/>
    <mergeCell ref="HW106:IA106"/>
    <mergeCell ref="IB106:IF106"/>
    <mergeCell ref="IG106:IK106"/>
    <mergeCell ref="IL106:IP106"/>
    <mergeCell ref="IQ106:IU106"/>
    <mergeCell ref="GX106:HB106"/>
    <mergeCell ref="HC106:HG106"/>
    <mergeCell ref="HH106:HL106"/>
    <mergeCell ref="HM106:HQ106"/>
    <mergeCell ref="HR106:HV106"/>
    <mergeCell ref="FY106:GC106"/>
    <mergeCell ref="GD106:GH106"/>
    <mergeCell ref="GI106:GM106"/>
    <mergeCell ref="GN106:GR106"/>
    <mergeCell ref="GS106:GW106"/>
    <mergeCell ref="EZ106:FD106"/>
    <mergeCell ref="FE106:FI106"/>
    <mergeCell ref="FJ106:FN106"/>
    <mergeCell ref="FO106:FS106"/>
    <mergeCell ref="FT106:FX106"/>
    <mergeCell ref="EA106:EE106"/>
    <mergeCell ref="EF106:EJ106"/>
    <mergeCell ref="EK106:EO106"/>
    <mergeCell ref="EP106:ET106"/>
    <mergeCell ref="EU106:EY106"/>
    <mergeCell ref="DB106:DF106"/>
    <mergeCell ref="DG106:DK106"/>
    <mergeCell ref="DL106:DP106"/>
    <mergeCell ref="DQ106:DU106"/>
    <mergeCell ref="DV106:DZ106"/>
    <mergeCell ref="B3:E9"/>
    <mergeCell ref="F3:F10"/>
    <mergeCell ref="A11:J11"/>
    <mergeCell ref="B104:E104"/>
    <mergeCell ref="B105:E105"/>
    <mergeCell ref="CC106:CG106"/>
    <mergeCell ref="CH106:CL106"/>
    <mergeCell ref="CM106:CQ106"/>
    <mergeCell ref="CR106:CV106"/>
    <mergeCell ref="CW106:DA106"/>
    <mergeCell ref="BD106:BH106"/>
    <mergeCell ref="BI106:BM106"/>
    <mergeCell ref="BN106:BR106"/>
    <mergeCell ref="BS106:BW106"/>
    <mergeCell ref="BX106:CB106"/>
    <mergeCell ref="AE106:AI106"/>
    <mergeCell ref="AJ106:AN106"/>
    <mergeCell ref="AO106:AS106"/>
    <mergeCell ref="AT106:AX106"/>
    <mergeCell ref="AY106:BC106"/>
    <mergeCell ref="B106:E106"/>
    <mergeCell ref="F106:J106"/>
    <mergeCell ref="P106:T106"/>
    <mergeCell ref="U106:Y106"/>
    <mergeCell ref="Z106:AD106"/>
  </mergeCells>
  <phoneticPr fontId="10" type="noConversion"/>
  <pageMargins left="0.511811024" right="0.511811024" top="0.78740157499999996" bottom="0.78740157499999996" header="0.31496062000000002" footer="0.31496062000000002"/>
  <pageSetup paperSize="9" scale="64" fitToHeight="0" orientation="landscape"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C8FD9-CC98-4360-AC88-2587DD4CAB7C}">
  <sheetPr codeName="Planilha3">
    <pageSetUpPr fitToPage="1"/>
  </sheetPr>
  <dimension ref="A1:U84"/>
  <sheetViews>
    <sheetView view="pageBreakPreview" zoomScaleNormal="100" zoomScaleSheetLayoutView="100" workbookViewId="0">
      <selection activeCell="G88" sqref="G88"/>
    </sheetView>
  </sheetViews>
  <sheetFormatPr defaultRowHeight="15" x14ac:dyDescent="0.25"/>
  <cols>
    <col min="20" max="20" width="11.85546875" bestFit="1" customWidth="1"/>
  </cols>
  <sheetData>
    <row r="1" spans="1:21" ht="14.45" customHeight="1" x14ac:dyDescent="0.25">
      <c r="A1" s="754" t="s">
        <v>272</v>
      </c>
      <c r="B1" s="755"/>
      <c r="C1" s="755"/>
      <c r="D1" s="755"/>
      <c r="E1" s="755"/>
      <c r="F1" s="755"/>
      <c r="G1" s="43" t="s">
        <v>768</v>
      </c>
      <c r="H1" s="42" t="s">
        <v>768</v>
      </c>
      <c r="I1" s="44" t="s">
        <v>768</v>
      </c>
      <c r="J1" s="44" t="s">
        <v>768</v>
      </c>
      <c r="K1" s="44"/>
      <c r="L1" s="44" t="s">
        <v>768</v>
      </c>
      <c r="M1" s="755" t="s">
        <v>273</v>
      </c>
      <c r="N1" s="755"/>
      <c r="O1" s="755"/>
      <c r="P1" s="755"/>
      <c r="Q1" s="42" t="s">
        <v>768</v>
      </c>
      <c r="R1" s="42" t="s">
        <v>768</v>
      </c>
      <c r="S1" s="42" t="s">
        <v>768</v>
      </c>
      <c r="T1" s="42" t="s">
        <v>768</v>
      </c>
      <c r="U1" s="45" t="s">
        <v>768</v>
      </c>
    </row>
    <row r="2" spans="1:21" ht="85.5" customHeight="1" x14ac:dyDescent="0.25">
      <c r="A2" s="756" t="s">
        <v>769</v>
      </c>
      <c r="B2" s="757"/>
      <c r="C2" s="757"/>
      <c r="D2" s="757"/>
      <c r="E2" s="757"/>
      <c r="F2" s="757"/>
      <c r="G2" s="757"/>
      <c r="H2" s="757"/>
      <c r="I2" s="757"/>
      <c r="J2" s="757"/>
      <c r="K2" s="757"/>
      <c r="L2" s="757"/>
      <c r="M2" s="758" t="s">
        <v>770</v>
      </c>
      <c r="N2" s="758"/>
      <c r="O2" s="758"/>
      <c r="P2" s="758"/>
      <c r="Q2" s="766" t="s">
        <v>768</v>
      </c>
      <c r="R2" s="766"/>
      <c r="S2" s="766"/>
      <c r="T2" s="766" t="s">
        <v>768</v>
      </c>
      <c r="U2" s="767"/>
    </row>
    <row r="3" spans="1:21" ht="17.25" customHeight="1" x14ac:dyDescent="0.25">
      <c r="A3" s="759" t="s">
        <v>771</v>
      </c>
      <c r="B3" s="760"/>
      <c r="C3" s="760"/>
      <c r="D3" s="760"/>
      <c r="E3" s="760"/>
      <c r="F3" s="760"/>
      <c r="G3" s="760"/>
      <c r="H3" s="760"/>
      <c r="I3" s="760"/>
      <c r="J3" s="760"/>
      <c r="K3" s="760"/>
      <c r="L3" s="760"/>
      <c r="M3" s="760"/>
      <c r="N3" s="760"/>
      <c r="O3" s="760"/>
      <c r="P3" s="760"/>
      <c r="Q3" s="760"/>
      <c r="R3" s="760"/>
      <c r="S3" s="760"/>
      <c r="T3" s="760"/>
      <c r="U3" s="761"/>
    </row>
    <row r="4" spans="1:21" ht="17.25" customHeight="1" x14ac:dyDescent="0.25">
      <c r="A4" s="762"/>
      <c r="B4" s="763"/>
      <c r="C4" s="763"/>
      <c r="D4" s="763"/>
      <c r="E4" s="763"/>
      <c r="F4" s="763"/>
      <c r="G4" s="763"/>
      <c r="H4" s="763"/>
      <c r="I4" s="763"/>
      <c r="J4" s="763"/>
      <c r="K4" s="763"/>
      <c r="L4" s="763"/>
      <c r="M4" s="763"/>
      <c r="N4" s="763"/>
      <c r="O4" s="763"/>
      <c r="P4" s="763"/>
      <c r="Q4" s="763"/>
      <c r="R4" s="763"/>
      <c r="S4" s="763"/>
      <c r="T4" s="763"/>
      <c r="U4" s="764"/>
    </row>
    <row r="5" spans="1:21" ht="4.9000000000000004" customHeight="1" x14ac:dyDescent="0.25">
      <c r="A5" s="712" t="s">
        <v>768</v>
      </c>
      <c r="B5" s="765"/>
      <c r="C5" s="765"/>
      <c r="D5" s="765"/>
      <c r="E5" s="765"/>
      <c r="F5" s="765"/>
      <c r="G5" s="765"/>
      <c r="H5" s="765"/>
      <c r="I5" s="765"/>
      <c r="J5" s="765"/>
      <c r="K5" s="765"/>
      <c r="L5" s="765"/>
      <c r="M5" s="765"/>
      <c r="N5" s="765"/>
      <c r="O5" s="765"/>
      <c r="P5" s="765"/>
      <c r="Q5" s="765"/>
      <c r="R5" s="765"/>
      <c r="S5" s="765"/>
      <c r="T5" s="765"/>
      <c r="U5" s="713"/>
    </row>
    <row r="6" spans="1:21" x14ac:dyDescent="0.25">
      <c r="A6" s="712" t="s">
        <v>768</v>
      </c>
      <c r="B6" s="713"/>
      <c r="C6" s="714" t="s">
        <v>772</v>
      </c>
      <c r="D6" s="714"/>
      <c r="E6" s="714"/>
      <c r="F6" s="714"/>
      <c r="G6" s="714"/>
      <c r="H6" s="714"/>
      <c r="I6" s="714"/>
      <c r="J6" s="714"/>
      <c r="K6" s="714"/>
      <c r="L6" s="714"/>
      <c r="M6" s="714"/>
      <c r="N6" s="714"/>
      <c r="O6" s="714"/>
      <c r="P6" s="714"/>
      <c r="Q6" s="714"/>
      <c r="R6" s="714"/>
      <c r="S6" s="714"/>
      <c r="T6" s="714"/>
      <c r="U6" s="715"/>
    </row>
    <row r="7" spans="1:21" x14ac:dyDescent="0.25">
      <c r="A7" s="716">
        <v>1</v>
      </c>
      <c r="B7" s="717"/>
      <c r="C7" s="753" t="s">
        <v>751</v>
      </c>
      <c r="D7" s="721"/>
      <c r="E7" s="721"/>
      <c r="F7" s="721"/>
      <c r="G7" s="721"/>
      <c r="H7" s="721"/>
      <c r="I7" s="721"/>
      <c r="J7" s="721"/>
      <c r="K7" s="721"/>
      <c r="L7" s="721"/>
      <c r="M7" s="721"/>
      <c r="N7" s="721"/>
      <c r="O7" s="721"/>
      <c r="P7" s="722"/>
      <c r="Q7" s="726" t="s">
        <v>773</v>
      </c>
      <c r="R7" s="727"/>
      <c r="S7" s="730" t="s">
        <v>774</v>
      </c>
      <c r="T7" s="732" t="s">
        <v>775</v>
      </c>
      <c r="U7" s="734"/>
    </row>
    <row r="8" spans="1:21" x14ac:dyDescent="0.25">
      <c r="A8" s="718"/>
      <c r="B8" s="719"/>
      <c r="C8" s="723"/>
      <c r="D8" s="724"/>
      <c r="E8" s="724"/>
      <c r="F8" s="724"/>
      <c r="G8" s="724"/>
      <c r="H8" s="724"/>
      <c r="I8" s="724"/>
      <c r="J8" s="724"/>
      <c r="K8" s="724"/>
      <c r="L8" s="724"/>
      <c r="M8" s="724"/>
      <c r="N8" s="724"/>
      <c r="O8" s="724"/>
      <c r="P8" s="725"/>
      <c r="Q8" s="728"/>
      <c r="R8" s="729"/>
      <c r="S8" s="731"/>
      <c r="T8" s="733"/>
      <c r="U8" s="731"/>
    </row>
    <row r="9" spans="1:21" ht="30" x14ac:dyDescent="0.25">
      <c r="A9" s="706" t="s">
        <v>776</v>
      </c>
      <c r="B9" s="707"/>
      <c r="C9" s="697" t="s">
        <v>777</v>
      </c>
      <c r="D9" s="697"/>
      <c r="E9" s="698"/>
      <c r="F9" s="697" t="s">
        <v>778</v>
      </c>
      <c r="G9" s="697"/>
      <c r="H9" s="698"/>
      <c r="I9" s="697" t="s">
        <v>779</v>
      </c>
      <c r="J9" s="697"/>
      <c r="K9" s="698"/>
      <c r="L9" s="708" t="s">
        <v>780</v>
      </c>
      <c r="M9" s="708"/>
      <c r="N9" s="707"/>
      <c r="O9" s="697" t="s">
        <v>781</v>
      </c>
      <c r="P9" s="698"/>
      <c r="Q9" s="697" t="s">
        <v>680</v>
      </c>
      <c r="R9" s="698"/>
      <c r="S9" s="46" t="s">
        <v>782</v>
      </c>
      <c r="T9" s="47" t="s">
        <v>775</v>
      </c>
      <c r="U9" s="47" t="s">
        <v>783</v>
      </c>
    </row>
    <row r="10" spans="1:21" x14ac:dyDescent="0.25">
      <c r="A10" s="699" t="s">
        <v>750</v>
      </c>
      <c r="B10" s="700"/>
      <c r="C10" s="681" t="s">
        <v>784</v>
      </c>
      <c r="D10" s="681"/>
      <c r="E10" s="682"/>
      <c r="F10" s="694" t="s">
        <v>785</v>
      </c>
      <c r="G10" s="694"/>
      <c r="H10" s="693"/>
      <c r="I10" s="688" t="s">
        <v>786</v>
      </c>
      <c r="J10" s="688"/>
      <c r="K10" s="689"/>
      <c r="L10" s="751" t="s">
        <v>787</v>
      </c>
      <c r="M10" s="695"/>
      <c r="N10" s="696"/>
      <c r="O10" s="692">
        <v>45909</v>
      </c>
      <c r="P10" s="693"/>
      <c r="Q10" s="681" t="s">
        <v>680</v>
      </c>
      <c r="R10" s="682"/>
      <c r="S10" s="48">
        <v>1</v>
      </c>
      <c r="T10" s="581">
        <v>433.7</v>
      </c>
      <c r="U10" s="48">
        <f>S10*T10</f>
        <v>433.7</v>
      </c>
    </row>
    <row r="11" spans="1:21" x14ac:dyDescent="0.25">
      <c r="A11" s="701"/>
      <c r="B11" s="702"/>
      <c r="C11" s="681" t="s">
        <v>788</v>
      </c>
      <c r="D11" s="681"/>
      <c r="E11" s="682"/>
      <c r="F11" s="694" t="s">
        <v>789</v>
      </c>
      <c r="G11" s="694"/>
      <c r="H11" s="693"/>
      <c r="I11" s="688"/>
      <c r="J11" s="688"/>
      <c r="K11" s="689"/>
      <c r="L11" s="751" t="s">
        <v>790</v>
      </c>
      <c r="M11" s="695"/>
      <c r="N11" s="696"/>
      <c r="O11" s="692">
        <v>45909</v>
      </c>
      <c r="P11" s="693"/>
      <c r="Q11" s="681" t="s">
        <v>680</v>
      </c>
      <c r="R11" s="682"/>
      <c r="S11" s="48">
        <v>2.2988</v>
      </c>
      <c r="T11" s="581">
        <v>188.96</v>
      </c>
      <c r="U11" s="48">
        <f>S11*T11</f>
        <v>434.38124800000003</v>
      </c>
    </row>
    <row r="12" spans="1:21" x14ac:dyDescent="0.25">
      <c r="A12" s="703"/>
      <c r="B12" s="704"/>
      <c r="C12" s="681" t="s">
        <v>791</v>
      </c>
      <c r="D12" s="681"/>
      <c r="E12" s="682"/>
      <c r="F12" s="694" t="s">
        <v>792</v>
      </c>
      <c r="G12" s="694"/>
      <c r="H12" s="693"/>
      <c r="I12" s="688" t="s">
        <v>793</v>
      </c>
      <c r="J12" s="688"/>
      <c r="K12" s="689"/>
      <c r="L12" s="751" t="s">
        <v>794</v>
      </c>
      <c r="M12" s="695"/>
      <c r="N12" s="696"/>
      <c r="O12" s="692">
        <v>45909</v>
      </c>
      <c r="P12" s="693"/>
      <c r="Q12" s="681" t="s">
        <v>680</v>
      </c>
      <c r="R12" s="682"/>
      <c r="S12" s="48">
        <v>2.3298999999999999</v>
      </c>
      <c r="T12" s="581">
        <v>165.6</v>
      </c>
      <c r="U12" s="48">
        <f>S12*T12</f>
        <v>385.83143999999999</v>
      </c>
    </row>
    <row r="13" spans="1:21" x14ac:dyDescent="0.25">
      <c r="A13" s="680" t="s">
        <v>795</v>
      </c>
      <c r="B13" s="681"/>
      <c r="C13" s="681"/>
      <c r="D13" s="681"/>
      <c r="E13" s="681"/>
      <c r="F13" s="681"/>
      <c r="G13" s="681"/>
      <c r="H13" s="681"/>
      <c r="I13" s="681"/>
      <c r="J13" s="681"/>
      <c r="K13" s="681"/>
      <c r="L13" s="681"/>
      <c r="M13" s="681"/>
      <c r="N13" s="681"/>
      <c r="O13" s="681"/>
      <c r="P13" s="681"/>
      <c r="Q13" s="682"/>
      <c r="R13" s="683" t="s">
        <v>796</v>
      </c>
      <c r="S13" s="684"/>
      <c r="T13" s="582">
        <f>MEDIAN(U10:U12)</f>
        <v>433.7</v>
      </c>
      <c r="U13" s="48"/>
    </row>
    <row r="14" spans="1:21" x14ac:dyDescent="0.25">
      <c r="A14" s="699" t="s">
        <v>768</v>
      </c>
      <c r="B14" s="752"/>
      <c r="C14" s="752"/>
      <c r="D14" s="752"/>
      <c r="E14" s="752"/>
      <c r="F14" s="752"/>
      <c r="G14" s="752"/>
      <c r="H14" s="752"/>
      <c r="I14" s="752"/>
      <c r="J14" s="752"/>
      <c r="K14" s="752"/>
      <c r="L14" s="752"/>
      <c r="M14" s="752"/>
      <c r="N14" s="752"/>
      <c r="O14" s="752"/>
      <c r="P14" s="752"/>
      <c r="Q14" s="752"/>
      <c r="R14" s="752"/>
      <c r="S14" s="752"/>
      <c r="T14" s="752"/>
      <c r="U14" s="700"/>
    </row>
    <row r="15" spans="1:21" x14ac:dyDescent="0.25">
      <c r="A15" s="712" t="s">
        <v>768</v>
      </c>
      <c r="B15" s="713"/>
      <c r="C15" s="714" t="s">
        <v>772</v>
      </c>
      <c r="D15" s="714"/>
      <c r="E15" s="714"/>
      <c r="F15" s="714"/>
      <c r="G15" s="714"/>
      <c r="H15" s="714"/>
      <c r="I15" s="714"/>
      <c r="J15" s="714"/>
      <c r="K15" s="714"/>
      <c r="L15" s="714"/>
      <c r="M15" s="714"/>
      <c r="N15" s="714"/>
      <c r="O15" s="714"/>
      <c r="P15" s="714"/>
      <c r="Q15" s="714"/>
      <c r="R15" s="714"/>
      <c r="S15" s="714"/>
      <c r="T15" s="714"/>
      <c r="U15" s="715"/>
    </row>
    <row r="16" spans="1:21" x14ac:dyDescent="0.25">
      <c r="A16" s="716">
        <v>2</v>
      </c>
      <c r="B16" s="717"/>
      <c r="C16" s="753" t="s">
        <v>797</v>
      </c>
      <c r="D16" s="721"/>
      <c r="E16" s="721"/>
      <c r="F16" s="721"/>
      <c r="G16" s="721"/>
      <c r="H16" s="721"/>
      <c r="I16" s="721"/>
      <c r="J16" s="721"/>
      <c r="K16" s="721"/>
      <c r="L16" s="721"/>
      <c r="M16" s="721"/>
      <c r="N16" s="721"/>
      <c r="O16" s="721"/>
      <c r="P16" s="722"/>
      <c r="Q16" s="726" t="s">
        <v>773</v>
      </c>
      <c r="R16" s="727"/>
      <c r="S16" s="730" t="s">
        <v>774</v>
      </c>
      <c r="T16" s="732" t="s">
        <v>775</v>
      </c>
      <c r="U16" s="734"/>
    </row>
    <row r="17" spans="1:21" x14ac:dyDescent="0.25">
      <c r="A17" s="718"/>
      <c r="B17" s="719"/>
      <c r="C17" s="723"/>
      <c r="D17" s="724"/>
      <c r="E17" s="724"/>
      <c r="F17" s="724"/>
      <c r="G17" s="724"/>
      <c r="H17" s="724"/>
      <c r="I17" s="724"/>
      <c r="J17" s="724"/>
      <c r="K17" s="724"/>
      <c r="L17" s="724"/>
      <c r="M17" s="724"/>
      <c r="N17" s="724"/>
      <c r="O17" s="724"/>
      <c r="P17" s="725"/>
      <c r="Q17" s="728"/>
      <c r="R17" s="729"/>
      <c r="S17" s="731"/>
      <c r="T17" s="733"/>
      <c r="U17" s="731"/>
    </row>
    <row r="18" spans="1:21" ht="30" x14ac:dyDescent="0.25">
      <c r="A18" s="706" t="s">
        <v>776</v>
      </c>
      <c r="B18" s="707"/>
      <c r="C18" s="697" t="s">
        <v>777</v>
      </c>
      <c r="D18" s="697"/>
      <c r="E18" s="698"/>
      <c r="F18" s="697" t="s">
        <v>778</v>
      </c>
      <c r="G18" s="697"/>
      <c r="H18" s="698"/>
      <c r="I18" s="697" t="s">
        <v>779</v>
      </c>
      <c r="J18" s="697"/>
      <c r="K18" s="698"/>
      <c r="L18" s="708" t="s">
        <v>780</v>
      </c>
      <c r="M18" s="708"/>
      <c r="N18" s="707"/>
      <c r="O18" s="697" t="s">
        <v>781</v>
      </c>
      <c r="P18" s="698"/>
      <c r="Q18" s="697" t="s">
        <v>773</v>
      </c>
      <c r="R18" s="698"/>
      <c r="S18" s="46" t="s">
        <v>782</v>
      </c>
      <c r="T18" s="47" t="s">
        <v>775</v>
      </c>
      <c r="U18" s="47" t="s">
        <v>783</v>
      </c>
    </row>
    <row r="19" spans="1:21" x14ac:dyDescent="0.25">
      <c r="A19" s="699" t="s">
        <v>692</v>
      </c>
      <c r="B19" s="700"/>
      <c r="C19" s="681" t="s">
        <v>798</v>
      </c>
      <c r="D19" s="681"/>
      <c r="E19" s="682"/>
      <c r="F19" s="694" t="s">
        <v>799</v>
      </c>
      <c r="G19" s="694"/>
      <c r="H19" s="693"/>
      <c r="I19" s="688" t="s">
        <v>800</v>
      </c>
      <c r="J19" s="688"/>
      <c r="K19" s="689"/>
      <c r="L19" s="751" t="s">
        <v>1773</v>
      </c>
      <c r="M19" s="695"/>
      <c r="N19" s="696"/>
      <c r="O19" s="692">
        <v>45909</v>
      </c>
      <c r="P19" s="693"/>
      <c r="Q19" s="681" t="s">
        <v>774</v>
      </c>
      <c r="R19" s="682"/>
      <c r="S19" s="48">
        <v>1</v>
      </c>
      <c r="T19" s="581">
        <v>543.9</v>
      </c>
      <c r="U19" s="48">
        <f>S19*T19</f>
        <v>543.9</v>
      </c>
    </row>
    <row r="20" spans="1:21" x14ac:dyDescent="0.25">
      <c r="A20" s="701"/>
      <c r="B20" s="702"/>
      <c r="C20" s="681" t="s">
        <v>801</v>
      </c>
      <c r="D20" s="681"/>
      <c r="E20" s="682"/>
      <c r="F20" s="694" t="s">
        <v>802</v>
      </c>
      <c r="G20" s="694"/>
      <c r="H20" s="693"/>
      <c r="I20" s="688" t="s">
        <v>803</v>
      </c>
      <c r="J20" s="688"/>
      <c r="K20" s="689"/>
      <c r="L20" s="751" t="s">
        <v>804</v>
      </c>
      <c r="M20" s="695"/>
      <c r="N20" s="696"/>
      <c r="O20" s="692">
        <v>45909</v>
      </c>
      <c r="P20" s="693"/>
      <c r="Q20" s="681" t="s">
        <v>774</v>
      </c>
      <c r="R20" s="682"/>
      <c r="S20" s="48">
        <v>1</v>
      </c>
      <c r="T20" s="581">
        <f>136.15*2</f>
        <v>272.3</v>
      </c>
      <c r="U20" s="48">
        <f t="shared" ref="U20:U21" si="0">S20*T20</f>
        <v>272.3</v>
      </c>
    </row>
    <row r="21" spans="1:21" x14ac:dyDescent="0.25">
      <c r="A21" s="703"/>
      <c r="B21" s="704"/>
      <c r="C21" s="681" t="s">
        <v>805</v>
      </c>
      <c r="D21" s="681"/>
      <c r="E21" s="682"/>
      <c r="F21" s="694" t="s">
        <v>806</v>
      </c>
      <c r="G21" s="694"/>
      <c r="H21" s="693"/>
      <c r="I21" s="688" t="s">
        <v>807</v>
      </c>
      <c r="J21" s="688"/>
      <c r="K21" s="689"/>
      <c r="L21" s="751" t="s">
        <v>808</v>
      </c>
      <c r="M21" s="695"/>
      <c r="N21" s="696"/>
      <c r="O21" s="692">
        <v>45909</v>
      </c>
      <c r="P21" s="693"/>
      <c r="Q21" s="681" t="s">
        <v>774</v>
      </c>
      <c r="R21" s="682"/>
      <c r="S21" s="48">
        <v>1</v>
      </c>
      <c r="T21" s="581">
        <v>398.81</v>
      </c>
      <c r="U21" s="48">
        <f t="shared" si="0"/>
        <v>398.81</v>
      </c>
    </row>
    <row r="22" spans="1:21" x14ac:dyDescent="0.25">
      <c r="A22" s="680" t="s">
        <v>795</v>
      </c>
      <c r="B22" s="681"/>
      <c r="C22" s="681"/>
      <c r="D22" s="681"/>
      <c r="E22" s="681"/>
      <c r="F22" s="681"/>
      <c r="G22" s="681"/>
      <c r="H22" s="681"/>
      <c r="I22" s="681"/>
      <c r="J22" s="681"/>
      <c r="K22" s="681"/>
      <c r="L22" s="681"/>
      <c r="M22" s="681"/>
      <c r="N22" s="681"/>
      <c r="O22" s="681"/>
      <c r="P22" s="681"/>
      <c r="Q22" s="682"/>
      <c r="R22" s="683" t="s">
        <v>796</v>
      </c>
      <c r="S22" s="684"/>
      <c r="T22" s="49">
        <f>MEDIAN(U19:U21)</f>
        <v>398.81</v>
      </c>
      <c r="U22" s="48"/>
    </row>
    <row r="23" spans="1:21" x14ac:dyDescent="0.25">
      <c r="A23" s="699" t="s">
        <v>768</v>
      </c>
      <c r="B23" s="752"/>
      <c r="C23" s="752"/>
      <c r="D23" s="752"/>
      <c r="E23" s="752"/>
      <c r="F23" s="752"/>
      <c r="G23" s="752"/>
      <c r="H23" s="752"/>
      <c r="I23" s="752"/>
      <c r="J23" s="752"/>
      <c r="K23" s="752"/>
      <c r="L23" s="752"/>
      <c r="M23" s="752"/>
      <c r="N23" s="752"/>
      <c r="O23" s="752"/>
      <c r="P23" s="752"/>
      <c r="Q23" s="752"/>
      <c r="R23" s="752"/>
      <c r="S23" s="752"/>
      <c r="T23" s="752"/>
      <c r="U23" s="700"/>
    </row>
    <row r="24" spans="1:21" x14ac:dyDescent="0.25">
      <c r="A24" s="712" t="s">
        <v>768</v>
      </c>
      <c r="B24" s="713"/>
      <c r="C24" s="697" t="s">
        <v>772</v>
      </c>
      <c r="D24" s="697"/>
      <c r="E24" s="697"/>
      <c r="F24" s="697"/>
      <c r="G24" s="697"/>
      <c r="H24" s="697"/>
      <c r="I24" s="697"/>
      <c r="J24" s="697"/>
      <c r="K24" s="697"/>
      <c r="L24" s="697"/>
      <c r="M24" s="697"/>
      <c r="N24" s="697"/>
      <c r="O24" s="697"/>
      <c r="P24" s="697"/>
      <c r="Q24" s="697"/>
      <c r="R24" s="697"/>
      <c r="S24" s="697"/>
      <c r="T24" s="697"/>
      <c r="U24" s="698"/>
    </row>
    <row r="25" spans="1:21" x14ac:dyDescent="0.25">
      <c r="A25" s="716">
        <v>3</v>
      </c>
      <c r="B25" s="717"/>
      <c r="C25" s="739" t="s">
        <v>809</v>
      </c>
      <c r="D25" s="740"/>
      <c r="E25" s="740"/>
      <c r="F25" s="740"/>
      <c r="G25" s="740"/>
      <c r="H25" s="740"/>
      <c r="I25" s="740"/>
      <c r="J25" s="740"/>
      <c r="K25" s="740"/>
      <c r="L25" s="740"/>
      <c r="M25" s="740"/>
      <c r="N25" s="740"/>
      <c r="O25" s="740"/>
      <c r="P25" s="717"/>
      <c r="Q25" s="742" t="s">
        <v>773</v>
      </c>
      <c r="R25" s="743"/>
      <c r="S25" s="746" t="s">
        <v>774</v>
      </c>
      <c r="T25" s="748" t="s">
        <v>775</v>
      </c>
      <c r="U25" s="750"/>
    </row>
    <row r="26" spans="1:21" x14ac:dyDescent="0.25">
      <c r="A26" s="718"/>
      <c r="B26" s="719"/>
      <c r="C26" s="718"/>
      <c r="D26" s="741"/>
      <c r="E26" s="741"/>
      <c r="F26" s="741"/>
      <c r="G26" s="741"/>
      <c r="H26" s="741"/>
      <c r="I26" s="741"/>
      <c r="J26" s="741"/>
      <c r="K26" s="741"/>
      <c r="L26" s="741"/>
      <c r="M26" s="741"/>
      <c r="N26" s="741"/>
      <c r="O26" s="741"/>
      <c r="P26" s="719"/>
      <c r="Q26" s="744"/>
      <c r="R26" s="745"/>
      <c r="S26" s="747"/>
      <c r="T26" s="749"/>
      <c r="U26" s="747"/>
    </row>
    <row r="27" spans="1:21" ht="30" x14ac:dyDescent="0.25">
      <c r="A27" s="706" t="s">
        <v>776</v>
      </c>
      <c r="B27" s="707"/>
      <c r="C27" s="697" t="s">
        <v>777</v>
      </c>
      <c r="D27" s="697"/>
      <c r="E27" s="698"/>
      <c r="F27" s="697" t="s">
        <v>778</v>
      </c>
      <c r="G27" s="697"/>
      <c r="H27" s="698"/>
      <c r="I27" s="697" t="s">
        <v>779</v>
      </c>
      <c r="J27" s="697"/>
      <c r="K27" s="698"/>
      <c r="L27" s="708" t="s">
        <v>810</v>
      </c>
      <c r="M27" s="708"/>
      <c r="N27" s="707"/>
      <c r="O27" s="697" t="s">
        <v>781</v>
      </c>
      <c r="P27" s="698"/>
      <c r="Q27" s="697" t="s">
        <v>773</v>
      </c>
      <c r="R27" s="698"/>
      <c r="S27" s="46" t="s">
        <v>782</v>
      </c>
      <c r="T27" s="47" t="s">
        <v>775</v>
      </c>
      <c r="U27" s="47" t="s">
        <v>783</v>
      </c>
    </row>
    <row r="28" spans="1:21" x14ac:dyDescent="0.25">
      <c r="A28" s="685" t="s">
        <v>724</v>
      </c>
      <c r="B28" s="687"/>
      <c r="C28" s="694" t="s">
        <v>811</v>
      </c>
      <c r="D28" s="694"/>
      <c r="E28" s="693"/>
      <c r="F28" s="694" t="s">
        <v>812</v>
      </c>
      <c r="G28" s="694"/>
      <c r="H28" s="693"/>
      <c r="I28" s="688" t="s">
        <v>813</v>
      </c>
      <c r="J28" s="688"/>
      <c r="K28" s="689"/>
      <c r="L28" s="690" t="s">
        <v>814</v>
      </c>
      <c r="M28" s="690"/>
      <c r="N28" s="691"/>
      <c r="O28" s="692">
        <v>45440</v>
      </c>
      <c r="P28" s="693"/>
      <c r="Q28" s="694" t="s">
        <v>774</v>
      </c>
      <c r="R28" s="693"/>
      <c r="S28" s="106">
        <v>1</v>
      </c>
      <c r="T28" s="106">
        <f>SUM(18332.2+25786.8+11762.4)</f>
        <v>55881.4</v>
      </c>
      <c r="U28" s="106">
        <f>S28*T28</f>
        <v>55881.4</v>
      </c>
    </row>
    <row r="29" spans="1:21" ht="14.45" customHeight="1" x14ac:dyDescent="0.25">
      <c r="A29" s="735"/>
      <c r="B29" s="736"/>
      <c r="C29" s="694" t="s">
        <v>815</v>
      </c>
      <c r="D29" s="694"/>
      <c r="E29" s="693"/>
      <c r="F29" s="705" t="s">
        <v>816</v>
      </c>
      <c r="G29" s="694"/>
      <c r="H29" s="693"/>
      <c r="I29" s="688" t="s">
        <v>817</v>
      </c>
      <c r="J29" s="688"/>
      <c r="K29" s="689"/>
      <c r="L29" s="690" t="s">
        <v>818</v>
      </c>
      <c r="M29" s="690"/>
      <c r="N29" s="691"/>
      <c r="O29" s="692">
        <v>45440</v>
      </c>
      <c r="P29" s="693"/>
      <c r="Q29" s="694" t="s">
        <v>774</v>
      </c>
      <c r="R29" s="693"/>
      <c r="S29" s="106">
        <v>1</v>
      </c>
      <c r="T29" s="106">
        <f>35120+16520</f>
        <v>51640</v>
      </c>
      <c r="U29" s="106">
        <f t="shared" ref="U29:U30" si="1">S29*T29</f>
        <v>51640</v>
      </c>
    </row>
    <row r="30" spans="1:21" x14ac:dyDescent="0.25">
      <c r="A30" s="737"/>
      <c r="B30" s="738"/>
      <c r="C30" s="694" t="s">
        <v>819</v>
      </c>
      <c r="D30" s="694"/>
      <c r="E30" s="693"/>
      <c r="F30" s="694"/>
      <c r="G30" s="694"/>
      <c r="H30" s="693"/>
      <c r="I30" s="688" t="s">
        <v>820</v>
      </c>
      <c r="J30" s="688"/>
      <c r="K30" s="689"/>
      <c r="L30" s="695"/>
      <c r="M30" s="695"/>
      <c r="N30" s="696"/>
      <c r="O30" s="692">
        <v>45449</v>
      </c>
      <c r="P30" s="693"/>
      <c r="Q30" s="694" t="s">
        <v>774</v>
      </c>
      <c r="R30" s="693"/>
      <c r="S30" s="106">
        <v>1</v>
      </c>
      <c r="T30" s="106">
        <v>0</v>
      </c>
      <c r="U30" s="106">
        <f t="shared" si="1"/>
        <v>0</v>
      </c>
    </row>
    <row r="31" spans="1:21" x14ac:dyDescent="0.25">
      <c r="A31" s="709" t="s">
        <v>795</v>
      </c>
      <c r="B31" s="694"/>
      <c r="C31" s="694"/>
      <c r="D31" s="694"/>
      <c r="E31" s="694"/>
      <c r="F31" s="694"/>
      <c r="G31" s="694"/>
      <c r="H31" s="694"/>
      <c r="I31" s="694"/>
      <c r="J31" s="694"/>
      <c r="K31" s="694"/>
      <c r="L31" s="694"/>
      <c r="M31" s="694"/>
      <c r="N31" s="694"/>
      <c r="O31" s="694"/>
      <c r="P31" s="694"/>
      <c r="Q31" s="693"/>
      <c r="R31" s="710" t="s">
        <v>796</v>
      </c>
      <c r="S31" s="711"/>
      <c r="T31" s="107">
        <f>MEDIAN(U28:U30)</f>
        <v>51640</v>
      </c>
      <c r="U31" s="106"/>
    </row>
    <row r="32" spans="1:21" x14ac:dyDescent="0.25">
      <c r="A32" s="685"/>
      <c r="B32" s="686"/>
      <c r="C32" s="686"/>
      <c r="D32" s="686"/>
      <c r="E32" s="686"/>
      <c r="F32" s="686"/>
      <c r="G32" s="686"/>
      <c r="H32" s="686"/>
      <c r="I32" s="686"/>
      <c r="J32" s="686"/>
      <c r="K32" s="686"/>
      <c r="L32" s="686"/>
      <c r="M32" s="686"/>
      <c r="N32" s="686"/>
      <c r="O32" s="686"/>
      <c r="P32" s="686"/>
      <c r="Q32" s="686"/>
      <c r="R32" s="686"/>
      <c r="S32" s="686"/>
      <c r="T32" s="686"/>
      <c r="U32" s="687"/>
    </row>
    <row r="33" spans="1:21" x14ac:dyDescent="0.25">
      <c r="A33" s="712" t="s">
        <v>768</v>
      </c>
      <c r="B33" s="713"/>
      <c r="C33" s="714" t="s">
        <v>772</v>
      </c>
      <c r="D33" s="714"/>
      <c r="E33" s="714"/>
      <c r="F33" s="714"/>
      <c r="G33" s="714"/>
      <c r="H33" s="714"/>
      <c r="I33" s="714"/>
      <c r="J33" s="714"/>
      <c r="K33" s="714"/>
      <c r="L33" s="714"/>
      <c r="M33" s="714"/>
      <c r="N33" s="714"/>
      <c r="O33" s="714"/>
      <c r="P33" s="714"/>
      <c r="Q33" s="714"/>
      <c r="R33" s="714"/>
      <c r="S33" s="714"/>
      <c r="T33" s="714"/>
      <c r="U33" s="715"/>
    </row>
    <row r="34" spans="1:21" x14ac:dyDescent="0.25">
      <c r="A34" s="716">
        <v>4</v>
      </c>
      <c r="B34" s="717"/>
      <c r="C34" s="720" t="s">
        <v>821</v>
      </c>
      <c r="D34" s="721"/>
      <c r="E34" s="721"/>
      <c r="F34" s="721"/>
      <c r="G34" s="721"/>
      <c r="H34" s="721"/>
      <c r="I34" s="721"/>
      <c r="J34" s="721"/>
      <c r="K34" s="721"/>
      <c r="L34" s="721"/>
      <c r="M34" s="721"/>
      <c r="N34" s="721"/>
      <c r="O34" s="721"/>
      <c r="P34" s="722"/>
      <c r="Q34" s="726" t="s">
        <v>773</v>
      </c>
      <c r="R34" s="727"/>
      <c r="S34" s="730" t="s">
        <v>774</v>
      </c>
      <c r="T34" s="732" t="s">
        <v>775</v>
      </c>
      <c r="U34" s="734"/>
    </row>
    <row r="35" spans="1:21" x14ac:dyDescent="0.25">
      <c r="A35" s="718"/>
      <c r="B35" s="719"/>
      <c r="C35" s="723"/>
      <c r="D35" s="724"/>
      <c r="E35" s="724"/>
      <c r="F35" s="724"/>
      <c r="G35" s="724"/>
      <c r="H35" s="724"/>
      <c r="I35" s="724"/>
      <c r="J35" s="724"/>
      <c r="K35" s="724"/>
      <c r="L35" s="724"/>
      <c r="M35" s="724"/>
      <c r="N35" s="724"/>
      <c r="O35" s="724"/>
      <c r="P35" s="725"/>
      <c r="Q35" s="728"/>
      <c r="R35" s="729"/>
      <c r="S35" s="731"/>
      <c r="T35" s="733"/>
      <c r="U35" s="731"/>
    </row>
    <row r="36" spans="1:21" ht="30" x14ac:dyDescent="0.25">
      <c r="A36" s="706" t="s">
        <v>776</v>
      </c>
      <c r="B36" s="707"/>
      <c r="C36" s="697" t="s">
        <v>777</v>
      </c>
      <c r="D36" s="697"/>
      <c r="E36" s="698"/>
      <c r="F36" s="697" t="s">
        <v>778</v>
      </c>
      <c r="G36" s="697"/>
      <c r="H36" s="698"/>
      <c r="I36" s="697" t="s">
        <v>779</v>
      </c>
      <c r="J36" s="697"/>
      <c r="K36" s="698"/>
      <c r="L36" s="708" t="s">
        <v>780</v>
      </c>
      <c r="M36" s="708"/>
      <c r="N36" s="707"/>
      <c r="O36" s="697" t="s">
        <v>781</v>
      </c>
      <c r="P36" s="698"/>
      <c r="Q36" s="697" t="s">
        <v>773</v>
      </c>
      <c r="R36" s="698"/>
      <c r="S36" s="46" t="s">
        <v>782</v>
      </c>
      <c r="T36" s="47" t="s">
        <v>775</v>
      </c>
      <c r="U36" s="47" t="s">
        <v>783</v>
      </c>
    </row>
    <row r="37" spans="1:21" x14ac:dyDescent="0.25">
      <c r="A37" s="699" t="s">
        <v>725</v>
      </c>
      <c r="B37" s="700"/>
      <c r="C37" s="694" t="s">
        <v>811</v>
      </c>
      <c r="D37" s="694"/>
      <c r="E37" s="693"/>
      <c r="F37" s="694" t="s">
        <v>812</v>
      </c>
      <c r="G37" s="694"/>
      <c r="H37" s="693"/>
      <c r="I37" s="688" t="s">
        <v>813</v>
      </c>
      <c r="J37" s="688"/>
      <c r="K37" s="689"/>
      <c r="L37" s="690" t="s">
        <v>814</v>
      </c>
      <c r="M37" s="690"/>
      <c r="N37" s="691"/>
      <c r="O37" s="692">
        <v>45440</v>
      </c>
      <c r="P37" s="693"/>
      <c r="Q37" s="681" t="s">
        <v>774</v>
      </c>
      <c r="R37" s="682"/>
      <c r="S37" s="48">
        <v>1</v>
      </c>
      <c r="T37" s="48">
        <v>5200</v>
      </c>
      <c r="U37" s="48">
        <f>S37*T37</f>
        <v>5200</v>
      </c>
    </row>
    <row r="38" spans="1:21" ht="14.45" customHeight="1" x14ac:dyDescent="0.25">
      <c r="A38" s="701"/>
      <c r="B38" s="702"/>
      <c r="C38" s="694" t="s">
        <v>815</v>
      </c>
      <c r="D38" s="694"/>
      <c r="E38" s="693"/>
      <c r="F38" s="705" t="s">
        <v>816</v>
      </c>
      <c r="G38" s="694"/>
      <c r="H38" s="693"/>
      <c r="I38" s="688" t="s">
        <v>817</v>
      </c>
      <c r="J38" s="688"/>
      <c r="K38" s="689"/>
      <c r="L38" s="690" t="s">
        <v>818</v>
      </c>
      <c r="M38" s="690"/>
      <c r="N38" s="691"/>
      <c r="O38" s="692">
        <v>45440</v>
      </c>
      <c r="P38" s="693"/>
      <c r="Q38" s="681" t="s">
        <v>774</v>
      </c>
      <c r="R38" s="682"/>
      <c r="S38" s="48">
        <v>1</v>
      </c>
      <c r="T38" s="48">
        <f>SUM(1422+1651.5)</f>
        <v>3073.5</v>
      </c>
      <c r="U38" s="48">
        <f t="shared" ref="U38:U39" si="2">S38*T38</f>
        <v>3073.5</v>
      </c>
    </row>
    <row r="39" spans="1:21" ht="14.45" customHeight="1" x14ac:dyDescent="0.25">
      <c r="A39" s="703"/>
      <c r="B39" s="704"/>
      <c r="C39" s="694" t="s">
        <v>822</v>
      </c>
      <c r="D39" s="694"/>
      <c r="E39" s="693"/>
      <c r="F39" s="694"/>
      <c r="G39" s="694"/>
      <c r="H39" s="693"/>
      <c r="I39" s="688"/>
      <c r="J39" s="688"/>
      <c r="K39" s="689"/>
      <c r="L39" s="695"/>
      <c r="M39" s="695"/>
      <c r="N39" s="696"/>
      <c r="O39" s="692"/>
      <c r="P39" s="693"/>
      <c r="Q39" s="681" t="s">
        <v>774</v>
      </c>
      <c r="R39" s="682"/>
      <c r="S39" s="48">
        <v>1</v>
      </c>
      <c r="T39" s="48">
        <v>0</v>
      </c>
      <c r="U39" s="48">
        <f t="shared" si="2"/>
        <v>0</v>
      </c>
    </row>
    <row r="40" spans="1:21" x14ac:dyDescent="0.25">
      <c r="A40" s="680" t="s">
        <v>795</v>
      </c>
      <c r="B40" s="681"/>
      <c r="C40" s="681"/>
      <c r="D40" s="681"/>
      <c r="E40" s="681"/>
      <c r="F40" s="681"/>
      <c r="G40" s="681"/>
      <c r="H40" s="681"/>
      <c r="I40" s="681"/>
      <c r="J40" s="681"/>
      <c r="K40" s="681"/>
      <c r="L40" s="681"/>
      <c r="M40" s="681"/>
      <c r="N40" s="681"/>
      <c r="O40" s="681"/>
      <c r="P40" s="681"/>
      <c r="Q40" s="682"/>
      <c r="R40" s="683" t="s">
        <v>796</v>
      </c>
      <c r="S40" s="684"/>
      <c r="T40" s="49">
        <f>MEDIAN(U37:U39)</f>
        <v>3073.5</v>
      </c>
      <c r="U40" s="48"/>
    </row>
    <row r="41" spans="1:21" ht="14.45" customHeight="1" x14ac:dyDescent="0.25">
      <c r="A41" s="685"/>
      <c r="B41" s="686"/>
      <c r="C41" s="686"/>
      <c r="D41" s="686"/>
      <c r="E41" s="686"/>
      <c r="F41" s="686"/>
      <c r="G41" s="686"/>
      <c r="H41" s="686"/>
      <c r="I41" s="686"/>
      <c r="J41" s="686"/>
      <c r="K41" s="686"/>
      <c r="L41" s="686"/>
      <c r="M41" s="686"/>
      <c r="N41" s="686"/>
      <c r="O41" s="686"/>
      <c r="P41" s="686"/>
      <c r="Q41" s="686"/>
      <c r="R41" s="686"/>
      <c r="S41" s="686"/>
      <c r="T41" s="686"/>
      <c r="U41" s="687"/>
    </row>
    <row r="42" spans="1:21" x14ac:dyDescent="0.25">
      <c r="A42" s="712" t="s">
        <v>768</v>
      </c>
      <c r="B42" s="713"/>
      <c r="C42" s="714" t="s">
        <v>772</v>
      </c>
      <c r="D42" s="714"/>
      <c r="E42" s="714"/>
      <c r="F42" s="714"/>
      <c r="G42" s="714"/>
      <c r="H42" s="714"/>
      <c r="I42" s="714"/>
      <c r="J42" s="714"/>
      <c r="K42" s="714"/>
      <c r="L42" s="714"/>
      <c r="M42" s="714"/>
      <c r="N42" s="714"/>
      <c r="O42" s="714"/>
      <c r="P42" s="714"/>
      <c r="Q42" s="714"/>
      <c r="R42" s="714"/>
      <c r="S42" s="714"/>
      <c r="T42" s="714"/>
      <c r="U42" s="715"/>
    </row>
    <row r="43" spans="1:21" x14ac:dyDescent="0.25">
      <c r="A43" s="716">
        <v>5</v>
      </c>
      <c r="B43" s="717"/>
      <c r="C43" s="720" t="s">
        <v>336</v>
      </c>
      <c r="D43" s="721"/>
      <c r="E43" s="721"/>
      <c r="F43" s="721"/>
      <c r="G43" s="721"/>
      <c r="H43" s="721"/>
      <c r="I43" s="721"/>
      <c r="J43" s="721"/>
      <c r="K43" s="721"/>
      <c r="L43" s="721"/>
      <c r="M43" s="721"/>
      <c r="N43" s="721"/>
      <c r="O43" s="721"/>
      <c r="P43" s="722"/>
      <c r="Q43" s="726" t="s">
        <v>773</v>
      </c>
      <c r="R43" s="727"/>
      <c r="S43" s="730" t="s">
        <v>774</v>
      </c>
      <c r="T43" s="732" t="s">
        <v>775</v>
      </c>
      <c r="U43" s="734"/>
    </row>
    <row r="44" spans="1:21" x14ac:dyDescent="0.25">
      <c r="A44" s="718"/>
      <c r="B44" s="719"/>
      <c r="C44" s="723"/>
      <c r="D44" s="724"/>
      <c r="E44" s="724"/>
      <c r="F44" s="724"/>
      <c r="G44" s="724"/>
      <c r="H44" s="724"/>
      <c r="I44" s="724"/>
      <c r="J44" s="724"/>
      <c r="K44" s="724"/>
      <c r="L44" s="724"/>
      <c r="M44" s="724"/>
      <c r="N44" s="724"/>
      <c r="O44" s="724"/>
      <c r="P44" s="725"/>
      <c r="Q44" s="728"/>
      <c r="R44" s="729"/>
      <c r="S44" s="731"/>
      <c r="T44" s="733"/>
      <c r="U44" s="731"/>
    </row>
    <row r="45" spans="1:21" ht="30" x14ac:dyDescent="0.25">
      <c r="A45" s="706" t="s">
        <v>776</v>
      </c>
      <c r="B45" s="707"/>
      <c r="C45" s="697" t="s">
        <v>777</v>
      </c>
      <c r="D45" s="697"/>
      <c r="E45" s="698"/>
      <c r="F45" s="697" t="s">
        <v>778</v>
      </c>
      <c r="G45" s="697"/>
      <c r="H45" s="698"/>
      <c r="I45" s="697" t="s">
        <v>779</v>
      </c>
      <c r="J45" s="697"/>
      <c r="K45" s="698"/>
      <c r="L45" s="708" t="s">
        <v>810</v>
      </c>
      <c r="M45" s="708"/>
      <c r="N45" s="707"/>
      <c r="O45" s="697" t="s">
        <v>781</v>
      </c>
      <c r="P45" s="698"/>
      <c r="Q45" s="697" t="s">
        <v>773</v>
      </c>
      <c r="R45" s="698"/>
      <c r="S45" s="46" t="s">
        <v>782</v>
      </c>
      <c r="T45" s="47" t="s">
        <v>775</v>
      </c>
      <c r="U45" s="47" t="s">
        <v>783</v>
      </c>
    </row>
    <row r="46" spans="1:21" x14ac:dyDescent="0.25">
      <c r="A46" s="699" t="s">
        <v>334</v>
      </c>
      <c r="B46" s="700"/>
      <c r="C46" s="694" t="s">
        <v>823</v>
      </c>
      <c r="D46" s="694"/>
      <c r="E46" s="693"/>
      <c r="F46" s="694" t="s">
        <v>824</v>
      </c>
      <c r="G46" s="694"/>
      <c r="H46" s="693"/>
      <c r="I46" s="688" t="s">
        <v>825</v>
      </c>
      <c r="J46" s="688"/>
      <c r="K46" s="689"/>
      <c r="L46" s="690" t="s">
        <v>826</v>
      </c>
      <c r="M46" s="690"/>
      <c r="N46" s="691"/>
      <c r="O46" s="692">
        <v>45709</v>
      </c>
      <c r="P46" s="693"/>
      <c r="Q46" s="681" t="s">
        <v>774</v>
      </c>
      <c r="R46" s="682"/>
      <c r="S46" s="48">
        <v>1</v>
      </c>
      <c r="T46" s="48">
        <v>1200</v>
      </c>
      <c r="U46" s="48">
        <f>S46*T46</f>
        <v>1200</v>
      </c>
    </row>
    <row r="47" spans="1:21" x14ac:dyDescent="0.25">
      <c r="A47" s="701"/>
      <c r="B47" s="702"/>
      <c r="C47" s="694"/>
      <c r="D47" s="694"/>
      <c r="E47" s="693"/>
      <c r="F47" s="705"/>
      <c r="G47" s="694"/>
      <c r="H47" s="693"/>
      <c r="I47" s="688"/>
      <c r="J47" s="688"/>
      <c r="K47" s="689"/>
      <c r="L47" s="690"/>
      <c r="M47" s="690"/>
      <c r="N47" s="691"/>
      <c r="O47" s="692"/>
      <c r="P47" s="693"/>
      <c r="Q47" s="681" t="s">
        <v>774</v>
      </c>
      <c r="R47" s="682"/>
      <c r="S47" s="48">
        <v>1</v>
      </c>
      <c r="T47" s="48"/>
      <c r="U47" s="48">
        <f t="shared" ref="U47:U48" si="3">S47*T47</f>
        <v>0</v>
      </c>
    </row>
    <row r="48" spans="1:21" x14ac:dyDescent="0.25">
      <c r="A48" s="703"/>
      <c r="B48" s="704"/>
      <c r="C48" s="694"/>
      <c r="D48" s="694"/>
      <c r="E48" s="693"/>
      <c r="F48" s="694"/>
      <c r="G48" s="694"/>
      <c r="H48" s="693"/>
      <c r="I48" s="688"/>
      <c r="J48" s="688"/>
      <c r="K48" s="689"/>
      <c r="L48" s="695"/>
      <c r="M48" s="695"/>
      <c r="N48" s="696"/>
      <c r="O48" s="692"/>
      <c r="P48" s="693"/>
      <c r="Q48" s="681" t="s">
        <v>774</v>
      </c>
      <c r="R48" s="682"/>
      <c r="S48" s="48">
        <v>1</v>
      </c>
      <c r="T48" s="48"/>
      <c r="U48" s="48">
        <f t="shared" si="3"/>
        <v>0</v>
      </c>
    </row>
    <row r="49" spans="1:21" x14ac:dyDescent="0.25">
      <c r="A49" s="680" t="s">
        <v>795</v>
      </c>
      <c r="B49" s="681"/>
      <c r="C49" s="681"/>
      <c r="D49" s="681"/>
      <c r="E49" s="681"/>
      <c r="F49" s="681"/>
      <c r="G49" s="681"/>
      <c r="H49" s="681"/>
      <c r="I49" s="681"/>
      <c r="J49" s="681"/>
      <c r="K49" s="681"/>
      <c r="L49" s="681"/>
      <c r="M49" s="681"/>
      <c r="N49" s="681"/>
      <c r="O49" s="681"/>
      <c r="P49" s="681"/>
      <c r="Q49" s="682"/>
      <c r="R49" s="683" t="s">
        <v>796</v>
      </c>
      <c r="S49" s="684"/>
      <c r="T49" s="49">
        <f>T46</f>
        <v>1200</v>
      </c>
      <c r="U49" s="48"/>
    </row>
    <row r="50" spans="1:21" x14ac:dyDescent="0.25">
      <c r="A50" s="685"/>
      <c r="B50" s="686"/>
      <c r="C50" s="686"/>
      <c r="D50" s="686"/>
      <c r="E50" s="686"/>
      <c r="F50" s="686"/>
      <c r="G50" s="686"/>
      <c r="H50" s="686"/>
      <c r="I50" s="686"/>
      <c r="J50" s="686"/>
      <c r="K50" s="686"/>
      <c r="L50" s="686"/>
      <c r="M50" s="686"/>
      <c r="N50" s="686"/>
      <c r="O50" s="686"/>
      <c r="P50" s="686"/>
      <c r="Q50" s="686"/>
      <c r="R50" s="686"/>
      <c r="S50" s="686"/>
      <c r="T50" s="686"/>
      <c r="U50" s="687"/>
    </row>
    <row r="51" spans="1:21" x14ac:dyDescent="0.25">
      <c r="A51" s="712" t="s">
        <v>768</v>
      </c>
      <c r="B51" s="713"/>
      <c r="C51" s="714" t="s">
        <v>772</v>
      </c>
      <c r="D51" s="714"/>
      <c r="E51" s="714"/>
      <c r="F51" s="714"/>
      <c r="G51" s="714"/>
      <c r="H51" s="714"/>
      <c r="I51" s="714"/>
      <c r="J51" s="714"/>
      <c r="K51" s="714"/>
      <c r="L51" s="714"/>
      <c r="M51" s="714"/>
      <c r="N51" s="714"/>
      <c r="O51" s="714"/>
      <c r="P51" s="714"/>
      <c r="Q51" s="714"/>
      <c r="R51" s="714"/>
      <c r="S51" s="714"/>
      <c r="T51" s="714"/>
      <c r="U51" s="715"/>
    </row>
    <row r="52" spans="1:21" ht="15" customHeight="1" x14ac:dyDescent="0.25">
      <c r="A52" s="716">
        <v>7</v>
      </c>
      <c r="B52" s="717"/>
      <c r="C52" s="720" t="s">
        <v>340</v>
      </c>
      <c r="D52" s="721"/>
      <c r="E52" s="721"/>
      <c r="F52" s="721"/>
      <c r="G52" s="721"/>
      <c r="H52" s="721"/>
      <c r="I52" s="721"/>
      <c r="J52" s="721"/>
      <c r="K52" s="721"/>
      <c r="L52" s="721"/>
      <c r="M52" s="721"/>
      <c r="N52" s="721"/>
      <c r="O52" s="721"/>
      <c r="P52" s="722"/>
      <c r="Q52" s="726" t="s">
        <v>773</v>
      </c>
      <c r="R52" s="727"/>
      <c r="S52" s="730" t="s">
        <v>774</v>
      </c>
      <c r="T52" s="732" t="s">
        <v>775</v>
      </c>
      <c r="U52" s="734"/>
    </row>
    <row r="53" spans="1:21" x14ac:dyDescent="0.25">
      <c r="A53" s="718"/>
      <c r="B53" s="719"/>
      <c r="C53" s="723"/>
      <c r="D53" s="724"/>
      <c r="E53" s="724"/>
      <c r="F53" s="724"/>
      <c r="G53" s="724"/>
      <c r="H53" s="724"/>
      <c r="I53" s="724"/>
      <c r="J53" s="724"/>
      <c r="K53" s="724"/>
      <c r="L53" s="724"/>
      <c r="M53" s="724"/>
      <c r="N53" s="724"/>
      <c r="O53" s="724"/>
      <c r="P53" s="725"/>
      <c r="Q53" s="728"/>
      <c r="R53" s="729"/>
      <c r="S53" s="731"/>
      <c r="T53" s="733"/>
      <c r="U53" s="731"/>
    </row>
    <row r="54" spans="1:21" ht="30.75" customHeight="1" x14ac:dyDescent="0.25">
      <c r="A54" s="706" t="s">
        <v>776</v>
      </c>
      <c r="B54" s="707"/>
      <c r="C54" s="697" t="s">
        <v>777</v>
      </c>
      <c r="D54" s="697"/>
      <c r="E54" s="698"/>
      <c r="F54" s="697" t="s">
        <v>778</v>
      </c>
      <c r="G54" s="697"/>
      <c r="H54" s="698"/>
      <c r="I54" s="697" t="s">
        <v>779</v>
      </c>
      <c r="J54" s="697"/>
      <c r="K54" s="698"/>
      <c r="L54" s="708" t="s">
        <v>810</v>
      </c>
      <c r="M54" s="708"/>
      <c r="N54" s="707"/>
      <c r="O54" s="697" t="s">
        <v>781</v>
      </c>
      <c r="P54" s="698"/>
      <c r="Q54" s="697" t="s">
        <v>773</v>
      </c>
      <c r="R54" s="698"/>
      <c r="S54" s="46" t="s">
        <v>782</v>
      </c>
      <c r="T54" s="47" t="s">
        <v>775</v>
      </c>
      <c r="U54" s="47" t="s">
        <v>783</v>
      </c>
    </row>
    <row r="55" spans="1:21" ht="15" customHeight="1" x14ac:dyDescent="0.25">
      <c r="A55" s="699" t="s">
        <v>339</v>
      </c>
      <c r="B55" s="700"/>
      <c r="C55" s="694" t="s">
        <v>823</v>
      </c>
      <c r="D55" s="694"/>
      <c r="E55" s="693"/>
      <c r="F55" s="694" t="s">
        <v>824</v>
      </c>
      <c r="G55" s="694"/>
      <c r="H55" s="693"/>
      <c r="I55" s="688" t="s">
        <v>825</v>
      </c>
      <c r="J55" s="688"/>
      <c r="K55" s="689"/>
      <c r="L55" s="690" t="s">
        <v>826</v>
      </c>
      <c r="M55" s="690"/>
      <c r="N55" s="691"/>
      <c r="O55" s="692">
        <v>45709</v>
      </c>
      <c r="P55" s="693"/>
      <c r="Q55" s="681" t="s">
        <v>774</v>
      </c>
      <c r="R55" s="682"/>
      <c r="S55" s="48">
        <v>1</v>
      </c>
      <c r="T55" s="48">
        <v>4480</v>
      </c>
      <c r="U55" s="48">
        <f>S55*T55</f>
        <v>4480</v>
      </c>
    </row>
    <row r="56" spans="1:21" ht="15" customHeight="1" x14ac:dyDescent="0.25">
      <c r="A56" s="701"/>
      <c r="B56" s="702"/>
      <c r="C56" s="694"/>
      <c r="D56" s="694"/>
      <c r="E56" s="693"/>
      <c r="F56" s="705"/>
      <c r="G56" s="694"/>
      <c r="H56" s="693"/>
      <c r="I56" s="688"/>
      <c r="J56" s="688"/>
      <c r="K56" s="689"/>
      <c r="L56" s="690"/>
      <c r="M56" s="690"/>
      <c r="N56" s="691"/>
      <c r="O56" s="692"/>
      <c r="P56" s="693"/>
      <c r="Q56" s="681" t="s">
        <v>774</v>
      </c>
      <c r="R56" s="682"/>
      <c r="S56" s="48">
        <v>1</v>
      </c>
      <c r="T56" s="48"/>
      <c r="U56" s="48">
        <f t="shared" ref="U56:U57" si="4">S56*T56</f>
        <v>0</v>
      </c>
    </row>
    <row r="57" spans="1:21" x14ac:dyDescent="0.25">
      <c r="A57" s="703"/>
      <c r="B57" s="704"/>
      <c r="C57" s="694"/>
      <c r="D57" s="694"/>
      <c r="E57" s="693"/>
      <c r="F57" s="694"/>
      <c r="G57" s="694"/>
      <c r="H57" s="693"/>
      <c r="I57" s="688"/>
      <c r="J57" s="688"/>
      <c r="K57" s="689"/>
      <c r="L57" s="695"/>
      <c r="M57" s="695"/>
      <c r="N57" s="696"/>
      <c r="O57" s="692"/>
      <c r="P57" s="693"/>
      <c r="Q57" s="681" t="s">
        <v>774</v>
      </c>
      <c r="R57" s="682"/>
      <c r="S57" s="48">
        <v>1</v>
      </c>
      <c r="T57" s="48"/>
      <c r="U57" s="48">
        <f t="shared" si="4"/>
        <v>0</v>
      </c>
    </row>
    <row r="58" spans="1:21" x14ac:dyDescent="0.25">
      <c r="A58" s="680" t="s">
        <v>795</v>
      </c>
      <c r="B58" s="681"/>
      <c r="C58" s="681"/>
      <c r="D58" s="681"/>
      <c r="E58" s="681"/>
      <c r="F58" s="681"/>
      <c r="G58" s="681"/>
      <c r="H58" s="681"/>
      <c r="I58" s="681"/>
      <c r="J58" s="681"/>
      <c r="K58" s="681"/>
      <c r="L58" s="681"/>
      <c r="M58" s="681"/>
      <c r="N58" s="681"/>
      <c r="O58" s="681"/>
      <c r="P58" s="681"/>
      <c r="Q58" s="682"/>
      <c r="R58" s="683" t="s">
        <v>796</v>
      </c>
      <c r="S58" s="684"/>
      <c r="T58" s="49">
        <f>T55</f>
        <v>4480</v>
      </c>
      <c r="U58" s="48"/>
    </row>
    <row r="59" spans="1:21" x14ac:dyDescent="0.25">
      <c r="A59" s="685"/>
      <c r="B59" s="686"/>
      <c r="C59" s="686"/>
      <c r="D59" s="686"/>
      <c r="E59" s="686"/>
      <c r="F59" s="686"/>
      <c r="G59" s="686"/>
      <c r="H59" s="686"/>
      <c r="I59" s="686"/>
      <c r="J59" s="686"/>
      <c r="K59" s="686"/>
      <c r="L59" s="686"/>
      <c r="M59" s="686"/>
      <c r="N59" s="686"/>
      <c r="O59" s="686"/>
      <c r="P59" s="686"/>
      <c r="Q59" s="686"/>
      <c r="R59" s="686"/>
      <c r="S59" s="686"/>
      <c r="T59" s="686"/>
      <c r="U59" s="687"/>
    </row>
    <row r="60" spans="1:21" x14ac:dyDescent="0.25">
      <c r="A60" s="712" t="s">
        <v>768</v>
      </c>
      <c r="B60" s="713"/>
      <c r="C60" s="714" t="s">
        <v>772</v>
      </c>
      <c r="D60" s="714"/>
      <c r="E60" s="714"/>
      <c r="F60" s="714"/>
      <c r="G60" s="714"/>
      <c r="H60" s="714"/>
      <c r="I60" s="714"/>
      <c r="J60" s="714"/>
      <c r="K60" s="714"/>
      <c r="L60" s="714"/>
      <c r="M60" s="714"/>
      <c r="N60" s="714"/>
      <c r="O60" s="714"/>
      <c r="P60" s="714"/>
      <c r="Q60" s="714"/>
      <c r="R60" s="714"/>
      <c r="S60" s="714"/>
      <c r="T60" s="714"/>
      <c r="U60" s="715"/>
    </row>
    <row r="61" spans="1:21" ht="15" customHeight="1" x14ac:dyDescent="0.25">
      <c r="A61" s="716">
        <v>8</v>
      </c>
      <c r="B61" s="717"/>
      <c r="C61" s="720" t="s">
        <v>343</v>
      </c>
      <c r="D61" s="721"/>
      <c r="E61" s="721"/>
      <c r="F61" s="721"/>
      <c r="G61" s="721"/>
      <c r="H61" s="721"/>
      <c r="I61" s="721"/>
      <c r="J61" s="721"/>
      <c r="K61" s="721"/>
      <c r="L61" s="721"/>
      <c r="M61" s="721"/>
      <c r="N61" s="721"/>
      <c r="O61" s="721"/>
      <c r="P61" s="722"/>
      <c r="Q61" s="726" t="s">
        <v>773</v>
      </c>
      <c r="R61" s="727"/>
      <c r="S61" s="730" t="s">
        <v>774</v>
      </c>
      <c r="T61" s="732" t="s">
        <v>775</v>
      </c>
      <c r="U61" s="734"/>
    </row>
    <row r="62" spans="1:21" x14ac:dyDescent="0.25">
      <c r="A62" s="718"/>
      <c r="B62" s="719"/>
      <c r="C62" s="723"/>
      <c r="D62" s="724"/>
      <c r="E62" s="724"/>
      <c r="F62" s="724"/>
      <c r="G62" s="724"/>
      <c r="H62" s="724"/>
      <c r="I62" s="724"/>
      <c r="J62" s="724"/>
      <c r="K62" s="724"/>
      <c r="L62" s="724"/>
      <c r="M62" s="724"/>
      <c r="N62" s="724"/>
      <c r="O62" s="724"/>
      <c r="P62" s="725"/>
      <c r="Q62" s="728"/>
      <c r="R62" s="729"/>
      <c r="S62" s="731"/>
      <c r="T62" s="733"/>
      <c r="U62" s="731"/>
    </row>
    <row r="63" spans="1:21" ht="30.75" customHeight="1" x14ac:dyDescent="0.25">
      <c r="A63" s="706" t="s">
        <v>776</v>
      </c>
      <c r="B63" s="707"/>
      <c r="C63" s="697" t="s">
        <v>777</v>
      </c>
      <c r="D63" s="697"/>
      <c r="E63" s="698"/>
      <c r="F63" s="697" t="s">
        <v>778</v>
      </c>
      <c r="G63" s="697"/>
      <c r="H63" s="698"/>
      <c r="I63" s="697" t="s">
        <v>779</v>
      </c>
      <c r="J63" s="697"/>
      <c r="K63" s="698"/>
      <c r="L63" s="708" t="s">
        <v>810</v>
      </c>
      <c r="M63" s="708"/>
      <c r="N63" s="707"/>
      <c r="O63" s="697" t="s">
        <v>781</v>
      </c>
      <c r="P63" s="698"/>
      <c r="Q63" s="697" t="s">
        <v>773</v>
      </c>
      <c r="R63" s="698"/>
      <c r="S63" s="46" t="s">
        <v>782</v>
      </c>
      <c r="T63" s="47" t="s">
        <v>775</v>
      </c>
      <c r="U63" s="47" t="s">
        <v>783</v>
      </c>
    </row>
    <row r="64" spans="1:21" ht="15" customHeight="1" x14ac:dyDescent="0.25">
      <c r="A64" s="699" t="s">
        <v>342</v>
      </c>
      <c r="B64" s="700"/>
      <c r="C64" s="694" t="s">
        <v>823</v>
      </c>
      <c r="D64" s="694"/>
      <c r="E64" s="693"/>
      <c r="F64" s="694" t="s">
        <v>824</v>
      </c>
      <c r="G64" s="694"/>
      <c r="H64" s="693"/>
      <c r="I64" s="688" t="s">
        <v>825</v>
      </c>
      <c r="J64" s="688"/>
      <c r="K64" s="689"/>
      <c r="L64" s="690" t="s">
        <v>826</v>
      </c>
      <c r="M64" s="690"/>
      <c r="N64" s="691"/>
      <c r="O64" s="692">
        <v>45709</v>
      </c>
      <c r="P64" s="693"/>
      <c r="Q64" s="681" t="s">
        <v>774</v>
      </c>
      <c r="R64" s="682"/>
      <c r="S64" s="48">
        <v>1</v>
      </c>
      <c r="T64" s="48">
        <v>4480</v>
      </c>
      <c r="U64" s="48">
        <f>S64*T64</f>
        <v>4480</v>
      </c>
    </row>
    <row r="65" spans="1:21" ht="15" customHeight="1" x14ac:dyDescent="0.25">
      <c r="A65" s="701"/>
      <c r="B65" s="702"/>
      <c r="C65" s="694"/>
      <c r="D65" s="694"/>
      <c r="E65" s="693"/>
      <c r="F65" s="705"/>
      <c r="G65" s="694"/>
      <c r="H65" s="693"/>
      <c r="I65" s="688"/>
      <c r="J65" s="688"/>
      <c r="K65" s="689"/>
      <c r="L65" s="690"/>
      <c r="M65" s="690"/>
      <c r="N65" s="691"/>
      <c r="O65" s="692"/>
      <c r="P65" s="693"/>
      <c r="Q65" s="681" t="s">
        <v>774</v>
      </c>
      <c r="R65" s="682"/>
      <c r="S65" s="48">
        <v>1</v>
      </c>
      <c r="T65" s="48"/>
      <c r="U65" s="48">
        <f t="shared" ref="U65:U66" si="5">S65*T65</f>
        <v>0</v>
      </c>
    </row>
    <row r="66" spans="1:21" x14ac:dyDescent="0.25">
      <c r="A66" s="703"/>
      <c r="B66" s="704"/>
      <c r="C66" s="694"/>
      <c r="D66" s="694"/>
      <c r="E66" s="693"/>
      <c r="F66" s="694"/>
      <c r="G66" s="694"/>
      <c r="H66" s="693"/>
      <c r="I66" s="688"/>
      <c r="J66" s="688"/>
      <c r="K66" s="689"/>
      <c r="L66" s="695"/>
      <c r="M66" s="695"/>
      <c r="N66" s="696"/>
      <c r="O66" s="692"/>
      <c r="P66" s="693"/>
      <c r="Q66" s="681" t="s">
        <v>774</v>
      </c>
      <c r="R66" s="682"/>
      <c r="S66" s="48">
        <v>1</v>
      </c>
      <c r="T66" s="48"/>
      <c r="U66" s="48">
        <f t="shared" si="5"/>
        <v>0</v>
      </c>
    </row>
    <row r="67" spans="1:21" x14ac:dyDescent="0.25">
      <c r="A67" s="680" t="s">
        <v>795</v>
      </c>
      <c r="B67" s="681"/>
      <c r="C67" s="681"/>
      <c r="D67" s="681"/>
      <c r="E67" s="681"/>
      <c r="F67" s="681"/>
      <c r="G67" s="681"/>
      <c r="H67" s="681"/>
      <c r="I67" s="681"/>
      <c r="J67" s="681"/>
      <c r="K67" s="681"/>
      <c r="L67" s="681"/>
      <c r="M67" s="681"/>
      <c r="N67" s="681"/>
      <c r="O67" s="681"/>
      <c r="P67" s="681"/>
      <c r="Q67" s="682"/>
      <c r="R67" s="683" t="s">
        <v>796</v>
      </c>
      <c r="S67" s="684"/>
      <c r="T67" s="49">
        <f>T64</f>
        <v>4480</v>
      </c>
      <c r="U67" s="48"/>
    </row>
    <row r="68" spans="1:21" x14ac:dyDescent="0.25">
      <c r="A68" s="685"/>
      <c r="B68" s="686"/>
      <c r="C68" s="686"/>
      <c r="D68" s="686"/>
      <c r="E68" s="686"/>
      <c r="F68" s="686"/>
      <c r="G68" s="686"/>
      <c r="H68" s="686"/>
      <c r="I68" s="686"/>
      <c r="J68" s="686"/>
      <c r="K68" s="686"/>
      <c r="L68" s="686"/>
      <c r="M68" s="686"/>
      <c r="N68" s="686"/>
      <c r="O68" s="686"/>
      <c r="P68" s="686"/>
      <c r="Q68" s="686"/>
      <c r="R68" s="686"/>
      <c r="S68" s="686"/>
      <c r="T68" s="686"/>
      <c r="U68" s="687"/>
    </row>
    <row r="69" spans="1:21" x14ac:dyDescent="0.25">
      <c r="A69" s="712" t="s">
        <v>768</v>
      </c>
      <c r="B69" s="713"/>
      <c r="C69" s="714" t="s">
        <v>772</v>
      </c>
      <c r="D69" s="714"/>
      <c r="E69" s="714"/>
      <c r="F69" s="714"/>
      <c r="G69" s="714"/>
      <c r="H69" s="714"/>
      <c r="I69" s="714"/>
      <c r="J69" s="714"/>
      <c r="K69" s="714"/>
      <c r="L69" s="714"/>
      <c r="M69" s="714"/>
      <c r="N69" s="714"/>
      <c r="O69" s="714"/>
      <c r="P69" s="714"/>
      <c r="Q69" s="714"/>
      <c r="R69" s="714"/>
      <c r="S69" s="714"/>
      <c r="T69" s="714"/>
      <c r="U69" s="715"/>
    </row>
    <row r="70" spans="1:21" ht="15" customHeight="1" x14ac:dyDescent="0.25">
      <c r="A70" s="716">
        <v>9</v>
      </c>
      <c r="B70" s="717"/>
      <c r="C70" s="720" t="s">
        <v>348</v>
      </c>
      <c r="D70" s="721"/>
      <c r="E70" s="721"/>
      <c r="F70" s="721"/>
      <c r="G70" s="721"/>
      <c r="H70" s="721"/>
      <c r="I70" s="721"/>
      <c r="J70" s="721"/>
      <c r="K70" s="721"/>
      <c r="L70" s="721"/>
      <c r="M70" s="721"/>
      <c r="N70" s="721"/>
      <c r="O70" s="721"/>
      <c r="P70" s="722"/>
      <c r="Q70" s="726" t="s">
        <v>773</v>
      </c>
      <c r="R70" s="727"/>
      <c r="S70" s="730" t="s">
        <v>774</v>
      </c>
      <c r="T70" s="732" t="s">
        <v>775</v>
      </c>
      <c r="U70" s="734"/>
    </row>
    <row r="71" spans="1:21" x14ac:dyDescent="0.25">
      <c r="A71" s="718"/>
      <c r="B71" s="719"/>
      <c r="C71" s="723"/>
      <c r="D71" s="724"/>
      <c r="E71" s="724"/>
      <c r="F71" s="724"/>
      <c r="G71" s="724"/>
      <c r="H71" s="724"/>
      <c r="I71" s="724"/>
      <c r="J71" s="724"/>
      <c r="K71" s="724"/>
      <c r="L71" s="724"/>
      <c r="M71" s="724"/>
      <c r="N71" s="724"/>
      <c r="O71" s="724"/>
      <c r="P71" s="725"/>
      <c r="Q71" s="728"/>
      <c r="R71" s="729"/>
      <c r="S71" s="731"/>
      <c r="T71" s="733"/>
      <c r="U71" s="731"/>
    </row>
    <row r="72" spans="1:21" ht="30.75" customHeight="1" x14ac:dyDescent="0.25">
      <c r="A72" s="706" t="s">
        <v>776</v>
      </c>
      <c r="B72" s="707"/>
      <c r="C72" s="697" t="s">
        <v>777</v>
      </c>
      <c r="D72" s="697"/>
      <c r="E72" s="698"/>
      <c r="F72" s="697" t="s">
        <v>778</v>
      </c>
      <c r="G72" s="697"/>
      <c r="H72" s="698"/>
      <c r="I72" s="697" t="s">
        <v>779</v>
      </c>
      <c r="J72" s="697"/>
      <c r="K72" s="698"/>
      <c r="L72" s="708" t="s">
        <v>810</v>
      </c>
      <c r="M72" s="708"/>
      <c r="N72" s="707"/>
      <c r="O72" s="697" t="s">
        <v>781</v>
      </c>
      <c r="P72" s="698"/>
      <c r="Q72" s="697" t="s">
        <v>773</v>
      </c>
      <c r="R72" s="698"/>
      <c r="S72" s="46" t="s">
        <v>782</v>
      </c>
      <c r="T72" s="47" t="s">
        <v>775</v>
      </c>
      <c r="U72" s="47" t="s">
        <v>783</v>
      </c>
    </row>
    <row r="73" spans="1:21" ht="15" customHeight="1" x14ac:dyDescent="0.25">
      <c r="A73" s="699" t="s">
        <v>347</v>
      </c>
      <c r="B73" s="700"/>
      <c r="C73" s="694" t="s">
        <v>823</v>
      </c>
      <c r="D73" s="694"/>
      <c r="E73" s="693"/>
      <c r="F73" s="694" t="s">
        <v>824</v>
      </c>
      <c r="G73" s="694"/>
      <c r="H73" s="693"/>
      <c r="I73" s="688" t="s">
        <v>825</v>
      </c>
      <c r="J73" s="688"/>
      <c r="K73" s="689"/>
      <c r="L73" s="690" t="s">
        <v>826</v>
      </c>
      <c r="M73" s="690"/>
      <c r="N73" s="691"/>
      <c r="O73" s="692">
        <v>45709</v>
      </c>
      <c r="P73" s="693"/>
      <c r="Q73" s="681" t="s">
        <v>774</v>
      </c>
      <c r="R73" s="682"/>
      <c r="S73" s="48">
        <v>1</v>
      </c>
      <c r="T73" s="48">
        <v>3000</v>
      </c>
      <c r="U73" s="48">
        <f>S73*T73</f>
        <v>3000</v>
      </c>
    </row>
    <row r="74" spans="1:21" ht="15" customHeight="1" x14ac:dyDescent="0.25">
      <c r="A74" s="701"/>
      <c r="B74" s="702"/>
      <c r="C74" s="694"/>
      <c r="D74" s="694"/>
      <c r="E74" s="693"/>
      <c r="F74" s="705"/>
      <c r="G74" s="694"/>
      <c r="H74" s="693"/>
      <c r="I74" s="688"/>
      <c r="J74" s="688"/>
      <c r="K74" s="689"/>
      <c r="L74" s="690"/>
      <c r="M74" s="690"/>
      <c r="N74" s="691"/>
      <c r="O74" s="692"/>
      <c r="P74" s="693"/>
      <c r="Q74" s="681" t="s">
        <v>774</v>
      </c>
      <c r="R74" s="682"/>
      <c r="S74" s="48">
        <v>1</v>
      </c>
      <c r="T74" s="48"/>
      <c r="U74" s="48">
        <f t="shared" ref="U74:U75" si="6">S74*T74</f>
        <v>0</v>
      </c>
    </row>
    <row r="75" spans="1:21" x14ac:dyDescent="0.25">
      <c r="A75" s="703"/>
      <c r="B75" s="704"/>
      <c r="C75" s="694"/>
      <c r="D75" s="694"/>
      <c r="E75" s="693"/>
      <c r="F75" s="694"/>
      <c r="G75" s="694"/>
      <c r="H75" s="693"/>
      <c r="I75" s="688"/>
      <c r="J75" s="688"/>
      <c r="K75" s="689"/>
      <c r="L75" s="695"/>
      <c r="M75" s="695"/>
      <c r="N75" s="696"/>
      <c r="O75" s="692"/>
      <c r="P75" s="693"/>
      <c r="Q75" s="681" t="s">
        <v>774</v>
      </c>
      <c r="R75" s="682"/>
      <c r="S75" s="48">
        <v>1</v>
      </c>
      <c r="T75" s="48"/>
      <c r="U75" s="48">
        <f t="shared" si="6"/>
        <v>0</v>
      </c>
    </row>
    <row r="76" spans="1:21" x14ac:dyDescent="0.25">
      <c r="A76" s="680" t="s">
        <v>795</v>
      </c>
      <c r="B76" s="681"/>
      <c r="C76" s="681"/>
      <c r="D76" s="681"/>
      <c r="E76" s="681"/>
      <c r="F76" s="681"/>
      <c r="G76" s="681"/>
      <c r="H76" s="681"/>
      <c r="I76" s="681"/>
      <c r="J76" s="681"/>
      <c r="K76" s="681"/>
      <c r="L76" s="681"/>
      <c r="M76" s="681"/>
      <c r="N76" s="681"/>
      <c r="O76" s="681"/>
      <c r="P76" s="681"/>
      <c r="Q76" s="682"/>
      <c r="R76" s="683" t="s">
        <v>796</v>
      </c>
      <c r="S76" s="684"/>
      <c r="T76" s="49">
        <f>T73</f>
        <v>3000</v>
      </c>
      <c r="U76" s="48"/>
    </row>
    <row r="77" spans="1:21" x14ac:dyDescent="0.25">
      <c r="A77" s="685"/>
      <c r="B77" s="686"/>
      <c r="C77" s="686"/>
      <c r="D77" s="686"/>
      <c r="E77" s="686"/>
      <c r="F77" s="686"/>
      <c r="G77" s="686"/>
      <c r="H77" s="686"/>
      <c r="I77" s="686"/>
      <c r="J77" s="686"/>
      <c r="K77" s="686"/>
      <c r="L77" s="686"/>
      <c r="M77" s="686"/>
      <c r="N77" s="686"/>
      <c r="O77" s="686"/>
      <c r="P77" s="686"/>
      <c r="Q77" s="686"/>
      <c r="R77" s="686"/>
      <c r="S77" s="686"/>
      <c r="T77" s="686"/>
      <c r="U77" s="687"/>
    </row>
    <row r="78" spans="1:21" ht="14.45" customHeight="1" x14ac:dyDescent="0.25">
      <c r="A78" s="604"/>
      <c r="B78" s="605"/>
      <c r="C78" s="605"/>
      <c r="D78" s="605"/>
      <c r="E78" s="605"/>
      <c r="F78" s="605"/>
      <c r="G78" s="605"/>
      <c r="H78" s="605"/>
      <c r="I78" s="605"/>
      <c r="J78" s="605"/>
      <c r="K78" s="605"/>
      <c r="L78" s="605"/>
      <c r="M78" s="605"/>
      <c r="N78" s="605"/>
      <c r="O78" s="605"/>
      <c r="P78" s="605"/>
      <c r="Q78" s="605"/>
      <c r="R78" s="605"/>
      <c r="S78" s="605"/>
      <c r="T78" s="605"/>
      <c r="U78" s="606"/>
    </row>
    <row r="79" spans="1:21" ht="30" customHeight="1" x14ac:dyDescent="0.25">
      <c r="A79" s="607"/>
      <c r="B79" s="65"/>
      <c r="C79" s="65"/>
      <c r="D79" s="65"/>
      <c r="E79" s="65"/>
      <c r="F79" s="65"/>
      <c r="G79" s="65"/>
      <c r="H79" s="65"/>
      <c r="I79" s="65"/>
      <c r="J79" s="65"/>
      <c r="K79" s="65"/>
      <c r="L79" s="65"/>
      <c r="M79" s="65"/>
      <c r="N79" s="65"/>
      <c r="O79" s="65"/>
      <c r="P79" s="65"/>
      <c r="Q79" s="65"/>
      <c r="R79" s="65"/>
      <c r="S79" s="65"/>
      <c r="T79" s="65"/>
      <c r="U79" s="608"/>
    </row>
    <row r="80" spans="1:21" ht="14.45" customHeight="1" x14ac:dyDescent="0.25">
      <c r="A80" s="607"/>
      <c r="B80" s="114" t="s">
        <v>1818</v>
      </c>
      <c r="C80" s="65"/>
      <c r="D80" s="65"/>
      <c r="E80" s="65"/>
      <c r="F80" s="65"/>
      <c r="G80" s="65"/>
      <c r="H80" s="65"/>
      <c r="I80" s="65"/>
      <c r="J80" s="65"/>
      <c r="K80" s="65"/>
      <c r="L80" s="65"/>
      <c r="M80" s="65"/>
      <c r="N80" s="65"/>
      <c r="O80" s="65"/>
      <c r="P80" s="65"/>
      <c r="Q80" s="65"/>
      <c r="R80" s="65"/>
      <c r="S80" s="65"/>
      <c r="T80" s="65"/>
      <c r="U80" s="608"/>
    </row>
    <row r="81" spans="1:21" ht="14.45" customHeight="1" x14ac:dyDescent="0.25">
      <c r="A81" s="607"/>
      <c r="B81" s="115" t="s">
        <v>1819</v>
      </c>
      <c r="C81" s="65"/>
      <c r="D81" s="65"/>
      <c r="E81" s="65"/>
      <c r="F81" s="65"/>
      <c r="G81" s="65"/>
      <c r="H81" s="65"/>
      <c r="I81" s="65"/>
      <c r="J81" s="65"/>
      <c r="K81" s="65"/>
      <c r="L81" s="65"/>
      <c r="M81" s="65"/>
      <c r="N81" s="65"/>
      <c r="O81" s="65"/>
      <c r="P81" s="65"/>
      <c r="Q81" s="65"/>
      <c r="R81" s="65"/>
      <c r="S81" s="65"/>
      <c r="T81" s="65"/>
      <c r="U81" s="608"/>
    </row>
    <row r="82" spans="1:21" ht="14.45" customHeight="1" x14ac:dyDescent="0.25">
      <c r="A82" s="607"/>
      <c r="B82" s="116" t="s">
        <v>1820</v>
      </c>
      <c r="C82" s="65"/>
      <c r="D82" s="65"/>
      <c r="E82" s="65"/>
      <c r="F82" s="65"/>
      <c r="G82" s="65"/>
      <c r="H82" s="65"/>
      <c r="I82" s="65"/>
      <c r="J82" s="65"/>
      <c r="K82" s="65"/>
      <c r="L82" s="65"/>
      <c r="M82" s="65"/>
      <c r="N82" s="65"/>
      <c r="O82" s="65"/>
      <c r="P82" s="65"/>
      <c r="Q82" s="65"/>
      <c r="R82" s="65"/>
      <c r="S82" s="65"/>
      <c r="T82" s="65"/>
      <c r="U82" s="608"/>
    </row>
    <row r="83" spans="1:21" ht="14.45" customHeight="1" x14ac:dyDescent="0.25">
      <c r="A83" s="607"/>
      <c r="B83" s="115" t="s">
        <v>1822</v>
      </c>
      <c r="C83" s="65"/>
      <c r="D83" s="65"/>
      <c r="E83" s="65"/>
      <c r="F83" s="65"/>
      <c r="G83" s="65"/>
      <c r="H83" s="65"/>
      <c r="I83" s="65"/>
      <c r="J83" s="65"/>
      <c r="K83" s="65"/>
      <c r="L83" s="65"/>
      <c r="M83" s="65"/>
      <c r="N83" s="65"/>
      <c r="O83" s="65"/>
      <c r="P83" s="65"/>
      <c r="Q83" s="65"/>
      <c r="R83" s="65"/>
      <c r="S83" s="65"/>
      <c r="T83" s="65"/>
      <c r="U83" s="608"/>
    </row>
    <row r="84" spans="1:21" ht="4.9000000000000004" customHeight="1" x14ac:dyDescent="0.25">
      <c r="A84" s="609"/>
      <c r="B84" s="610"/>
      <c r="C84" s="610"/>
      <c r="D84" s="610"/>
      <c r="E84" s="610"/>
      <c r="F84" s="610"/>
      <c r="G84" s="610"/>
      <c r="H84" s="610"/>
      <c r="I84" s="610"/>
      <c r="J84" s="610"/>
      <c r="K84" s="610"/>
      <c r="L84" s="610"/>
      <c r="M84" s="610"/>
      <c r="N84" s="610"/>
      <c r="O84" s="610"/>
      <c r="P84" s="610"/>
      <c r="Q84" s="610"/>
      <c r="R84" s="610"/>
      <c r="S84" s="610"/>
      <c r="T84" s="610"/>
      <c r="U84" s="611"/>
    </row>
  </sheetData>
  <mergeCells count="304">
    <mergeCell ref="A76:Q76"/>
    <mergeCell ref="R76:S76"/>
    <mergeCell ref="A77:U77"/>
    <mergeCell ref="A72:B72"/>
    <mergeCell ref="C72:E72"/>
    <mergeCell ref="F72:H72"/>
    <mergeCell ref="I72:K72"/>
    <mergeCell ref="L72:N72"/>
    <mergeCell ref="O72:P72"/>
    <mergeCell ref="Q72:R72"/>
    <mergeCell ref="A73:B75"/>
    <mergeCell ref="C73:E73"/>
    <mergeCell ref="F73:H73"/>
    <mergeCell ref="I73:K73"/>
    <mergeCell ref="L73:N73"/>
    <mergeCell ref="O73:P73"/>
    <mergeCell ref="Q73:R73"/>
    <mergeCell ref="C74:E74"/>
    <mergeCell ref="F74:H74"/>
    <mergeCell ref="I74:K74"/>
    <mergeCell ref="L74:N74"/>
    <mergeCell ref="O74:P74"/>
    <mergeCell ref="Q74:R74"/>
    <mergeCell ref="C75:E75"/>
    <mergeCell ref="F75:H75"/>
    <mergeCell ref="I75:K75"/>
    <mergeCell ref="L75:N75"/>
    <mergeCell ref="O66:P66"/>
    <mergeCell ref="Q66:R66"/>
    <mergeCell ref="A67:Q67"/>
    <mergeCell ref="R67:S67"/>
    <mergeCell ref="A68:U68"/>
    <mergeCell ref="A69:B69"/>
    <mergeCell ref="C69:U69"/>
    <mergeCell ref="A70:B71"/>
    <mergeCell ref="C70:P71"/>
    <mergeCell ref="Q70:R71"/>
    <mergeCell ref="S70:S71"/>
    <mergeCell ref="T70:T71"/>
    <mergeCell ref="U70:U71"/>
    <mergeCell ref="O75:P75"/>
    <mergeCell ref="Q75:R75"/>
    <mergeCell ref="A63:B63"/>
    <mergeCell ref="C63:E63"/>
    <mergeCell ref="F63:H63"/>
    <mergeCell ref="I63:K63"/>
    <mergeCell ref="L63:N63"/>
    <mergeCell ref="O63:P63"/>
    <mergeCell ref="Q63:R63"/>
    <mergeCell ref="A64:B66"/>
    <mergeCell ref="C64:E64"/>
    <mergeCell ref="F64:H64"/>
    <mergeCell ref="I64:K64"/>
    <mergeCell ref="L64:N64"/>
    <mergeCell ref="O64:P64"/>
    <mergeCell ref="Q64:R64"/>
    <mergeCell ref="C65:E65"/>
    <mergeCell ref="F65:H65"/>
    <mergeCell ref="I65:K65"/>
    <mergeCell ref="L65:N65"/>
    <mergeCell ref="O65:P65"/>
    <mergeCell ref="Q65:R65"/>
    <mergeCell ref="C66:E66"/>
    <mergeCell ref="F66:H66"/>
    <mergeCell ref="I66:K66"/>
    <mergeCell ref="L66:N66"/>
    <mergeCell ref="O57:P57"/>
    <mergeCell ref="Q57:R57"/>
    <mergeCell ref="A58:Q58"/>
    <mergeCell ref="R58:S58"/>
    <mergeCell ref="A59:U59"/>
    <mergeCell ref="A60:B60"/>
    <mergeCell ref="C60:U60"/>
    <mergeCell ref="A61:B62"/>
    <mergeCell ref="C61:P62"/>
    <mergeCell ref="Q61:R62"/>
    <mergeCell ref="S61:S62"/>
    <mergeCell ref="T61:T62"/>
    <mergeCell ref="U61:U62"/>
    <mergeCell ref="A54:B54"/>
    <mergeCell ref="C54:E54"/>
    <mergeCell ref="F54:H54"/>
    <mergeCell ref="I54:K54"/>
    <mergeCell ref="L54:N54"/>
    <mergeCell ref="O54:P54"/>
    <mergeCell ref="Q54:R54"/>
    <mergeCell ref="A55:B57"/>
    <mergeCell ref="C55:E55"/>
    <mergeCell ref="F55:H55"/>
    <mergeCell ref="I55:K55"/>
    <mergeCell ref="L55:N55"/>
    <mergeCell ref="O55:P55"/>
    <mergeCell ref="Q55:R55"/>
    <mergeCell ref="C56:E56"/>
    <mergeCell ref="F56:H56"/>
    <mergeCell ref="I56:K56"/>
    <mergeCell ref="L56:N56"/>
    <mergeCell ref="O56:P56"/>
    <mergeCell ref="Q56:R56"/>
    <mergeCell ref="C57:E57"/>
    <mergeCell ref="F57:H57"/>
    <mergeCell ref="I57:K57"/>
    <mergeCell ref="L57:N57"/>
    <mergeCell ref="A49:Q49"/>
    <mergeCell ref="R49:S49"/>
    <mergeCell ref="A50:U50"/>
    <mergeCell ref="A51:B51"/>
    <mergeCell ref="C51:U51"/>
    <mergeCell ref="A52:B53"/>
    <mergeCell ref="C52:P53"/>
    <mergeCell ref="Q52:R53"/>
    <mergeCell ref="S52:S53"/>
    <mergeCell ref="T52:T53"/>
    <mergeCell ref="U52:U53"/>
    <mergeCell ref="A46:B48"/>
    <mergeCell ref="C46:E46"/>
    <mergeCell ref="F46:H46"/>
    <mergeCell ref="I46:K46"/>
    <mergeCell ref="L46:N46"/>
    <mergeCell ref="O46:P46"/>
    <mergeCell ref="Q46:R46"/>
    <mergeCell ref="C47:E47"/>
    <mergeCell ref="F47:H47"/>
    <mergeCell ref="I47:K47"/>
    <mergeCell ref="L47:N47"/>
    <mergeCell ref="O47:P47"/>
    <mergeCell ref="Q47:R47"/>
    <mergeCell ref="C48:E48"/>
    <mergeCell ref="F48:H48"/>
    <mergeCell ref="I48:K48"/>
    <mergeCell ref="L48:N48"/>
    <mergeCell ref="O48:P48"/>
    <mergeCell ref="Q48:R48"/>
    <mergeCell ref="A42:B42"/>
    <mergeCell ref="C42:U42"/>
    <mergeCell ref="A43:B44"/>
    <mergeCell ref="C43:P44"/>
    <mergeCell ref="Q43:R44"/>
    <mergeCell ref="S43:S44"/>
    <mergeCell ref="T43:T44"/>
    <mergeCell ref="U43:U44"/>
    <mergeCell ref="A45:B45"/>
    <mergeCell ref="C45:E45"/>
    <mergeCell ref="F45:H45"/>
    <mergeCell ref="I45:K45"/>
    <mergeCell ref="L45:N45"/>
    <mergeCell ref="O45:P45"/>
    <mergeCell ref="Q45:R45"/>
    <mergeCell ref="A1:F1"/>
    <mergeCell ref="M1:P1"/>
    <mergeCell ref="A2:L2"/>
    <mergeCell ref="M2:P2"/>
    <mergeCell ref="A9:B9"/>
    <mergeCell ref="C9:E9"/>
    <mergeCell ref="F9:H9"/>
    <mergeCell ref="I9:K9"/>
    <mergeCell ref="L9:N9"/>
    <mergeCell ref="O9:P9"/>
    <mergeCell ref="A3:U4"/>
    <mergeCell ref="A5:U5"/>
    <mergeCell ref="A6:B6"/>
    <mergeCell ref="C6:U6"/>
    <mergeCell ref="A7:B8"/>
    <mergeCell ref="C7:P8"/>
    <mergeCell ref="Q7:R8"/>
    <mergeCell ref="S7:S8"/>
    <mergeCell ref="T7:T8"/>
    <mergeCell ref="U7:U8"/>
    <mergeCell ref="Q2:S2"/>
    <mergeCell ref="T2:U2"/>
    <mergeCell ref="Q9:R9"/>
    <mergeCell ref="A10:B12"/>
    <mergeCell ref="C10:E10"/>
    <mergeCell ref="F10:H10"/>
    <mergeCell ref="I10:K10"/>
    <mergeCell ref="L10:N10"/>
    <mergeCell ref="O10:P10"/>
    <mergeCell ref="Q10:R10"/>
    <mergeCell ref="C11:E11"/>
    <mergeCell ref="F11:H11"/>
    <mergeCell ref="I11:K11"/>
    <mergeCell ref="L11:N11"/>
    <mergeCell ref="O11:P11"/>
    <mergeCell ref="Q11:R11"/>
    <mergeCell ref="C12:E12"/>
    <mergeCell ref="F12:H12"/>
    <mergeCell ref="I12:K12"/>
    <mergeCell ref="L12:N12"/>
    <mergeCell ref="O12:P12"/>
    <mergeCell ref="Q12:R12"/>
    <mergeCell ref="A15:B15"/>
    <mergeCell ref="C15:U15"/>
    <mergeCell ref="A16:B17"/>
    <mergeCell ref="C16:P17"/>
    <mergeCell ref="I20:K20"/>
    <mergeCell ref="A22:Q22"/>
    <mergeCell ref="A27:B27"/>
    <mergeCell ref="C27:E27"/>
    <mergeCell ref="A13:Q13"/>
    <mergeCell ref="R13:S13"/>
    <mergeCell ref="A14:U14"/>
    <mergeCell ref="Q16:R17"/>
    <mergeCell ref="S16:S17"/>
    <mergeCell ref="T16:T17"/>
    <mergeCell ref="U16:U17"/>
    <mergeCell ref="A18:B18"/>
    <mergeCell ref="C18:E18"/>
    <mergeCell ref="F18:H18"/>
    <mergeCell ref="I18:K18"/>
    <mergeCell ref="L18:N18"/>
    <mergeCell ref="O18:P18"/>
    <mergeCell ref="Q18:R18"/>
    <mergeCell ref="A19:B21"/>
    <mergeCell ref="C19:E19"/>
    <mergeCell ref="F19:H19"/>
    <mergeCell ref="I19:K19"/>
    <mergeCell ref="L19:N19"/>
    <mergeCell ref="O19:P19"/>
    <mergeCell ref="Q19:R19"/>
    <mergeCell ref="C20:E20"/>
    <mergeCell ref="F20:H20"/>
    <mergeCell ref="L20:N20"/>
    <mergeCell ref="O20:P20"/>
    <mergeCell ref="Q20:R20"/>
    <mergeCell ref="C21:E21"/>
    <mergeCell ref="F21:H21"/>
    <mergeCell ref="I21:K21"/>
    <mergeCell ref="L21:N21"/>
    <mergeCell ref="O21:P21"/>
    <mergeCell ref="Q21:R21"/>
    <mergeCell ref="R22:S22"/>
    <mergeCell ref="A23:U23"/>
    <mergeCell ref="A24:B24"/>
    <mergeCell ref="C24:U24"/>
    <mergeCell ref="A25:B26"/>
    <mergeCell ref="C25:P26"/>
    <mergeCell ref="Q25:R26"/>
    <mergeCell ref="S25:S26"/>
    <mergeCell ref="T25:T26"/>
    <mergeCell ref="U25:U26"/>
    <mergeCell ref="F27:H27"/>
    <mergeCell ref="I27:K27"/>
    <mergeCell ref="L27:N27"/>
    <mergeCell ref="O27:P27"/>
    <mergeCell ref="Q27:R27"/>
    <mergeCell ref="A28:B30"/>
    <mergeCell ref="C28:E28"/>
    <mergeCell ref="F28:H28"/>
    <mergeCell ref="I28:K28"/>
    <mergeCell ref="L28:N28"/>
    <mergeCell ref="C30:E30"/>
    <mergeCell ref="F30:H30"/>
    <mergeCell ref="I30:K30"/>
    <mergeCell ref="L30:N30"/>
    <mergeCell ref="O30:P30"/>
    <mergeCell ref="Q30:R30"/>
    <mergeCell ref="O28:P28"/>
    <mergeCell ref="Q28:R28"/>
    <mergeCell ref="C29:E29"/>
    <mergeCell ref="F29:H29"/>
    <mergeCell ref="I29:K29"/>
    <mergeCell ref="L29:N29"/>
    <mergeCell ref="O29:P29"/>
    <mergeCell ref="Q29:R29"/>
    <mergeCell ref="A36:B36"/>
    <mergeCell ref="C36:E36"/>
    <mergeCell ref="F36:H36"/>
    <mergeCell ref="I36:K36"/>
    <mergeCell ref="L36:N36"/>
    <mergeCell ref="O36:P36"/>
    <mergeCell ref="A31:Q31"/>
    <mergeCell ref="R31:S31"/>
    <mergeCell ref="A33:B33"/>
    <mergeCell ref="C33:U33"/>
    <mergeCell ref="A34:B35"/>
    <mergeCell ref="C34:P35"/>
    <mergeCell ref="Q34:R35"/>
    <mergeCell ref="S34:S35"/>
    <mergeCell ref="T34:T35"/>
    <mergeCell ref="U34:U35"/>
    <mergeCell ref="A40:Q40"/>
    <mergeCell ref="R40:S40"/>
    <mergeCell ref="A32:U32"/>
    <mergeCell ref="A41:U41"/>
    <mergeCell ref="I38:K38"/>
    <mergeCell ref="L38:N38"/>
    <mergeCell ref="O38:P38"/>
    <mergeCell ref="Q38:R38"/>
    <mergeCell ref="C39:E39"/>
    <mergeCell ref="F39:H39"/>
    <mergeCell ref="I39:K39"/>
    <mergeCell ref="L39:N39"/>
    <mergeCell ref="O39:P39"/>
    <mergeCell ref="Q39:R39"/>
    <mergeCell ref="Q36:R36"/>
    <mergeCell ref="A37:B39"/>
    <mergeCell ref="C37:E37"/>
    <mergeCell ref="F37:H37"/>
    <mergeCell ref="I37:K37"/>
    <mergeCell ref="L37:N37"/>
    <mergeCell ref="O37:P37"/>
    <mergeCell ref="Q37:R37"/>
    <mergeCell ref="C38:E38"/>
    <mergeCell ref="F38:H38"/>
  </mergeCells>
  <hyperlinks>
    <hyperlink ref="L10" r:id="rId1" xr:uid="{A8C28A9A-3A2E-4BF9-B0D8-F2136EAA0240}"/>
    <hyperlink ref="L11" r:id="rId2" xr:uid="{7732D3D6-DAEC-4326-916A-2A5E3F4F3DEC}"/>
    <hyperlink ref="L12" r:id="rId3" xr:uid="{FE7DAEF9-20F6-4F1F-AE8B-8893EF99B02C}"/>
    <hyperlink ref="L19" r:id="rId4" location="D[A:Puxador%20Duplo%20De%20Porta%20Inox%20Df%20926%20Cromado%20Italy%20Line%20800MM,La%20Ross]" xr:uid="{9B56CDE7-7B9C-4EC2-B995-3BB4F62995F7}"/>
    <hyperlink ref="L20" r:id="rId5" xr:uid="{6E5299DF-90B7-4591-B05B-CB394C5AF530}"/>
    <hyperlink ref="L21" r:id="rId6" location="derivacao=501" xr:uid="{9BD7A6D2-1E1B-49EB-808E-E471495EADFC}"/>
  </hyperlinks>
  <pageMargins left="0.51181102362204722" right="0.51181102362204722" top="0.78740157480314965" bottom="0.39370078740157483" header="0.31496062992125984" footer="0.31496062992125984"/>
  <pageSetup paperSize="9" scale="69" fitToHeight="0" orientation="landscape" horizontalDpi="4294967293" r:id="rId7"/>
  <drawing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1ABCB-95BD-4468-AF76-074F51D8AA45}">
  <sheetPr>
    <tabColor theme="3" tint="0.59999389629810485"/>
  </sheetPr>
  <dimension ref="B1:U52"/>
  <sheetViews>
    <sheetView view="pageBreakPreview" zoomScaleNormal="100" zoomScaleSheetLayoutView="100" workbookViewId="0">
      <selection activeCell="V48" sqref="V48"/>
    </sheetView>
  </sheetViews>
  <sheetFormatPr defaultColWidth="9.140625" defaultRowHeight="12.75" x14ac:dyDescent="0.2"/>
  <cols>
    <col min="1" max="1" width="16.5703125" style="206" customWidth="1"/>
    <col min="2" max="2" width="25.140625" style="206" customWidth="1"/>
    <col min="3" max="3" width="7.7109375" style="206" customWidth="1"/>
    <col min="4" max="6" width="5.85546875" style="206" customWidth="1"/>
    <col min="7" max="8" width="3.85546875" style="206" customWidth="1"/>
    <col min="9" max="9" width="18.28515625" style="206" customWidth="1"/>
    <col min="10" max="11" width="9.7109375" style="206" customWidth="1"/>
    <col min="12" max="19" width="9.7109375" style="206" hidden="1" customWidth="1"/>
    <col min="20" max="20" width="9.7109375" style="206" customWidth="1"/>
    <col min="21" max="16384" width="9.140625" style="206"/>
  </cols>
  <sheetData>
    <row r="1" spans="2:21" s="160" customFormat="1" ht="15" customHeight="1" x14ac:dyDescent="0.25">
      <c r="B1" s="771" t="s">
        <v>897</v>
      </c>
      <c r="C1" s="772"/>
      <c r="D1" s="772"/>
      <c r="E1" s="772"/>
      <c r="F1" s="772"/>
      <c r="G1" s="772"/>
      <c r="H1" s="772"/>
      <c r="I1" s="772"/>
      <c r="J1" s="772"/>
      <c r="K1" s="773"/>
    </row>
    <row r="2" spans="2:21" s="160" customFormat="1" ht="13.9" customHeight="1" x14ac:dyDescent="0.25">
      <c r="B2" s="774"/>
      <c r="C2" s="775"/>
      <c r="D2" s="775"/>
      <c r="E2" s="775"/>
      <c r="F2" s="775"/>
      <c r="G2" s="775"/>
      <c r="H2" s="775"/>
      <c r="I2" s="775"/>
      <c r="J2" s="775"/>
      <c r="K2" s="776"/>
    </row>
    <row r="3" spans="2:21" s="161" customFormat="1" ht="15" x14ac:dyDescent="0.25">
      <c r="B3" s="777"/>
      <c r="C3" s="778"/>
      <c r="D3" s="778"/>
      <c r="E3" s="778"/>
      <c r="F3" s="778"/>
      <c r="G3" s="778"/>
      <c r="H3" s="778"/>
      <c r="I3" s="778"/>
      <c r="J3" s="778"/>
      <c r="K3" s="779"/>
    </row>
    <row r="4" spans="2:21" s="164" customFormat="1" ht="15" customHeight="1" x14ac:dyDescent="0.25">
      <c r="B4" s="816" t="s">
        <v>828</v>
      </c>
      <c r="C4" s="817"/>
      <c r="D4" s="817"/>
      <c r="E4" s="817"/>
      <c r="F4" s="818"/>
      <c r="G4" s="819"/>
      <c r="H4" s="820"/>
      <c r="I4" s="821"/>
      <c r="J4" s="828" t="s">
        <v>829</v>
      </c>
      <c r="K4" s="829"/>
    </row>
    <row r="5" spans="2:21" s="164" customFormat="1" ht="15" customHeight="1" x14ac:dyDescent="0.25">
      <c r="B5" s="830" t="s">
        <v>898</v>
      </c>
      <c r="C5" s="831"/>
      <c r="D5" s="831"/>
      <c r="E5" s="831"/>
      <c r="F5" s="831"/>
      <c r="G5" s="822"/>
      <c r="H5" s="823"/>
      <c r="I5" s="824"/>
      <c r="J5" s="832">
        <v>1</v>
      </c>
      <c r="K5" s="833"/>
    </row>
    <row r="6" spans="2:21" s="164" customFormat="1" ht="15" customHeight="1" x14ac:dyDescent="0.25">
      <c r="B6" s="830"/>
      <c r="C6" s="831"/>
      <c r="D6" s="831"/>
      <c r="E6" s="831"/>
      <c r="F6" s="831"/>
      <c r="G6" s="822"/>
      <c r="H6" s="823"/>
      <c r="I6" s="824"/>
      <c r="J6" s="828" t="s">
        <v>830</v>
      </c>
      <c r="K6" s="829"/>
    </row>
    <row r="7" spans="2:21" s="164" customFormat="1" ht="15" customHeight="1" x14ac:dyDescent="0.25">
      <c r="B7" s="830"/>
      <c r="C7" s="831"/>
      <c r="D7" s="831"/>
      <c r="E7" s="831"/>
      <c r="F7" s="831"/>
      <c r="G7" s="822"/>
      <c r="H7" s="823"/>
      <c r="I7" s="824"/>
      <c r="J7" s="832" t="s">
        <v>1774</v>
      </c>
      <c r="K7" s="833"/>
    </row>
    <row r="8" spans="2:21" s="164" customFormat="1" ht="15" customHeight="1" x14ac:dyDescent="0.25">
      <c r="B8" s="830"/>
      <c r="C8" s="831"/>
      <c r="D8" s="831"/>
      <c r="E8" s="831"/>
      <c r="F8" s="831"/>
      <c r="G8" s="822"/>
      <c r="H8" s="823"/>
      <c r="I8" s="824"/>
      <c r="J8" s="834" t="s">
        <v>831</v>
      </c>
      <c r="K8" s="829"/>
    </row>
    <row r="9" spans="2:21" s="164" customFormat="1" ht="15" customHeight="1" thickBot="1" x14ac:dyDescent="0.3">
      <c r="B9" s="830"/>
      <c r="C9" s="831"/>
      <c r="D9" s="831"/>
      <c r="E9" s="831"/>
      <c r="F9" s="831"/>
      <c r="G9" s="825"/>
      <c r="H9" s="826"/>
      <c r="I9" s="827"/>
      <c r="J9" s="832" t="s">
        <v>832</v>
      </c>
      <c r="K9" s="833"/>
    </row>
    <row r="10" spans="2:21" s="200" customFormat="1" ht="4.9000000000000004" customHeight="1" x14ac:dyDescent="0.2">
      <c r="B10" s="835"/>
      <c r="C10" s="836"/>
      <c r="D10" s="836"/>
      <c r="E10" s="836"/>
      <c r="F10" s="836"/>
      <c r="G10" s="836"/>
      <c r="H10" s="836"/>
      <c r="I10" s="836"/>
      <c r="J10" s="836"/>
      <c r="K10" s="837"/>
      <c r="L10" s="198"/>
      <c r="M10" s="198"/>
      <c r="N10" s="198"/>
      <c r="O10" s="198"/>
      <c r="P10" s="198"/>
      <c r="Q10" s="198"/>
      <c r="R10" s="198"/>
      <c r="S10" s="199"/>
    </row>
    <row r="11" spans="2:21" s="200" customFormat="1" x14ac:dyDescent="0.2">
      <c r="B11" s="838" t="s">
        <v>899</v>
      </c>
      <c r="C11" s="839"/>
      <c r="D11" s="839"/>
      <c r="E11" s="839"/>
      <c r="F11" s="839"/>
      <c r="G11" s="839"/>
      <c r="H11" s="839"/>
      <c r="I11" s="839"/>
      <c r="J11" s="839"/>
      <c r="K11" s="840"/>
      <c r="L11" s="201"/>
      <c r="M11" s="201"/>
      <c r="N11" s="201"/>
      <c r="O11" s="201"/>
      <c r="P11" s="201"/>
      <c r="Q11" s="201"/>
      <c r="R11" s="201"/>
      <c r="S11" s="202"/>
      <c r="T11" s="201"/>
      <c r="U11" s="201"/>
    </row>
    <row r="12" spans="2:21" s="200" customFormat="1" x14ac:dyDescent="0.2">
      <c r="B12" s="841"/>
      <c r="C12" s="842"/>
      <c r="D12" s="842"/>
      <c r="E12" s="842"/>
      <c r="F12" s="842"/>
      <c r="G12" s="842"/>
      <c r="H12" s="842"/>
      <c r="I12" s="842"/>
      <c r="J12" s="842"/>
      <c r="K12" s="843"/>
      <c r="L12" s="201"/>
      <c r="M12" s="201"/>
      <c r="N12" s="201"/>
      <c r="O12" s="201"/>
      <c r="P12" s="201"/>
      <c r="Q12" s="201"/>
      <c r="R12" s="201"/>
      <c r="S12" s="202"/>
      <c r="T12" s="201"/>
      <c r="U12" s="201"/>
    </row>
    <row r="13" spans="2:21" s="200" customFormat="1" x14ac:dyDescent="0.2">
      <c r="B13" s="838" t="s">
        <v>900</v>
      </c>
      <c r="C13" s="839"/>
      <c r="D13" s="839"/>
      <c r="E13" s="839"/>
      <c r="F13" s="839"/>
      <c r="G13" s="839"/>
      <c r="H13" s="839"/>
      <c r="I13" s="839"/>
      <c r="J13" s="839"/>
      <c r="K13" s="203" t="s">
        <v>901</v>
      </c>
      <c r="L13" s="201"/>
      <c r="M13" s="201"/>
      <c r="N13" s="201"/>
      <c r="O13" s="201"/>
      <c r="P13" s="201"/>
      <c r="Q13" s="201"/>
      <c r="R13" s="201"/>
      <c r="S13" s="202"/>
      <c r="T13" s="201"/>
      <c r="U13" s="201"/>
    </row>
    <row r="14" spans="2:21" s="200" customFormat="1" x14ac:dyDescent="0.2">
      <c r="B14" s="844" t="s">
        <v>902</v>
      </c>
      <c r="C14" s="845"/>
      <c r="D14" s="845"/>
      <c r="E14" s="845"/>
      <c r="F14" s="845"/>
      <c r="G14" s="845"/>
      <c r="H14" s="845"/>
      <c r="I14" s="845"/>
      <c r="J14" s="845"/>
      <c r="K14" s="204" t="s">
        <v>903</v>
      </c>
      <c r="L14" s="201"/>
      <c r="M14" s="201"/>
      <c r="N14" s="201"/>
      <c r="O14" s="201"/>
      <c r="P14" s="201"/>
      <c r="Q14" s="201"/>
      <c r="R14" s="201"/>
      <c r="S14" s="202"/>
      <c r="T14" s="201"/>
      <c r="U14" s="201"/>
    </row>
    <row r="15" spans="2:21" x14ac:dyDescent="0.2">
      <c r="B15" s="813" t="s">
        <v>904</v>
      </c>
      <c r="C15" s="814"/>
      <c r="D15" s="814"/>
      <c r="E15" s="814"/>
      <c r="F15" s="814"/>
      <c r="G15" s="814"/>
      <c r="H15" s="814"/>
      <c r="I15" s="814"/>
      <c r="J15" s="814"/>
      <c r="K15" s="815"/>
      <c r="L15" s="205"/>
      <c r="M15" s="205"/>
      <c r="N15" s="205"/>
      <c r="O15" s="205"/>
      <c r="P15" s="205"/>
      <c r="Q15" s="205"/>
    </row>
    <row r="16" spans="2:21" ht="12.75" customHeight="1" x14ac:dyDescent="0.2">
      <c r="B16" s="797" t="s">
        <v>905</v>
      </c>
      <c r="C16" s="799" t="s">
        <v>906</v>
      </c>
      <c r="D16" s="800"/>
      <c r="E16" s="800"/>
      <c r="F16" s="800"/>
      <c r="G16" s="800"/>
      <c r="H16" s="801"/>
      <c r="I16" s="805" t="s">
        <v>907</v>
      </c>
      <c r="J16" s="806"/>
      <c r="K16" s="807"/>
      <c r="L16" s="205"/>
      <c r="M16" s="205"/>
      <c r="N16" s="205"/>
      <c r="O16" s="205"/>
      <c r="P16" s="205"/>
      <c r="Q16" s="205"/>
    </row>
    <row r="17" spans="2:17" ht="12.75" customHeight="1" x14ac:dyDescent="0.2">
      <c r="B17" s="798"/>
      <c r="C17" s="802"/>
      <c r="D17" s="803"/>
      <c r="E17" s="803"/>
      <c r="F17" s="803"/>
      <c r="G17" s="803"/>
      <c r="H17" s="804"/>
      <c r="I17" s="808"/>
      <c r="J17" s="809"/>
      <c r="K17" s="810"/>
      <c r="L17" s="205"/>
      <c r="M17" s="205"/>
      <c r="N17" s="205"/>
      <c r="O17" s="205"/>
      <c r="P17" s="205"/>
      <c r="Q17" s="205"/>
    </row>
    <row r="18" spans="2:17" x14ac:dyDescent="0.2">
      <c r="B18" s="207" t="s">
        <v>908</v>
      </c>
      <c r="C18" s="208" t="s">
        <v>909</v>
      </c>
      <c r="D18" s="811">
        <v>1.4999999999999999E-2</v>
      </c>
      <c r="E18" s="811"/>
      <c r="F18" s="209" t="s">
        <v>910</v>
      </c>
      <c r="G18" s="811">
        <v>4.4900000000000002E-2</v>
      </c>
      <c r="H18" s="812"/>
      <c r="I18" s="788" t="s">
        <v>908</v>
      </c>
      <c r="J18" s="789"/>
      <c r="K18" s="210">
        <v>0.04</v>
      </c>
      <c r="L18" s="211"/>
      <c r="M18" s="205"/>
      <c r="N18" s="205">
        <v>4.2500000000000003E-2</v>
      </c>
      <c r="O18" s="205"/>
      <c r="P18" s="205"/>
      <c r="Q18" s="205">
        <v>0.03</v>
      </c>
    </row>
    <row r="19" spans="2:17" x14ac:dyDescent="0.2">
      <c r="B19" s="207" t="s">
        <v>911</v>
      </c>
      <c r="C19" s="212" t="s">
        <v>909</v>
      </c>
      <c r="D19" s="793">
        <v>3.0000000000000001E-3</v>
      </c>
      <c r="E19" s="793"/>
      <c r="F19" s="214" t="s">
        <v>910</v>
      </c>
      <c r="G19" s="793">
        <v>8.2000000000000007E-3</v>
      </c>
      <c r="H19" s="794"/>
      <c r="I19" s="788" t="s">
        <v>911</v>
      </c>
      <c r="J19" s="789"/>
      <c r="K19" s="210">
        <v>8.0000000000000002E-3</v>
      </c>
      <c r="L19" s="211"/>
      <c r="M19" s="205"/>
      <c r="N19" s="205">
        <v>8.9999999999999993E-3</v>
      </c>
      <c r="O19" s="205"/>
      <c r="P19" s="205"/>
      <c r="Q19" s="205">
        <v>8.0000000000000002E-3</v>
      </c>
    </row>
    <row r="20" spans="2:17" x14ac:dyDescent="0.2">
      <c r="B20" s="207" t="s">
        <v>912</v>
      </c>
      <c r="C20" s="212" t="s">
        <v>909</v>
      </c>
      <c r="D20" s="793">
        <v>4.4999999999999997E-3</v>
      </c>
      <c r="E20" s="793"/>
      <c r="F20" s="214" t="s">
        <v>910</v>
      </c>
      <c r="G20" s="793">
        <v>8.8999999999999999E-3</v>
      </c>
      <c r="H20" s="794"/>
      <c r="I20" s="788" t="s">
        <v>912</v>
      </c>
      <c r="J20" s="789"/>
      <c r="K20" s="210">
        <v>8.0000000000000002E-3</v>
      </c>
      <c r="L20" s="211"/>
      <c r="M20" s="205"/>
      <c r="N20" s="205">
        <v>1.23E-2</v>
      </c>
      <c r="O20" s="205"/>
      <c r="P20" s="205"/>
      <c r="Q20" s="205">
        <v>9.7000000000000003E-3</v>
      </c>
    </row>
    <row r="21" spans="2:17" x14ac:dyDescent="0.2">
      <c r="B21" s="207" t="s">
        <v>913</v>
      </c>
      <c r="C21" s="212" t="s">
        <v>909</v>
      </c>
      <c r="D21" s="793">
        <v>8.5000000000000006E-3</v>
      </c>
      <c r="E21" s="793"/>
      <c r="F21" s="214" t="s">
        <v>910</v>
      </c>
      <c r="G21" s="793">
        <v>1.11E-2</v>
      </c>
      <c r="H21" s="794"/>
      <c r="I21" s="788" t="s">
        <v>913</v>
      </c>
      <c r="J21" s="789"/>
      <c r="K21" s="210">
        <v>0.01</v>
      </c>
      <c r="L21" s="211"/>
      <c r="M21" s="205"/>
      <c r="N21" s="205">
        <v>9.4999999999999998E-3</v>
      </c>
      <c r="O21" s="205"/>
      <c r="P21" s="205"/>
      <c r="Q21" s="205">
        <v>5.8999999999999999E-3</v>
      </c>
    </row>
    <row r="22" spans="2:17" x14ac:dyDescent="0.2">
      <c r="B22" s="207" t="s">
        <v>914</v>
      </c>
      <c r="C22" s="212" t="s">
        <v>909</v>
      </c>
      <c r="D22" s="793">
        <v>3.5000000000000003E-2</v>
      </c>
      <c r="E22" s="793"/>
      <c r="F22" s="214" t="s">
        <v>910</v>
      </c>
      <c r="G22" s="793">
        <v>6.2199999999999998E-2</v>
      </c>
      <c r="H22" s="794"/>
      <c r="I22" s="788" t="s">
        <v>914</v>
      </c>
      <c r="J22" s="789"/>
      <c r="K22" s="210">
        <v>0.05</v>
      </c>
      <c r="L22" s="211"/>
      <c r="M22" s="205"/>
      <c r="N22" s="205">
        <v>6.3299999999999995E-2</v>
      </c>
      <c r="O22" s="205"/>
      <c r="P22" s="205"/>
      <c r="Q22" s="205">
        <v>6.1600000000000002E-2</v>
      </c>
    </row>
    <row r="23" spans="2:17" x14ac:dyDescent="0.2">
      <c r="B23" s="207" t="s">
        <v>915</v>
      </c>
      <c r="C23" s="215" t="s">
        <v>909</v>
      </c>
      <c r="D23" s="793">
        <v>3.6499999999999998E-2</v>
      </c>
      <c r="E23" s="793"/>
      <c r="F23" s="213" t="s">
        <v>910</v>
      </c>
      <c r="G23" s="793">
        <v>6.6500000000000004E-2</v>
      </c>
      <c r="H23" s="794"/>
      <c r="I23" s="788" t="s">
        <v>915</v>
      </c>
      <c r="J23" s="789"/>
      <c r="K23" s="210">
        <v>3.6499999999999998E-2</v>
      </c>
      <c r="L23" s="211"/>
      <c r="M23" s="205"/>
      <c r="N23" s="205">
        <v>8.6499999999999994E-2</v>
      </c>
      <c r="O23" s="205"/>
      <c r="P23" s="205"/>
      <c r="Q23" s="205">
        <v>7.0300000000000001E-2</v>
      </c>
    </row>
    <row r="24" spans="2:17" x14ac:dyDescent="0.2">
      <c r="B24" s="207" t="s">
        <v>916</v>
      </c>
      <c r="C24" s="793"/>
      <c r="D24" s="793"/>
      <c r="E24" s="793"/>
      <c r="F24" s="793"/>
      <c r="G24" s="793"/>
      <c r="H24" s="794"/>
      <c r="I24" s="788"/>
      <c r="J24" s="789"/>
      <c r="K24" s="210">
        <v>0</v>
      </c>
      <c r="L24" s="211"/>
      <c r="M24" s="205"/>
      <c r="N24" s="205"/>
      <c r="O24" s="205"/>
      <c r="P24" s="205"/>
      <c r="Q24" s="205"/>
    </row>
    <row r="25" spans="2:17" x14ac:dyDescent="0.2">
      <c r="B25" s="207" t="s">
        <v>917</v>
      </c>
      <c r="C25" s="793"/>
      <c r="D25" s="793"/>
      <c r="E25" s="793"/>
      <c r="F25" s="793"/>
      <c r="G25" s="793"/>
      <c r="H25" s="794"/>
      <c r="I25" s="788"/>
      <c r="J25" s="789"/>
      <c r="K25" s="210">
        <v>6.4999999999999997E-3</v>
      </c>
      <c r="L25" s="211"/>
      <c r="M25" s="205"/>
      <c r="N25" s="205"/>
      <c r="O25" s="205"/>
      <c r="P25" s="205"/>
      <c r="Q25" s="205"/>
    </row>
    <row r="26" spans="2:17" x14ac:dyDescent="0.2">
      <c r="B26" s="207" t="s">
        <v>918</v>
      </c>
      <c r="C26" s="795"/>
      <c r="D26" s="795"/>
      <c r="E26" s="795"/>
      <c r="F26" s="795"/>
      <c r="G26" s="795"/>
      <c r="H26" s="796"/>
      <c r="I26" s="788"/>
      <c r="J26" s="789"/>
      <c r="K26" s="210">
        <v>0.03</v>
      </c>
      <c r="L26" s="211"/>
      <c r="M26" s="205"/>
      <c r="N26" s="205"/>
      <c r="O26" s="205"/>
      <c r="P26" s="205"/>
      <c r="Q26" s="205"/>
    </row>
    <row r="27" spans="2:17" x14ac:dyDescent="0.2">
      <c r="B27" s="207" t="s">
        <v>919</v>
      </c>
      <c r="C27" s="216"/>
      <c r="D27" s="786">
        <v>0</v>
      </c>
      <c r="E27" s="786"/>
      <c r="F27" s="217" t="s">
        <v>920</v>
      </c>
      <c r="G27" s="786">
        <v>4.4999999999999998E-2</v>
      </c>
      <c r="H27" s="787"/>
      <c r="I27" s="788" t="s">
        <v>919</v>
      </c>
      <c r="J27" s="789"/>
      <c r="K27" s="210">
        <v>0</v>
      </c>
      <c r="L27" s="211"/>
      <c r="M27" s="205"/>
      <c r="N27" s="205">
        <v>4.4999999999999998E-2</v>
      </c>
      <c r="O27" s="205"/>
      <c r="P27" s="205"/>
      <c r="Q27" s="205">
        <v>0</v>
      </c>
    </row>
    <row r="28" spans="2:17" x14ac:dyDescent="0.2">
      <c r="B28" s="790" t="s">
        <v>921</v>
      </c>
      <c r="C28" s="791"/>
      <c r="D28" s="791"/>
      <c r="E28" s="791"/>
      <c r="F28" s="791"/>
      <c r="G28" s="791"/>
      <c r="H28" s="791"/>
      <c r="I28" s="791"/>
      <c r="J28" s="791"/>
      <c r="K28" s="792"/>
      <c r="L28" s="205"/>
      <c r="M28" s="205"/>
      <c r="N28" s="205"/>
      <c r="O28" s="205"/>
      <c r="P28" s="205"/>
      <c r="Q28" s="205"/>
    </row>
    <row r="29" spans="2:17" ht="14.45" customHeight="1" x14ac:dyDescent="0.2">
      <c r="B29" s="218" t="s">
        <v>908</v>
      </c>
      <c r="C29" s="780" t="str">
        <f>IF(K18&gt;G18,"Incidência maior que a permitida",IF(K18&lt;D18,"Incidência menor que a permitida","ok"))</f>
        <v>ok</v>
      </c>
      <c r="D29" s="781"/>
      <c r="E29" s="781"/>
      <c r="F29" s="781"/>
      <c r="G29" s="781"/>
      <c r="H29" s="781"/>
      <c r="I29" s="781"/>
      <c r="J29" s="781"/>
      <c r="K29" s="782"/>
      <c r="L29" s="205"/>
      <c r="M29" s="205"/>
      <c r="N29" s="205"/>
      <c r="O29" s="205"/>
      <c r="P29" s="205"/>
      <c r="Q29" s="205"/>
    </row>
    <row r="30" spans="2:17" ht="12.75" customHeight="1" x14ac:dyDescent="0.2">
      <c r="B30" s="219" t="s">
        <v>911</v>
      </c>
      <c r="C30" s="780" t="str">
        <f>IF(K19&gt;G19,"Incidência maior que a permitida",IF(K19&lt;0,"Incidência menor que a permitida","ok"))</f>
        <v>ok</v>
      </c>
      <c r="D30" s="781"/>
      <c r="E30" s="781"/>
      <c r="F30" s="781"/>
      <c r="G30" s="781"/>
      <c r="H30" s="781"/>
      <c r="I30" s="781"/>
      <c r="J30" s="781"/>
      <c r="K30" s="782"/>
      <c r="L30" s="205" t="s">
        <v>922</v>
      </c>
      <c r="M30" s="205" t="s">
        <v>923</v>
      </c>
      <c r="N30" s="205"/>
      <c r="O30" s="205"/>
      <c r="P30" s="205"/>
      <c r="Q30" s="205"/>
    </row>
    <row r="31" spans="2:17" ht="12.75" customHeight="1" x14ac:dyDescent="0.2">
      <c r="B31" s="219" t="s">
        <v>912</v>
      </c>
      <c r="C31" s="780" t="str">
        <f>IF(K20&gt;G20,"Incidência maior que a permitida",IF(K20&lt;0,"Incidência menor que a permitida","ok"))</f>
        <v>ok</v>
      </c>
      <c r="D31" s="781"/>
      <c r="E31" s="781"/>
      <c r="F31" s="781"/>
      <c r="G31" s="781"/>
      <c r="H31" s="781"/>
      <c r="I31" s="781"/>
      <c r="J31" s="781"/>
      <c r="K31" s="782"/>
      <c r="L31" s="205">
        <v>0.2646</v>
      </c>
      <c r="M31" s="205">
        <v>0.31480000000000002</v>
      </c>
      <c r="N31" s="205"/>
      <c r="O31" s="205"/>
      <c r="P31" s="205"/>
      <c r="Q31" s="205"/>
    </row>
    <row r="32" spans="2:17" ht="12.75" customHeight="1" x14ac:dyDescent="0.2">
      <c r="B32" s="219" t="s">
        <v>913</v>
      </c>
      <c r="C32" s="780" t="str">
        <f>IF(K21&gt;G21,"Incidência maior que a permitida",IF(K21&lt;D21,"Incidência menor que a permitida","ok"))</f>
        <v>ok</v>
      </c>
      <c r="D32" s="781"/>
      <c r="E32" s="781"/>
      <c r="F32" s="781"/>
      <c r="G32" s="781"/>
      <c r="H32" s="781"/>
      <c r="I32" s="781"/>
      <c r="J32" s="781"/>
      <c r="K32" s="782"/>
      <c r="L32" s="205">
        <v>0.111</v>
      </c>
      <c r="M32" s="205">
        <v>0.16800000000000001</v>
      </c>
      <c r="N32" s="205"/>
      <c r="O32" s="205"/>
      <c r="P32" s="205"/>
      <c r="Q32" s="205"/>
    </row>
    <row r="33" spans="2:17" ht="12.75" customHeight="1" x14ac:dyDescent="0.2">
      <c r="B33" s="219" t="s">
        <v>914</v>
      </c>
      <c r="C33" s="780" t="str">
        <f>IF(K22&gt;G22,"Incidência maior que a permitida",IF(K22&lt;D22,"Incidência menor que a permitida","ok"))</f>
        <v>ok</v>
      </c>
      <c r="D33" s="781"/>
      <c r="E33" s="781"/>
      <c r="F33" s="781"/>
      <c r="G33" s="781"/>
      <c r="H33" s="781"/>
      <c r="I33" s="781"/>
      <c r="J33" s="781"/>
      <c r="K33" s="782"/>
      <c r="L33" s="205"/>
      <c r="M33" s="205"/>
      <c r="N33" s="205"/>
      <c r="O33" s="205"/>
      <c r="P33" s="205"/>
      <c r="Q33" s="205"/>
    </row>
    <row r="34" spans="2:17" ht="12.75" customHeight="1" x14ac:dyDescent="0.2">
      <c r="B34" s="220" t="s">
        <v>915</v>
      </c>
      <c r="C34" s="780" t="str">
        <f>IF(K23&gt;G23,"Incidência maior que a permitida",IF(K23&lt;D23,"Incidência menor que a permitida","ok"))</f>
        <v>ok</v>
      </c>
      <c r="D34" s="781"/>
      <c r="E34" s="781"/>
      <c r="F34" s="781"/>
      <c r="G34" s="781"/>
      <c r="H34" s="781"/>
      <c r="I34" s="781"/>
      <c r="J34" s="781"/>
      <c r="K34" s="782"/>
      <c r="L34" s="205"/>
      <c r="M34" s="205"/>
      <c r="N34" s="205"/>
      <c r="O34" s="205"/>
      <c r="P34" s="205"/>
      <c r="Q34" s="205"/>
    </row>
    <row r="35" spans="2:17" ht="12.75" customHeight="1" x14ac:dyDescent="0.2">
      <c r="B35" s="221" t="s">
        <v>919</v>
      </c>
      <c r="C35" s="780" t="str">
        <f>IF(K27=D27,"ok",IF(K27=G27,"ok","Incidência não permitida"))</f>
        <v>ok</v>
      </c>
      <c r="D35" s="781"/>
      <c r="E35" s="781"/>
      <c r="F35" s="781"/>
      <c r="G35" s="781"/>
      <c r="H35" s="781"/>
      <c r="I35" s="781"/>
      <c r="J35" s="781"/>
      <c r="K35" s="782"/>
      <c r="L35" s="205"/>
      <c r="M35" s="205"/>
      <c r="N35" s="205"/>
      <c r="O35" s="205"/>
      <c r="P35" s="205"/>
      <c r="Q35" s="205"/>
    </row>
    <row r="36" spans="2:17" ht="12.75" customHeight="1" x14ac:dyDescent="0.2">
      <c r="B36" s="207" t="s">
        <v>924</v>
      </c>
      <c r="C36" s="783" t="s">
        <v>925</v>
      </c>
      <c r="D36" s="784"/>
      <c r="E36" s="784"/>
      <c r="F36" s="784"/>
      <c r="G36" s="784"/>
      <c r="H36" s="784"/>
      <c r="I36" s="784"/>
      <c r="J36" s="785"/>
      <c r="K36" s="222">
        <f>ROUND(((1+K18+K19+K20)*(1+K21)*(1+K22)/(1-(K23+K27))-1),4)</f>
        <v>0.1623</v>
      </c>
      <c r="L36" s="205"/>
      <c r="M36" s="205"/>
      <c r="N36" s="205"/>
      <c r="O36" s="205"/>
      <c r="P36" s="205"/>
      <c r="Q36" s="205"/>
    </row>
    <row r="37" spans="2:17" ht="12.75" customHeight="1" x14ac:dyDescent="0.2">
      <c r="B37" s="768" t="str">
        <f>IF(K27=0.045,IF(AND(K36&gt;=L31,K36&lt;=M31),L30,M30),IF(AND(K36&gt;=L32,K36&lt;=M32),L30,M30))</f>
        <v>BDI ADMISSÍVEL</v>
      </c>
      <c r="C37" s="769"/>
      <c r="D37" s="769"/>
      <c r="E37" s="769"/>
      <c r="F37" s="769"/>
      <c r="G37" s="769"/>
      <c r="H37" s="769"/>
      <c r="I37" s="769"/>
      <c r="J37" s="769"/>
      <c r="K37" s="770"/>
      <c r="L37" s="205"/>
      <c r="M37" s="205"/>
      <c r="N37" s="205"/>
      <c r="O37" s="205"/>
      <c r="P37" s="205"/>
      <c r="Q37" s="205"/>
    </row>
    <row r="38" spans="2:17" ht="12.75" customHeight="1" x14ac:dyDescent="0.2">
      <c r="B38" s="612"/>
      <c r="C38" s="613"/>
      <c r="D38" s="613"/>
      <c r="E38" s="613"/>
      <c r="F38" s="613"/>
      <c r="G38" s="613"/>
      <c r="H38" s="613"/>
      <c r="I38" s="613"/>
      <c r="J38" s="613"/>
      <c r="K38" s="614"/>
    </row>
    <row r="39" spans="2:17" ht="12.75" customHeight="1" x14ac:dyDescent="0.2">
      <c r="B39" s="612"/>
      <c r="C39" s="613"/>
      <c r="D39" s="613"/>
      <c r="E39" s="613"/>
      <c r="F39" s="613"/>
      <c r="G39" s="613"/>
      <c r="H39" s="613"/>
      <c r="I39" s="613"/>
      <c r="J39" s="613"/>
      <c r="K39" s="614"/>
    </row>
    <row r="40" spans="2:17" ht="12.75" customHeight="1" x14ac:dyDescent="0.2">
      <c r="B40" s="612"/>
      <c r="C40" s="613"/>
      <c r="D40" s="613"/>
      <c r="E40" s="613"/>
      <c r="F40" s="613"/>
      <c r="G40" s="613"/>
      <c r="H40" s="613"/>
      <c r="I40" s="613"/>
      <c r="J40" s="613"/>
      <c r="K40" s="614"/>
    </row>
    <row r="41" spans="2:17" ht="12.75" customHeight="1" x14ac:dyDescent="0.2">
      <c r="B41" s="612"/>
      <c r="C41" s="613"/>
      <c r="D41" s="613"/>
      <c r="E41" s="613"/>
      <c r="F41" s="613"/>
      <c r="G41" s="613"/>
      <c r="H41" s="613"/>
      <c r="I41" s="613"/>
      <c r="J41" s="613"/>
      <c r="K41" s="614"/>
    </row>
    <row r="42" spans="2:17" ht="12.75" customHeight="1" x14ac:dyDescent="0.2">
      <c r="B42" s="612"/>
      <c r="C42" s="613"/>
      <c r="D42" s="613"/>
      <c r="E42" s="613"/>
      <c r="F42" s="613"/>
      <c r="G42" s="613"/>
      <c r="H42" s="613"/>
      <c r="I42" s="613"/>
      <c r="J42" s="613"/>
      <c r="K42" s="614"/>
    </row>
    <row r="43" spans="2:17" ht="12.75" customHeight="1" x14ac:dyDescent="0.2">
      <c r="B43" s="612"/>
      <c r="C43" s="613"/>
      <c r="D43" s="613"/>
      <c r="E43" s="613"/>
      <c r="F43" s="613"/>
      <c r="G43" s="613"/>
      <c r="H43" s="613"/>
      <c r="I43" s="613"/>
      <c r="J43" s="613"/>
      <c r="K43" s="614"/>
    </row>
    <row r="44" spans="2:17" ht="12.75" customHeight="1" x14ac:dyDescent="0.2">
      <c r="B44" s="612"/>
      <c r="C44" s="613"/>
      <c r="D44" s="613"/>
      <c r="E44" s="613"/>
      <c r="F44" s="613"/>
      <c r="G44" s="613"/>
      <c r="H44" s="613"/>
      <c r="I44" s="613"/>
      <c r="J44" s="613"/>
      <c r="K44" s="614"/>
    </row>
    <row r="45" spans="2:17" ht="12.75" customHeight="1" x14ac:dyDescent="0.2">
      <c r="B45" s="612"/>
      <c r="C45" s="613"/>
      <c r="D45" s="613"/>
      <c r="E45" s="613"/>
      <c r="F45" s="613"/>
      <c r="G45" s="613"/>
      <c r="H45" s="613"/>
      <c r="I45" s="613"/>
      <c r="J45" s="613"/>
      <c r="K45" s="614"/>
    </row>
    <row r="46" spans="2:17" ht="12.75" customHeight="1" x14ac:dyDescent="0.2">
      <c r="B46" s="612"/>
      <c r="C46" s="613"/>
      <c r="D46" s="613"/>
      <c r="E46" s="613"/>
      <c r="F46" s="613"/>
      <c r="G46" s="613"/>
      <c r="H46" s="613"/>
      <c r="I46" s="613"/>
      <c r="J46" s="613"/>
      <c r="K46" s="614"/>
    </row>
    <row r="47" spans="2:17" ht="12.75" customHeight="1" x14ac:dyDescent="0.2">
      <c r="B47" s="612"/>
      <c r="C47" s="613"/>
      <c r="D47" s="613"/>
      <c r="E47" s="613"/>
      <c r="F47" s="613"/>
      <c r="G47" s="613"/>
      <c r="H47" s="613"/>
      <c r="I47" s="613"/>
      <c r="J47" s="613"/>
      <c r="K47" s="614"/>
    </row>
    <row r="48" spans="2:17" ht="12.75" customHeight="1" x14ac:dyDescent="0.2">
      <c r="B48" s="612"/>
      <c r="C48" s="613"/>
      <c r="D48" s="613"/>
      <c r="E48" s="613"/>
      <c r="F48" s="613"/>
      <c r="G48" s="613"/>
      <c r="H48" s="613"/>
      <c r="I48" s="613"/>
      <c r="J48" s="613"/>
      <c r="K48" s="614"/>
    </row>
    <row r="49" spans="2:11" x14ac:dyDescent="0.2">
      <c r="B49" s="612"/>
      <c r="C49" s="613"/>
      <c r="D49" s="613"/>
      <c r="E49" s="613"/>
      <c r="F49" s="613"/>
      <c r="G49" s="613"/>
      <c r="H49" s="613"/>
      <c r="I49" s="613"/>
      <c r="J49" s="613"/>
      <c r="K49" s="614"/>
    </row>
    <row r="50" spans="2:11" x14ac:dyDescent="0.2">
      <c r="B50" s="612"/>
      <c r="C50" s="613"/>
      <c r="D50" s="613"/>
      <c r="E50" s="613"/>
      <c r="F50" s="613"/>
      <c r="G50" s="613"/>
      <c r="H50" s="613"/>
      <c r="I50" s="613"/>
      <c r="J50" s="613"/>
      <c r="K50" s="614"/>
    </row>
    <row r="51" spans="2:11" ht="12.75" customHeight="1" thickBot="1" x14ac:dyDescent="0.25">
      <c r="B51" s="615"/>
      <c r="C51" s="616"/>
      <c r="D51" s="616"/>
      <c r="E51" s="616"/>
      <c r="F51" s="616"/>
      <c r="G51" s="616"/>
      <c r="H51" s="616"/>
      <c r="I51" s="616"/>
      <c r="J51" s="616"/>
      <c r="K51" s="617"/>
    </row>
    <row r="52" spans="2:11" ht="12.75" customHeight="1" x14ac:dyDescent="0.2"/>
  </sheetData>
  <mergeCells count="62">
    <mergeCell ref="B15:K15"/>
    <mergeCell ref="B4:F4"/>
    <mergeCell ref="G4:I9"/>
    <mergeCell ref="J4:K4"/>
    <mergeCell ref="B5:F9"/>
    <mergeCell ref="J5:K5"/>
    <mergeCell ref="J6:K6"/>
    <mergeCell ref="J7:K7"/>
    <mergeCell ref="J8:K8"/>
    <mergeCell ref="J9:K9"/>
    <mergeCell ref="B10:K10"/>
    <mergeCell ref="B11:K11"/>
    <mergeCell ref="B12:K12"/>
    <mergeCell ref="B13:J13"/>
    <mergeCell ref="B14:J14"/>
    <mergeCell ref="B16:B17"/>
    <mergeCell ref="C16:H17"/>
    <mergeCell ref="I16:K17"/>
    <mergeCell ref="D18:E18"/>
    <mergeCell ref="G18:H18"/>
    <mergeCell ref="I18:J18"/>
    <mergeCell ref="D19:E19"/>
    <mergeCell ref="G19:H19"/>
    <mergeCell ref="I19:J19"/>
    <mergeCell ref="D20:E20"/>
    <mergeCell ref="G20:H20"/>
    <mergeCell ref="I20:J20"/>
    <mergeCell ref="D21:E21"/>
    <mergeCell ref="G21:H21"/>
    <mergeCell ref="I21:J21"/>
    <mergeCell ref="D22:E22"/>
    <mergeCell ref="G22:H22"/>
    <mergeCell ref="I22:J22"/>
    <mergeCell ref="D23:E23"/>
    <mergeCell ref="G23:H23"/>
    <mergeCell ref="I23:J23"/>
    <mergeCell ref="C24:D24"/>
    <mergeCell ref="E24:F24"/>
    <mergeCell ref="G24:H24"/>
    <mergeCell ref="I24:J24"/>
    <mergeCell ref="G25:H25"/>
    <mergeCell ref="I25:J25"/>
    <mergeCell ref="C26:D26"/>
    <mergeCell ref="E26:F26"/>
    <mergeCell ref="G26:H26"/>
    <mergeCell ref="I26:J26"/>
    <mergeCell ref="B37:K37"/>
    <mergeCell ref="B1:K3"/>
    <mergeCell ref="C31:K31"/>
    <mergeCell ref="C32:K32"/>
    <mergeCell ref="C33:K33"/>
    <mergeCell ref="C34:K34"/>
    <mergeCell ref="C35:K35"/>
    <mergeCell ref="C36:J36"/>
    <mergeCell ref="D27:E27"/>
    <mergeCell ref="G27:H27"/>
    <mergeCell ref="I27:J27"/>
    <mergeCell ref="B28:K28"/>
    <mergeCell ref="C29:K29"/>
    <mergeCell ref="C30:K30"/>
    <mergeCell ref="C25:D25"/>
    <mergeCell ref="E25:F25"/>
  </mergeCells>
  <conditionalFormatting sqref="B37">
    <cfRule type="cellIs" dxfId="8" priority="1" stopIfTrue="1" operator="equal">
      <formula>$L$30</formula>
    </cfRule>
    <cfRule type="cellIs" dxfId="7" priority="2" stopIfTrue="1" operator="notEqual">
      <formula>$L$30</formula>
    </cfRule>
  </conditionalFormatting>
  <conditionalFormatting sqref="C29:C35">
    <cfRule type="cellIs" dxfId="6" priority="4" stopIfTrue="1" operator="notEqual">
      <formula>"ok"</formula>
    </cfRule>
  </conditionalFormatting>
  <conditionalFormatting sqref="K18:K26">
    <cfRule type="cellIs" dxfId="5" priority="5" stopIfTrue="1" operator="notBetween">
      <formula>D18</formula>
      <formula>G18</formula>
    </cfRule>
  </conditionalFormatting>
  <conditionalFormatting sqref="K27">
    <cfRule type="expression" dxfId="4" priority="3" stopIfTrue="1">
      <formula>$L$27&lt;&gt;0</formula>
    </cfRule>
  </conditionalFormatting>
  <dataValidations count="3">
    <dataValidation allowBlank="1" showInputMessage="1" showErrorMessage="1" promptTitle="Fórmula TCU Acórdão 2622/2013" prompt="Edificações" sqref="C36" xr:uid="{3C4B8496-5A52-4EDF-ABD9-DC9967C52357}"/>
    <dataValidation allowBlank="1" showInputMessage="1" showErrorMessage="1" promptTitle="Encargos sociais" prompt="Para encargos sociais desonerados usar 4,5%." sqref="Q27 N27 K27" xr:uid="{6DB93F5B-9514-463D-A59D-4AF13E0113C9}"/>
    <dataValidation allowBlank="1" showInputMessage="1" showErrorMessage="1" promptTitle="PREENCHIMENTO" prompt="Atenção: Preencher somente os campos em amarelo." sqref="B12" xr:uid="{34ED7B2B-6486-4683-90E8-56EB878DB73E}"/>
  </dataValidations>
  <pageMargins left="0.78740157499999996" right="0.78740157499999996" top="0.984251969" bottom="0.984251969" header="0.49212598499999999" footer="0.49212598499999999"/>
  <pageSetup paperSize="9" scale="88"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C1D25-8D6D-4271-8C61-18D4A2578DF3}">
  <sheetPr codeName="Planilha6">
    <pageSetUpPr fitToPage="1"/>
  </sheetPr>
  <dimension ref="A1:AL33"/>
  <sheetViews>
    <sheetView showGridLines="0" zoomScaleNormal="100" zoomScaleSheetLayoutView="100" workbookViewId="0">
      <pane ySplit="5" topLeftCell="A6" activePane="bottomLeft" state="frozen"/>
      <selection activeCell="B50" sqref="B50"/>
      <selection pane="bottomLeft" activeCell="A27" sqref="A27:XFD28"/>
    </sheetView>
  </sheetViews>
  <sheetFormatPr defaultColWidth="9.140625" defaultRowHeight="15" x14ac:dyDescent="0.25"/>
  <cols>
    <col min="1" max="1" width="15.42578125" style="50" customWidth="1"/>
    <col min="2" max="2" width="9.140625" style="50"/>
    <col min="3" max="3" width="3.42578125" style="50" bestFit="1" customWidth="1"/>
    <col min="4" max="4" width="2.42578125" style="50" bestFit="1" customWidth="1"/>
    <col min="5" max="5" width="6.5703125" style="50" bestFit="1" customWidth="1"/>
    <col min="6" max="6" width="2" style="98" bestFit="1" customWidth="1"/>
    <col min="7" max="7" width="8.140625" style="98" customWidth="1"/>
    <col min="8" max="8" width="2" style="98" bestFit="1" customWidth="1"/>
    <col min="9" max="9" width="6.5703125" style="98" bestFit="1" customWidth="1"/>
    <col min="10" max="10" width="2" style="98" bestFit="1" customWidth="1"/>
    <col min="11" max="11" width="6.5703125" style="98" bestFit="1" customWidth="1"/>
    <col min="12" max="12" width="2.7109375" style="98" bestFit="1" customWidth="1"/>
    <col min="13" max="13" width="1.7109375" style="50" bestFit="1" customWidth="1"/>
    <col min="14" max="14" width="6.5703125" style="50" bestFit="1" customWidth="1"/>
    <col min="15" max="15" width="2" style="50" bestFit="1" customWidth="1"/>
    <col min="16" max="16" width="6.5703125" style="50" bestFit="1" customWidth="1"/>
    <col min="17" max="17" width="2.7109375" style="50" bestFit="1" customWidth="1"/>
    <col min="18" max="18" width="1.7109375" style="50" bestFit="1" customWidth="1"/>
    <col min="19" max="19" width="6.5703125" style="50" bestFit="1" customWidth="1"/>
    <col min="20" max="20" width="2" style="50" bestFit="1" customWidth="1"/>
    <col min="21" max="21" width="6.5703125" style="50" bestFit="1" customWidth="1"/>
    <col min="22" max="22" width="2.42578125" style="50" bestFit="1" customWidth="1"/>
    <col min="23" max="23" width="2.42578125" style="50" customWidth="1"/>
    <col min="24" max="24" width="2.7109375" style="50" bestFit="1" customWidth="1"/>
    <col min="25" max="25" width="2" style="50" bestFit="1" customWidth="1"/>
    <col min="26" max="26" width="7.140625" style="50" bestFit="1" customWidth="1"/>
    <col min="27" max="27" width="7.42578125" style="50" customWidth="1"/>
    <col min="28" max="28" width="2" style="50" hidden="1" customWidth="1"/>
    <col min="29" max="31" width="9.140625" style="50"/>
    <col min="32" max="32" width="95.7109375" style="50" hidden="1" customWidth="1"/>
    <col min="33" max="37" width="6.140625" style="50" hidden="1" customWidth="1"/>
    <col min="38" max="16384" width="9.140625" style="50"/>
  </cols>
  <sheetData>
    <row r="1" spans="1:38" ht="57" customHeight="1" x14ac:dyDescent="0.25">
      <c r="A1" s="848" t="s">
        <v>926</v>
      </c>
      <c r="B1" s="849"/>
      <c r="C1" s="849"/>
      <c r="D1" s="849"/>
      <c r="E1" s="849"/>
      <c r="F1" s="849"/>
      <c r="G1" s="849"/>
      <c r="H1" s="849"/>
      <c r="I1" s="849"/>
      <c r="J1" s="849"/>
      <c r="K1" s="849"/>
      <c r="L1" s="849"/>
      <c r="M1" s="849"/>
      <c r="N1" s="849"/>
      <c r="O1" s="849"/>
      <c r="P1" s="849"/>
      <c r="Q1" s="849"/>
      <c r="R1" s="849"/>
      <c r="S1" s="849"/>
      <c r="T1" s="849"/>
      <c r="U1" s="849"/>
      <c r="V1" s="849"/>
      <c r="W1" s="849"/>
      <c r="X1" s="849"/>
      <c r="Y1" s="849"/>
      <c r="Z1" s="849"/>
      <c r="AA1" s="850"/>
      <c r="AB1">
        <v>1</v>
      </c>
      <c r="AF1" s="50" t="s">
        <v>927</v>
      </c>
      <c r="AG1" s="51">
        <v>0.04</v>
      </c>
      <c r="AH1" s="52">
        <v>8.0000000000000002E-3</v>
      </c>
      <c r="AI1" s="52">
        <v>1.2699999999999999E-2</v>
      </c>
      <c r="AJ1" s="52">
        <v>1.23E-2</v>
      </c>
      <c r="AK1" s="52">
        <v>7.3999999999999996E-2</v>
      </c>
      <c r="AL1" s="52"/>
    </row>
    <row r="2" spans="1:38" x14ac:dyDescent="0.25">
      <c r="A2" s="53" t="s">
        <v>928</v>
      </c>
      <c r="B2" s="54" t="s">
        <v>929</v>
      </c>
      <c r="C2" s="54"/>
      <c r="D2" s="54"/>
      <c r="E2" s="54"/>
      <c r="F2" s="54"/>
      <c r="G2" s="54"/>
      <c r="H2" s="54"/>
      <c r="I2" s="54"/>
      <c r="J2" s="54"/>
      <c r="K2" s="54"/>
      <c r="L2" s="54"/>
      <c r="M2" s="54"/>
      <c r="N2" s="54"/>
      <c r="O2" s="54"/>
      <c r="P2" s="54"/>
      <c r="Q2" s="54"/>
      <c r="R2" s="54"/>
      <c r="S2" s="851" t="s">
        <v>930</v>
      </c>
      <c r="T2" s="851"/>
      <c r="U2" s="851"/>
      <c r="V2" s="851"/>
      <c r="W2" s="851"/>
      <c r="X2" s="851"/>
      <c r="Y2" s="54"/>
      <c r="Z2" s="852" t="s">
        <v>931</v>
      </c>
      <c r="AA2" s="853"/>
      <c r="AB2"/>
      <c r="AF2" s="55" t="s">
        <v>932</v>
      </c>
      <c r="AG2" s="51">
        <v>4.0099999999999997E-2</v>
      </c>
      <c r="AH2" s="52">
        <v>4.0000000000000001E-3</v>
      </c>
      <c r="AI2" s="52">
        <v>5.5999999999999999E-3</v>
      </c>
      <c r="AJ2" s="52">
        <v>1.11E-2</v>
      </c>
      <c r="AK2" s="52">
        <v>7.2999999999999995E-2</v>
      </c>
      <c r="AL2" s="52"/>
    </row>
    <row r="3" spans="1:38" x14ac:dyDescent="0.25">
      <c r="A3" s="53" t="s">
        <v>933</v>
      </c>
      <c r="B3" s="54" t="s">
        <v>934</v>
      </c>
      <c r="C3" s="54"/>
      <c r="D3" s="54"/>
      <c r="E3" s="54"/>
      <c r="F3" s="54"/>
      <c r="G3" s="54"/>
      <c r="H3" s="54"/>
      <c r="I3" s="54"/>
      <c r="J3" s="54"/>
      <c r="K3" s="54"/>
      <c r="L3" s="54"/>
      <c r="M3" s="54"/>
      <c r="N3" s="54"/>
      <c r="O3" s="54"/>
      <c r="P3" s="54"/>
      <c r="Q3" s="54"/>
      <c r="R3" s="54"/>
      <c r="S3" s="854" t="s">
        <v>935</v>
      </c>
      <c r="T3" s="854"/>
      <c r="U3" s="854"/>
      <c r="V3" s="854"/>
      <c r="W3" s="854"/>
      <c r="X3" s="854"/>
      <c r="Y3" s="54"/>
      <c r="Z3" s="855">
        <v>45912</v>
      </c>
      <c r="AA3" s="856"/>
      <c r="AB3"/>
      <c r="AF3" s="50" t="s">
        <v>936</v>
      </c>
      <c r="AG3" s="51">
        <v>4.9299999999999997E-2</v>
      </c>
      <c r="AH3" s="52">
        <v>4.8999999999999998E-3</v>
      </c>
      <c r="AI3" s="52">
        <v>1.3899999999999999E-2</v>
      </c>
      <c r="AJ3" s="52">
        <v>9.9000000000000008E-3</v>
      </c>
      <c r="AK3" s="52">
        <v>8.0399999999999999E-2</v>
      </c>
      <c r="AL3" s="52"/>
    </row>
    <row r="4" spans="1:38" ht="15.75" thickBot="1" x14ac:dyDescent="0.3">
      <c r="A4" s="56" t="s">
        <v>937</v>
      </c>
      <c r="B4" s="57" t="s">
        <v>938</v>
      </c>
      <c r="C4" s="57"/>
      <c r="D4" s="57"/>
      <c r="E4" s="57"/>
      <c r="F4" s="57"/>
      <c r="G4" s="57"/>
      <c r="H4" s="57"/>
      <c r="I4" s="57"/>
      <c r="J4" s="57"/>
      <c r="K4" s="57"/>
      <c r="L4" s="57"/>
      <c r="M4" s="57"/>
      <c r="N4" s="57"/>
      <c r="O4" s="57"/>
      <c r="P4" s="57"/>
      <c r="Q4" s="57"/>
      <c r="R4" s="57"/>
      <c r="S4" s="57"/>
      <c r="T4" s="57"/>
      <c r="U4" s="57"/>
      <c r="V4" s="57"/>
      <c r="W4" s="57"/>
      <c r="X4" s="57"/>
      <c r="Y4" s="57"/>
      <c r="Z4" s="846"/>
      <c r="AA4" s="847"/>
      <c r="AB4"/>
      <c r="AF4" s="55" t="s">
        <v>939</v>
      </c>
      <c r="AG4" s="51">
        <v>5.9200000000000003E-2</v>
      </c>
      <c r="AH4" s="52">
        <v>5.1000000000000004E-3</v>
      </c>
      <c r="AI4" s="52">
        <v>1.4800000000000001E-2</v>
      </c>
      <c r="AJ4" s="52">
        <v>1.0699999999999999E-2</v>
      </c>
      <c r="AK4" s="52">
        <v>8.3099999999999993E-2</v>
      </c>
      <c r="AL4" s="52"/>
    </row>
    <row r="5" spans="1:38" ht="15.75" thickBot="1" x14ac:dyDescent="0.3">
      <c r="A5" s="857" t="s">
        <v>927</v>
      </c>
      <c r="B5" s="858"/>
      <c r="C5" s="858"/>
      <c r="D5" s="858"/>
      <c r="E5" s="858"/>
      <c r="F5" s="858"/>
      <c r="G5" s="858"/>
      <c r="H5" s="858"/>
      <c r="I5" s="858"/>
      <c r="J5" s="858"/>
      <c r="K5" s="858"/>
      <c r="L5" s="858"/>
      <c r="M5" s="858"/>
      <c r="N5" s="858"/>
      <c r="O5" s="858"/>
      <c r="P5" s="858"/>
      <c r="Q5" s="858"/>
      <c r="R5" s="858"/>
      <c r="S5" s="858"/>
      <c r="T5" s="858"/>
      <c r="U5" s="858"/>
      <c r="V5" s="858"/>
      <c r="W5" s="858"/>
      <c r="X5" s="858"/>
      <c r="Y5" s="858"/>
      <c r="Z5" s="858"/>
      <c r="AA5" s="859"/>
      <c r="AB5"/>
      <c r="AF5" s="55" t="s">
        <v>940</v>
      </c>
      <c r="AG5" s="51">
        <v>5.5199999999999999E-2</v>
      </c>
      <c r="AH5" s="52">
        <v>1.2200000000000001E-2</v>
      </c>
      <c r="AI5" s="52">
        <v>2.3199999999999998E-2</v>
      </c>
      <c r="AJ5" s="52">
        <v>1.0200000000000001E-2</v>
      </c>
      <c r="AK5" s="52">
        <v>8.4000000000000005E-2</v>
      </c>
      <c r="AL5" s="52"/>
    </row>
    <row r="6" spans="1:38" ht="18.75" customHeight="1" x14ac:dyDescent="0.25">
      <c r="A6" s="58"/>
      <c r="B6" s="59"/>
      <c r="C6" s="59"/>
      <c r="D6" s="59"/>
      <c r="E6" s="59"/>
      <c r="F6" s="60"/>
      <c r="G6" s="60"/>
      <c r="H6" s="60"/>
      <c r="I6" s="60"/>
      <c r="J6" s="60"/>
      <c r="K6" s="60"/>
      <c r="L6" s="60"/>
      <c r="M6" s="59"/>
      <c r="N6" s="59"/>
      <c r="O6" s="59"/>
      <c r="P6" s="59"/>
      <c r="Q6" s="59"/>
      <c r="R6" s="59"/>
      <c r="S6" s="59"/>
      <c r="T6" s="59"/>
      <c r="U6" s="59"/>
      <c r="V6" s="59"/>
      <c r="W6" s="59"/>
      <c r="X6" s="59"/>
      <c r="Y6" s="59"/>
      <c r="Z6" s="59"/>
      <c r="AA6" s="61"/>
      <c r="AB6"/>
      <c r="AF6" s="50" t="s">
        <v>941</v>
      </c>
      <c r="AG6" s="52">
        <v>4.9299999999999997E-2</v>
      </c>
      <c r="AH6" s="52">
        <v>4.8999999999999998E-3</v>
      </c>
      <c r="AI6" s="52">
        <v>1.3899999999999999E-2</v>
      </c>
      <c r="AJ6" s="52">
        <v>9.9000000000000008E-3</v>
      </c>
      <c r="AK6" s="52">
        <v>8.0399999999999999E-2</v>
      </c>
    </row>
    <row r="7" spans="1:38" ht="18.75" customHeight="1" x14ac:dyDescent="0.25">
      <c r="A7" s="62" t="s">
        <v>942</v>
      </c>
      <c r="B7" s="63" t="s">
        <v>943</v>
      </c>
      <c r="C7" s="64"/>
      <c r="D7" s="65"/>
      <c r="E7" s="65"/>
      <c r="F7" s="66"/>
      <c r="G7" s="67">
        <f>VLOOKUP(A5,AF1:AK6,2,0)</f>
        <v>0.04</v>
      </c>
      <c r="H7" s="66"/>
      <c r="I7" s="66"/>
      <c r="J7" s="66"/>
      <c r="K7" s="65"/>
      <c r="L7" s="66"/>
      <c r="M7" s="65"/>
      <c r="N7" s="65"/>
      <c r="O7" s="65"/>
      <c r="P7" s="65"/>
      <c r="Q7" s="65"/>
      <c r="R7" s="65"/>
      <c r="S7" s="65"/>
      <c r="T7" s="65"/>
      <c r="U7" s="65"/>
      <c r="V7" s="65"/>
      <c r="W7" s="65"/>
      <c r="X7" s="65"/>
      <c r="Y7" s="65"/>
      <c r="Z7" s="65"/>
      <c r="AA7" s="68"/>
      <c r="AB7"/>
    </row>
    <row r="8" spans="1:38" ht="18.75" customHeight="1" x14ac:dyDescent="0.25">
      <c r="A8" s="62" t="s">
        <v>944</v>
      </c>
      <c r="B8" s="63" t="s">
        <v>945</v>
      </c>
      <c r="C8" s="64"/>
      <c r="D8" s="65"/>
      <c r="E8" s="65"/>
      <c r="F8" s="66"/>
      <c r="G8" s="67">
        <f>VLOOKUP(A5,AF1:AK6,3,0)</f>
        <v>8.0000000000000002E-3</v>
      </c>
      <c r="H8" s="66"/>
      <c r="I8" s="66"/>
      <c r="J8" s="66"/>
      <c r="K8" s="65"/>
      <c r="L8" s="66"/>
      <c r="M8" s="65"/>
      <c r="N8" s="65"/>
      <c r="O8" s="65"/>
      <c r="P8" s="65"/>
      <c r="Q8" s="65"/>
      <c r="R8" s="65"/>
      <c r="S8" s="65"/>
      <c r="T8" s="65"/>
      <c r="U8" s="65"/>
      <c r="V8" s="65"/>
      <c r="W8" s="65"/>
      <c r="X8" s="65"/>
      <c r="Y8" s="65"/>
      <c r="Z8" s="65"/>
      <c r="AA8" s="68"/>
      <c r="AB8"/>
    </row>
    <row r="9" spans="1:38" ht="18.75" customHeight="1" x14ac:dyDescent="0.25">
      <c r="A9" s="62" t="s">
        <v>946</v>
      </c>
      <c r="B9" s="63" t="s">
        <v>947</v>
      </c>
      <c r="C9" s="64"/>
      <c r="D9" s="65"/>
      <c r="E9" s="65"/>
      <c r="F9" s="66"/>
      <c r="G9" s="67">
        <f>VLOOKUP(A5,AF1:AK6,4,0)</f>
        <v>1.2699999999999999E-2</v>
      </c>
      <c r="H9" s="66"/>
      <c r="I9" s="66"/>
      <c r="J9" s="66"/>
      <c r="K9" s="65"/>
      <c r="L9" s="66"/>
      <c r="M9" s="65"/>
      <c r="N9" s="65"/>
      <c r="O9" s="65"/>
      <c r="P9" s="65"/>
      <c r="Q9" s="65"/>
      <c r="R9" s="65"/>
      <c r="S9" s="65"/>
      <c r="T9" s="65"/>
      <c r="U9" s="65"/>
      <c r="V9" s="65"/>
      <c r="W9" s="65"/>
      <c r="X9" s="65"/>
      <c r="Y9" s="65"/>
      <c r="Z9" s="65"/>
      <c r="AA9" s="68"/>
      <c r="AB9"/>
      <c r="AG9" s="50" t="s">
        <v>948</v>
      </c>
      <c r="AH9" s="50" t="s">
        <v>949</v>
      </c>
      <c r="AI9" s="50" t="s">
        <v>950</v>
      </c>
      <c r="AJ9" s="50" t="s">
        <v>951</v>
      </c>
      <c r="AK9" s="50" t="s">
        <v>952</v>
      </c>
    </row>
    <row r="10" spans="1:38" ht="18.75" customHeight="1" x14ac:dyDescent="0.25">
      <c r="A10" s="62" t="s">
        <v>953</v>
      </c>
      <c r="B10" s="63" t="s">
        <v>954</v>
      </c>
      <c r="C10" s="64"/>
      <c r="D10" s="65"/>
      <c r="E10" s="65"/>
      <c r="F10" s="66"/>
      <c r="G10" s="67">
        <f>VLOOKUP(A5,AF1:AK6,5,0)</f>
        <v>1.23E-2</v>
      </c>
      <c r="H10" s="66"/>
      <c r="I10" s="66"/>
      <c r="J10" s="66"/>
      <c r="K10" s="65"/>
      <c r="L10" s="66"/>
      <c r="M10" s="65"/>
      <c r="N10" s="65"/>
      <c r="O10" s="65"/>
      <c r="P10" s="65"/>
      <c r="Q10" s="65"/>
      <c r="R10" s="65"/>
      <c r="S10" s="65"/>
      <c r="T10" s="65"/>
      <c r="U10" s="65"/>
      <c r="V10" s="65"/>
      <c r="W10" s="65"/>
      <c r="X10" s="65"/>
      <c r="Y10" s="65"/>
      <c r="Z10" s="65"/>
      <c r="AA10" s="68"/>
      <c r="AB10"/>
    </row>
    <row r="11" spans="1:38" ht="18.75" customHeight="1" x14ac:dyDescent="0.25">
      <c r="A11" s="62" t="s">
        <v>955</v>
      </c>
      <c r="B11" s="63" t="s">
        <v>956</v>
      </c>
      <c r="C11" s="64"/>
      <c r="D11" s="65"/>
      <c r="E11" s="65"/>
      <c r="F11" s="66"/>
      <c r="G11" s="67">
        <f>VLOOKUP(A5,AF1:AK6,6,0)</f>
        <v>7.3999999999999996E-2</v>
      </c>
      <c r="H11" s="66"/>
      <c r="I11" s="66"/>
      <c r="J11" s="66"/>
      <c r="K11" s="65"/>
      <c r="L11" s="66"/>
      <c r="M11" s="65"/>
      <c r="N11" s="65"/>
      <c r="O11" s="65"/>
      <c r="P11" s="65"/>
      <c r="Q11" s="65"/>
      <c r="R11" s="65"/>
      <c r="S11" s="65"/>
      <c r="T11" s="65"/>
      <c r="U11" s="65"/>
      <c r="V11" s="65"/>
      <c r="W11" s="65"/>
      <c r="X11" s="65"/>
      <c r="Y11" s="65"/>
      <c r="Z11" s="65"/>
      <c r="AA11" s="68"/>
      <c r="AB11"/>
      <c r="AK11" s="52"/>
    </row>
    <row r="12" spans="1:38" ht="18.75" customHeight="1" x14ac:dyDescent="0.25">
      <c r="A12" s="62" t="s">
        <v>957</v>
      </c>
      <c r="B12" s="63" t="s">
        <v>958</v>
      </c>
      <c r="C12" s="64"/>
      <c r="D12" s="65"/>
      <c r="E12" s="65"/>
      <c r="F12" s="66"/>
      <c r="G12" s="67">
        <f>SUM(G13:G16)</f>
        <v>5.6499999999999995E-2</v>
      </c>
      <c r="H12" s="66"/>
      <c r="I12" s="66"/>
      <c r="J12" s="66"/>
      <c r="K12" s="65"/>
      <c r="L12" s="66"/>
      <c r="M12" s="65"/>
      <c r="N12" s="65"/>
      <c r="O12" s="65"/>
      <c r="P12" s="65"/>
      <c r="Q12" s="65"/>
      <c r="R12" s="65"/>
      <c r="S12" s="65"/>
      <c r="T12" s="65"/>
      <c r="U12" s="65"/>
      <c r="V12" s="65"/>
      <c r="W12" s="65"/>
      <c r="X12" s="65"/>
      <c r="Y12" s="65"/>
      <c r="Z12" s="65"/>
      <c r="AA12" s="68"/>
      <c r="AB12"/>
      <c r="AK12" s="52"/>
    </row>
    <row r="13" spans="1:38" x14ac:dyDescent="0.25">
      <c r="A13" s="69"/>
      <c r="B13" s="70"/>
      <c r="C13" s="71"/>
      <c r="D13" s="70"/>
      <c r="E13" s="70" t="s">
        <v>959</v>
      </c>
      <c r="F13" s="72"/>
      <c r="G13" s="73">
        <v>0.03</v>
      </c>
      <c r="H13" s="72"/>
      <c r="I13" s="72"/>
      <c r="J13" s="72"/>
      <c r="K13" s="70"/>
      <c r="L13" s="72"/>
      <c r="M13" s="70"/>
      <c r="N13" s="70"/>
      <c r="O13" s="70"/>
      <c r="P13" s="70"/>
      <c r="Q13" s="70"/>
      <c r="R13" s="70"/>
      <c r="S13" s="70"/>
      <c r="T13" s="70"/>
      <c r="U13" s="70"/>
      <c r="V13" s="70"/>
      <c r="W13" s="70"/>
      <c r="X13" s="70"/>
      <c r="Y13" s="70"/>
      <c r="Z13" s="70"/>
      <c r="AA13" s="74"/>
      <c r="AB13"/>
      <c r="AK13" s="52"/>
    </row>
    <row r="14" spans="1:38" x14ac:dyDescent="0.25">
      <c r="A14" s="69"/>
      <c r="B14" s="70"/>
      <c r="C14" s="71"/>
      <c r="D14" s="70"/>
      <c r="E14" s="70" t="s">
        <v>917</v>
      </c>
      <c r="F14" s="72"/>
      <c r="G14" s="73">
        <v>6.4999999999999997E-3</v>
      </c>
      <c r="H14" s="72"/>
      <c r="I14" s="72"/>
      <c r="J14" s="72"/>
      <c r="K14" s="70"/>
      <c r="L14" s="72"/>
      <c r="M14" s="70"/>
      <c r="N14" s="70"/>
      <c r="O14" s="70"/>
      <c r="P14" s="70"/>
      <c r="Q14" s="70"/>
      <c r="R14" s="70"/>
      <c r="S14" s="70"/>
      <c r="T14" s="70"/>
      <c r="U14" s="70"/>
      <c r="V14" s="70"/>
      <c r="W14" s="70"/>
      <c r="X14" s="70"/>
      <c r="Y14" s="70"/>
      <c r="Z14" s="70"/>
      <c r="AA14" s="74"/>
      <c r="AB14"/>
      <c r="AK14" s="52"/>
    </row>
    <row r="15" spans="1:38" x14ac:dyDescent="0.25">
      <c r="A15" s="69"/>
      <c r="B15" s="70"/>
      <c r="C15" s="71"/>
      <c r="D15" s="70"/>
      <c r="E15" s="70" t="s">
        <v>916</v>
      </c>
      <c r="F15" s="72"/>
      <c r="G15" s="73">
        <v>0.02</v>
      </c>
      <c r="H15" s="72"/>
      <c r="I15" s="72"/>
      <c r="J15" s="72"/>
      <c r="K15" s="70"/>
      <c r="L15" s="72"/>
      <c r="M15" s="70"/>
      <c r="N15" s="70"/>
      <c r="O15" s="70"/>
      <c r="P15" s="70"/>
      <c r="Q15" s="70"/>
      <c r="R15" s="70"/>
      <c r="S15" s="70"/>
      <c r="T15" s="70"/>
      <c r="U15" s="70"/>
      <c r="V15" s="70"/>
      <c r="W15" s="70"/>
      <c r="X15" s="70"/>
      <c r="Y15" s="70"/>
      <c r="Z15" s="70"/>
      <c r="AA15" s="74"/>
      <c r="AB15"/>
      <c r="AK15" s="52"/>
    </row>
    <row r="16" spans="1:38" x14ac:dyDescent="0.25">
      <c r="A16" s="69"/>
      <c r="B16" s="70"/>
      <c r="C16" s="71"/>
      <c r="D16" s="70"/>
      <c r="E16" s="70"/>
      <c r="F16" s="72"/>
      <c r="G16" s="73"/>
      <c r="H16" s="72"/>
      <c r="I16" s="72"/>
      <c r="J16" s="72"/>
      <c r="K16" s="70"/>
      <c r="L16" s="72"/>
      <c r="M16" s="70"/>
      <c r="N16" s="70"/>
      <c r="O16" s="70"/>
      <c r="P16" s="70"/>
      <c r="Q16" s="70"/>
      <c r="R16" s="70"/>
      <c r="S16" s="70"/>
      <c r="T16" s="70"/>
      <c r="U16" s="70"/>
      <c r="V16" s="70"/>
      <c r="W16" s="70"/>
      <c r="X16" s="70"/>
      <c r="Y16" s="70"/>
      <c r="Z16" s="70"/>
      <c r="AA16" s="74"/>
      <c r="AB16"/>
      <c r="AK16" s="52"/>
    </row>
    <row r="17" spans="1:28" ht="18.75" customHeight="1" x14ac:dyDescent="0.25">
      <c r="A17" s="62"/>
      <c r="B17" s="65"/>
      <c r="C17" s="65"/>
      <c r="D17" s="65"/>
      <c r="E17" s="65"/>
      <c r="F17" s="65"/>
      <c r="G17" s="65"/>
      <c r="H17" s="65"/>
      <c r="I17" s="65"/>
      <c r="J17" s="65"/>
      <c r="K17" s="65"/>
      <c r="L17" s="65"/>
      <c r="M17" s="65"/>
      <c r="N17" s="65"/>
      <c r="O17" s="65"/>
      <c r="P17" s="65"/>
      <c r="Q17" s="65"/>
      <c r="R17" s="65"/>
      <c r="S17" s="65"/>
      <c r="T17" s="65"/>
      <c r="U17" s="65"/>
      <c r="V17" s="65"/>
      <c r="W17" s="65"/>
      <c r="X17" s="65"/>
      <c r="Y17" s="65"/>
      <c r="Z17" s="65"/>
      <c r="AA17" s="68"/>
      <c r="AB17"/>
    </row>
    <row r="18" spans="1:28" ht="18.75" customHeight="1" x14ac:dyDescent="0.25">
      <c r="A18" s="62"/>
      <c r="B18" s="65"/>
      <c r="C18" s="65"/>
      <c r="D18" s="65"/>
      <c r="E18" s="65"/>
      <c r="F18" s="65"/>
      <c r="G18" s="65"/>
      <c r="H18" s="65"/>
      <c r="I18" s="65"/>
      <c r="J18" s="65"/>
      <c r="K18" s="65"/>
      <c r="L18" s="65"/>
      <c r="M18" s="65"/>
      <c r="N18" s="65"/>
      <c r="O18" s="65"/>
      <c r="P18" s="65"/>
      <c r="Q18" s="65"/>
      <c r="R18" s="65"/>
      <c r="S18" s="65"/>
      <c r="T18" s="65"/>
      <c r="U18" s="65"/>
      <c r="V18" s="65"/>
      <c r="W18" s="65"/>
      <c r="X18" s="65"/>
      <c r="Y18" s="65"/>
      <c r="Z18" s="65"/>
      <c r="AA18" s="68"/>
      <c r="AB18"/>
    </row>
    <row r="19" spans="1:28" ht="18.75" customHeight="1" x14ac:dyDescent="0.25">
      <c r="A19" s="62"/>
      <c r="B19" s="65"/>
      <c r="C19" s="65"/>
      <c r="D19" s="65"/>
      <c r="E19" s="65"/>
      <c r="F19" s="65"/>
      <c r="G19" s="65"/>
      <c r="H19" s="65"/>
      <c r="I19" s="65"/>
      <c r="J19" s="65"/>
      <c r="K19" s="65"/>
      <c r="L19" s="65"/>
      <c r="M19" s="65"/>
      <c r="N19" s="65"/>
      <c r="O19" s="65"/>
      <c r="P19" s="65"/>
      <c r="Q19" s="65"/>
      <c r="R19" s="65"/>
      <c r="S19" s="65"/>
      <c r="T19" s="65"/>
      <c r="U19" s="65"/>
      <c r="V19" s="65"/>
      <c r="W19" s="65"/>
      <c r="X19" s="65"/>
      <c r="Y19" s="65"/>
      <c r="Z19" s="65"/>
      <c r="AA19" s="68"/>
      <c r="AB19"/>
    </row>
    <row r="20" spans="1:28" ht="18.75" customHeight="1" x14ac:dyDescent="0.25">
      <c r="A20" s="62"/>
      <c r="B20" s="65"/>
      <c r="C20" s="65"/>
      <c r="D20" s="65"/>
      <c r="E20" s="65"/>
      <c r="F20" s="65"/>
      <c r="G20" s="65"/>
      <c r="H20" s="65"/>
      <c r="I20" s="65"/>
      <c r="J20" s="65"/>
      <c r="K20" s="65"/>
      <c r="L20" s="65"/>
      <c r="M20" s="65"/>
      <c r="N20" s="65"/>
      <c r="O20" s="65"/>
      <c r="P20" s="65"/>
      <c r="Q20" s="65"/>
      <c r="R20" s="65"/>
      <c r="S20" s="65"/>
      <c r="T20" s="65"/>
      <c r="U20" s="65"/>
      <c r="V20" s="65"/>
      <c r="W20" s="65"/>
      <c r="X20" s="65"/>
      <c r="Y20" s="65"/>
      <c r="Z20" s="65"/>
      <c r="AA20" s="68"/>
      <c r="AB20"/>
    </row>
    <row r="21" spans="1:28" ht="18.75" customHeight="1" x14ac:dyDescent="0.25">
      <c r="A21" s="62"/>
      <c r="B21" s="75" t="s">
        <v>960</v>
      </c>
      <c r="C21" s="860" t="s">
        <v>961</v>
      </c>
      <c r="D21" s="76" t="s">
        <v>962</v>
      </c>
      <c r="E21" s="77">
        <v>1</v>
      </c>
      <c r="F21" s="76" t="s">
        <v>963</v>
      </c>
      <c r="G21" s="77">
        <f>G7</f>
        <v>0.04</v>
      </c>
      <c r="H21" s="76" t="s">
        <v>963</v>
      </c>
      <c r="I21" s="77">
        <f>G8</f>
        <v>8.0000000000000002E-3</v>
      </c>
      <c r="J21" s="76" t="s">
        <v>963</v>
      </c>
      <c r="K21" s="77">
        <f>G9</f>
        <v>1.2699999999999999E-2</v>
      </c>
      <c r="L21" s="75" t="s">
        <v>964</v>
      </c>
      <c r="M21" s="75" t="s">
        <v>965</v>
      </c>
      <c r="N21" s="77">
        <v>1</v>
      </c>
      <c r="O21" s="75" t="s">
        <v>963</v>
      </c>
      <c r="P21" s="77">
        <f>G10</f>
        <v>1.23E-2</v>
      </c>
      <c r="Q21" s="75" t="s">
        <v>964</v>
      </c>
      <c r="R21" s="75" t="s">
        <v>965</v>
      </c>
      <c r="S21" s="77">
        <v>1</v>
      </c>
      <c r="T21" s="75" t="s">
        <v>963</v>
      </c>
      <c r="U21" s="77">
        <f>G11</f>
        <v>7.3999999999999996E-2</v>
      </c>
      <c r="V21" s="75" t="s">
        <v>966</v>
      </c>
      <c r="W21" s="860" t="s">
        <v>967</v>
      </c>
      <c r="X21" s="861">
        <v>-1</v>
      </c>
      <c r="Y21" s="862" t="s">
        <v>968</v>
      </c>
      <c r="Z21" s="863">
        <f>ROUND((((E21+G21+I21+K21)*(N21+P21)*(S21+U21))/(N23-P23))-1,4)</f>
        <v>0.2223</v>
      </c>
      <c r="AA21" s="68"/>
      <c r="AB21"/>
    </row>
    <row r="22" spans="1:28" ht="3.75" customHeight="1" x14ac:dyDescent="0.25">
      <c r="A22" s="62"/>
      <c r="B22" s="65"/>
      <c r="C22" s="860"/>
      <c r="D22" s="864"/>
      <c r="E22" s="864"/>
      <c r="F22" s="864"/>
      <c r="G22" s="864"/>
      <c r="H22" s="864"/>
      <c r="I22" s="864"/>
      <c r="J22" s="864"/>
      <c r="K22" s="864"/>
      <c r="L22" s="864"/>
      <c r="M22" s="864"/>
      <c r="N22" s="864"/>
      <c r="O22" s="864"/>
      <c r="P22" s="864"/>
      <c r="Q22" s="864"/>
      <c r="R22" s="864"/>
      <c r="S22" s="864"/>
      <c r="T22" s="864"/>
      <c r="U22" s="864"/>
      <c r="V22" s="864"/>
      <c r="W22" s="860"/>
      <c r="X22" s="861"/>
      <c r="Y22" s="862"/>
      <c r="Z22" s="863"/>
      <c r="AA22" s="68"/>
      <c r="AB22"/>
    </row>
    <row r="23" spans="1:28" s="85" customFormat="1" ht="18.75" customHeight="1" x14ac:dyDescent="0.25">
      <c r="A23" s="78"/>
      <c r="B23" s="79"/>
      <c r="C23" s="860"/>
      <c r="D23" s="80"/>
      <c r="E23" s="80"/>
      <c r="F23" s="80"/>
      <c r="G23" s="80"/>
      <c r="H23" s="80"/>
      <c r="I23" s="80"/>
      <c r="J23" s="80"/>
      <c r="K23" s="81"/>
      <c r="L23" s="81"/>
      <c r="M23" s="80" t="s">
        <v>965</v>
      </c>
      <c r="N23" s="82">
        <v>1</v>
      </c>
      <c r="O23" s="81" t="s">
        <v>822</v>
      </c>
      <c r="P23" s="82">
        <f>G12</f>
        <v>5.6499999999999995E-2</v>
      </c>
      <c r="Q23" s="81" t="s">
        <v>969</v>
      </c>
      <c r="R23" s="81"/>
      <c r="S23" s="81"/>
      <c r="T23" s="81"/>
      <c r="U23" s="81"/>
      <c r="V23" s="81"/>
      <c r="W23" s="860"/>
      <c r="X23" s="861"/>
      <c r="Y23" s="862"/>
      <c r="Z23" s="863"/>
      <c r="AA23" s="83"/>
      <c r="AB23" s="84"/>
    </row>
    <row r="24" spans="1:28" ht="18.75" customHeight="1" x14ac:dyDescent="0.25">
      <c r="A24" s="62"/>
      <c r="B24" s="65"/>
      <c r="C24" s="65"/>
      <c r="D24" s="65"/>
      <c r="E24" s="65"/>
      <c r="F24" s="66"/>
      <c r="G24" s="66"/>
      <c r="H24" s="66"/>
      <c r="I24" s="66"/>
      <c r="J24" s="66"/>
      <c r="K24" s="66"/>
      <c r="L24" s="66"/>
      <c r="M24" s="65"/>
      <c r="N24" s="65"/>
      <c r="O24" s="65"/>
      <c r="P24" s="65"/>
      <c r="Q24" s="65"/>
      <c r="R24" s="65"/>
      <c r="S24" s="65"/>
      <c r="T24" s="65"/>
      <c r="U24" s="65"/>
      <c r="V24" s="65"/>
      <c r="W24" s="65"/>
      <c r="X24" s="65"/>
      <c r="Y24" s="65"/>
      <c r="Z24" s="65"/>
      <c r="AA24" s="68"/>
      <c r="AB24"/>
    </row>
    <row r="25" spans="1:28" ht="18.75" customHeight="1" thickBot="1" x14ac:dyDescent="0.3">
      <c r="A25" s="86" t="s">
        <v>970</v>
      </c>
      <c r="B25" s="87"/>
      <c r="C25" s="87"/>
      <c r="D25" s="87"/>
      <c r="E25" s="87"/>
      <c r="F25" s="88"/>
      <c r="G25" s="88"/>
      <c r="H25" s="88"/>
      <c r="I25" s="88"/>
      <c r="J25" s="88"/>
      <c r="K25" s="88"/>
      <c r="L25" s="88"/>
      <c r="M25" s="87"/>
      <c r="N25" s="87"/>
      <c r="O25" s="87"/>
      <c r="P25" s="87"/>
      <c r="Q25" s="87"/>
      <c r="R25" s="87"/>
      <c r="S25" s="87"/>
      <c r="T25" s="87"/>
      <c r="U25" s="87"/>
      <c r="V25" s="87"/>
      <c r="W25" s="87"/>
      <c r="X25" s="87"/>
      <c r="Y25" s="87"/>
      <c r="Z25" s="87"/>
      <c r="AA25" s="89"/>
      <c r="AB25"/>
    </row>
    <row r="26" spans="1:28" ht="26.25" customHeight="1" x14ac:dyDescent="0.25">
      <c r="A26" s="90"/>
      <c r="B26" s="91"/>
      <c r="C26" s="91"/>
      <c r="D26" s="91"/>
      <c r="E26" s="91"/>
      <c r="F26" s="91"/>
      <c r="G26" s="91"/>
      <c r="H26" s="91"/>
      <c r="I26" s="91"/>
      <c r="J26" s="91"/>
      <c r="K26" s="91"/>
      <c r="L26" s="91"/>
      <c r="M26" s="91"/>
      <c r="N26" s="91"/>
      <c r="O26" s="91"/>
      <c r="P26" s="91"/>
      <c r="Q26" s="91"/>
      <c r="R26" s="91"/>
      <c r="S26" s="91"/>
      <c r="T26" s="91"/>
      <c r="U26" s="91"/>
      <c r="V26" s="91"/>
      <c r="W26" s="91"/>
      <c r="X26" s="91"/>
      <c r="Y26" s="91"/>
      <c r="Z26" s="91"/>
      <c r="AA26" s="92"/>
      <c r="AB26"/>
    </row>
    <row r="27" spans="1:28" ht="26.25" customHeight="1" x14ac:dyDescent="0.25">
      <c r="A27" s="557"/>
      <c r="B27" s="63"/>
      <c r="C27" s="63"/>
      <c r="D27" s="63"/>
      <c r="E27" s="63"/>
      <c r="F27" s="63"/>
      <c r="G27" s="63"/>
      <c r="H27" s="63"/>
      <c r="I27" s="63"/>
      <c r="J27" s="63"/>
      <c r="K27" s="63"/>
      <c r="L27" s="63"/>
      <c r="M27" s="63"/>
      <c r="N27" s="63"/>
      <c r="O27" s="63"/>
      <c r="P27" s="63"/>
      <c r="Q27" s="63"/>
      <c r="R27" s="63"/>
      <c r="S27" s="63"/>
      <c r="T27" s="63"/>
      <c r="U27" s="63"/>
      <c r="V27" s="63"/>
      <c r="W27" s="63"/>
      <c r="X27" s="63"/>
      <c r="Y27" s="63"/>
      <c r="Z27" s="63"/>
      <c r="AA27" s="558"/>
      <c r="AB27"/>
    </row>
    <row r="28" spans="1:28" ht="26.25" customHeight="1" x14ac:dyDescent="0.25">
      <c r="A28" s="557"/>
      <c r="B28" s="63"/>
      <c r="C28" s="63"/>
      <c r="D28" s="63"/>
      <c r="E28" s="63"/>
      <c r="F28" s="63"/>
      <c r="G28" s="63"/>
      <c r="H28" s="63"/>
      <c r="I28" s="63"/>
      <c r="J28" s="63"/>
      <c r="K28" s="63"/>
      <c r="L28" s="63"/>
      <c r="M28" s="63"/>
      <c r="N28" s="63"/>
      <c r="O28" s="63"/>
      <c r="P28" s="63"/>
      <c r="Q28" s="63"/>
      <c r="R28" s="63"/>
      <c r="S28" s="63"/>
      <c r="T28" s="63"/>
      <c r="U28" s="63"/>
      <c r="V28" s="63"/>
      <c r="W28" s="63"/>
      <c r="X28" s="63"/>
      <c r="Y28" s="63"/>
      <c r="Z28" s="63"/>
      <c r="AA28" s="558"/>
      <c r="AB28"/>
    </row>
    <row r="29" spans="1:28" ht="26.25" customHeight="1" x14ac:dyDescent="0.25">
      <c r="A29" s="557"/>
      <c r="B29" s="63"/>
      <c r="C29" s="63"/>
      <c r="D29" s="63"/>
      <c r="E29" s="63"/>
      <c r="F29" s="63"/>
      <c r="G29" s="63"/>
      <c r="H29" s="63"/>
      <c r="I29" s="63"/>
      <c r="J29" s="63"/>
      <c r="K29" s="63"/>
      <c r="L29" s="63"/>
      <c r="M29" s="63"/>
      <c r="N29" s="63"/>
      <c r="O29" s="63"/>
      <c r="P29" s="63"/>
      <c r="Q29" s="63"/>
      <c r="R29" s="63"/>
      <c r="S29" s="63"/>
      <c r="T29" s="63"/>
      <c r="U29" s="63"/>
      <c r="V29" s="63"/>
      <c r="W29" s="63"/>
      <c r="X29" s="63"/>
      <c r="Y29" s="63"/>
      <c r="Z29" s="63"/>
      <c r="AA29" s="558"/>
      <c r="AB29"/>
    </row>
    <row r="30" spans="1:28" ht="26.25" customHeight="1" x14ac:dyDescent="0.25">
      <c r="A30" s="557"/>
      <c r="B30" s="63"/>
      <c r="C30" s="63"/>
      <c r="D30" s="63"/>
      <c r="E30" s="63"/>
      <c r="F30" s="63"/>
      <c r="G30" s="63"/>
      <c r="H30" s="63"/>
      <c r="I30" s="63"/>
      <c r="J30" s="63"/>
      <c r="K30" s="63"/>
      <c r="L30" s="63"/>
      <c r="M30" s="63"/>
      <c r="N30" s="63"/>
      <c r="O30" s="63"/>
      <c r="P30" s="63"/>
      <c r="Q30" s="63"/>
      <c r="R30" s="63"/>
      <c r="S30" s="63"/>
      <c r="T30" s="63"/>
      <c r="U30" s="63"/>
      <c r="V30" s="63"/>
      <c r="W30" s="63"/>
      <c r="X30" s="63"/>
      <c r="Y30" s="63"/>
      <c r="Z30" s="63"/>
      <c r="AA30" s="558"/>
      <c r="AB30"/>
    </row>
    <row r="31" spans="1:28" ht="26.25" customHeight="1" x14ac:dyDescent="0.25">
      <c r="A31" s="557"/>
      <c r="B31" s="63"/>
      <c r="C31" s="63"/>
      <c r="D31" s="63"/>
      <c r="E31" s="63"/>
      <c r="F31" s="63"/>
      <c r="G31" s="63"/>
      <c r="H31" s="63"/>
      <c r="I31" s="63"/>
      <c r="J31" s="63"/>
      <c r="K31" s="63"/>
      <c r="L31" s="63"/>
      <c r="M31" s="63"/>
      <c r="N31" s="63"/>
      <c r="O31" s="63"/>
      <c r="P31" s="63"/>
      <c r="Q31" s="63"/>
      <c r="R31" s="63"/>
      <c r="S31" s="63"/>
      <c r="T31" s="63"/>
      <c r="U31" s="63"/>
      <c r="V31" s="63"/>
      <c r="W31" s="63"/>
      <c r="X31" s="63"/>
      <c r="Y31" s="63"/>
      <c r="Z31" s="63"/>
      <c r="AA31" s="558"/>
      <c r="AB31"/>
    </row>
    <row r="32" spans="1:28" ht="26.25" customHeight="1" x14ac:dyDescent="0.25">
      <c r="A32" s="93"/>
      <c r="B32" s="94"/>
      <c r="C32" s="94"/>
      <c r="D32" s="94"/>
      <c r="E32" s="94"/>
      <c r="F32" s="94"/>
      <c r="G32" s="94"/>
      <c r="H32" s="94"/>
      <c r="I32" s="94"/>
      <c r="J32" s="94"/>
      <c r="K32" s="94"/>
      <c r="L32" s="94"/>
      <c r="M32" s="94"/>
      <c r="N32" s="94"/>
      <c r="O32" s="94"/>
      <c r="P32" s="94"/>
      <c r="Q32" s="94"/>
      <c r="R32" s="94"/>
      <c r="S32" s="94"/>
      <c r="T32" s="94"/>
      <c r="U32" s="94"/>
      <c r="V32" s="94"/>
      <c r="W32" s="94"/>
      <c r="X32" s="94"/>
      <c r="Y32" s="94"/>
      <c r="Z32" s="94"/>
      <c r="AA32" s="95"/>
      <c r="AB32"/>
    </row>
    <row r="33" spans="1:28" ht="26.25" customHeight="1" thickBot="1" x14ac:dyDescent="0.3">
      <c r="A33" s="86"/>
      <c r="B33" s="96"/>
      <c r="C33" s="96"/>
      <c r="D33" s="96"/>
      <c r="E33" s="96"/>
      <c r="F33" s="96"/>
      <c r="G33" s="96"/>
      <c r="H33" s="96"/>
      <c r="I33" s="96"/>
      <c r="J33" s="96"/>
      <c r="K33" s="96"/>
      <c r="L33" s="96"/>
      <c r="M33" s="96"/>
      <c r="N33" s="96"/>
      <c r="O33" s="96"/>
      <c r="P33" s="96"/>
      <c r="Q33" s="96"/>
      <c r="R33" s="96"/>
      <c r="S33" s="96"/>
      <c r="T33" s="96"/>
      <c r="U33" s="96"/>
      <c r="V33" s="96"/>
      <c r="W33" s="96"/>
      <c r="X33" s="96"/>
      <c r="Y33" s="96"/>
      <c r="Z33" s="96"/>
      <c r="AA33" s="97"/>
      <c r="AB33"/>
    </row>
  </sheetData>
  <mergeCells count="13">
    <mergeCell ref="A5:AA5"/>
    <mergeCell ref="C21:C23"/>
    <mergeCell ref="W21:W23"/>
    <mergeCell ref="X21:X23"/>
    <mergeCell ref="Y21:Y23"/>
    <mergeCell ref="Z21:Z23"/>
    <mergeCell ref="D22:V22"/>
    <mergeCell ref="Z4:AA4"/>
    <mergeCell ref="A1:AA1"/>
    <mergeCell ref="S2:X2"/>
    <mergeCell ref="Z2:AA2"/>
    <mergeCell ref="S3:X3"/>
    <mergeCell ref="Z3:AA3"/>
  </mergeCells>
  <dataValidations disablePrompts="1" count="1">
    <dataValidation type="list" allowBlank="1" showInputMessage="1" showErrorMessage="1" sqref="A5:AA5" xr:uid="{BC2EE10B-2526-41BB-8408-DD85F3DFBE86}">
      <formula1>$AF$1:$AF$6</formula1>
    </dataValidation>
  </dataValidations>
  <printOptions horizontalCentered="1" gridLines="1"/>
  <pageMargins left="0.51181102362204722" right="0.23622047244094491" top="0.62992125984251968" bottom="0.78740157480314965" header="0.31496062992125984" footer="0.31496062992125984"/>
  <pageSetup paperSize="9" scale="63" fitToWidth="0" orientation="landscape" r:id="rId1"/>
  <headerFooter>
    <oddFooter>&amp;L&amp;F - &amp;A&amp;CPágina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9BB66-4CE3-4F94-AA80-BF4C98E97388}">
  <sheetPr>
    <tabColor theme="3" tint="0.79998168889431442"/>
    <pageSetUpPr fitToPage="1"/>
  </sheetPr>
  <dimension ref="A1:I71"/>
  <sheetViews>
    <sheetView view="pageBreakPreview" topLeftCell="A2" zoomScale="75" zoomScaleNormal="80" zoomScaleSheetLayoutView="75" workbookViewId="0">
      <selection activeCell="M56" sqref="M56"/>
    </sheetView>
  </sheetViews>
  <sheetFormatPr defaultColWidth="9.140625" defaultRowHeight="12.75" x14ac:dyDescent="0.25"/>
  <cols>
    <col min="1" max="1" width="1.7109375" style="168" customWidth="1"/>
    <col min="2" max="2" width="6.7109375" style="168" customWidth="1"/>
    <col min="3" max="3" width="15.42578125" style="168" customWidth="1"/>
    <col min="4" max="4" width="21.5703125" style="168" customWidth="1"/>
    <col min="5" max="5" width="22.28515625" style="168" customWidth="1"/>
    <col min="6" max="6" width="14.85546875" style="168" customWidth="1"/>
    <col min="7" max="7" width="16.42578125" style="168" customWidth="1"/>
    <col min="8" max="8" width="18.7109375" style="168" customWidth="1"/>
    <col min="9" max="9" width="0" style="168" hidden="1" customWidth="1"/>
    <col min="10" max="16384" width="9.140625" style="168"/>
  </cols>
  <sheetData>
    <row r="1" spans="1:9" s="160" customFormat="1" ht="15" customHeight="1" x14ac:dyDescent="0.25">
      <c r="A1" s="868" t="s">
        <v>827</v>
      </c>
      <c r="B1" s="869"/>
      <c r="C1" s="869"/>
      <c r="D1" s="869"/>
      <c r="E1" s="869"/>
      <c r="F1" s="869"/>
      <c r="G1" s="869"/>
      <c r="H1" s="870"/>
      <c r="I1" s="159">
        <f>724</f>
        <v>724</v>
      </c>
    </row>
    <row r="2" spans="1:9" s="160" customFormat="1" ht="15" customHeight="1" x14ac:dyDescent="0.25">
      <c r="A2" s="871"/>
      <c r="B2" s="872"/>
      <c r="C2" s="872"/>
      <c r="D2" s="872"/>
      <c r="E2" s="872"/>
      <c r="F2" s="872"/>
      <c r="G2" s="872"/>
      <c r="H2" s="873"/>
      <c r="I2" s="159"/>
    </row>
    <row r="3" spans="1:9" s="161" customFormat="1" ht="14.45" customHeight="1" x14ac:dyDescent="0.25">
      <c r="A3" s="874"/>
      <c r="B3" s="875"/>
      <c r="C3" s="875"/>
      <c r="D3" s="875"/>
      <c r="E3" s="875"/>
      <c r="F3" s="875"/>
      <c r="G3" s="875"/>
      <c r="H3" s="876"/>
    </row>
    <row r="4" spans="1:9" s="164" customFormat="1" ht="15" customHeight="1" x14ac:dyDescent="0.25">
      <c r="A4" s="877" t="s">
        <v>828</v>
      </c>
      <c r="B4" s="878"/>
      <c r="C4" s="878"/>
      <c r="D4" s="878"/>
      <c r="E4" s="162"/>
      <c r="F4" s="819"/>
      <c r="G4" s="821"/>
      <c r="H4" s="163" t="s">
        <v>829</v>
      </c>
    </row>
    <row r="5" spans="1:9" s="164" customFormat="1" ht="15" customHeight="1" x14ac:dyDescent="0.25">
      <c r="A5" s="879" t="str">
        <f>RESUMO!B2</f>
        <v>REFORMA E AMPLIAÇÃO MERCADO MUNICIPAL                                                                                                                                                                         MUNICÍPIO DE SERRO - MG</v>
      </c>
      <c r="B5" s="880"/>
      <c r="C5" s="880"/>
      <c r="D5" s="880"/>
      <c r="E5" s="880"/>
      <c r="F5" s="822"/>
      <c r="G5" s="824"/>
      <c r="H5" s="165">
        <v>1</v>
      </c>
    </row>
    <row r="6" spans="1:9" s="164" customFormat="1" ht="15" customHeight="1" x14ac:dyDescent="0.25">
      <c r="A6" s="879"/>
      <c r="B6" s="880"/>
      <c r="C6" s="880"/>
      <c r="D6" s="880"/>
      <c r="E6" s="880"/>
      <c r="F6" s="822"/>
      <c r="G6" s="824"/>
      <c r="H6" s="166" t="s">
        <v>830</v>
      </c>
    </row>
    <row r="7" spans="1:9" s="164" customFormat="1" ht="15" customHeight="1" x14ac:dyDescent="0.25">
      <c r="A7" s="879"/>
      <c r="B7" s="880"/>
      <c r="C7" s="880"/>
      <c r="D7" s="880"/>
      <c r="E7" s="880"/>
      <c r="F7" s="822"/>
      <c r="G7" s="824"/>
      <c r="H7" s="165" t="s">
        <v>1774</v>
      </c>
    </row>
    <row r="8" spans="1:9" s="164" customFormat="1" ht="15" customHeight="1" x14ac:dyDescent="0.25">
      <c r="A8" s="879"/>
      <c r="B8" s="880"/>
      <c r="C8" s="880"/>
      <c r="D8" s="880"/>
      <c r="E8" s="880"/>
      <c r="F8" s="822"/>
      <c r="G8" s="824"/>
      <c r="H8" s="163" t="s">
        <v>831</v>
      </c>
    </row>
    <row r="9" spans="1:9" s="164" customFormat="1" ht="15" customHeight="1" x14ac:dyDescent="0.25">
      <c r="A9" s="881"/>
      <c r="B9" s="882"/>
      <c r="C9" s="882"/>
      <c r="D9" s="882"/>
      <c r="E9" s="882"/>
      <c r="F9" s="825"/>
      <c r="G9" s="827"/>
      <c r="H9" s="165" t="s">
        <v>1775</v>
      </c>
    </row>
    <row r="10" spans="1:9" s="160" customFormat="1" ht="4.9000000000000004" customHeight="1" x14ac:dyDescent="0.25">
      <c r="A10" s="865"/>
      <c r="B10" s="866"/>
      <c r="C10" s="866"/>
      <c r="D10" s="866"/>
      <c r="E10" s="866"/>
      <c r="F10" s="866"/>
      <c r="G10" s="866"/>
      <c r="H10" s="867"/>
      <c r="I10" s="167"/>
    </row>
    <row r="11" spans="1:9" ht="19.5" customHeight="1" x14ac:dyDescent="0.25">
      <c r="A11" s="883" t="s">
        <v>833</v>
      </c>
      <c r="B11" s="884"/>
      <c r="C11" s="884"/>
      <c r="D11" s="884"/>
      <c r="E11" s="884"/>
      <c r="F11" s="884"/>
      <c r="G11" s="884"/>
      <c r="H11" s="885"/>
    </row>
    <row r="12" spans="1:9" ht="15" customHeight="1" x14ac:dyDescent="0.25">
      <c r="A12" s="886" t="s">
        <v>834</v>
      </c>
      <c r="B12" s="887"/>
      <c r="C12" s="887"/>
      <c r="D12" s="887"/>
      <c r="E12" s="887"/>
      <c r="F12" s="887"/>
      <c r="G12" s="887"/>
      <c r="H12" s="888"/>
    </row>
    <row r="13" spans="1:9" ht="17.25" customHeight="1" x14ac:dyDescent="0.25">
      <c r="A13" s="889" t="s">
        <v>835</v>
      </c>
      <c r="B13" s="890"/>
      <c r="C13" s="890"/>
      <c r="D13" s="890"/>
      <c r="E13" s="890"/>
      <c r="F13" s="890"/>
      <c r="G13" s="169" t="s">
        <v>836</v>
      </c>
      <c r="H13" s="170" t="s">
        <v>837</v>
      </c>
    </row>
    <row r="14" spans="1:9" ht="15" customHeight="1" x14ac:dyDescent="0.25">
      <c r="A14" s="891" t="s">
        <v>838</v>
      </c>
      <c r="B14" s="892"/>
      <c r="C14" s="892"/>
      <c r="D14" s="892"/>
      <c r="E14" s="892"/>
      <c r="F14" s="892"/>
      <c r="G14" s="892"/>
      <c r="H14" s="893"/>
    </row>
    <row r="15" spans="1:9" ht="15" customHeight="1" x14ac:dyDescent="0.25">
      <c r="A15" s="894" t="s">
        <v>839</v>
      </c>
      <c r="B15" s="895"/>
      <c r="C15" s="896" t="s">
        <v>840</v>
      </c>
      <c r="D15" s="897"/>
      <c r="E15" s="897"/>
      <c r="F15" s="898"/>
      <c r="G15" s="171">
        <v>0.2</v>
      </c>
      <c r="H15" s="172">
        <v>0.2</v>
      </c>
    </row>
    <row r="16" spans="1:9" ht="15" customHeight="1" x14ac:dyDescent="0.25">
      <c r="A16" s="894" t="s">
        <v>841</v>
      </c>
      <c r="B16" s="895"/>
      <c r="C16" s="896" t="s">
        <v>842</v>
      </c>
      <c r="D16" s="897"/>
      <c r="E16" s="897"/>
      <c r="F16" s="898"/>
      <c r="G16" s="171">
        <v>1.4999999999999999E-2</v>
      </c>
      <c r="H16" s="172">
        <v>1.4999999999999999E-2</v>
      </c>
    </row>
    <row r="17" spans="1:8" ht="15" customHeight="1" x14ac:dyDescent="0.25">
      <c r="A17" s="894" t="s">
        <v>843</v>
      </c>
      <c r="B17" s="895"/>
      <c r="C17" s="896" t="s">
        <v>844</v>
      </c>
      <c r="D17" s="897"/>
      <c r="E17" s="897"/>
      <c r="F17" s="898"/>
      <c r="G17" s="171">
        <v>0.01</v>
      </c>
      <c r="H17" s="172">
        <v>0.01</v>
      </c>
    </row>
    <row r="18" spans="1:8" ht="15" customHeight="1" x14ac:dyDescent="0.25">
      <c r="A18" s="894" t="s">
        <v>845</v>
      </c>
      <c r="B18" s="895"/>
      <c r="C18" s="896" t="s">
        <v>846</v>
      </c>
      <c r="D18" s="897"/>
      <c r="E18" s="897"/>
      <c r="F18" s="898"/>
      <c r="G18" s="171">
        <v>2E-3</v>
      </c>
      <c r="H18" s="172">
        <v>2E-3</v>
      </c>
    </row>
    <row r="19" spans="1:8" ht="15" customHeight="1" x14ac:dyDescent="0.25">
      <c r="A19" s="894" t="s">
        <v>847</v>
      </c>
      <c r="B19" s="895"/>
      <c r="C19" s="896" t="s">
        <v>848</v>
      </c>
      <c r="D19" s="897"/>
      <c r="E19" s="897"/>
      <c r="F19" s="898"/>
      <c r="G19" s="171">
        <v>6.0000000000000001E-3</v>
      </c>
      <c r="H19" s="172">
        <v>6.0000000000000001E-3</v>
      </c>
    </row>
    <row r="20" spans="1:8" ht="15" customHeight="1" x14ac:dyDescent="0.25">
      <c r="A20" s="894" t="s">
        <v>849</v>
      </c>
      <c r="B20" s="895"/>
      <c r="C20" s="896" t="s">
        <v>850</v>
      </c>
      <c r="D20" s="897"/>
      <c r="E20" s="897"/>
      <c r="F20" s="898"/>
      <c r="G20" s="171">
        <v>2.5000000000000001E-2</v>
      </c>
      <c r="H20" s="172">
        <v>2.5000000000000001E-2</v>
      </c>
    </row>
    <row r="21" spans="1:8" ht="15" customHeight="1" x14ac:dyDescent="0.25">
      <c r="A21" s="894" t="s">
        <v>851</v>
      </c>
      <c r="B21" s="895"/>
      <c r="C21" s="896" t="s">
        <v>852</v>
      </c>
      <c r="D21" s="897"/>
      <c r="E21" s="897"/>
      <c r="F21" s="898"/>
      <c r="G21" s="171">
        <v>0.03</v>
      </c>
      <c r="H21" s="172">
        <v>0.03</v>
      </c>
    </row>
    <row r="22" spans="1:8" ht="15" customHeight="1" x14ac:dyDescent="0.25">
      <c r="A22" s="894" t="s">
        <v>853</v>
      </c>
      <c r="B22" s="895"/>
      <c r="C22" s="896" t="s">
        <v>854</v>
      </c>
      <c r="D22" s="897"/>
      <c r="E22" s="897"/>
      <c r="F22" s="898"/>
      <c r="G22" s="171">
        <v>0.08</v>
      </c>
      <c r="H22" s="172">
        <v>0.08</v>
      </c>
    </row>
    <row r="23" spans="1:8" ht="15" customHeight="1" x14ac:dyDescent="0.25">
      <c r="A23" s="894" t="s">
        <v>855</v>
      </c>
      <c r="B23" s="895"/>
      <c r="C23" s="896" t="s">
        <v>856</v>
      </c>
      <c r="D23" s="897"/>
      <c r="E23" s="897"/>
      <c r="F23" s="898"/>
      <c r="G23" s="171">
        <v>1.2E-2</v>
      </c>
      <c r="H23" s="172">
        <v>1.2E-2</v>
      </c>
    </row>
    <row r="24" spans="1:8" ht="15" customHeight="1" x14ac:dyDescent="0.25">
      <c r="A24" s="899" t="s">
        <v>857</v>
      </c>
      <c r="B24" s="900"/>
      <c r="C24" s="900"/>
      <c r="D24" s="900"/>
      <c r="E24" s="900"/>
      <c r="F24" s="901"/>
      <c r="G24" s="173">
        <f>SUM(G15:G23)</f>
        <v>0.38000000000000006</v>
      </c>
      <c r="H24" s="174">
        <f>SUM(H15:H23)</f>
        <v>0.38000000000000006</v>
      </c>
    </row>
    <row r="25" spans="1:8" ht="15" customHeight="1" x14ac:dyDescent="0.25">
      <c r="A25" s="891" t="s">
        <v>858</v>
      </c>
      <c r="B25" s="892"/>
      <c r="C25" s="892"/>
      <c r="D25" s="892"/>
      <c r="E25" s="892"/>
      <c r="F25" s="892"/>
      <c r="G25" s="892"/>
      <c r="H25" s="893"/>
    </row>
    <row r="26" spans="1:8" ht="15" customHeight="1" x14ac:dyDescent="0.25">
      <c r="A26" s="894" t="s">
        <v>859</v>
      </c>
      <c r="B26" s="895"/>
      <c r="C26" s="902" t="s">
        <v>860</v>
      </c>
      <c r="D26" s="902"/>
      <c r="E26" s="902"/>
      <c r="F26" s="902"/>
      <c r="G26" s="171">
        <v>0.17760000000000001</v>
      </c>
      <c r="H26" s="175" t="s">
        <v>861</v>
      </c>
    </row>
    <row r="27" spans="1:8" ht="15" customHeight="1" x14ac:dyDescent="0.25">
      <c r="A27" s="894" t="s">
        <v>862</v>
      </c>
      <c r="B27" s="895"/>
      <c r="C27" s="902" t="s">
        <v>863</v>
      </c>
      <c r="D27" s="902"/>
      <c r="E27" s="902"/>
      <c r="F27" s="902"/>
      <c r="G27" s="171">
        <v>3.6799999999999999E-2</v>
      </c>
      <c r="H27" s="175" t="s">
        <v>861</v>
      </c>
    </row>
    <row r="28" spans="1:8" ht="15" customHeight="1" x14ac:dyDescent="0.25">
      <c r="A28" s="894" t="s">
        <v>864</v>
      </c>
      <c r="B28" s="895"/>
      <c r="C28" s="902" t="s">
        <v>865</v>
      </c>
      <c r="D28" s="902"/>
      <c r="E28" s="902"/>
      <c r="F28" s="902"/>
      <c r="G28" s="171">
        <v>8.6E-3</v>
      </c>
      <c r="H28" s="175">
        <v>6.4999999999999997E-3</v>
      </c>
    </row>
    <row r="29" spans="1:8" ht="15" customHeight="1" x14ac:dyDescent="0.25">
      <c r="A29" s="894" t="s">
        <v>866</v>
      </c>
      <c r="B29" s="895"/>
      <c r="C29" s="902" t="s">
        <v>867</v>
      </c>
      <c r="D29" s="902"/>
      <c r="E29" s="902"/>
      <c r="F29" s="902"/>
      <c r="G29" s="171">
        <v>0.1106</v>
      </c>
      <c r="H29" s="175">
        <v>8.3299999999999999E-2</v>
      </c>
    </row>
    <row r="30" spans="1:8" ht="15" customHeight="1" x14ac:dyDescent="0.25">
      <c r="A30" s="894" t="s">
        <v>868</v>
      </c>
      <c r="B30" s="895"/>
      <c r="C30" s="902" t="s">
        <v>869</v>
      </c>
      <c r="D30" s="902"/>
      <c r="E30" s="902"/>
      <c r="F30" s="902"/>
      <c r="G30" s="171">
        <v>6.9999999999999999E-4</v>
      </c>
      <c r="H30" s="175">
        <v>5.0000000000000001E-4</v>
      </c>
    </row>
    <row r="31" spans="1:8" ht="15" customHeight="1" x14ac:dyDescent="0.25">
      <c r="A31" s="894" t="s">
        <v>870</v>
      </c>
      <c r="B31" s="895"/>
      <c r="C31" s="902" t="s">
        <v>871</v>
      </c>
      <c r="D31" s="902"/>
      <c r="E31" s="902"/>
      <c r="F31" s="902"/>
      <c r="G31" s="171">
        <v>7.4000000000000003E-3</v>
      </c>
      <c r="H31" s="175">
        <v>5.5999999999999999E-3</v>
      </c>
    </row>
    <row r="32" spans="1:8" ht="15" customHeight="1" x14ac:dyDescent="0.25">
      <c r="A32" s="894" t="s">
        <v>872</v>
      </c>
      <c r="B32" s="895"/>
      <c r="C32" s="902" t="s">
        <v>873</v>
      </c>
      <c r="D32" s="902"/>
      <c r="E32" s="902"/>
      <c r="F32" s="902"/>
      <c r="G32" s="171">
        <v>1.09E-2</v>
      </c>
      <c r="H32" s="175" t="s">
        <v>861</v>
      </c>
    </row>
    <row r="33" spans="1:8" ht="15" customHeight="1" x14ac:dyDescent="0.25">
      <c r="A33" s="894" t="s">
        <v>874</v>
      </c>
      <c r="B33" s="895"/>
      <c r="C33" s="902" t="s">
        <v>875</v>
      </c>
      <c r="D33" s="902"/>
      <c r="E33" s="902"/>
      <c r="F33" s="902"/>
      <c r="G33" s="171">
        <v>1E-3</v>
      </c>
      <c r="H33" s="175">
        <v>6.9999999999999999E-4</v>
      </c>
    </row>
    <row r="34" spans="1:8" ht="15" customHeight="1" x14ac:dyDescent="0.25">
      <c r="A34" s="894" t="s">
        <v>876</v>
      </c>
      <c r="B34" s="895"/>
      <c r="C34" s="902" t="s">
        <v>877</v>
      </c>
      <c r="D34" s="902"/>
      <c r="E34" s="902"/>
      <c r="F34" s="902"/>
      <c r="G34" s="171">
        <v>0.1384</v>
      </c>
      <c r="H34" s="175">
        <v>0.1042</v>
      </c>
    </row>
    <row r="35" spans="1:8" ht="15" customHeight="1" x14ac:dyDescent="0.25">
      <c r="A35" s="894" t="s">
        <v>878</v>
      </c>
      <c r="B35" s="895"/>
      <c r="C35" s="902" t="s">
        <v>879</v>
      </c>
      <c r="D35" s="902"/>
      <c r="E35" s="902"/>
      <c r="F35" s="902"/>
      <c r="G35" s="171">
        <v>2.9999999999999997E-4</v>
      </c>
      <c r="H35" s="175">
        <v>2.9999999999999997E-4</v>
      </c>
    </row>
    <row r="36" spans="1:8" ht="15" customHeight="1" x14ac:dyDescent="0.25">
      <c r="A36" s="899" t="s">
        <v>857</v>
      </c>
      <c r="B36" s="900"/>
      <c r="C36" s="900"/>
      <c r="D36" s="900"/>
      <c r="E36" s="900"/>
      <c r="F36" s="901"/>
      <c r="G36" s="173">
        <f>SUM(G26:G35)</f>
        <v>0.49230000000000002</v>
      </c>
      <c r="H36" s="174">
        <f>SUM(H27:H35)</f>
        <v>0.2011</v>
      </c>
    </row>
    <row r="37" spans="1:8" ht="15" customHeight="1" x14ac:dyDescent="0.25">
      <c r="A37" s="891" t="s">
        <v>880</v>
      </c>
      <c r="B37" s="892"/>
      <c r="C37" s="892"/>
      <c r="D37" s="892"/>
      <c r="E37" s="892"/>
      <c r="F37" s="892"/>
      <c r="G37" s="892"/>
      <c r="H37" s="893"/>
    </row>
    <row r="38" spans="1:8" ht="15" customHeight="1" x14ac:dyDescent="0.25">
      <c r="A38" s="894" t="s">
        <v>881</v>
      </c>
      <c r="B38" s="895"/>
      <c r="C38" s="902" t="s">
        <v>882</v>
      </c>
      <c r="D38" s="902"/>
      <c r="E38" s="902"/>
      <c r="F38" s="902"/>
      <c r="G38" s="171">
        <v>5.9700000000000003E-2</v>
      </c>
      <c r="H38" s="172">
        <v>4.4999999999999998E-2</v>
      </c>
    </row>
    <row r="39" spans="1:8" ht="15" customHeight="1" x14ac:dyDescent="0.25">
      <c r="A39" s="894" t="s">
        <v>883</v>
      </c>
      <c r="B39" s="895"/>
      <c r="C39" s="902" t="s">
        <v>884</v>
      </c>
      <c r="D39" s="902"/>
      <c r="E39" s="902"/>
      <c r="F39" s="902"/>
      <c r="G39" s="171">
        <v>1.4E-3</v>
      </c>
      <c r="H39" s="172">
        <v>1.1000000000000001E-3</v>
      </c>
    </row>
    <row r="40" spans="1:8" ht="15" customHeight="1" x14ac:dyDescent="0.25">
      <c r="A40" s="894" t="s">
        <v>885</v>
      </c>
      <c r="B40" s="895"/>
      <c r="C40" s="902" t="s">
        <v>886</v>
      </c>
      <c r="D40" s="902"/>
      <c r="E40" s="902"/>
      <c r="F40" s="902"/>
      <c r="G40" s="171">
        <v>9.2999999999999992E-3</v>
      </c>
      <c r="H40" s="172">
        <v>7.0000000000000001E-3</v>
      </c>
    </row>
    <row r="41" spans="1:8" ht="15" customHeight="1" x14ac:dyDescent="0.25">
      <c r="A41" s="894" t="s">
        <v>887</v>
      </c>
      <c r="B41" s="895"/>
      <c r="C41" s="902" t="s">
        <v>888</v>
      </c>
      <c r="D41" s="902"/>
      <c r="E41" s="902"/>
      <c r="F41" s="902"/>
      <c r="G41" s="171">
        <v>2.7799999999999998E-2</v>
      </c>
      <c r="H41" s="172">
        <v>2.0899999999999998E-2</v>
      </c>
    </row>
    <row r="42" spans="1:8" ht="15" customHeight="1" x14ac:dyDescent="0.25">
      <c r="A42" s="894" t="s">
        <v>889</v>
      </c>
      <c r="B42" s="895"/>
      <c r="C42" s="902" t="s">
        <v>890</v>
      </c>
      <c r="D42" s="902"/>
      <c r="E42" s="902"/>
      <c r="F42" s="902"/>
      <c r="G42" s="171">
        <v>5.0000000000000001E-3</v>
      </c>
      <c r="H42" s="172">
        <v>3.8E-3</v>
      </c>
    </row>
    <row r="43" spans="1:8" ht="15" customHeight="1" x14ac:dyDescent="0.25">
      <c r="A43" s="899" t="s">
        <v>857</v>
      </c>
      <c r="B43" s="900"/>
      <c r="C43" s="900"/>
      <c r="D43" s="900"/>
      <c r="E43" s="900"/>
      <c r="F43" s="901"/>
      <c r="G43" s="173">
        <f>SUM(G38:G42)</f>
        <v>0.10320000000000001</v>
      </c>
      <c r="H43" s="174">
        <f>SUM(H38:H42)</f>
        <v>7.7799999999999994E-2</v>
      </c>
    </row>
    <row r="44" spans="1:8" ht="15" customHeight="1" x14ac:dyDescent="0.25">
      <c r="A44" s="891" t="s">
        <v>891</v>
      </c>
      <c r="B44" s="892"/>
      <c r="C44" s="892"/>
      <c r="D44" s="892"/>
      <c r="E44" s="892"/>
      <c r="F44" s="892"/>
      <c r="G44" s="892"/>
      <c r="H44" s="893"/>
    </row>
    <row r="45" spans="1:8" ht="15" customHeight="1" x14ac:dyDescent="0.25">
      <c r="A45" s="894" t="s">
        <v>892</v>
      </c>
      <c r="B45" s="895"/>
      <c r="C45" s="902" t="s">
        <v>893</v>
      </c>
      <c r="D45" s="902"/>
      <c r="E45" s="902"/>
      <c r="F45" s="902"/>
      <c r="G45" s="171">
        <v>0.18709999999999999</v>
      </c>
      <c r="H45" s="172">
        <v>7.6399999999999996E-2</v>
      </c>
    </row>
    <row r="46" spans="1:8" ht="30" customHeight="1" x14ac:dyDescent="0.25">
      <c r="A46" s="894" t="s">
        <v>894</v>
      </c>
      <c r="B46" s="895"/>
      <c r="C46" s="903" t="s">
        <v>895</v>
      </c>
      <c r="D46" s="904"/>
      <c r="E46" s="904"/>
      <c r="F46" s="905"/>
      <c r="G46" s="171">
        <v>5.3E-3</v>
      </c>
      <c r="H46" s="172">
        <v>4.0000000000000001E-3</v>
      </c>
    </row>
    <row r="47" spans="1:8" ht="15" customHeight="1" x14ac:dyDescent="0.25">
      <c r="A47" s="899" t="s">
        <v>857</v>
      </c>
      <c r="B47" s="900"/>
      <c r="C47" s="900"/>
      <c r="D47" s="900"/>
      <c r="E47" s="900"/>
      <c r="F47" s="901"/>
      <c r="G47" s="173">
        <f>SUM(G45:G46)</f>
        <v>0.19239999999999999</v>
      </c>
      <c r="H47" s="174">
        <f>SUM(H45:H46)</f>
        <v>8.0399999999999999E-2</v>
      </c>
    </row>
    <row r="48" spans="1:8" ht="44.25" customHeight="1" x14ac:dyDescent="0.25">
      <c r="A48" s="906" t="s">
        <v>896</v>
      </c>
      <c r="B48" s="907"/>
      <c r="C48" s="907"/>
      <c r="D48" s="907"/>
      <c r="E48" s="907"/>
      <c r="F48" s="907"/>
      <c r="G48" s="176">
        <f>G47+G43+G36+G24</f>
        <v>1.1679000000000002</v>
      </c>
      <c r="H48" s="177">
        <f>H47+H43+H36+H24</f>
        <v>0.73930000000000007</v>
      </c>
    </row>
    <row r="49" spans="1:8" ht="53.45" customHeight="1" x14ac:dyDescent="0.25">
      <c r="A49" s="908"/>
      <c r="B49" s="909"/>
      <c r="C49" s="909"/>
      <c r="D49" s="909"/>
      <c r="E49" s="909"/>
      <c r="F49" s="909"/>
      <c r="G49" s="909"/>
      <c r="H49" s="910"/>
    </row>
    <row r="50" spans="1:8" ht="53.45" customHeight="1" x14ac:dyDescent="0.25">
      <c r="A50" s="618"/>
      <c r="B50" s="619"/>
      <c r="C50" s="619"/>
      <c r="D50" s="619"/>
      <c r="E50" s="619"/>
      <c r="F50" s="619"/>
      <c r="G50" s="619"/>
      <c r="H50" s="620"/>
    </row>
    <row r="51" spans="1:8" ht="20.100000000000001" customHeight="1" x14ac:dyDescent="0.25">
      <c r="A51" s="178"/>
      <c r="B51" s="114"/>
      <c r="C51" s="179"/>
      <c r="D51" s="179"/>
      <c r="E51" s="179"/>
      <c r="F51" s="179"/>
      <c r="G51" s="179"/>
      <c r="H51" s="180"/>
    </row>
    <row r="52" spans="1:8" s="184" customFormat="1" ht="12" customHeight="1" x14ac:dyDescent="0.25">
      <c r="A52" s="181"/>
      <c r="B52" s="115"/>
      <c r="C52" s="182"/>
      <c r="D52" s="182"/>
      <c r="E52" s="182"/>
      <c r="F52" s="182"/>
      <c r="G52" s="182"/>
      <c r="H52" s="183"/>
    </row>
    <row r="53" spans="1:8" s="184" customFormat="1" ht="12" customHeight="1" x14ac:dyDescent="0.25">
      <c r="A53" s="181"/>
      <c r="B53" s="115"/>
      <c r="C53" s="185"/>
      <c r="D53" s="185"/>
      <c r="E53" s="186"/>
      <c r="F53" s="186"/>
      <c r="G53" s="186"/>
      <c r="H53" s="187"/>
    </row>
    <row r="54" spans="1:8" s="184" customFormat="1" ht="12" customHeight="1" x14ac:dyDescent="0.25">
      <c r="A54" s="181"/>
      <c r="B54" s="115"/>
      <c r="C54" s="185"/>
      <c r="D54" s="185"/>
      <c r="E54" s="186"/>
      <c r="F54" s="186"/>
      <c r="G54" s="186"/>
      <c r="H54" s="187"/>
    </row>
    <row r="55" spans="1:8" s="184" customFormat="1" ht="20.100000000000001" customHeight="1" thickBot="1" x14ac:dyDescent="0.3">
      <c r="A55" s="188"/>
      <c r="B55" s="189"/>
      <c r="C55" s="190"/>
      <c r="D55" s="190"/>
      <c r="E55" s="191"/>
      <c r="F55" s="191"/>
      <c r="G55" s="191"/>
      <c r="H55" s="192"/>
    </row>
    <row r="56" spans="1:8" ht="20.100000000000001" customHeight="1" x14ac:dyDescent="0.25">
      <c r="B56" s="193"/>
      <c r="C56" s="193"/>
      <c r="D56" s="193"/>
      <c r="E56" s="193"/>
      <c r="F56" s="193"/>
      <c r="G56" s="193"/>
      <c r="H56" s="193"/>
    </row>
    <row r="57" spans="1:8" ht="20.100000000000001" customHeight="1" x14ac:dyDescent="0.25">
      <c r="B57" s="193"/>
      <c r="C57" s="193"/>
      <c r="D57" s="193"/>
      <c r="E57" s="193"/>
      <c r="F57" s="193"/>
      <c r="G57" s="193"/>
      <c r="H57" s="193"/>
    </row>
    <row r="58" spans="1:8" ht="20.100000000000001" customHeight="1" x14ac:dyDescent="0.25">
      <c r="B58" s="193"/>
      <c r="C58" s="193"/>
      <c r="D58" s="193"/>
      <c r="E58" s="193"/>
      <c r="F58" s="193"/>
      <c r="G58" s="193"/>
      <c r="H58" s="193"/>
    </row>
    <row r="59" spans="1:8" ht="20.100000000000001" customHeight="1" x14ac:dyDescent="0.25">
      <c r="B59" s="193"/>
      <c r="C59" s="193"/>
      <c r="D59" s="193"/>
      <c r="E59" s="193"/>
      <c r="F59" s="193"/>
      <c r="G59" s="193"/>
      <c r="H59" s="193"/>
    </row>
    <row r="60" spans="1:8" ht="20.100000000000001" customHeight="1" x14ac:dyDescent="0.25">
      <c r="B60" s="193"/>
      <c r="C60" s="193"/>
      <c r="D60" s="193"/>
      <c r="E60" s="193"/>
      <c r="F60" s="193"/>
      <c r="G60" s="193"/>
      <c r="H60" s="193"/>
    </row>
    <row r="61" spans="1:8" ht="20.100000000000001" customHeight="1" x14ac:dyDescent="0.25">
      <c r="B61" s="193"/>
      <c r="C61" s="193"/>
      <c r="D61" s="193"/>
      <c r="E61" s="193"/>
      <c r="F61" s="193"/>
      <c r="G61" s="193"/>
      <c r="H61" s="193"/>
    </row>
    <row r="62" spans="1:8" ht="20.100000000000001" customHeight="1" x14ac:dyDescent="0.25">
      <c r="B62" s="193"/>
      <c r="C62" s="193"/>
      <c r="D62" s="193"/>
      <c r="E62" s="193"/>
      <c r="F62" s="193"/>
      <c r="G62" s="193"/>
      <c r="H62" s="193"/>
    </row>
    <row r="63" spans="1:8" ht="20.100000000000001" customHeight="1" x14ac:dyDescent="0.25">
      <c r="B63" s="193"/>
      <c r="C63" s="193"/>
      <c r="D63" s="193"/>
      <c r="E63" s="193"/>
      <c r="F63" s="193"/>
      <c r="G63" s="193"/>
      <c r="H63" s="193"/>
    </row>
    <row r="64" spans="1:8" ht="20.100000000000001" customHeight="1" x14ac:dyDescent="0.25">
      <c r="B64" s="193"/>
      <c r="C64" s="193"/>
      <c r="D64" s="193"/>
      <c r="E64" s="193"/>
      <c r="F64" s="193"/>
      <c r="G64" s="193"/>
      <c r="H64" s="193"/>
    </row>
    <row r="65" spans="2:8" ht="20.100000000000001" customHeight="1" x14ac:dyDescent="0.25">
      <c r="B65" s="193"/>
      <c r="C65" s="193"/>
      <c r="D65" s="193"/>
      <c r="E65" s="193"/>
      <c r="F65" s="193"/>
      <c r="G65" s="193"/>
      <c r="H65" s="193"/>
    </row>
    <row r="66" spans="2:8" ht="20.100000000000001" customHeight="1" x14ac:dyDescent="0.25">
      <c r="B66" s="193"/>
      <c r="C66" s="193"/>
      <c r="D66" s="193"/>
      <c r="E66" s="193"/>
      <c r="F66" s="193"/>
      <c r="G66" s="193"/>
      <c r="H66" s="193"/>
    </row>
    <row r="67" spans="2:8" ht="20.100000000000001" customHeight="1" x14ac:dyDescent="0.25">
      <c r="B67" s="193"/>
      <c r="C67" s="193"/>
      <c r="D67" s="193"/>
      <c r="E67" s="193"/>
      <c r="F67" s="193"/>
      <c r="G67" s="193"/>
      <c r="H67" s="193"/>
    </row>
    <row r="68" spans="2:8" ht="20.100000000000001" customHeight="1" x14ac:dyDescent="0.25">
      <c r="B68" s="193"/>
      <c r="C68" s="193"/>
      <c r="D68" s="193"/>
      <c r="E68" s="193"/>
      <c r="F68" s="193"/>
      <c r="G68" s="193"/>
      <c r="H68" s="193"/>
    </row>
    <row r="69" spans="2:8" ht="20.100000000000001" customHeight="1" x14ac:dyDescent="0.25">
      <c r="B69" s="193"/>
      <c r="C69" s="193"/>
      <c r="D69" s="193"/>
      <c r="E69" s="193"/>
      <c r="F69" s="193"/>
      <c r="G69" s="193"/>
      <c r="H69" s="193"/>
    </row>
    <row r="70" spans="2:8" ht="20.100000000000001" customHeight="1" x14ac:dyDescent="0.25">
      <c r="B70" s="193"/>
      <c r="C70" s="193"/>
      <c r="D70" s="193"/>
      <c r="E70" s="193"/>
      <c r="F70" s="193"/>
      <c r="G70" s="193"/>
      <c r="H70" s="193"/>
    </row>
    <row r="71" spans="2:8" ht="20.100000000000001" customHeight="1" x14ac:dyDescent="0.25">
      <c r="B71" s="193"/>
      <c r="C71" s="193"/>
      <c r="D71" s="193"/>
      <c r="E71" s="193"/>
      <c r="F71" s="193"/>
      <c r="G71" s="193"/>
      <c r="H71" s="193"/>
    </row>
  </sheetData>
  <mergeCells count="71">
    <mergeCell ref="A46:B46"/>
    <mergeCell ref="C46:F46"/>
    <mergeCell ref="A47:F47"/>
    <mergeCell ref="A48:F48"/>
    <mergeCell ref="A49:H49"/>
    <mergeCell ref="A42:B42"/>
    <mergeCell ref="C42:F42"/>
    <mergeCell ref="A43:F43"/>
    <mergeCell ref="A44:H44"/>
    <mergeCell ref="A45:B45"/>
    <mergeCell ref="C45:F45"/>
    <mergeCell ref="A39:B39"/>
    <mergeCell ref="C39:F39"/>
    <mergeCell ref="A40:B40"/>
    <mergeCell ref="C40:F40"/>
    <mergeCell ref="A41:B41"/>
    <mergeCell ref="C41:F41"/>
    <mergeCell ref="A35:B35"/>
    <mergeCell ref="C35:F35"/>
    <mergeCell ref="A36:F36"/>
    <mergeCell ref="A37:H37"/>
    <mergeCell ref="A38:B38"/>
    <mergeCell ref="C38:F38"/>
    <mergeCell ref="A32:B32"/>
    <mergeCell ref="C32:F32"/>
    <mergeCell ref="A33:B33"/>
    <mergeCell ref="C33:F33"/>
    <mergeCell ref="A34:B34"/>
    <mergeCell ref="C34:F34"/>
    <mergeCell ref="A29:B29"/>
    <mergeCell ref="C29:F29"/>
    <mergeCell ref="A30:B30"/>
    <mergeCell ref="C30:F30"/>
    <mergeCell ref="A31:B31"/>
    <mergeCell ref="C31:F31"/>
    <mergeCell ref="A26:B26"/>
    <mergeCell ref="C26:F26"/>
    <mergeCell ref="A27:B27"/>
    <mergeCell ref="C27:F27"/>
    <mergeCell ref="A28:B28"/>
    <mergeCell ref="C28:F28"/>
    <mergeCell ref="A25:H25"/>
    <mergeCell ref="A19:B19"/>
    <mergeCell ref="C19:F19"/>
    <mergeCell ref="A20:B20"/>
    <mergeCell ref="C20:F20"/>
    <mergeCell ref="A21:B21"/>
    <mergeCell ref="C21:F21"/>
    <mergeCell ref="A22:B22"/>
    <mergeCell ref="C22:F22"/>
    <mergeCell ref="A23:B23"/>
    <mergeCell ref="C23:F23"/>
    <mergeCell ref="A24:F24"/>
    <mergeCell ref="A16:B16"/>
    <mergeCell ref="C16:F16"/>
    <mergeCell ref="A17:B17"/>
    <mergeCell ref="C17:F17"/>
    <mergeCell ref="A18:B18"/>
    <mergeCell ref="C18:F18"/>
    <mergeCell ref="A11:H11"/>
    <mergeCell ref="A12:H12"/>
    <mergeCell ref="A13:F13"/>
    <mergeCell ref="A14:H14"/>
    <mergeCell ref="A15:B15"/>
    <mergeCell ref="C15:F15"/>
    <mergeCell ref="A10:H10"/>
    <mergeCell ref="A1:H2"/>
    <mergeCell ref="A3:H3"/>
    <mergeCell ref="A4:D4"/>
    <mergeCell ref="F4:G9"/>
    <mergeCell ref="A5:E9"/>
  </mergeCells>
  <conditionalFormatting sqref="C15:C23">
    <cfRule type="expression" dxfId="3" priority="3" stopIfTrue="1">
      <formula>IF($N$35&lt;&gt;3,0,1)</formula>
    </cfRule>
  </conditionalFormatting>
  <conditionalFormatting sqref="C26:C35">
    <cfRule type="expression" dxfId="2" priority="4" stopIfTrue="1">
      <formula>IF($N$35&lt;&gt;3,0,1)</formula>
    </cfRule>
  </conditionalFormatting>
  <conditionalFormatting sqref="C38:C42">
    <cfRule type="expression" dxfId="1" priority="2" stopIfTrue="1">
      <formula>IF($N$35&lt;&gt;3,0,1)</formula>
    </cfRule>
  </conditionalFormatting>
  <conditionalFormatting sqref="C45:C46">
    <cfRule type="expression" dxfId="0" priority="1" stopIfTrue="1">
      <formula>IF($N$35&lt;&gt;3,0,1)</formula>
    </cfRule>
  </conditionalFormatting>
  <pageMargins left="0.51181102362204722" right="0.51181102362204722" top="0.78740157480314965" bottom="0.78740157480314965" header="0.31496062992125984" footer="0.31496062992125984"/>
  <pageSetup paperSize="9" scale="7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C89ED-15B1-40F8-8586-E1DEE1C51309}">
  <sheetPr>
    <tabColor theme="9" tint="0.39997558519241921"/>
    <pageSetUpPr fitToPage="1"/>
  </sheetPr>
  <dimension ref="A1:V65"/>
  <sheetViews>
    <sheetView view="pageBreakPreview" topLeftCell="C26" zoomScale="55" zoomScaleNormal="85" zoomScaleSheetLayoutView="55" workbookViewId="0">
      <selection activeCell="D7" sqref="D7:R7"/>
    </sheetView>
  </sheetViews>
  <sheetFormatPr defaultColWidth="9.140625" defaultRowHeight="15" x14ac:dyDescent="0.25"/>
  <cols>
    <col min="1" max="1" width="11.7109375" customWidth="1"/>
    <col min="2" max="2" width="68.5703125" bestFit="1" customWidth="1"/>
    <col min="3" max="3" width="22.85546875" bestFit="1" customWidth="1"/>
    <col min="4" max="18" width="21.7109375" customWidth="1"/>
    <col min="19" max="19" width="12.85546875" bestFit="1" customWidth="1"/>
    <col min="20" max="20" width="0" style="105" hidden="1" customWidth="1"/>
    <col min="21" max="21" width="12.7109375" bestFit="1" customWidth="1"/>
    <col min="22" max="22" width="11.42578125" bestFit="1" customWidth="1"/>
  </cols>
  <sheetData>
    <row r="1" spans="1:22" ht="15.6" customHeight="1" x14ac:dyDescent="0.25">
      <c r="A1" s="18"/>
      <c r="B1" s="132" t="s">
        <v>272</v>
      </c>
      <c r="C1" s="132" t="s">
        <v>273</v>
      </c>
      <c r="D1" s="65"/>
      <c r="E1" s="65"/>
      <c r="F1" s="65"/>
      <c r="G1" s="65"/>
      <c r="H1" s="65"/>
      <c r="I1" s="65"/>
      <c r="J1" s="65"/>
      <c r="K1" s="65"/>
      <c r="L1" s="65"/>
      <c r="M1" s="65"/>
      <c r="N1" s="133" t="s">
        <v>274</v>
      </c>
      <c r="O1" s="133"/>
      <c r="P1" s="133"/>
      <c r="Q1" s="133" t="s">
        <v>275</v>
      </c>
      <c r="R1" s="133"/>
    </row>
    <row r="2" spans="1:22" ht="14.45" customHeight="1" x14ac:dyDescent="0.25">
      <c r="A2" s="113"/>
      <c r="B2" s="911" t="s">
        <v>971</v>
      </c>
      <c r="C2" s="911" t="str">
        <f>RESUMO!C2</f>
        <v xml:space="preserve">SINAPI - 07/2025 - Minas Gerais
SETOP/SICOR - 04/2025 - Minas Gerais
SBC - 08/2025 - Minas Gerais                                                                                                                                                                                                                                                                                                                                                                                                                               ORSE - 06/2025 - Sergipe                                                                                                                                                                                                                                                                                                                                                                                                                                                            EMBASA - 01/2025 - Bahia                                                                                                                                                                                                                                                                                                                                                                                                                                              CPOS - 02/2025 - São Paulo                                                                                                                                                                                                                                                                                                                                                                                                                        GOINFRA - 12/2024 - Goiás                                                                                                                                                                                                                                                                                                            </v>
      </c>
      <c r="D2" s="911"/>
      <c r="E2" s="464"/>
      <c r="F2" s="464"/>
      <c r="G2" s="464"/>
      <c r="H2" s="464"/>
      <c r="I2" s="464"/>
      <c r="J2" s="464"/>
      <c r="K2" s="464"/>
      <c r="L2" s="464"/>
      <c r="M2" s="464"/>
      <c r="N2" t="s">
        <v>277</v>
      </c>
      <c r="O2" s="465">
        <f>'BDI SERVIÇOS'!$Z$21</f>
        <v>0.2223</v>
      </c>
      <c r="Q2" s="667" t="s">
        <v>278</v>
      </c>
      <c r="R2" s="667"/>
    </row>
    <row r="3" spans="1:22" x14ac:dyDescent="0.25">
      <c r="A3" s="113"/>
      <c r="B3" s="911"/>
      <c r="C3" s="911"/>
      <c r="D3" s="911"/>
      <c r="E3" s="464"/>
      <c r="F3" s="464"/>
      <c r="G3" s="464"/>
      <c r="H3" s="464"/>
      <c r="I3" s="464"/>
      <c r="J3" s="464"/>
      <c r="K3" s="464"/>
      <c r="L3" s="464"/>
      <c r="M3" s="464"/>
      <c r="N3" s="7" t="s">
        <v>279</v>
      </c>
      <c r="O3" s="465">
        <f>'BDI EQUIPAMENTOS'!$K$36</f>
        <v>0.1623</v>
      </c>
      <c r="P3" s="7"/>
      <c r="Q3" s="6" t="s">
        <v>280</v>
      </c>
      <c r="R3" s="465">
        <f>'Encargos Sociais'!$G$48</f>
        <v>1.1679000000000002</v>
      </c>
    </row>
    <row r="4" spans="1:22" ht="130.9" customHeight="1" x14ac:dyDescent="0.25">
      <c r="A4" s="113"/>
      <c r="B4" s="464"/>
      <c r="C4" s="911"/>
      <c r="D4" s="911"/>
      <c r="E4" s="464"/>
      <c r="F4" s="464"/>
      <c r="G4" s="464"/>
      <c r="H4" s="464"/>
      <c r="I4" s="464"/>
      <c r="J4" s="464"/>
      <c r="K4" s="464"/>
      <c r="L4" s="464"/>
      <c r="M4" s="464"/>
      <c r="N4" s="7"/>
      <c r="O4" s="465"/>
      <c r="P4" s="7"/>
      <c r="Q4" s="6" t="s">
        <v>281</v>
      </c>
      <c r="R4" s="465">
        <f>'Encargos Sociais'!$H$48</f>
        <v>0.73930000000000007</v>
      </c>
    </row>
    <row r="5" spans="1:22" s="134" customFormat="1" ht="45" customHeight="1" x14ac:dyDescent="0.25">
      <c r="A5" s="912" t="s">
        <v>972</v>
      </c>
      <c r="B5" s="912"/>
      <c r="C5" s="912"/>
      <c r="D5" s="912"/>
      <c r="E5" s="912"/>
      <c r="F5" s="912"/>
      <c r="G5" s="912"/>
      <c r="H5" s="912"/>
      <c r="I5" s="912"/>
      <c r="J5" s="912"/>
      <c r="K5" s="912"/>
      <c r="L5" s="912"/>
      <c r="M5" s="912"/>
      <c r="N5" s="912"/>
      <c r="O5" s="912"/>
      <c r="P5" s="912"/>
      <c r="Q5" s="912"/>
      <c r="R5" s="912"/>
      <c r="T5" s="135"/>
    </row>
    <row r="6" spans="1:22" s="138" customFormat="1" ht="30" customHeight="1" x14ac:dyDescent="0.25">
      <c r="A6" s="136" t="s">
        <v>283</v>
      </c>
      <c r="B6" s="136" t="s">
        <v>284</v>
      </c>
      <c r="C6" s="137" t="s">
        <v>973</v>
      </c>
      <c r="D6" s="477">
        <v>1</v>
      </c>
      <c r="E6" s="477">
        <v>2</v>
      </c>
      <c r="F6" s="477">
        <v>3</v>
      </c>
      <c r="G6" s="477">
        <v>4</v>
      </c>
      <c r="H6" s="477">
        <v>5</v>
      </c>
      <c r="I6" s="477">
        <v>6</v>
      </c>
      <c r="J6" s="477">
        <v>7</v>
      </c>
      <c r="K6" s="477">
        <v>8</v>
      </c>
      <c r="L6" s="477">
        <v>9</v>
      </c>
      <c r="M6" s="477">
        <v>10</v>
      </c>
      <c r="N6" s="477">
        <v>11</v>
      </c>
      <c r="O6" s="477">
        <v>12</v>
      </c>
      <c r="P6" s="477">
        <v>13</v>
      </c>
      <c r="Q6" s="477">
        <v>14</v>
      </c>
      <c r="R6" s="477">
        <v>15</v>
      </c>
    </row>
    <row r="7" spans="1:22" ht="24" customHeight="1" thickBot="1" x14ac:dyDescent="0.3">
      <c r="A7" s="139">
        <v>1</v>
      </c>
      <c r="B7" s="139" t="str">
        <f>RESUMO!B13</f>
        <v>ADMINISTRAÇÃO</v>
      </c>
      <c r="C7" s="140">
        <f>C8/$C$49</f>
        <v>0.24121908152097979</v>
      </c>
      <c r="D7" s="474">
        <v>1.5651967225449332E-2</v>
      </c>
      <c r="E7" s="474">
        <v>0.16818625477277999</v>
      </c>
      <c r="F7" s="474">
        <v>0.22307839659169146</v>
      </c>
      <c r="G7" s="474">
        <v>0.17880569871586521</v>
      </c>
      <c r="H7" s="474">
        <v>4.1747904560144183E-2</v>
      </c>
      <c r="I7" s="474">
        <v>4.888057194761896E-2</v>
      </c>
      <c r="J7" s="474">
        <v>4.9809577487187999E-2</v>
      </c>
      <c r="K7" s="474">
        <v>5.2267715539266339E-2</v>
      </c>
      <c r="L7" s="474">
        <v>6.4325890285949663E-2</v>
      </c>
      <c r="M7" s="474">
        <v>5.5787773303667958E-2</v>
      </c>
      <c r="N7" s="474">
        <v>4.0809100997836814E-2</v>
      </c>
      <c r="O7" s="474">
        <v>1.4627953403995222E-2</v>
      </c>
      <c r="P7" s="474">
        <v>2.2046350708683118E-2</v>
      </c>
      <c r="Q7" s="474">
        <v>1.7427564637173418E-2</v>
      </c>
      <c r="R7" s="474">
        <v>6.5472795108062996E-3</v>
      </c>
      <c r="S7" s="141"/>
      <c r="T7" s="142">
        <f>SUM(D7:R7)</f>
        <v>0.99999999968811593</v>
      </c>
      <c r="U7" s="143">
        <f>SUM(D7:R7)</f>
        <v>0.99999999968811593</v>
      </c>
      <c r="V7" s="143">
        <f>1-U7</f>
        <v>3.118840741223039E-10</v>
      </c>
    </row>
    <row r="8" spans="1:22" ht="18" customHeight="1" thickTop="1" x14ac:dyDescent="0.25">
      <c r="A8" s="144"/>
      <c r="B8" s="144"/>
      <c r="C8" s="145">
        <f>RESUMO!H13</f>
        <v>1010425.54162676</v>
      </c>
      <c r="D8" s="473">
        <f t="shared" ref="D8:D10" si="0">$C8*D7</f>
        <v>15815.147461298939</v>
      </c>
      <c r="E8" s="473">
        <f t="shared" ref="E8:R8" si="1">$C8*E7</f>
        <v>169939.68757296246</v>
      </c>
      <c r="F8" s="473">
        <f t="shared" si="1"/>
        <v>225404.10970138901</v>
      </c>
      <c r="G8" s="473">
        <f t="shared" si="1"/>
        <v>180669.84497092938</v>
      </c>
      <c r="H8" s="473">
        <f t="shared" si="1"/>
        <v>42183.149076965972</v>
      </c>
      <c r="I8" s="473">
        <f t="shared" si="1"/>
        <v>49390.178385198698</v>
      </c>
      <c r="J8" s="473">
        <f t="shared" si="1"/>
        <v>50328.869310692004</v>
      </c>
      <c r="K8" s="473">
        <f t="shared" si="1"/>
        <v>52812.634783356611</v>
      </c>
      <c r="L8" s="473">
        <f t="shared" si="1"/>
        <v>64996.522532804229</v>
      </c>
      <c r="M8" s="473">
        <f t="shared" si="1"/>
        <v>56369.391056509601</v>
      </c>
      <c r="N8" s="473">
        <f t="shared" si="1"/>
        <v>41234.557979040415</v>
      </c>
      <c r="O8" s="473">
        <f t="shared" si="1"/>
        <v>14780.45774112288</v>
      </c>
      <c r="P8" s="473">
        <f t="shared" si="1"/>
        <v>22276.195855714646</v>
      </c>
      <c r="Q8" s="473">
        <f t="shared" si="1"/>
        <v>17609.256437751319</v>
      </c>
      <c r="R8" s="473">
        <f t="shared" si="1"/>
        <v>6615.5384458882436</v>
      </c>
      <c r="S8" s="146"/>
      <c r="U8" s="143"/>
    </row>
    <row r="9" spans="1:22" ht="24" customHeight="1" thickBot="1" x14ac:dyDescent="0.3">
      <c r="A9" s="139">
        <v>2</v>
      </c>
      <c r="B9" s="139" t="str">
        <f>RESUMO!B14</f>
        <v>SERVIÇOS PRELIMINARES</v>
      </c>
      <c r="C9" s="140">
        <f>C10/$C$49</f>
        <v>2.7872684006719255E-2</v>
      </c>
      <c r="D9" s="474">
        <v>0.4</v>
      </c>
      <c r="E9" s="474">
        <v>0.6</v>
      </c>
      <c r="F9" s="470"/>
      <c r="G9" s="470"/>
      <c r="H9" s="470"/>
      <c r="I9" s="470"/>
      <c r="J9" s="470"/>
      <c r="K9" s="470"/>
      <c r="L9" s="470"/>
      <c r="M9" s="470"/>
      <c r="N9" s="470"/>
      <c r="O9" s="470"/>
      <c r="P9" s="470"/>
      <c r="Q9" s="470"/>
      <c r="R9" s="470"/>
      <c r="S9" s="141"/>
      <c r="T9" s="142">
        <f>SUM(D9:R9)</f>
        <v>1</v>
      </c>
      <c r="U9" s="143">
        <f t="shared" ref="U9" si="2">SUM(D9:R9)</f>
        <v>1</v>
      </c>
      <c r="V9" s="143">
        <f>1-U9</f>
        <v>0</v>
      </c>
    </row>
    <row r="10" spans="1:22" ht="18" customHeight="1" thickTop="1" x14ac:dyDescent="0.25">
      <c r="A10" s="144"/>
      <c r="B10" s="144"/>
      <c r="C10" s="145">
        <f>RESUMO!H14</f>
        <v>116753.91373062402</v>
      </c>
      <c r="D10" s="473">
        <f t="shared" si="0"/>
        <v>46701.565492249611</v>
      </c>
      <c r="E10" s="473">
        <f>$C10*E9</f>
        <v>70052.348238374412</v>
      </c>
      <c r="F10" s="472"/>
      <c r="G10" s="472"/>
      <c r="H10" s="472"/>
      <c r="I10" s="472"/>
      <c r="J10" s="472"/>
      <c r="K10" s="472"/>
      <c r="L10" s="472"/>
      <c r="M10" s="472"/>
      <c r="N10" s="472"/>
      <c r="O10" s="472"/>
      <c r="P10" s="472"/>
      <c r="Q10" s="472"/>
      <c r="R10" s="472"/>
      <c r="S10" s="147"/>
      <c r="U10" s="143"/>
    </row>
    <row r="11" spans="1:22" ht="24" customHeight="1" thickBot="1" x14ac:dyDescent="0.3">
      <c r="A11" s="139">
        <v>3</v>
      </c>
      <c r="B11" s="139" t="str">
        <f>RESUMO!B15</f>
        <v>DRENAGEM E PAVIMENTAÇÃO DA TRAVESSA MAGALHÃES</v>
      </c>
      <c r="C11" s="140">
        <f>C12/$C$49</f>
        <v>0.35013894085011316</v>
      </c>
      <c r="D11" s="469"/>
      <c r="E11" s="474">
        <v>0.3</v>
      </c>
      <c r="F11" s="474">
        <v>0.4</v>
      </c>
      <c r="G11" s="474">
        <v>0.3</v>
      </c>
      <c r="H11" s="470"/>
      <c r="I11" s="470"/>
      <c r="J11" s="470"/>
      <c r="K11" s="470"/>
      <c r="L11" s="470"/>
      <c r="M11" s="470"/>
      <c r="N11" s="470"/>
      <c r="O11" s="470"/>
      <c r="P11" s="470"/>
      <c r="Q11" s="470"/>
      <c r="R11" s="470"/>
      <c r="S11" s="141"/>
      <c r="T11" s="142">
        <f>SUM(D11:R11)</f>
        <v>1</v>
      </c>
      <c r="U11" s="143">
        <f t="shared" ref="U11" si="3">SUM(D11:R11)</f>
        <v>1</v>
      </c>
      <c r="V11" s="143">
        <f>1-U11</f>
        <v>0</v>
      </c>
    </row>
    <row r="12" spans="1:22" ht="18" customHeight="1" thickTop="1" x14ac:dyDescent="0.25">
      <c r="A12" s="144"/>
      <c r="B12" s="144"/>
      <c r="C12" s="145">
        <f>RESUMO!H15</f>
        <v>1466672.2330684492</v>
      </c>
      <c r="D12" s="471"/>
      <c r="E12" s="473">
        <f t="shared" ref="E12:F12" si="4">$C12*E11</f>
        <v>440001.66992053477</v>
      </c>
      <c r="F12" s="473">
        <f t="shared" si="4"/>
        <v>586668.89322737965</v>
      </c>
      <c r="G12" s="473">
        <f t="shared" ref="G12" si="5">$C12*G11</f>
        <v>440001.66992053477</v>
      </c>
      <c r="H12" s="472"/>
      <c r="I12" s="472"/>
      <c r="J12" s="472"/>
      <c r="K12" s="472"/>
      <c r="L12" s="472"/>
      <c r="M12" s="472"/>
      <c r="N12" s="472"/>
      <c r="O12" s="472"/>
      <c r="P12" s="472"/>
      <c r="Q12" s="472"/>
      <c r="R12" s="472"/>
      <c r="S12" s="147"/>
      <c r="U12" s="143"/>
    </row>
    <row r="13" spans="1:22" ht="24" customHeight="1" thickBot="1" x14ac:dyDescent="0.3">
      <c r="A13" s="139">
        <v>4</v>
      </c>
      <c r="B13" s="139" t="str">
        <f>RESUMO!B16</f>
        <v>ESTRUTURAL</v>
      </c>
      <c r="C13" s="140">
        <f>C14/$C$49</f>
        <v>0.11527699739776576</v>
      </c>
      <c r="D13" s="469"/>
      <c r="E13" s="470"/>
      <c r="F13" s="474">
        <v>0.2</v>
      </c>
      <c r="G13" s="474">
        <v>0.2</v>
      </c>
      <c r="H13" s="474">
        <v>0.25</v>
      </c>
      <c r="I13" s="474">
        <v>0.25</v>
      </c>
      <c r="J13" s="474">
        <v>0.1</v>
      </c>
      <c r="K13" s="470"/>
      <c r="L13" s="470"/>
      <c r="M13" s="470"/>
      <c r="N13" s="470"/>
      <c r="O13" s="470"/>
      <c r="P13" s="470"/>
      <c r="Q13" s="470"/>
      <c r="R13" s="470"/>
      <c r="S13" s="141"/>
      <c r="T13" s="142">
        <f>SUM(D13:R13)</f>
        <v>1</v>
      </c>
      <c r="U13" s="143">
        <f t="shared" ref="U13" si="6">SUM(D13:R13)</f>
        <v>1</v>
      </c>
      <c r="V13" s="143">
        <f>1-U13</f>
        <v>0</v>
      </c>
    </row>
    <row r="14" spans="1:22" ht="18" customHeight="1" thickTop="1" x14ac:dyDescent="0.25">
      <c r="A14" s="144"/>
      <c r="B14" s="144"/>
      <c r="C14" s="145">
        <f>RESUMO!H16</f>
        <v>482875.65725853841</v>
      </c>
      <c r="D14" s="471"/>
      <c r="E14" s="472"/>
      <c r="F14" s="473">
        <f t="shared" ref="F14:J14" si="7">$C14*F13</f>
        <v>96575.131451707683</v>
      </c>
      <c r="G14" s="473">
        <f t="shared" si="7"/>
        <v>96575.131451707683</v>
      </c>
      <c r="H14" s="473">
        <f t="shared" si="7"/>
        <v>120718.9143146346</v>
      </c>
      <c r="I14" s="473">
        <f t="shared" si="7"/>
        <v>120718.9143146346</v>
      </c>
      <c r="J14" s="473">
        <f t="shared" si="7"/>
        <v>48287.565725853841</v>
      </c>
      <c r="K14" s="472"/>
      <c r="L14" s="472"/>
      <c r="M14" s="472"/>
      <c r="N14" s="472"/>
      <c r="O14" s="472"/>
      <c r="P14" s="472"/>
      <c r="Q14" s="472"/>
      <c r="R14" s="472"/>
      <c r="S14" s="147"/>
      <c r="U14" s="143"/>
    </row>
    <row r="15" spans="1:22" ht="24" customHeight="1" thickBot="1" x14ac:dyDescent="0.3">
      <c r="A15" s="139">
        <v>5</v>
      </c>
      <c r="B15" s="139" t="str">
        <f>RESUMO!B17</f>
        <v xml:space="preserve">DEMOLIÇÕES E REMOÇOES </v>
      </c>
      <c r="C15" s="140">
        <f>C16/$C$49</f>
        <v>6.1085329757928986E-3</v>
      </c>
      <c r="D15" s="469"/>
      <c r="E15" s="474">
        <v>0.3</v>
      </c>
      <c r="F15" s="474">
        <v>0.35</v>
      </c>
      <c r="G15" s="474">
        <v>0.35</v>
      </c>
      <c r="H15" s="470"/>
      <c r="I15" s="470"/>
      <c r="J15" s="470"/>
      <c r="K15" s="470"/>
      <c r="L15" s="470"/>
      <c r="M15" s="470"/>
      <c r="N15" s="470"/>
      <c r="O15" s="470"/>
      <c r="P15" s="470"/>
      <c r="Q15" s="470"/>
      <c r="R15" s="470"/>
      <c r="S15" s="141"/>
      <c r="T15" s="142">
        <f>SUM(D15:R15)</f>
        <v>0.99999999999999989</v>
      </c>
      <c r="U15" s="143">
        <f t="shared" ref="U15" si="8">SUM(D15:R15)</f>
        <v>0.99999999999999989</v>
      </c>
      <c r="V15" s="143">
        <f>1-U15</f>
        <v>0</v>
      </c>
    </row>
    <row r="16" spans="1:22" ht="18" customHeight="1" thickTop="1" x14ac:dyDescent="0.25">
      <c r="A16" s="144"/>
      <c r="B16" s="144"/>
      <c r="C16" s="145">
        <f>RESUMO!H17</f>
        <v>25587.601535053691</v>
      </c>
      <c r="D16" s="471"/>
      <c r="E16" s="473">
        <f t="shared" ref="E16" si="9">$C16*E15</f>
        <v>7676.2804605161073</v>
      </c>
      <c r="F16" s="473">
        <f t="shared" ref="F16:G16" si="10">$C16*F15</f>
        <v>8955.6605372687918</v>
      </c>
      <c r="G16" s="473">
        <f t="shared" si="10"/>
        <v>8955.6605372687918</v>
      </c>
      <c r="H16" s="472"/>
      <c r="I16" s="472"/>
      <c r="J16" s="472"/>
      <c r="K16" s="472"/>
      <c r="L16" s="472"/>
      <c r="M16" s="472"/>
      <c r="N16" s="472"/>
      <c r="O16" s="472"/>
      <c r="P16" s="472"/>
      <c r="Q16" s="472"/>
      <c r="R16" s="472"/>
      <c r="S16" s="147"/>
      <c r="U16" s="143"/>
    </row>
    <row r="17" spans="1:22" ht="30" customHeight="1" thickBot="1" x14ac:dyDescent="0.3">
      <c r="A17" s="139">
        <v>6</v>
      </c>
      <c r="B17" s="139" t="str">
        <f>RESUMO!B18</f>
        <v>ALVENARIA</v>
      </c>
      <c r="C17" s="140">
        <f>C18/$C$49</f>
        <v>7.1030785447435563E-3</v>
      </c>
      <c r="D17" s="469"/>
      <c r="E17" s="470"/>
      <c r="F17" s="470"/>
      <c r="G17" s="474">
        <v>0.2</v>
      </c>
      <c r="H17" s="474">
        <v>0.3</v>
      </c>
      <c r="I17" s="474">
        <v>0.3</v>
      </c>
      <c r="J17" s="474">
        <v>0.2</v>
      </c>
      <c r="K17" s="470"/>
      <c r="L17" s="470"/>
      <c r="M17" s="470"/>
      <c r="N17" s="470"/>
      <c r="O17" s="470"/>
      <c r="P17" s="470"/>
      <c r="Q17" s="470"/>
      <c r="R17" s="470"/>
      <c r="S17" s="141"/>
      <c r="T17" s="142">
        <f>SUM(D17:R17)</f>
        <v>1</v>
      </c>
      <c r="U17" s="143">
        <f t="shared" ref="U17" si="11">SUM(D17:R17)</f>
        <v>1</v>
      </c>
      <c r="V17" s="143">
        <f>1-U17</f>
        <v>0</v>
      </c>
    </row>
    <row r="18" spans="1:22" ht="18" customHeight="1" thickTop="1" x14ac:dyDescent="0.25">
      <c r="A18" s="144"/>
      <c r="B18" s="144"/>
      <c r="C18" s="145">
        <f>RESUMO!H18</f>
        <v>29753.583093573394</v>
      </c>
      <c r="D18" s="471"/>
      <c r="E18" s="472"/>
      <c r="F18" s="472"/>
      <c r="G18" s="473">
        <f t="shared" ref="G18" si="12">$C18*G17</f>
        <v>5950.7166187146795</v>
      </c>
      <c r="H18" s="473">
        <f t="shared" ref="H18:J18" si="13">$C18*H17</f>
        <v>8926.0749280720174</v>
      </c>
      <c r="I18" s="473">
        <f t="shared" si="13"/>
        <v>8926.0749280720174</v>
      </c>
      <c r="J18" s="473">
        <f t="shared" si="13"/>
        <v>5950.7166187146795</v>
      </c>
      <c r="K18" s="472"/>
      <c r="L18" s="472"/>
      <c r="M18" s="472"/>
      <c r="N18" s="472"/>
      <c r="O18" s="472"/>
      <c r="P18" s="472"/>
      <c r="Q18" s="472"/>
      <c r="R18" s="472"/>
      <c r="S18" s="147"/>
      <c r="U18" s="143"/>
    </row>
    <row r="19" spans="1:22" ht="24" customHeight="1" thickBot="1" x14ac:dyDescent="0.3">
      <c r="A19" s="139">
        <v>7</v>
      </c>
      <c r="B19" s="139" t="str">
        <f>RESUMO!B19</f>
        <v>HIDROSSANITÁRIO</v>
      </c>
      <c r="C19" s="140">
        <f>C20/$C$49</f>
        <v>1.2414996360046199E-2</v>
      </c>
      <c r="D19" s="469"/>
      <c r="E19" s="470"/>
      <c r="F19" s="470"/>
      <c r="G19" s="470"/>
      <c r="H19" s="470"/>
      <c r="I19" s="470"/>
      <c r="J19" s="474">
        <v>0.1</v>
      </c>
      <c r="K19" s="474">
        <v>0.2</v>
      </c>
      <c r="L19" s="474">
        <v>0.2</v>
      </c>
      <c r="M19" s="474">
        <v>0.2</v>
      </c>
      <c r="N19" s="474">
        <v>0.2</v>
      </c>
      <c r="O19" s="474">
        <v>0.1</v>
      </c>
      <c r="P19" s="470"/>
      <c r="Q19" s="470"/>
      <c r="R19" s="470"/>
      <c r="S19" s="141"/>
      <c r="T19" s="142">
        <f>SUM(D19:R19)</f>
        <v>0.99999999999999989</v>
      </c>
      <c r="U19" s="143">
        <f t="shared" ref="U19" si="14">SUM(D19:R19)</f>
        <v>0.99999999999999989</v>
      </c>
      <c r="V19" s="143">
        <f>1-U19</f>
        <v>0</v>
      </c>
    </row>
    <row r="20" spans="1:22" ht="18" customHeight="1" thickTop="1" x14ac:dyDescent="0.25">
      <c r="A20" s="144"/>
      <c r="B20" s="144"/>
      <c r="C20" s="145">
        <f>RESUMO!H19</f>
        <v>52004.299752309998</v>
      </c>
      <c r="D20" s="471"/>
      <c r="E20" s="472"/>
      <c r="F20" s="472"/>
      <c r="G20" s="472"/>
      <c r="H20" s="472"/>
      <c r="I20" s="472"/>
      <c r="J20" s="473">
        <f t="shared" ref="J20:M20" si="15">$C20*J19</f>
        <v>5200.4299752309998</v>
      </c>
      <c r="K20" s="473">
        <f t="shared" si="15"/>
        <v>10400.859950462</v>
      </c>
      <c r="L20" s="473">
        <f t="shared" si="15"/>
        <v>10400.859950462</v>
      </c>
      <c r="M20" s="473">
        <f t="shared" si="15"/>
        <v>10400.859950462</v>
      </c>
      <c r="N20" s="473">
        <f t="shared" ref="N20:O20" si="16">$C20*N19</f>
        <v>10400.859950462</v>
      </c>
      <c r="O20" s="473">
        <f t="shared" si="16"/>
        <v>5200.4299752309998</v>
      </c>
      <c r="P20" s="472"/>
      <c r="Q20" s="472"/>
      <c r="R20" s="472"/>
      <c r="S20" s="147"/>
      <c r="U20" s="143"/>
    </row>
    <row r="21" spans="1:22" ht="24" customHeight="1" thickBot="1" x14ac:dyDescent="0.3">
      <c r="A21" s="139">
        <v>8</v>
      </c>
      <c r="B21" s="139" t="str">
        <f>RESUMO!B20</f>
        <v>INSTALAÇÇÕES ELÉTRICAS</v>
      </c>
      <c r="C21" s="140">
        <f>C22/$C$49</f>
        <v>2.2736925621873006E-2</v>
      </c>
      <c r="D21" s="469"/>
      <c r="E21" s="470"/>
      <c r="F21" s="470"/>
      <c r="G21" s="470"/>
      <c r="H21" s="470"/>
      <c r="I21" s="470"/>
      <c r="J21" s="474">
        <v>0.1</v>
      </c>
      <c r="K21" s="474">
        <v>0.1</v>
      </c>
      <c r="L21" s="474">
        <v>0.2</v>
      </c>
      <c r="M21" s="474">
        <v>0.2</v>
      </c>
      <c r="N21" s="474">
        <v>0.2</v>
      </c>
      <c r="O21" s="474">
        <v>0.1</v>
      </c>
      <c r="P21" s="474">
        <v>0.1</v>
      </c>
      <c r="Q21" s="470"/>
      <c r="R21" s="470"/>
      <c r="S21" s="141"/>
      <c r="T21" s="142">
        <f>SUM(D21:R21)</f>
        <v>1</v>
      </c>
      <c r="U21" s="143">
        <f t="shared" ref="U21" si="17">SUM(D21:R21)</f>
        <v>1</v>
      </c>
      <c r="V21" s="143">
        <f>1-U21</f>
        <v>0</v>
      </c>
    </row>
    <row r="22" spans="1:22" ht="18" customHeight="1" thickTop="1" x14ac:dyDescent="0.25">
      <c r="A22" s="144"/>
      <c r="B22" s="144"/>
      <c r="C22" s="145">
        <f>RESUMO!H20</f>
        <v>95241.098844869994</v>
      </c>
      <c r="D22" s="471"/>
      <c r="E22" s="472"/>
      <c r="F22" s="472"/>
      <c r="G22" s="472"/>
      <c r="H22" s="472"/>
      <c r="I22" s="472"/>
      <c r="J22" s="473">
        <f t="shared" ref="J22:O22" si="18">$C22*J21</f>
        <v>9524.1098844869994</v>
      </c>
      <c r="K22" s="473">
        <f t="shared" si="18"/>
        <v>9524.1098844869994</v>
      </c>
      <c r="L22" s="473">
        <f t="shared" si="18"/>
        <v>19048.219768973999</v>
      </c>
      <c r="M22" s="473">
        <f t="shared" si="18"/>
        <v>19048.219768973999</v>
      </c>
      <c r="N22" s="473">
        <f t="shared" si="18"/>
        <v>19048.219768973999</v>
      </c>
      <c r="O22" s="473">
        <f t="shared" si="18"/>
        <v>9524.1098844869994</v>
      </c>
      <c r="P22" s="473">
        <f t="shared" ref="P22" si="19">$C22*P21</f>
        <v>9524.1098844869994</v>
      </c>
      <c r="Q22" s="472"/>
      <c r="R22" s="472"/>
      <c r="S22" s="147"/>
      <c r="U22" s="143"/>
    </row>
    <row r="23" spans="1:22" ht="24" customHeight="1" thickBot="1" x14ac:dyDescent="0.3">
      <c r="A23" s="139">
        <v>9</v>
      </c>
      <c r="B23" s="139" t="str">
        <f>RESUMO!B21</f>
        <v>REVESTIMENTO DE PISOS</v>
      </c>
      <c r="C23" s="140">
        <f>C24/$C$49</f>
        <v>5.4288016250563613E-2</v>
      </c>
      <c r="D23" s="469"/>
      <c r="E23" s="470"/>
      <c r="F23" s="470"/>
      <c r="G23" s="470"/>
      <c r="H23" s="470"/>
      <c r="I23" s="470"/>
      <c r="J23" s="470"/>
      <c r="K23" s="474">
        <v>0.25</v>
      </c>
      <c r="L23" s="474">
        <v>0.25</v>
      </c>
      <c r="M23" s="474">
        <v>0.25</v>
      </c>
      <c r="N23" s="474">
        <v>0.25</v>
      </c>
      <c r="O23" s="470"/>
      <c r="P23" s="470"/>
      <c r="Q23" s="470"/>
      <c r="R23" s="470"/>
      <c r="S23" s="141"/>
      <c r="T23" s="142">
        <f>SUM(D23:R23)</f>
        <v>1</v>
      </c>
      <c r="U23" s="143">
        <f t="shared" ref="U23" si="20">SUM(D23:R23)</f>
        <v>1</v>
      </c>
      <c r="V23" s="143">
        <f>1-U23</f>
        <v>0</v>
      </c>
    </row>
    <row r="24" spans="1:22" ht="18" customHeight="1" thickTop="1" x14ac:dyDescent="0.25">
      <c r="A24" s="144"/>
      <c r="B24" s="144"/>
      <c r="C24" s="145">
        <f>RESUMO!H21</f>
        <v>227403.22978572996</v>
      </c>
      <c r="D24" s="471"/>
      <c r="E24" s="472"/>
      <c r="F24" s="472"/>
      <c r="G24" s="472"/>
      <c r="H24" s="472"/>
      <c r="I24" s="472"/>
      <c r="J24" s="472"/>
      <c r="K24" s="473">
        <f>$C24*K23</f>
        <v>56850.807446432489</v>
      </c>
      <c r="L24" s="473">
        <f>$C24*L23</f>
        <v>56850.807446432489</v>
      </c>
      <c r="M24" s="473">
        <f>$C24*M23</f>
        <v>56850.807446432489</v>
      </c>
      <c r="N24" s="473">
        <f>$C24*N23</f>
        <v>56850.807446432489</v>
      </c>
      <c r="O24" s="472"/>
      <c r="P24" s="472"/>
      <c r="Q24" s="472"/>
      <c r="R24" s="472"/>
      <c r="S24" s="147"/>
      <c r="U24" s="143"/>
    </row>
    <row r="25" spans="1:22" ht="24" customHeight="1" thickBot="1" x14ac:dyDescent="0.3">
      <c r="A25" s="139">
        <v>10</v>
      </c>
      <c r="B25" s="139" t="str">
        <f>RESUMO!B22</f>
        <v>REVESTIMENTO DE PAREDES</v>
      </c>
      <c r="C25" s="140">
        <f>C26/$C$49</f>
        <v>2.7060659572107876E-2</v>
      </c>
      <c r="D25" s="469"/>
      <c r="E25" s="470"/>
      <c r="F25" s="470"/>
      <c r="G25" s="470"/>
      <c r="H25" s="470"/>
      <c r="I25" s="474">
        <v>0.2</v>
      </c>
      <c r="J25" s="474">
        <v>0.3</v>
      </c>
      <c r="K25" s="474">
        <v>0.3</v>
      </c>
      <c r="L25" s="474">
        <v>0.2</v>
      </c>
      <c r="M25" s="470"/>
      <c r="N25" s="470"/>
      <c r="O25" s="470"/>
      <c r="P25" s="470"/>
      <c r="Q25" s="470"/>
      <c r="R25" s="470"/>
      <c r="S25" s="141"/>
      <c r="T25" s="142">
        <f>SUM(D25:R25)</f>
        <v>1</v>
      </c>
      <c r="U25" s="143">
        <f t="shared" ref="U25" si="21">SUM(D25:R25)</f>
        <v>1</v>
      </c>
      <c r="V25" s="143">
        <f>1-U25</f>
        <v>0</v>
      </c>
    </row>
    <row r="26" spans="1:22" ht="18" customHeight="1" thickTop="1" x14ac:dyDescent="0.25">
      <c r="A26" s="144"/>
      <c r="B26" s="144"/>
      <c r="C26" s="145">
        <f>RESUMO!H22</f>
        <v>113352.48203632</v>
      </c>
      <c r="D26" s="471"/>
      <c r="E26" s="472"/>
      <c r="F26" s="472"/>
      <c r="G26" s="472"/>
      <c r="H26" s="472"/>
      <c r="I26" s="473">
        <f t="shared" ref="I26:L26" si="22">$C26*I25</f>
        <v>22670.496407264</v>
      </c>
      <c r="J26" s="473">
        <f t="shared" si="22"/>
        <v>34005.744610895999</v>
      </c>
      <c r="K26" s="473">
        <f t="shared" si="22"/>
        <v>34005.744610895999</v>
      </c>
      <c r="L26" s="473">
        <f t="shared" si="22"/>
        <v>22670.496407264</v>
      </c>
      <c r="M26" s="472"/>
      <c r="N26" s="472"/>
      <c r="O26" s="472"/>
      <c r="P26" s="472"/>
      <c r="Q26" s="472"/>
      <c r="R26" s="472"/>
      <c r="S26" s="147"/>
      <c r="U26" s="143"/>
    </row>
    <row r="27" spans="1:22" ht="24" customHeight="1" thickBot="1" x14ac:dyDescent="0.3">
      <c r="A27" s="139">
        <v>11</v>
      </c>
      <c r="B27" s="139" t="str">
        <f>RESUMO!B23</f>
        <v>ESQUADRIAS</v>
      </c>
      <c r="C27" s="140">
        <f>C28/$C$49</f>
        <v>3.5672888530590821E-2</v>
      </c>
      <c r="D27" s="469"/>
      <c r="E27" s="470"/>
      <c r="F27" s="470"/>
      <c r="G27" s="470"/>
      <c r="H27" s="470"/>
      <c r="I27" s="470"/>
      <c r="J27" s="474">
        <v>0.35</v>
      </c>
      <c r="K27" s="474">
        <v>0.35</v>
      </c>
      <c r="L27" s="474">
        <v>0.3</v>
      </c>
      <c r="M27" s="470"/>
      <c r="N27" s="470"/>
      <c r="O27" s="470"/>
      <c r="P27" s="470"/>
      <c r="Q27" s="470"/>
      <c r="R27" s="470"/>
      <c r="S27" s="141"/>
      <c r="T27" s="142">
        <f>SUM(D27:R27)</f>
        <v>1</v>
      </c>
      <c r="U27" s="143">
        <f t="shared" ref="U27" si="23">SUM(D27:R27)</f>
        <v>1</v>
      </c>
      <c r="V27" s="143">
        <f>1-U27</f>
        <v>0</v>
      </c>
    </row>
    <row r="28" spans="1:22" ht="18" customHeight="1" thickTop="1" x14ac:dyDescent="0.25">
      <c r="A28" s="144"/>
      <c r="B28" s="144"/>
      <c r="C28" s="145">
        <f>RESUMO!H23</f>
        <v>149427.63850868202</v>
      </c>
      <c r="D28" s="471"/>
      <c r="E28" s="472"/>
      <c r="F28" s="472"/>
      <c r="G28" s="472"/>
      <c r="H28" s="472"/>
      <c r="I28" s="472"/>
      <c r="J28" s="473">
        <f t="shared" ref="J28:K28" si="24">$C28*J27</f>
        <v>52299.673478038705</v>
      </c>
      <c r="K28" s="473">
        <f t="shared" si="24"/>
        <v>52299.673478038705</v>
      </c>
      <c r="L28" s="473">
        <f t="shared" ref="L28:M30" si="25">$C28*L27</f>
        <v>44828.291552604605</v>
      </c>
      <c r="M28" s="472"/>
      <c r="N28" s="472"/>
      <c r="O28" s="472"/>
      <c r="P28" s="472"/>
      <c r="Q28" s="472"/>
      <c r="R28" s="472"/>
      <c r="S28" s="147"/>
      <c r="U28" s="143"/>
    </row>
    <row r="29" spans="1:22" ht="24" customHeight="1" thickBot="1" x14ac:dyDescent="0.3">
      <c r="A29" s="139">
        <v>12</v>
      </c>
      <c r="B29" s="139" t="str">
        <f>RESUMO!B24</f>
        <v>FORRO EM GESSO ACARTONADO</v>
      </c>
      <c r="C29" s="140">
        <f>C30/$C$49</f>
        <v>1.0033271392236942E-2</v>
      </c>
      <c r="D29" s="469"/>
      <c r="E29" s="470"/>
      <c r="F29" s="470"/>
      <c r="G29" s="470"/>
      <c r="H29" s="470"/>
      <c r="I29" s="470"/>
      <c r="J29" s="470"/>
      <c r="K29" s="470"/>
      <c r="L29" s="474">
        <v>0.5</v>
      </c>
      <c r="M29" s="474">
        <v>0.5</v>
      </c>
      <c r="N29" s="470"/>
      <c r="O29" s="470"/>
      <c r="P29" s="470"/>
      <c r="Q29" s="470"/>
      <c r="R29" s="470"/>
      <c r="S29" s="141"/>
      <c r="T29" s="142">
        <f>SUM(D29:R29)</f>
        <v>1</v>
      </c>
      <c r="U29" s="143">
        <f t="shared" ref="U29" si="26">SUM(D29:R29)</f>
        <v>1</v>
      </c>
      <c r="V29" s="143">
        <f>1-U29</f>
        <v>0</v>
      </c>
    </row>
    <row r="30" spans="1:22" ht="18" customHeight="1" thickTop="1" x14ac:dyDescent="0.25">
      <c r="A30" s="144"/>
      <c r="B30" s="144"/>
      <c r="C30" s="145">
        <f>RESUMO!H24</f>
        <v>42027.660568418003</v>
      </c>
      <c r="D30" s="471"/>
      <c r="E30" s="472"/>
      <c r="F30" s="472"/>
      <c r="G30" s="472"/>
      <c r="H30" s="472"/>
      <c r="I30" s="472"/>
      <c r="J30" s="472"/>
      <c r="K30" s="472"/>
      <c r="L30" s="473">
        <f t="shared" ref="L30" si="27">$C30*L29</f>
        <v>21013.830284209002</v>
      </c>
      <c r="M30" s="473">
        <f t="shared" si="25"/>
        <v>21013.830284209002</v>
      </c>
      <c r="N30" s="472"/>
      <c r="O30" s="472"/>
      <c r="P30" s="472"/>
      <c r="Q30" s="472"/>
      <c r="R30" s="472"/>
      <c r="S30" s="147"/>
      <c r="U30" s="143"/>
    </row>
    <row r="31" spans="1:22" ht="40.15" customHeight="1" thickBot="1" x14ac:dyDescent="0.3">
      <c r="A31" s="139">
        <v>13</v>
      </c>
      <c r="B31" s="139" t="str">
        <f>RESUMO!B25</f>
        <v>PEDRAS - BANCADAS, SOLEIRAS, DIVISÓRIAS E PRATELEIRAS</v>
      </c>
      <c r="C31" s="140">
        <f>C32/$C$49</f>
        <v>1.2697790079774824E-2</v>
      </c>
      <c r="D31" s="469"/>
      <c r="E31" s="470"/>
      <c r="F31" s="470"/>
      <c r="G31" s="470"/>
      <c r="H31" s="470"/>
      <c r="I31" s="470"/>
      <c r="J31" s="470"/>
      <c r="K31" s="470"/>
      <c r="L31" s="474">
        <v>0.5</v>
      </c>
      <c r="M31" s="474">
        <v>0.5</v>
      </c>
      <c r="N31" s="470"/>
      <c r="O31" s="470"/>
      <c r="P31" s="470"/>
      <c r="Q31" s="470"/>
      <c r="R31" s="470"/>
      <c r="S31" s="141"/>
      <c r="T31" s="142">
        <f>SUM(D31:R31)</f>
        <v>1</v>
      </c>
      <c r="U31" s="143">
        <f t="shared" ref="U31" si="28">SUM(D31:R31)</f>
        <v>1</v>
      </c>
      <c r="V31" s="143">
        <f>1-U31</f>
        <v>0</v>
      </c>
    </row>
    <row r="32" spans="1:22" ht="18" customHeight="1" thickTop="1" x14ac:dyDescent="0.25">
      <c r="A32" s="144"/>
      <c r="B32" s="144"/>
      <c r="C32" s="145">
        <f>RESUMO!H25</f>
        <v>53188.874354052648</v>
      </c>
      <c r="D32" s="471"/>
      <c r="E32" s="472"/>
      <c r="F32" s="472"/>
      <c r="G32" s="472"/>
      <c r="H32" s="472"/>
      <c r="I32" s="472"/>
      <c r="J32" s="472"/>
      <c r="K32" s="472"/>
      <c r="L32" s="473">
        <f t="shared" ref="L32:M32" si="29">$C32*L31</f>
        <v>26594.437177026324</v>
      </c>
      <c r="M32" s="473">
        <f t="shared" si="29"/>
        <v>26594.437177026324</v>
      </c>
      <c r="N32" s="472"/>
      <c r="O32" s="472"/>
      <c r="P32" s="472"/>
      <c r="Q32" s="472"/>
      <c r="R32" s="472"/>
      <c r="S32" s="147"/>
      <c r="U32" s="143"/>
    </row>
    <row r="33" spans="1:22" ht="24" customHeight="1" thickBot="1" x14ac:dyDescent="0.3">
      <c r="A33" s="139">
        <v>14</v>
      </c>
      <c r="B33" s="139" t="str">
        <f>RESUMO!B26</f>
        <v>PINTURA TETO</v>
      </c>
      <c r="C33" s="140">
        <f>C34/$C$49</f>
        <v>7.6175982228802244E-3</v>
      </c>
      <c r="D33" s="469"/>
      <c r="E33" s="470"/>
      <c r="F33" s="470"/>
      <c r="G33" s="470"/>
      <c r="H33" s="470"/>
      <c r="I33" s="470"/>
      <c r="J33" s="470"/>
      <c r="K33" s="470"/>
      <c r="L33" s="470"/>
      <c r="M33" s="474">
        <v>0.5</v>
      </c>
      <c r="N33" s="474">
        <v>0.5</v>
      </c>
      <c r="O33" s="470"/>
      <c r="P33" s="470"/>
      <c r="Q33" s="470"/>
      <c r="R33" s="470"/>
      <c r="S33" s="141"/>
      <c r="T33" s="142">
        <f>SUM(D33:R33)</f>
        <v>1</v>
      </c>
      <c r="U33" s="143">
        <f t="shared" ref="U33" si="30">SUM(D33:R33)</f>
        <v>1</v>
      </c>
      <c r="V33" s="143">
        <f>1-U33</f>
        <v>0</v>
      </c>
    </row>
    <row r="34" spans="1:22" ht="18" customHeight="1" thickTop="1" x14ac:dyDescent="0.25">
      <c r="A34" s="144"/>
      <c r="B34" s="144"/>
      <c r="C34" s="145">
        <f>RESUMO!H26</f>
        <v>31908.818165279994</v>
      </c>
      <c r="D34" s="471"/>
      <c r="E34" s="472"/>
      <c r="F34" s="472"/>
      <c r="G34" s="472"/>
      <c r="H34" s="472"/>
      <c r="I34" s="472"/>
      <c r="J34" s="472"/>
      <c r="K34" s="472"/>
      <c r="L34" s="472"/>
      <c r="M34" s="473">
        <f t="shared" ref="M34:N34" si="31">$C34*M33</f>
        <v>15954.409082639997</v>
      </c>
      <c r="N34" s="473">
        <f t="shared" si="31"/>
        <v>15954.409082639997</v>
      </c>
      <c r="O34" s="472"/>
      <c r="P34" s="472"/>
      <c r="Q34" s="472"/>
      <c r="R34" s="472"/>
      <c r="S34" s="147"/>
      <c r="U34" s="143"/>
    </row>
    <row r="35" spans="1:22" ht="24" customHeight="1" thickBot="1" x14ac:dyDescent="0.3">
      <c r="A35" s="139">
        <v>15</v>
      </c>
      <c r="B35" s="139" t="str">
        <f>RESUMO!B27</f>
        <v>PINTURA PAREDES EXTERNAS E INTERNAS</v>
      </c>
      <c r="C35" s="140">
        <f>C36/$C$49</f>
        <v>1.4566597781831652E-2</v>
      </c>
      <c r="D35" s="469"/>
      <c r="E35" s="470"/>
      <c r="F35" s="470"/>
      <c r="G35" s="470"/>
      <c r="H35" s="470"/>
      <c r="I35" s="470"/>
      <c r="J35" s="470"/>
      <c r="K35" s="470"/>
      <c r="L35" s="470"/>
      <c r="M35" s="474">
        <v>0.4</v>
      </c>
      <c r="N35" s="474">
        <v>0.4</v>
      </c>
      <c r="O35" s="474">
        <v>0.2</v>
      </c>
      <c r="P35" s="470"/>
      <c r="Q35" s="470"/>
      <c r="R35" s="470"/>
      <c r="S35" s="141"/>
      <c r="T35" s="142">
        <f>SUM(D35:R35)</f>
        <v>1</v>
      </c>
      <c r="U35" s="143">
        <f t="shared" ref="U35" si="32">SUM(D35:R35)</f>
        <v>1</v>
      </c>
      <c r="V35" s="143">
        <f>1-U35</f>
        <v>0</v>
      </c>
    </row>
    <row r="36" spans="1:22" ht="18" customHeight="1" thickTop="1" x14ac:dyDescent="0.25">
      <c r="A36" s="144"/>
      <c r="B36" s="144"/>
      <c r="C36" s="145">
        <f>RESUMO!H27</f>
        <v>61016.990698085734</v>
      </c>
      <c r="D36" s="471"/>
      <c r="E36" s="472"/>
      <c r="F36" s="472"/>
      <c r="G36" s="472"/>
      <c r="H36" s="472"/>
      <c r="I36" s="472"/>
      <c r="J36" s="472"/>
      <c r="K36" s="472"/>
      <c r="L36" s="472"/>
      <c r="M36" s="473">
        <f t="shared" ref="M36:N36" si="33">$C36*M35</f>
        <v>24406.796279234295</v>
      </c>
      <c r="N36" s="473">
        <f t="shared" si="33"/>
        <v>24406.796279234295</v>
      </c>
      <c r="O36" s="473">
        <f>$C36*O35</f>
        <v>12203.398139617148</v>
      </c>
      <c r="P36" s="472"/>
      <c r="Q36" s="472"/>
      <c r="R36" s="472"/>
      <c r="S36" s="147"/>
      <c r="U36" s="143"/>
    </row>
    <row r="37" spans="1:22" ht="24" customHeight="1" thickBot="1" x14ac:dyDescent="0.3">
      <c r="A37" s="139">
        <v>16</v>
      </c>
      <c r="B37" s="139" t="str">
        <f>RESUMO!B28</f>
        <v>CORRIMÃO</v>
      </c>
      <c r="C37" s="140">
        <f>C38/$C$49</f>
        <v>4.9497385034454628E-3</v>
      </c>
      <c r="D37" s="469"/>
      <c r="E37" s="470"/>
      <c r="F37" s="470"/>
      <c r="G37" s="470"/>
      <c r="H37" s="470"/>
      <c r="I37" s="470"/>
      <c r="J37" s="470"/>
      <c r="K37" s="470"/>
      <c r="L37" s="470"/>
      <c r="M37" s="470"/>
      <c r="N37" s="470"/>
      <c r="O37" s="474">
        <v>0.5</v>
      </c>
      <c r="P37" s="474">
        <v>0.5</v>
      </c>
      <c r="Q37" s="470"/>
      <c r="R37" s="470"/>
      <c r="S37" s="141"/>
      <c r="T37" s="142">
        <f>SUM(D37:R37)</f>
        <v>1</v>
      </c>
      <c r="U37" s="143">
        <f t="shared" ref="U37" si="34">SUM(D37:R37)</f>
        <v>1</v>
      </c>
      <c r="V37" s="143">
        <f>1-U37</f>
        <v>0</v>
      </c>
    </row>
    <row r="38" spans="1:22" ht="18" customHeight="1" thickTop="1" x14ac:dyDescent="0.25">
      <c r="A38" s="144"/>
      <c r="B38" s="144"/>
      <c r="C38" s="145">
        <f>RESUMO!H28</f>
        <v>20733.609367547997</v>
      </c>
      <c r="D38" s="471"/>
      <c r="E38" s="472"/>
      <c r="F38" s="472"/>
      <c r="G38" s="472"/>
      <c r="H38" s="472"/>
      <c r="I38" s="472"/>
      <c r="J38" s="472"/>
      <c r="K38" s="472"/>
      <c r="L38" s="472"/>
      <c r="M38" s="472"/>
      <c r="N38" s="472"/>
      <c r="O38" s="473">
        <f t="shared" ref="O38" si="35">$C38*O37</f>
        <v>10366.804683773998</v>
      </c>
      <c r="P38" s="473">
        <f t="shared" ref="P38" si="36">$C38*P37</f>
        <v>10366.804683773998</v>
      </c>
      <c r="Q38" s="472"/>
      <c r="R38" s="472"/>
      <c r="S38" s="147"/>
      <c r="U38" s="143"/>
    </row>
    <row r="39" spans="1:22" ht="24" customHeight="1" thickBot="1" x14ac:dyDescent="0.3">
      <c r="A39" s="139">
        <v>17</v>
      </c>
      <c r="B39" s="139" t="str">
        <f>RESUMO!B29</f>
        <v>GUARDA CORPO</v>
      </c>
      <c r="C39" s="140">
        <f>C40/$C$49</f>
        <v>3.807318868850466E-3</v>
      </c>
      <c r="D39" s="469"/>
      <c r="E39" s="470"/>
      <c r="F39" s="470"/>
      <c r="G39" s="470"/>
      <c r="H39" s="470"/>
      <c r="I39" s="470"/>
      <c r="J39" s="470"/>
      <c r="K39" s="470"/>
      <c r="L39" s="470"/>
      <c r="M39" s="470"/>
      <c r="N39" s="470"/>
      <c r="O39" s="470"/>
      <c r="P39" s="474">
        <v>0.5</v>
      </c>
      <c r="Q39" s="474">
        <v>0.5</v>
      </c>
      <c r="R39" s="470"/>
      <c r="S39" s="141"/>
      <c r="T39" s="142">
        <f>SUM(D39:R39)</f>
        <v>1</v>
      </c>
      <c r="U39" s="143">
        <f t="shared" ref="U39" si="37">SUM(D39:R39)</f>
        <v>1</v>
      </c>
      <c r="V39" s="143">
        <f>1-U39</f>
        <v>0</v>
      </c>
    </row>
    <row r="40" spans="1:22" ht="18" customHeight="1" thickTop="1" x14ac:dyDescent="0.25">
      <c r="A40" s="144"/>
      <c r="B40" s="144"/>
      <c r="C40" s="145">
        <f>RESUMO!H29</f>
        <v>15948.208599199999</v>
      </c>
      <c r="D40" s="471"/>
      <c r="E40" s="472"/>
      <c r="F40" s="472"/>
      <c r="G40" s="472"/>
      <c r="H40" s="472"/>
      <c r="I40" s="472"/>
      <c r="J40" s="472"/>
      <c r="K40" s="472"/>
      <c r="L40" s="472"/>
      <c r="M40" s="472"/>
      <c r="N40" s="472"/>
      <c r="O40" s="472"/>
      <c r="P40" s="473">
        <f t="shared" ref="P40:Q40" si="38">$C40*P39</f>
        <v>7974.1042995999996</v>
      </c>
      <c r="Q40" s="473">
        <f t="shared" si="38"/>
        <v>7974.1042995999996</v>
      </c>
      <c r="R40" s="472"/>
      <c r="S40" s="147"/>
      <c r="U40" s="143"/>
    </row>
    <row r="41" spans="1:22" ht="24" customHeight="1" thickBot="1" x14ac:dyDescent="0.3">
      <c r="A41" s="139">
        <v>18</v>
      </c>
      <c r="B41" s="139" t="str">
        <f>RESUMO!B30</f>
        <v>PLATAFORMA ELEVATÓRIA</v>
      </c>
      <c r="C41" s="140">
        <f>C42/$C$49</f>
        <v>1.5172719983808466E-2</v>
      </c>
      <c r="D41" s="469"/>
      <c r="E41" s="470"/>
      <c r="F41" s="470"/>
      <c r="G41" s="470"/>
      <c r="H41" s="470"/>
      <c r="I41" s="470"/>
      <c r="J41" s="470"/>
      <c r="K41" s="470"/>
      <c r="L41" s="470"/>
      <c r="M41" s="470"/>
      <c r="N41" s="470"/>
      <c r="O41" s="470"/>
      <c r="P41" s="474">
        <v>0.5</v>
      </c>
      <c r="Q41" s="474">
        <v>0.5</v>
      </c>
      <c r="R41" s="470"/>
      <c r="S41" s="141"/>
      <c r="T41" s="142">
        <f>SUM(D41:R41)</f>
        <v>1</v>
      </c>
      <c r="U41" s="143">
        <f t="shared" ref="U41" si="39">SUM(D41:R41)</f>
        <v>1</v>
      </c>
      <c r="V41" s="143">
        <f>1-U41</f>
        <v>0</v>
      </c>
    </row>
    <row r="42" spans="1:22" ht="18" customHeight="1" thickTop="1" x14ac:dyDescent="0.25">
      <c r="A42" s="144"/>
      <c r="B42" s="144"/>
      <c r="C42" s="145">
        <f>RESUMO!H30</f>
        <v>63555.933099999995</v>
      </c>
      <c r="D42" s="471"/>
      <c r="E42" s="472"/>
      <c r="F42" s="472"/>
      <c r="G42" s="472"/>
      <c r="H42" s="472"/>
      <c r="I42" s="472"/>
      <c r="J42" s="472"/>
      <c r="K42" s="472"/>
      <c r="L42" s="472"/>
      <c r="M42" s="472"/>
      <c r="N42" s="472"/>
      <c r="O42" s="472"/>
      <c r="P42" s="473">
        <f t="shared" ref="P42:Q42" si="40">$C42*P41</f>
        <v>31777.966549999997</v>
      </c>
      <c r="Q42" s="473">
        <f t="shared" si="40"/>
        <v>31777.966549999997</v>
      </c>
      <c r="R42" s="472"/>
      <c r="S42" s="147"/>
      <c r="U42" s="143"/>
    </row>
    <row r="43" spans="1:22" ht="24" customHeight="1" thickBot="1" x14ac:dyDescent="0.3">
      <c r="A43" s="139">
        <v>19</v>
      </c>
      <c r="B43" s="139" t="str">
        <f>RESUMO!B31</f>
        <v>DIVERSOS</v>
      </c>
      <c r="C43" s="140">
        <f>C44/$C$49</f>
        <v>5.8747617920212438E-3</v>
      </c>
      <c r="D43" s="469"/>
      <c r="E43" s="470"/>
      <c r="F43" s="470"/>
      <c r="G43" s="470"/>
      <c r="H43" s="470"/>
      <c r="I43" s="470"/>
      <c r="J43" s="470"/>
      <c r="K43" s="470"/>
      <c r="L43" s="470"/>
      <c r="M43" s="470"/>
      <c r="N43" s="470"/>
      <c r="O43" s="474">
        <v>0.25</v>
      </c>
      <c r="P43" s="474">
        <v>0.3</v>
      </c>
      <c r="Q43" s="474">
        <v>0.3</v>
      </c>
      <c r="R43" s="474">
        <v>0.15</v>
      </c>
      <c r="S43" s="141"/>
      <c r="T43" s="142">
        <f>SUM(D43:R43)</f>
        <v>1</v>
      </c>
      <c r="U43" s="143">
        <f t="shared" ref="U43" si="41">SUM(D43:R43)</f>
        <v>1</v>
      </c>
      <c r="V43" s="143">
        <f>1-U43</f>
        <v>0</v>
      </c>
    </row>
    <row r="44" spans="1:22" ht="18" customHeight="1" thickTop="1" x14ac:dyDescent="0.25">
      <c r="A44" s="144"/>
      <c r="B44" s="144"/>
      <c r="C44" s="145">
        <f>RESUMO!H31</f>
        <v>24608.373965286748</v>
      </c>
      <c r="D44" s="471"/>
      <c r="E44" s="472"/>
      <c r="F44" s="472"/>
      <c r="G44" s="472"/>
      <c r="H44" s="472"/>
      <c r="I44" s="472"/>
      <c r="J44" s="472"/>
      <c r="K44" s="472"/>
      <c r="L44" s="472"/>
      <c r="M44" s="472"/>
      <c r="N44" s="472"/>
      <c r="O44" s="473">
        <f t="shared" ref="O44:Q44" si="42">$C44*O43</f>
        <v>6152.093491321687</v>
      </c>
      <c r="P44" s="473">
        <f t="shared" si="42"/>
        <v>7382.5121895860239</v>
      </c>
      <c r="Q44" s="473">
        <f t="shared" si="42"/>
        <v>7382.5121895860239</v>
      </c>
      <c r="R44" s="473">
        <f t="shared" ref="R44" si="43">$C44*R43</f>
        <v>3691.2560947930119</v>
      </c>
      <c r="S44" s="147"/>
      <c r="U44" s="143"/>
    </row>
    <row r="45" spans="1:22" ht="24" customHeight="1" thickBot="1" x14ac:dyDescent="0.3">
      <c r="A45" s="139">
        <v>20</v>
      </c>
      <c r="B45" s="139" t="str">
        <f>RESUMO!B32</f>
        <v>PAISAGISMO</v>
      </c>
      <c r="C45" s="140">
        <f>C46/$C$49</f>
        <v>2.4878301488054713E-3</v>
      </c>
      <c r="D45" s="469"/>
      <c r="E45" s="470"/>
      <c r="F45" s="470"/>
      <c r="G45" s="470"/>
      <c r="H45" s="470"/>
      <c r="I45" s="470"/>
      <c r="J45" s="470"/>
      <c r="K45" s="470"/>
      <c r="L45" s="470"/>
      <c r="M45" s="470"/>
      <c r="N45" s="470"/>
      <c r="O45" s="470"/>
      <c r="P45" s="470"/>
      <c r="Q45" s="474">
        <v>0.5</v>
      </c>
      <c r="R45" s="474">
        <v>0.5</v>
      </c>
      <c r="S45" s="141"/>
      <c r="T45" s="142">
        <f>SUM(D45:R45)</f>
        <v>1</v>
      </c>
      <c r="U45" s="143">
        <f t="shared" ref="U45" si="44">SUM(D45:R45)</f>
        <v>1</v>
      </c>
      <c r="V45" s="143">
        <f>1-U45</f>
        <v>0</v>
      </c>
    </row>
    <row r="46" spans="1:22" ht="18" customHeight="1" thickTop="1" x14ac:dyDescent="0.25">
      <c r="A46" s="144"/>
      <c r="B46" s="144"/>
      <c r="C46" s="145">
        <f>RESUMO!H32</f>
        <v>10421.095668434999</v>
      </c>
      <c r="D46" s="471"/>
      <c r="E46" s="472"/>
      <c r="F46" s="472"/>
      <c r="G46" s="472"/>
      <c r="H46" s="472"/>
      <c r="I46" s="472"/>
      <c r="J46" s="472"/>
      <c r="K46" s="472"/>
      <c r="L46" s="472"/>
      <c r="M46" s="472"/>
      <c r="N46" s="472"/>
      <c r="O46" s="472"/>
      <c r="P46" s="472"/>
      <c r="Q46" s="473">
        <f t="shared" ref="Q46" si="45">$C46*Q45</f>
        <v>5210.5478342174993</v>
      </c>
      <c r="R46" s="473">
        <f t="shared" ref="R46" si="46">$C46*R45</f>
        <v>5210.5478342174993</v>
      </c>
      <c r="S46" s="147"/>
      <c r="U46" s="143"/>
    </row>
    <row r="47" spans="1:22" ht="24" customHeight="1" thickBot="1" x14ac:dyDescent="0.3">
      <c r="A47" s="139">
        <v>21</v>
      </c>
      <c r="B47" s="139" t="str">
        <f>RESUMO!B33</f>
        <v>LIMPEZA DURANTE E FINAL DA OBRA</v>
      </c>
      <c r="C47" s="140">
        <f>C48/$C$49</f>
        <v>2.2899571595049129E-2</v>
      </c>
      <c r="D47" s="474">
        <f>D48/$C48</f>
        <v>3.1762186279027077E-2</v>
      </c>
      <c r="E47" s="474">
        <f t="shared" ref="E47:R47" si="47">E48/$C48</f>
        <v>0.17549098508977012</v>
      </c>
      <c r="F47" s="474">
        <f t="shared" si="47"/>
        <v>0.17549098508977012</v>
      </c>
      <c r="G47" s="474">
        <f t="shared" si="47"/>
        <v>0.17549098508977012</v>
      </c>
      <c r="H47" s="474">
        <f t="shared" si="47"/>
        <v>3.1762186279027077E-2</v>
      </c>
      <c r="I47" s="474">
        <f t="shared" si="47"/>
        <v>3.1762186279027077E-2</v>
      </c>
      <c r="J47" s="474">
        <f t="shared" si="47"/>
        <v>3.1762186279027077E-2</v>
      </c>
      <c r="K47" s="474">
        <f t="shared" si="47"/>
        <v>3.1762186279027077E-2</v>
      </c>
      <c r="L47" s="474">
        <f t="shared" si="47"/>
        <v>3.1762186279027077E-2</v>
      </c>
      <c r="M47" s="474">
        <f t="shared" si="47"/>
        <v>3.1762186279027077E-2</v>
      </c>
      <c r="N47" s="474">
        <f t="shared" si="47"/>
        <v>3.1762186279027077E-2</v>
      </c>
      <c r="O47" s="474">
        <f t="shared" si="47"/>
        <v>3.1762186279027077E-2</v>
      </c>
      <c r="P47" s="474">
        <f t="shared" si="47"/>
        <v>3.1762186279027077E-2</v>
      </c>
      <c r="Q47" s="474">
        <f t="shared" si="47"/>
        <v>3.1762186279027077E-2</v>
      </c>
      <c r="R47" s="474">
        <f t="shared" si="47"/>
        <v>0.12414299566139188</v>
      </c>
      <c r="S47" s="141"/>
      <c r="T47" s="142">
        <f>SUM(D47:R47)</f>
        <v>0.99999999999999978</v>
      </c>
      <c r="U47" s="143">
        <f t="shared" ref="U47" si="48">SUM(D47:R47)</f>
        <v>0.99999999999999978</v>
      </c>
      <c r="V47" s="143">
        <f>1-U47</f>
        <v>0</v>
      </c>
    </row>
    <row r="48" spans="1:22" ht="18" customHeight="1" thickTop="1" x14ac:dyDescent="0.25">
      <c r="A48" s="144"/>
      <c r="B48" s="144"/>
      <c r="C48" s="145">
        <f>RESUMO!H33</f>
        <v>95922.395052879991</v>
      </c>
      <c r="D48" s="473">
        <f>[3]SINTÉTICA!$J$369/15</f>
        <v>3046.7049799999995</v>
      </c>
      <c r="E48" s="473">
        <f>[3]SINTÉTICA!$J$369/15+[3]SINTÉTICA!$J$370/3</f>
        <v>16833.515600000002</v>
      </c>
      <c r="F48" s="473">
        <f>[3]SINTÉTICA!$J$369/15+[3]SINTÉTICA!$J$370/3</f>
        <v>16833.515600000002</v>
      </c>
      <c r="G48" s="473">
        <f>[3]SINTÉTICA!$J$369/15+[3]SINTÉTICA!$J$370/3</f>
        <v>16833.515600000002</v>
      </c>
      <c r="H48" s="473">
        <f>[3]SINTÉTICA!$J$369/15</f>
        <v>3046.7049799999995</v>
      </c>
      <c r="I48" s="473">
        <f>[3]SINTÉTICA!$J$369/15</f>
        <v>3046.7049799999995</v>
      </c>
      <c r="J48" s="473">
        <f>[3]SINTÉTICA!$J$369/15</f>
        <v>3046.7049799999995</v>
      </c>
      <c r="K48" s="473">
        <f>[3]SINTÉTICA!$J$369/15</f>
        <v>3046.7049799999995</v>
      </c>
      <c r="L48" s="473">
        <f>[3]SINTÉTICA!$J$369/15</f>
        <v>3046.7049799999995</v>
      </c>
      <c r="M48" s="473">
        <f>[3]SINTÉTICA!$J$369/15</f>
        <v>3046.7049799999995</v>
      </c>
      <c r="N48" s="473">
        <f>[3]SINTÉTICA!$J$369/15</f>
        <v>3046.7049799999995</v>
      </c>
      <c r="O48" s="473">
        <f>[3]SINTÉTICA!$J$369/15</f>
        <v>3046.7049799999995</v>
      </c>
      <c r="P48" s="473">
        <f>[3]SINTÉTICA!$J$369/15</f>
        <v>3046.7049799999995</v>
      </c>
      <c r="Q48" s="473">
        <f>[3]SINTÉTICA!$J$369/15</f>
        <v>3046.7049799999995</v>
      </c>
      <c r="R48" s="473">
        <f>[3]SINTÉTICA!$J$369/15+[3]SINTÉTICA!$J$371</f>
        <v>11908.093472879998</v>
      </c>
      <c r="S48" s="147"/>
      <c r="U48" s="143"/>
    </row>
    <row r="49" spans="1:21" ht="18" customHeight="1" x14ac:dyDescent="0.25">
      <c r="A49" s="148"/>
      <c r="B49" s="148"/>
      <c r="C49" s="149">
        <f>SUM(C8,C10,C12,C14,C16,C18,C20,C22,C24,C26,C28,C30,C32,C34,C36,C38,C40,C42,C44,C46,C48)</f>
        <v>4188829.2387800976</v>
      </c>
      <c r="D49" s="148"/>
      <c r="E49" s="148"/>
      <c r="F49" s="148"/>
      <c r="G49" s="148"/>
      <c r="H49" s="148"/>
      <c r="I49" s="148"/>
      <c r="J49" s="148"/>
      <c r="K49" s="148"/>
      <c r="L49" s="148"/>
      <c r="M49" s="148"/>
      <c r="N49" s="148"/>
      <c r="O49" s="148"/>
      <c r="P49" s="148"/>
      <c r="Q49" s="148"/>
      <c r="R49" s="148"/>
      <c r="S49" s="148"/>
    </row>
    <row r="50" spans="1:21" x14ac:dyDescent="0.25">
      <c r="A50" s="148"/>
      <c r="B50" s="148"/>
      <c r="C50" s="150"/>
      <c r="D50" s="148"/>
      <c r="E50" s="148"/>
      <c r="F50" s="148"/>
      <c r="G50" s="148"/>
      <c r="H50" s="148"/>
      <c r="I50" s="148"/>
      <c r="J50" s="148"/>
      <c r="K50" s="148"/>
      <c r="L50" s="148"/>
      <c r="M50" s="148"/>
      <c r="N50" s="148"/>
      <c r="O50" s="148"/>
      <c r="P50" s="148"/>
      <c r="Q50" s="148"/>
      <c r="R50" s="148"/>
      <c r="S50" s="148"/>
    </row>
    <row r="51" spans="1:21" x14ac:dyDescent="0.25">
      <c r="A51" s="151"/>
      <c r="B51" s="151"/>
      <c r="C51" s="152" t="s">
        <v>974</v>
      </c>
      <c r="D51" s="475">
        <v>9.0303901547164524E-3</v>
      </c>
      <c r="E51" s="475">
        <v>0.14825898417747271</v>
      </c>
      <c r="F51" s="475">
        <v>0.21258999557510946</v>
      </c>
      <c r="G51" s="475">
        <v>0.17062979006776036</v>
      </c>
      <c r="H51" s="475">
        <v>4.4856893339766279E-2</v>
      </c>
      <c r="I51" s="475">
        <v>5.2700837369075569E-2</v>
      </c>
      <c r="J51" s="475">
        <v>5.3722484261881087E-2</v>
      </c>
      <c r="K51" s="475">
        <v>5.6425750272743699E-2</v>
      </c>
      <c r="L51" s="475">
        <v>6.952855966270427E-2</v>
      </c>
      <c r="M51" s="475">
        <v>6.0139013215842183E-2</v>
      </c>
      <c r="N51" s="475">
        <v>4.3824471363504709E-2</v>
      </c>
      <c r="O51" s="475">
        <v>1.5032513852465419E-2</v>
      </c>
      <c r="P51" s="475">
        <v>2.3190681066351592E-2</v>
      </c>
      <c r="Q51" s="475">
        <v>1.8111305082565251E-2</v>
      </c>
      <c r="R51" s="475">
        <v>2.195832981616487E-2</v>
      </c>
    </row>
    <row r="52" spans="1:21" x14ac:dyDescent="0.25">
      <c r="A52" s="151"/>
      <c r="B52" s="151"/>
      <c r="C52" s="153" t="s">
        <v>975</v>
      </c>
      <c r="D52" s="476">
        <f>SUM(D8,D10,D12,D14,D16,D18,D20,D22,D24,D26,D28,D30,D32,D34,D36,D38,D40,D42,D44,D46,D48)</f>
        <v>65563.417933548553</v>
      </c>
      <c r="E52" s="476">
        <f t="shared" ref="E52:R52" si="49">SUM(E8,E10,E12,E14,E16,E18,E20,E22,E24,E26,E28,E30,E32,E34,E36,E38,E40,E42,E44,E46,E48)</f>
        <v>704503.5017923878</v>
      </c>
      <c r="F52" s="476">
        <f t="shared" si="49"/>
        <v>934437.31051774509</v>
      </c>
      <c r="G52" s="476">
        <f t="shared" si="49"/>
        <v>748986.53909915523</v>
      </c>
      <c r="H52" s="476">
        <f t="shared" si="49"/>
        <v>174874.84329967259</v>
      </c>
      <c r="I52" s="476">
        <f t="shared" si="49"/>
        <v>204752.36901516933</v>
      </c>
      <c r="J52" s="476">
        <f t="shared" si="49"/>
        <v>208643.81458391322</v>
      </c>
      <c r="K52" s="476">
        <f t="shared" si="49"/>
        <v>218940.53513367279</v>
      </c>
      <c r="L52" s="476">
        <f t="shared" si="49"/>
        <v>269450.17009977665</v>
      </c>
      <c r="M52" s="476">
        <f t="shared" si="49"/>
        <v>233685.45602548771</v>
      </c>
      <c r="N52" s="476">
        <f t="shared" si="49"/>
        <v>170942.3554867832</v>
      </c>
      <c r="O52" s="476">
        <f t="shared" si="49"/>
        <v>61273.998895553712</v>
      </c>
      <c r="P52" s="476">
        <f t="shared" si="49"/>
        <v>92348.398443161655</v>
      </c>
      <c r="Q52" s="476">
        <f t="shared" si="49"/>
        <v>73001.09229115484</v>
      </c>
      <c r="R52" s="476">
        <f t="shared" si="49"/>
        <v>27425.435847778754</v>
      </c>
    </row>
    <row r="53" spans="1:21" ht="14.45" customHeight="1" x14ac:dyDescent="0.25">
      <c r="A53" s="151"/>
      <c r="B53" s="151"/>
      <c r="C53" s="152" t="s">
        <v>976</v>
      </c>
      <c r="D53" s="475">
        <f>D51</f>
        <v>9.0303901547164524E-3</v>
      </c>
      <c r="E53" s="475">
        <f>E51+D53</f>
        <v>0.15728937433218917</v>
      </c>
      <c r="F53" s="475">
        <f t="shared" ref="F53:M53" si="50">F51+E53</f>
        <v>0.36987936990729864</v>
      </c>
      <c r="G53" s="475">
        <f t="shared" si="50"/>
        <v>0.54050915997505899</v>
      </c>
      <c r="H53" s="475">
        <f t="shared" si="50"/>
        <v>0.58536605331482527</v>
      </c>
      <c r="I53" s="475">
        <f t="shared" si="50"/>
        <v>0.63806689068390088</v>
      </c>
      <c r="J53" s="475">
        <f t="shared" si="50"/>
        <v>0.69178937494578197</v>
      </c>
      <c r="K53" s="475">
        <f t="shared" si="50"/>
        <v>0.74821512521852562</v>
      </c>
      <c r="L53" s="475">
        <f t="shared" si="50"/>
        <v>0.81774368488122984</v>
      </c>
      <c r="M53" s="475">
        <f t="shared" si="50"/>
        <v>0.87788269809707198</v>
      </c>
      <c r="N53" s="475">
        <f t="shared" ref="N53:N54" si="51">N51+M53</f>
        <v>0.92170716946057674</v>
      </c>
      <c r="O53" s="475">
        <f t="shared" ref="O53:O54" si="52">O51+N53</f>
        <v>0.93673968331304214</v>
      </c>
      <c r="P53" s="475">
        <f t="shared" ref="P53:P54" si="53">P51+O53</f>
        <v>0.95993036437939372</v>
      </c>
      <c r="Q53" s="475">
        <f t="shared" ref="Q53:Q54" si="54">Q51+P53</f>
        <v>0.97804166946195892</v>
      </c>
      <c r="R53" s="475">
        <f t="shared" ref="R53:R54" si="55">R51+Q53</f>
        <v>0.99999999927812377</v>
      </c>
      <c r="T53" s="154"/>
    </row>
    <row r="54" spans="1:21" x14ac:dyDescent="0.25">
      <c r="A54" s="151"/>
      <c r="B54" s="151"/>
      <c r="C54" s="153" t="s">
        <v>977</v>
      </c>
      <c r="D54" s="476">
        <f>D52</f>
        <v>65563.417933548553</v>
      </c>
      <c r="E54" s="476">
        <f>E52+D54</f>
        <v>770066.91972593637</v>
      </c>
      <c r="F54" s="476">
        <f t="shared" ref="F54:M54" si="56">F52+E54</f>
        <v>1704504.2302436815</v>
      </c>
      <c r="G54" s="476">
        <f t="shared" si="56"/>
        <v>2453490.7693428369</v>
      </c>
      <c r="H54" s="476">
        <f t="shared" si="56"/>
        <v>2628365.6126425094</v>
      </c>
      <c r="I54" s="476">
        <f t="shared" si="56"/>
        <v>2833117.9816576787</v>
      </c>
      <c r="J54" s="476">
        <f t="shared" si="56"/>
        <v>3041761.7962415922</v>
      </c>
      <c r="K54" s="476">
        <f t="shared" si="56"/>
        <v>3260702.331375265</v>
      </c>
      <c r="L54" s="476">
        <f t="shared" si="56"/>
        <v>3530152.5014750417</v>
      </c>
      <c r="M54" s="476">
        <f t="shared" si="56"/>
        <v>3763837.9575005295</v>
      </c>
      <c r="N54" s="476">
        <f t="shared" si="51"/>
        <v>3934780.3129873127</v>
      </c>
      <c r="O54" s="476">
        <f t="shared" si="52"/>
        <v>3996054.3118828665</v>
      </c>
      <c r="P54" s="476">
        <f t="shared" si="53"/>
        <v>4088402.7103260281</v>
      </c>
      <c r="Q54" s="476">
        <f t="shared" si="54"/>
        <v>4161403.802617183</v>
      </c>
      <c r="R54" s="476">
        <f t="shared" si="55"/>
        <v>4188829.2384649618</v>
      </c>
      <c r="T54" s="155"/>
      <c r="U54" s="13">
        <f>R54-RESUMO!H37</f>
        <v>-3.1513581052422523E-4</v>
      </c>
    </row>
    <row r="55" spans="1:21" x14ac:dyDescent="0.25">
      <c r="A55" s="117"/>
      <c r="B55" s="117"/>
      <c r="C55" s="117"/>
      <c r="D55" s="65"/>
      <c r="E55" s="65"/>
      <c r="F55" s="65"/>
      <c r="G55" s="65"/>
      <c r="H55" s="65"/>
      <c r="I55" s="65"/>
      <c r="J55" s="65"/>
      <c r="K55" s="65"/>
      <c r="L55" s="65"/>
      <c r="M55" s="65"/>
      <c r="N55" s="65"/>
      <c r="O55" s="65"/>
      <c r="P55" s="65"/>
      <c r="Q55" s="65"/>
      <c r="R55" s="65"/>
    </row>
    <row r="56" spans="1:21" x14ac:dyDescent="0.25">
      <c r="A56" s="117"/>
      <c r="B56" s="117"/>
      <c r="C56" s="117"/>
      <c r="D56" s="156"/>
      <c r="E56" s="156"/>
      <c r="F56" s="156"/>
      <c r="G56" s="156"/>
      <c r="H56" s="156"/>
      <c r="I56" s="156"/>
      <c r="J56" s="156"/>
      <c r="K56" s="156"/>
      <c r="L56" s="156"/>
      <c r="M56" s="156"/>
      <c r="N56" s="156"/>
      <c r="O56" s="156"/>
      <c r="P56" s="156"/>
      <c r="Q56" s="156"/>
      <c r="R56" s="156"/>
    </row>
    <row r="57" spans="1:21" x14ac:dyDescent="0.25">
      <c r="A57" s="117"/>
      <c r="B57" s="117"/>
      <c r="C57" s="157"/>
      <c r="D57" s="156"/>
      <c r="E57" s="156"/>
      <c r="F57" s="156"/>
      <c r="G57" s="156"/>
      <c r="H57" s="156"/>
      <c r="I57" s="156"/>
      <c r="J57" s="156"/>
      <c r="K57" s="156"/>
      <c r="L57" s="156"/>
      <c r="M57" s="156"/>
      <c r="N57" s="156"/>
      <c r="O57" s="156"/>
      <c r="P57" s="156"/>
      <c r="Q57" s="156"/>
      <c r="R57" s="156"/>
    </row>
    <row r="58" spans="1:21" x14ac:dyDescent="0.25">
      <c r="A58" s="117"/>
      <c r="B58" s="117"/>
      <c r="C58" s="117"/>
      <c r="D58" s="65"/>
      <c r="E58" s="65"/>
      <c r="F58" s="65"/>
      <c r="G58" s="65"/>
      <c r="H58" s="65"/>
      <c r="I58" s="65"/>
      <c r="J58" s="65"/>
      <c r="K58" s="65"/>
      <c r="L58" s="65"/>
      <c r="M58" s="65"/>
      <c r="N58" s="65"/>
      <c r="O58" s="65"/>
      <c r="P58" s="65"/>
      <c r="Q58" s="65"/>
      <c r="R58" s="65"/>
    </row>
    <row r="59" spans="1:21" x14ac:dyDescent="0.25">
      <c r="A59" s="158"/>
      <c r="B59" s="158"/>
      <c r="C59" s="158"/>
      <c r="D59" s="65"/>
      <c r="E59" s="65"/>
      <c r="F59" s="65"/>
      <c r="G59" s="65"/>
      <c r="H59" s="65"/>
      <c r="I59" s="65"/>
      <c r="J59" s="65"/>
      <c r="K59" s="65"/>
      <c r="L59" s="65"/>
      <c r="M59" s="65"/>
      <c r="N59" s="65"/>
      <c r="O59" s="65"/>
      <c r="P59" s="65"/>
      <c r="Q59" s="65"/>
      <c r="R59" s="65"/>
    </row>
    <row r="60" spans="1:21" x14ac:dyDescent="0.25">
      <c r="A60" s="117"/>
      <c r="B60" s="117"/>
      <c r="C60" s="117"/>
      <c r="D60" s="65"/>
      <c r="E60" s="65"/>
      <c r="F60" s="65"/>
      <c r="G60" s="65"/>
      <c r="H60" s="65"/>
      <c r="I60" s="65"/>
      <c r="J60" s="65"/>
      <c r="K60" s="65"/>
      <c r="L60" s="65"/>
      <c r="M60" s="65"/>
      <c r="N60" s="65"/>
      <c r="O60" s="65"/>
      <c r="P60" s="65"/>
      <c r="Q60" s="65"/>
      <c r="R60" s="65"/>
    </row>
    <row r="61" spans="1:21" x14ac:dyDescent="0.25">
      <c r="A61" s="118"/>
      <c r="B61" s="112" t="s">
        <v>1818</v>
      </c>
      <c r="C61" s="65"/>
      <c r="D61" s="65"/>
      <c r="E61" s="65"/>
      <c r="F61" s="65"/>
      <c r="G61" s="65"/>
      <c r="H61" s="65"/>
      <c r="I61" s="65"/>
      <c r="J61" s="65"/>
      <c r="K61" s="65"/>
      <c r="L61" s="65"/>
      <c r="M61" s="65"/>
      <c r="N61" s="65"/>
      <c r="O61" s="65"/>
      <c r="P61" s="65"/>
      <c r="Q61" s="65"/>
      <c r="R61" s="65"/>
    </row>
    <row r="62" spans="1:21" x14ac:dyDescent="0.25">
      <c r="A62" s="65"/>
      <c r="B62" s="598" t="s">
        <v>1819</v>
      </c>
      <c r="C62" s="112"/>
      <c r="D62" s="65"/>
      <c r="E62" s="65"/>
      <c r="F62" s="65"/>
      <c r="G62" s="65"/>
      <c r="H62" s="65"/>
      <c r="I62" s="65"/>
      <c r="J62" s="65"/>
      <c r="K62" s="65"/>
      <c r="L62" s="65"/>
      <c r="M62" s="65"/>
      <c r="N62" s="65"/>
      <c r="O62" s="65"/>
      <c r="P62" s="65"/>
      <c r="Q62" s="65"/>
      <c r="R62" s="65"/>
    </row>
    <row r="63" spans="1:21" x14ac:dyDescent="0.25">
      <c r="A63" s="65"/>
      <c r="B63" s="116" t="s">
        <v>1820</v>
      </c>
      <c r="C63" s="114"/>
      <c r="D63" s="65"/>
      <c r="E63" s="65"/>
      <c r="F63" s="65"/>
      <c r="G63" s="65"/>
      <c r="H63" s="65"/>
      <c r="I63" s="65"/>
      <c r="J63" s="65"/>
      <c r="K63" s="65"/>
      <c r="L63" s="65"/>
      <c r="M63" s="65"/>
      <c r="N63" s="65"/>
      <c r="O63" s="65"/>
      <c r="P63" s="65"/>
      <c r="Q63" s="65"/>
      <c r="R63" s="65"/>
    </row>
    <row r="64" spans="1:21" x14ac:dyDescent="0.25">
      <c r="A64" s="65"/>
      <c r="B64" s="598" t="s">
        <v>1821</v>
      </c>
      <c r="C64" s="116"/>
      <c r="D64" s="65"/>
      <c r="E64" s="65"/>
      <c r="F64" s="65"/>
      <c r="G64" s="65"/>
      <c r="H64" s="65"/>
      <c r="I64" s="65"/>
      <c r="J64" s="65"/>
      <c r="K64" s="65"/>
      <c r="L64" s="65"/>
      <c r="M64" s="65"/>
      <c r="N64" s="65"/>
      <c r="O64" s="65"/>
      <c r="P64" s="65"/>
      <c r="Q64" s="65"/>
      <c r="R64" s="65"/>
    </row>
    <row r="65" spans="1:18" x14ac:dyDescent="0.25">
      <c r="A65" s="65"/>
      <c r="B65" s="115"/>
      <c r="C65" s="115"/>
      <c r="D65" s="65"/>
      <c r="E65" s="65"/>
      <c r="F65" s="65"/>
      <c r="G65" s="65"/>
      <c r="H65" s="65"/>
      <c r="I65" s="65"/>
      <c r="J65" s="65"/>
      <c r="K65" s="65"/>
      <c r="L65" s="65"/>
      <c r="M65" s="65"/>
      <c r="N65" s="65"/>
      <c r="O65" s="65"/>
      <c r="P65" s="65"/>
      <c r="Q65" s="65"/>
      <c r="R65" s="65"/>
    </row>
  </sheetData>
  <mergeCells count="4">
    <mergeCell ref="Q2:R2"/>
    <mergeCell ref="B2:B3"/>
    <mergeCell ref="A5:R5"/>
    <mergeCell ref="C2:D4"/>
  </mergeCells>
  <printOptions horizontalCentered="1"/>
  <pageMargins left="0.31496062992125984" right="0.31496062992125984" top="0.19685039370078741" bottom="0" header="0.31496062992125984" footer="0"/>
  <pageSetup paperSize="9" scale="32" orientation="landscape" horizontalDpi="4294967293" r:id="rId1"/>
  <headerFooter>
    <oddFooter>&amp;R&amp;P/&amp;N</oddFooter>
  </headerFooter>
  <colBreaks count="1" manualBreakCount="1">
    <brk id="18"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64050-EFA1-4811-8D9D-510E40CE6109}">
  <sheetPr>
    <tabColor theme="9" tint="0.79998168889431442"/>
    <pageSetUpPr fitToPage="1"/>
  </sheetPr>
  <dimension ref="A1:N291"/>
  <sheetViews>
    <sheetView view="pageBreakPreview" topLeftCell="A267" zoomScaleNormal="100" zoomScaleSheetLayoutView="100" workbookViewId="0">
      <selection activeCell="D20" sqref="D20"/>
    </sheetView>
  </sheetViews>
  <sheetFormatPr defaultRowHeight="15" x14ac:dyDescent="0.25"/>
  <cols>
    <col min="1" max="1" width="7.5703125" style="578" bestFit="1" customWidth="1"/>
    <col min="2" max="3" width="12.7109375" customWidth="1"/>
    <col min="4" max="4" width="71.7109375" customWidth="1"/>
    <col min="6" max="6" width="9.5703125" customWidth="1"/>
    <col min="7" max="7" width="11.28515625" bestFit="1" customWidth="1"/>
    <col min="8" max="8" width="14.140625" bestFit="1" customWidth="1"/>
    <col min="9" max="9" width="11.7109375" customWidth="1"/>
    <col min="10" max="10" width="12" customWidth="1"/>
    <col min="11" max="11" width="15.7109375" bestFit="1" customWidth="1"/>
    <col min="12" max="12" width="16.7109375" customWidth="1"/>
    <col min="13" max="13" width="13.28515625" bestFit="1" customWidth="1"/>
  </cols>
  <sheetData>
    <row r="1" spans="1:12" ht="14.45" customHeight="1" x14ac:dyDescent="0.25">
      <c r="A1" s="1"/>
      <c r="B1" s="2" t="s">
        <v>272</v>
      </c>
      <c r="C1" s="3"/>
      <c r="D1" s="2"/>
      <c r="E1" s="659" t="s">
        <v>273</v>
      </c>
      <c r="F1" s="659"/>
      <c r="G1" s="659"/>
      <c r="H1" s="3" t="s">
        <v>274</v>
      </c>
      <c r="I1" s="3"/>
      <c r="J1" s="483"/>
      <c r="K1" s="659" t="s">
        <v>275</v>
      </c>
      <c r="L1" s="660"/>
    </row>
    <row r="2" spans="1:12" ht="14.45" customHeight="1" x14ac:dyDescent="0.25">
      <c r="A2" s="4"/>
      <c r="B2" s="665" t="s">
        <v>898</v>
      </c>
      <c r="C2" s="665"/>
      <c r="D2" s="665"/>
      <c r="E2" s="666" t="str">
        <f>RESUMO!C2</f>
        <v xml:space="preserve">SINAPI - 07/2025 - Minas Gerais
SETOP/SICOR - 04/2025 - Minas Gerais
SBC - 08/2025 - Minas Gerais                                                                                                                                                                                                                                                                                                                                                                                                                               ORSE - 06/2025 - Sergipe                                                                                                                                                                                                                                                                                                                                                                                                                                                            EMBASA - 01/2025 - Bahia                                                                                                                                                                                                                                                                                                                                                                                                                                              CPOS - 02/2025 - São Paulo                                                                                                                                                                                                                                                                                                                                                                                                                        GOINFRA - 12/2024 - Goiás                                                                                                                                                                                                                                                                                                            </v>
      </c>
      <c r="F2" s="666"/>
      <c r="G2" s="666"/>
      <c r="H2" t="s">
        <v>277</v>
      </c>
      <c r="I2" s="465">
        <f>'BDI SERVIÇOS'!$Z$21</f>
        <v>0.2223</v>
      </c>
      <c r="J2" s="7"/>
      <c r="K2" s="8" t="s">
        <v>278</v>
      </c>
      <c r="L2" s="9"/>
    </row>
    <row r="3" spans="1:12" ht="14.45" customHeight="1" x14ac:dyDescent="0.25">
      <c r="A3" s="4"/>
      <c r="B3" s="665"/>
      <c r="C3" s="665"/>
      <c r="D3" s="665"/>
      <c r="E3" s="666"/>
      <c r="F3" s="666"/>
      <c r="G3" s="666"/>
      <c r="H3" s="7" t="s">
        <v>279</v>
      </c>
      <c r="I3" s="465">
        <f>'BDI EQUIPAMENTOS'!$K$36</f>
        <v>0.1623</v>
      </c>
      <c r="J3" s="7"/>
      <c r="K3" s="10" t="s">
        <v>280</v>
      </c>
      <c r="L3" s="621">
        <f>'Encargos Sociais'!$G$48</f>
        <v>1.1679000000000002</v>
      </c>
    </row>
    <row r="4" spans="1:12" ht="14.45" customHeight="1" x14ac:dyDescent="0.25">
      <c r="A4" s="4"/>
      <c r="B4" s="665"/>
      <c r="C4" s="665"/>
      <c r="D4" s="665"/>
      <c r="E4" s="666"/>
      <c r="F4" s="666"/>
      <c r="G4" s="666"/>
      <c r="H4" s="7"/>
      <c r="I4" s="6"/>
      <c r="J4" s="7"/>
      <c r="K4" s="10" t="s">
        <v>281</v>
      </c>
      <c r="L4" s="621">
        <f>'Encargos Sociais'!$H$48</f>
        <v>0.73930000000000007</v>
      </c>
    </row>
    <row r="5" spans="1:12" ht="14.45" customHeight="1" x14ac:dyDescent="0.25">
      <c r="A5" s="4"/>
      <c r="B5" s="665"/>
      <c r="C5" s="665"/>
      <c r="D5" s="665"/>
      <c r="E5" s="666"/>
      <c r="F5" s="666"/>
      <c r="G5" s="666"/>
      <c r="H5" s="7"/>
      <c r="I5" s="6"/>
      <c r="J5" s="7"/>
      <c r="K5" s="10"/>
      <c r="L5" s="621"/>
    </row>
    <row r="6" spans="1:12" ht="14.45" customHeight="1" x14ac:dyDescent="0.25">
      <c r="A6" s="4"/>
      <c r="B6" s="665"/>
      <c r="C6" s="665"/>
      <c r="D6" s="665"/>
      <c r="E6" s="666"/>
      <c r="F6" s="666"/>
      <c r="G6" s="666"/>
      <c r="H6" s="7"/>
      <c r="I6" s="6"/>
      <c r="J6" s="7"/>
      <c r="K6" s="10"/>
      <c r="L6" s="621"/>
    </row>
    <row r="7" spans="1:12" ht="14.45" customHeight="1" x14ac:dyDescent="0.25">
      <c r="A7" s="4"/>
      <c r="B7" s="665"/>
      <c r="C7" s="665"/>
      <c r="D7" s="665"/>
      <c r="E7" s="666"/>
      <c r="F7" s="666"/>
      <c r="G7" s="666"/>
      <c r="H7" s="7"/>
      <c r="I7" s="6"/>
      <c r="J7" s="7"/>
      <c r="K7" s="10"/>
      <c r="L7" s="11"/>
    </row>
    <row r="8" spans="1:12" ht="14.45" customHeight="1" x14ac:dyDescent="0.25">
      <c r="A8" s="4"/>
      <c r="B8" s="5"/>
      <c r="C8" s="5"/>
      <c r="D8" s="5"/>
      <c r="E8" s="666"/>
      <c r="F8" s="666"/>
      <c r="G8" s="666"/>
      <c r="H8" s="7"/>
      <c r="I8" s="6"/>
      <c r="J8" s="649"/>
      <c r="K8" s="10"/>
      <c r="L8" s="11"/>
    </row>
    <row r="9" spans="1:12" ht="30" customHeight="1" x14ac:dyDescent="0.25">
      <c r="A9" s="913" t="s">
        <v>980</v>
      </c>
      <c r="B9" s="914"/>
      <c r="C9" s="914"/>
      <c r="D9" s="914"/>
      <c r="E9" s="914"/>
      <c r="F9" s="914"/>
      <c r="G9" s="914"/>
      <c r="H9" s="914"/>
      <c r="I9" s="914"/>
      <c r="J9" s="914"/>
      <c r="K9" s="914"/>
      <c r="L9" s="915"/>
    </row>
    <row r="10" spans="1:12" ht="30" customHeight="1" x14ac:dyDescent="0.25">
      <c r="A10" s="916" t="s">
        <v>981</v>
      </c>
      <c r="B10" s="917"/>
      <c r="C10" s="917"/>
      <c r="D10" s="917"/>
      <c r="E10" s="917"/>
      <c r="F10" s="917"/>
      <c r="G10" s="917"/>
      <c r="H10" s="917"/>
      <c r="I10" s="917"/>
      <c r="J10" s="917"/>
      <c r="K10" s="917"/>
      <c r="L10" s="918"/>
    </row>
    <row r="11" spans="1:12" ht="30.6" customHeight="1" x14ac:dyDescent="0.25">
      <c r="A11" s="919" t="s">
        <v>982</v>
      </c>
      <c r="B11" s="920"/>
      <c r="C11" s="920"/>
      <c r="D11" s="920"/>
      <c r="E11" s="920"/>
      <c r="F11" s="920"/>
      <c r="G11" s="920"/>
      <c r="H11" s="920"/>
      <c r="I11" s="920"/>
      <c r="J11" s="920"/>
      <c r="K11" s="920"/>
      <c r="L11" s="921"/>
    </row>
    <row r="12" spans="1:12" ht="14.45" customHeight="1" x14ac:dyDescent="0.25">
      <c r="A12" s="4"/>
      <c r="B12" s="5"/>
      <c r="C12" s="5"/>
      <c r="D12" s="5"/>
      <c r="E12" s="99"/>
      <c r="F12" s="99"/>
      <c r="G12" s="99"/>
      <c r="H12" s="7"/>
      <c r="I12" s="6"/>
      <c r="J12" s="7"/>
      <c r="K12" s="7"/>
      <c r="L12" s="485"/>
    </row>
    <row r="13" spans="1:12" ht="14.45" customHeight="1" x14ac:dyDescent="0.25">
      <c r="A13" s="484"/>
      <c r="B13" s="459"/>
      <c r="C13" s="459"/>
      <c r="D13" s="459"/>
      <c r="E13" s="468"/>
      <c r="F13" s="468"/>
      <c r="G13" s="468"/>
      <c r="H13" s="463"/>
      <c r="I13" s="462"/>
      <c r="J13" s="463"/>
      <c r="K13" s="458"/>
      <c r="L13" s="485"/>
    </row>
    <row r="14" spans="1:12" x14ac:dyDescent="0.25">
      <c r="A14" s="672" t="s">
        <v>978</v>
      </c>
      <c r="B14" s="673"/>
      <c r="C14" s="673"/>
      <c r="D14" s="673"/>
      <c r="E14" s="673"/>
      <c r="F14" s="673"/>
      <c r="G14" s="673"/>
      <c r="H14" s="673"/>
      <c r="I14" s="673"/>
      <c r="J14" s="673"/>
      <c r="K14" s="673"/>
      <c r="L14" s="674"/>
    </row>
    <row r="15" spans="1:12" x14ac:dyDescent="0.25">
      <c r="A15" s="672"/>
      <c r="B15" s="673"/>
      <c r="C15" s="673"/>
      <c r="D15" s="673"/>
      <c r="E15" s="673"/>
      <c r="F15" s="673"/>
      <c r="G15" s="673"/>
      <c r="H15" s="673"/>
      <c r="I15" s="673"/>
      <c r="J15" s="673"/>
      <c r="K15" s="673"/>
      <c r="L15" s="674"/>
    </row>
    <row r="16" spans="1:12" ht="30" x14ac:dyDescent="0.25">
      <c r="A16" s="622" t="s">
        <v>283</v>
      </c>
      <c r="B16" s="430" t="s">
        <v>310</v>
      </c>
      <c r="C16" s="427" t="s">
        <v>311</v>
      </c>
      <c r="D16" s="427" t="s">
        <v>284</v>
      </c>
      <c r="E16" s="429" t="s">
        <v>312</v>
      </c>
      <c r="F16" s="430" t="s">
        <v>313</v>
      </c>
      <c r="G16" s="431" t="s">
        <v>314</v>
      </c>
      <c r="H16" s="431" t="s">
        <v>315</v>
      </c>
      <c r="I16" s="431" t="s">
        <v>316</v>
      </c>
      <c r="J16" s="431" t="s">
        <v>317</v>
      </c>
      <c r="K16" s="430" t="s">
        <v>318</v>
      </c>
      <c r="L16" s="623" t="s">
        <v>979</v>
      </c>
    </row>
    <row r="17" spans="1:14" ht="30" customHeight="1" x14ac:dyDescent="0.25">
      <c r="A17" s="913" t="s">
        <v>980</v>
      </c>
      <c r="B17" s="914"/>
      <c r="C17" s="914"/>
      <c r="D17" s="914"/>
      <c r="E17" s="914"/>
      <c r="F17" s="914"/>
      <c r="G17" s="914"/>
      <c r="H17" s="914"/>
      <c r="I17" s="914"/>
      <c r="J17" s="914"/>
      <c r="K17" s="914"/>
      <c r="L17" s="915"/>
    </row>
    <row r="18" spans="1:14" ht="25.15" customHeight="1" x14ac:dyDescent="0.25">
      <c r="A18" s="497" t="s">
        <v>1974</v>
      </c>
      <c r="B18" s="425" t="s">
        <v>1789</v>
      </c>
      <c r="C18" s="426" t="s">
        <v>1790</v>
      </c>
      <c r="D18" s="438" t="s">
        <v>1788</v>
      </c>
      <c r="E18" s="439" t="s">
        <v>735</v>
      </c>
      <c r="F18" s="440">
        <v>1</v>
      </c>
      <c r="G18" s="439">
        <v>747768.41</v>
      </c>
      <c r="H18" s="441">
        <f t="shared" ref="H18:H58" si="0">F18*G18</f>
        <v>747768.41</v>
      </c>
      <c r="I18" s="441">
        <v>913997.32754299999</v>
      </c>
      <c r="J18" s="441">
        <f t="shared" ref="J18:J58" si="1">F18*I18</f>
        <v>913997.32754299999</v>
      </c>
      <c r="K18" s="467">
        <f t="shared" ref="K18:K58" si="2">J18/$K$283</f>
        <v>0.21819875565258939</v>
      </c>
      <c r="L18" s="491">
        <f>K18</f>
        <v>0.21819875565258939</v>
      </c>
    </row>
    <row r="19" spans="1:14" ht="40.15" customHeight="1" x14ac:dyDescent="0.25">
      <c r="A19" s="650" t="s">
        <v>1859</v>
      </c>
      <c r="B19" s="425">
        <v>41785</v>
      </c>
      <c r="C19" s="651" t="s">
        <v>321</v>
      </c>
      <c r="D19" s="652" t="s">
        <v>1768</v>
      </c>
      <c r="E19" s="653" t="s">
        <v>0</v>
      </c>
      <c r="F19" s="440">
        <v>286</v>
      </c>
      <c r="G19" s="653">
        <v>1364.29</v>
      </c>
      <c r="H19" s="441">
        <f t="shared" si="0"/>
        <v>390186.94</v>
      </c>
      <c r="I19" s="654">
        <v>1667.5716669999999</v>
      </c>
      <c r="J19" s="441">
        <f t="shared" si="1"/>
        <v>476925.49676199997</v>
      </c>
      <c r="K19" s="467">
        <f t="shared" si="2"/>
        <v>0.1138565144519699</v>
      </c>
      <c r="L19" s="655">
        <f t="shared" ref="L19:L83" si="3">K19+L18</f>
        <v>0.33205527010455926</v>
      </c>
      <c r="N19" s="101"/>
    </row>
    <row r="20" spans="1:14" ht="40.15" customHeight="1" x14ac:dyDescent="0.25">
      <c r="A20" s="650" t="s">
        <v>287</v>
      </c>
      <c r="B20" s="425">
        <v>101169</v>
      </c>
      <c r="C20" s="651" t="s">
        <v>321</v>
      </c>
      <c r="D20" s="652" t="s">
        <v>116</v>
      </c>
      <c r="E20" s="653" t="s">
        <v>2</v>
      </c>
      <c r="F20" s="440">
        <v>943.8</v>
      </c>
      <c r="G20" s="653">
        <v>216.32</v>
      </c>
      <c r="H20" s="441">
        <f t="shared" si="0"/>
        <v>204162.81599999999</v>
      </c>
      <c r="I20" s="654">
        <v>264.40793600000001</v>
      </c>
      <c r="J20" s="441">
        <f t="shared" si="1"/>
        <v>249548.2099968</v>
      </c>
      <c r="K20" s="467">
        <f t="shared" si="2"/>
        <v>5.957469158362623E-2</v>
      </c>
      <c r="L20" s="655">
        <f t="shared" si="3"/>
        <v>0.39162996168818548</v>
      </c>
      <c r="N20" s="101"/>
    </row>
    <row r="21" spans="1:14" ht="55.15" customHeight="1" x14ac:dyDescent="0.25">
      <c r="A21" s="650" t="s">
        <v>288</v>
      </c>
      <c r="B21" s="425" t="s">
        <v>202</v>
      </c>
      <c r="C21" s="651" t="s">
        <v>323</v>
      </c>
      <c r="D21" s="652" t="s">
        <v>203</v>
      </c>
      <c r="E21" s="653" t="s">
        <v>199</v>
      </c>
      <c r="F21" s="440">
        <v>5135</v>
      </c>
      <c r="G21" s="653">
        <v>25.28</v>
      </c>
      <c r="H21" s="441">
        <f t="shared" si="0"/>
        <v>129812.8</v>
      </c>
      <c r="I21" s="654">
        <v>30.899743999999998</v>
      </c>
      <c r="J21" s="441">
        <f t="shared" si="1"/>
        <v>158670.18544</v>
      </c>
      <c r="K21" s="467">
        <f t="shared" si="2"/>
        <v>3.7879363515474607E-2</v>
      </c>
      <c r="L21" s="491">
        <f t="shared" si="3"/>
        <v>0.42950932520366009</v>
      </c>
    </row>
    <row r="22" spans="1:14" ht="25.15" customHeight="1" x14ac:dyDescent="0.25">
      <c r="A22" s="497" t="s">
        <v>289</v>
      </c>
      <c r="B22" s="425">
        <v>1796</v>
      </c>
      <c r="C22" s="426" t="s">
        <v>539</v>
      </c>
      <c r="D22" s="438" t="s">
        <v>1826</v>
      </c>
      <c r="E22" s="439" t="s">
        <v>540</v>
      </c>
      <c r="F22" s="440">
        <v>50.604000000000013</v>
      </c>
      <c r="G22" s="439">
        <v>1655.52</v>
      </c>
      <c r="H22" s="441">
        <f t="shared" si="0"/>
        <v>83775.934080000021</v>
      </c>
      <c r="I22" s="441">
        <v>2023.5420959999999</v>
      </c>
      <c r="J22" s="441">
        <f t="shared" si="1"/>
        <v>102399.32422598402</v>
      </c>
      <c r="K22" s="467">
        <f t="shared" si="2"/>
        <v>2.4445810127081136E-2</v>
      </c>
      <c r="L22" s="491">
        <f t="shared" si="3"/>
        <v>0.45395513533074122</v>
      </c>
    </row>
    <row r="23" spans="1:14" ht="70.150000000000006" customHeight="1" x14ac:dyDescent="0.25">
      <c r="A23" s="650" t="s">
        <v>290</v>
      </c>
      <c r="B23" s="425" t="s">
        <v>209</v>
      </c>
      <c r="C23" s="651" t="s">
        <v>323</v>
      </c>
      <c r="D23" s="652" t="s">
        <v>1717</v>
      </c>
      <c r="E23" s="653" t="s">
        <v>156</v>
      </c>
      <c r="F23" s="440">
        <v>452.90959999999995</v>
      </c>
      <c r="G23" s="653">
        <v>147.47</v>
      </c>
      <c r="H23" s="441">
        <f t="shared" si="0"/>
        <v>66790.578711999988</v>
      </c>
      <c r="I23" s="654">
        <v>180.25258099999999</v>
      </c>
      <c r="J23" s="441">
        <f t="shared" si="1"/>
        <v>81638.124359677589</v>
      </c>
      <c r="K23" s="467">
        <f t="shared" si="2"/>
        <v>1.9489484938625214E-2</v>
      </c>
      <c r="L23" s="491">
        <f t="shared" si="3"/>
        <v>0.47344462026936646</v>
      </c>
    </row>
    <row r="24" spans="1:14" ht="55.15" customHeight="1" x14ac:dyDescent="0.25">
      <c r="A24" s="650" t="s">
        <v>291</v>
      </c>
      <c r="B24" s="425" t="s">
        <v>1725</v>
      </c>
      <c r="C24" s="651" t="s">
        <v>323</v>
      </c>
      <c r="D24" s="652" t="s">
        <v>1726</v>
      </c>
      <c r="E24" s="653" t="s">
        <v>251</v>
      </c>
      <c r="F24" s="440">
        <v>59685.911999999989</v>
      </c>
      <c r="G24" s="653">
        <v>1.1100000000000001</v>
      </c>
      <c r="H24" s="441">
        <f t="shared" si="0"/>
        <v>66251.36232</v>
      </c>
      <c r="I24" s="654">
        <v>1.3567530000000001</v>
      </c>
      <c r="J24" s="441">
        <f t="shared" si="1"/>
        <v>80979.04016373599</v>
      </c>
      <c r="K24" s="467">
        <f t="shared" si="2"/>
        <v>1.9332141643310187E-2</v>
      </c>
      <c r="L24" s="491">
        <f t="shared" si="3"/>
        <v>0.49277676191267666</v>
      </c>
    </row>
    <row r="25" spans="1:14" ht="25.15" customHeight="1" x14ac:dyDescent="0.25">
      <c r="A25" s="497" t="s">
        <v>292</v>
      </c>
      <c r="B25" s="425" t="s">
        <v>1817</v>
      </c>
      <c r="C25" s="426" t="s">
        <v>358</v>
      </c>
      <c r="D25" s="438" t="s">
        <v>1816</v>
      </c>
      <c r="E25" s="439" t="s">
        <v>2</v>
      </c>
      <c r="F25" s="440">
        <v>1088.0800000000002</v>
      </c>
      <c r="G25" s="439">
        <v>60.045872000000003</v>
      </c>
      <c r="H25" s="441">
        <f t="shared" si="0"/>
        <v>65334.712405760016</v>
      </c>
      <c r="I25" s="441">
        <v>73.394069345600002</v>
      </c>
      <c r="J25" s="441">
        <f t="shared" si="1"/>
        <v>79858.618973560457</v>
      </c>
      <c r="K25" s="467">
        <f t="shared" si="2"/>
        <v>1.9064663279713338E-2</v>
      </c>
      <c r="L25" s="491">
        <f t="shared" si="3"/>
        <v>0.51184142519238995</v>
      </c>
    </row>
    <row r="26" spans="1:14" ht="40.15" customHeight="1" x14ac:dyDescent="0.25">
      <c r="A26" s="650" t="s">
        <v>293</v>
      </c>
      <c r="B26" s="425" t="s">
        <v>241</v>
      </c>
      <c r="C26" s="651" t="s">
        <v>323</v>
      </c>
      <c r="D26" s="652" t="s">
        <v>242</v>
      </c>
      <c r="E26" s="653" t="s">
        <v>224</v>
      </c>
      <c r="F26" s="440">
        <v>20</v>
      </c>
      <c r="G26" s="653">
        <v>2683.36</v>
      </c>
      <c r="H26" s="441">
        <f t="shared" si="0"/>
        <v>53667.200000000004</v>
      </c>
      <c r="I26" s="654">
        <v>3279.8709279999998</v>
      </c>
      <c r="J26" s="441">
        <f t="shared" si="1"/>
        <v>65597.418559999991</v>
      </c>
      <c r="K26" s="467">
        <f t="shared" si="2"/>
        <v>1.5660084195531398E-2</v>
      </c>
      <c r="L26" s="655">
        <f t="shared" si="3"/>
        <v>0.5275015093879214</v>
      </c>
      <c r="N26" s="101"/>
    </row>
    <row r="27" spans="1:14" ht="40.15" customHeight="1" x14ac:dyDescent="0.25">
      <c r="A27" s="650" t="s">
        <v>294</v>
      </c>
      <c r="B27" s="425">
        <v>13303</v>
      </c>
      <c r="C27" s="651" t="s">
        <v>539</v>
      </c>
      <c r="D27" s="652" t="s">
        <v>719</v>
      </c>
      <c r="E27" s="653" t="s">
        <v>1</v>
      </c>
      <c r="F27" s="440">
        <v>1</v>
      </c>
      <c r="G27" s="653">
        <v>51997</v>
      </c>
      <c r="H27" s="441">
        <f t="shared" si="0"/>
        <v>51997</v>
      </c>
      <c r="I27" s="654">
        <v>63555.933099999995</v>
      </c>
      <c r="J27" s="441">
        <f t="shared" si="1"/>
        <v>63555.933099999995</v>
      </c>
      <c r="K27" s="467">
        <f t="shared" si="2"/>
        <v>1.5172719983808475E-2</v>
      </c>
      <c r="L27" s="655">
        <f t="shared" si="3"/>
        <v>0.54267422937172982</v>
      </c>
      <c r="N27" s="101"/>
    </row>
    <row r="28" spans="1:14" ht="25.15" customHeight="1" x14ac:dyDescent="0.25">
      <c r="A28" s="497" t="s">
        <v>295</v>
      </c>
      <c r="B28" s="425" t="s">
        <v>657</v>
      </c>
      <c r="C28" s="426" t="s">
        <v>358</v>
      </c>
      <c r="D28" s="438" t="s">
        <v>658</v>
      </c>
      <c r="E28" s="439" t="s">
        <v>540</v>
      </c>
      <c r="F28" s="440">
        <v>86.76</v>
      </c>
      <c r="G28" s="439">
        <v>585.02162999999996</v>
      </c>
      <c r="H28" s="441">
        <f t="shared" si="0"/>
        <v>50756.476618799999</v>
      </c>
      <c r="I28" s="441">
        <v>715.07193834899988</v>
      </c>
      <c r="J28" s="441">
        <f t="shared" si="1"/>
        <v>62039.641371159232</v>
      </c>
      <c r="K28" s="467">
        <f t="shared" si="2"/>
        <v>1.4810735371305544E-2</v>
      </c>
      <c r="L28" s="491">
        <f t="shared" si="3"/>
        <v>0.55748496474303533</v>
      </c>
    </row>
    <row r="29" spans="1:14" ht="25.15" customHeight="1" x14ac:dyDescent="0.25">
      <c r="A29" s="497" t="s">
        <v>296</v>
      </c>
      <c r="B29" s="425">
        <v>11617</v>
      </c>
      <c r="C29" s="426" t="s">
        <v>539</v>
      </c>
      <c r="D29" s="438" t="s">
        <v>674</v>
      </c>
      <c r="E29" s="439" t="s">
        <v>540</v>
      </c>
      <c r="F29" s="440">
        <v>96.34</v>
      </c>
      <c r="G29" s="439">
        <v>506.71</v>
      </c>
      <c r="H29" s="441">
        <f t="shared" si="0"/>
        <v>48816.441400000003</v>
      </c>
      <c r="I29" s="441">
        <v>619.35163299999999</v>
      </c>
      <c r="J29" s="441">
        <f t="shared" si="1"/>
        <v>59668.336323219999</v>
      </c>
      <c r="K29" s="467">
        <f t="shared" si="2"/>
        <v>1.4244633266692222E-2</v>
      </c>
      <c r="L29" s="491">
        <f t="shared" si="3"/>
        <v>0.57172959800972756</v>
      </c>
    </row>
    <row r="30" spans="1:14" ht="25.15" customHeight="1" x14ac:dyDescent="0.25">
      <c r="A30" s="497" t="s">
        <v>297</v>
      </c>
      <c r="B30" s="425" t="s">
        <v>339</v>
      </c>
      <c r="C30" s="426" t="s">
        <v>335</v>
      </c>
      <c r="D30" s="438" t="s">
        <v>340</v>
      </c>
      <c r="E30" s="439" t="s">
        <v>337</v>
      </c>
      <c r="F30" s="440">
        <v>10</v>
      </c>
      <c r="G30" s="439">
        <v>4480</v>
      </c>
      <c r="H30" s="441">
        <f t="shared" si="0"/>
        <v>44800</v>
      </c>
      <c r="I30" s="441">
        <v>5475.9039999999995</v>
      </c>
      <c r="J30" s="441">
        <f t="shared" si="1"/>
        <v>54759.039999999994</v>
      </c>
      <c r="K30" s="467">
        <f t="shared" si="2"/>
        <v>1.3072636022743998E-2</v>
      </c>
      <c r="L30" s="491">
        <f t="shared" si="3"/>
        <v>0.58480223403247156</v>
      </c>
    </row>
    <row r="31" spans="1:14" ht="25.15" customHeight="1" x14ac:dyDescent="0.25">
      <c r="A31" s="497" t="s">
        <v>298</v>
      </c>
      <c r="B31" s="425" t="s">
        <v>342</v>
      </c>
      <c r="C31" s="426" t="s">
        <v>335</v>
      </c>
      <c r="D31" s="438" t="s">
        <v>343</v>
      </c>
      <c r="E31" s="439" t="s">
        <v>337</v>
      </c>
      <c r="F31" s="440">
        <v>10</v>
      </c>
      <c r="G31" s="439">
        <v>4480</v>
      </c>
      <c r="H31" s="441">
        <f t="shared" si="0"/>
        <v>44800</v>
      </c>
      <c r="I31" s="441">
        <v>5475.9039999999995</v>
      </c>
      <c r="J31" s="441">
        <f t="shared" si="1"/>
        <v>54759.039999999994</v>
      </c>
      <c r="K31" s="467">
        <f t="shared" si="2"/>
        <v>1.3072636022743998E-2</v>
      </c>
      <c r="L31" s="491">
        <f t="shared" si="3"/>
        <v>0.59787487005521556</v>
      </c>
    </row>
    <row r="32" spans="1:14" ht="40.15" customHeight="1" x14ac:dyDescent="0.25">
      <c r="A32" s="650" t="s">
        <v>299</v>
      </c>
      <c r="B32" s="425" t="s">
        <v>237</v>
      </c>
      <c r="C32" s="651" t="s">
        <v>323</v>
      </c>
      <c r="D32" s="652" t="s">
        <v>238</v>
      </c>
      <c r="E32" s="653" t="s">
        <v>224</v>
      </c>
      <c r="F32" s="440">
        <v>12</v>
      </c>
      <c r="G32" s="653">
        <v>3490.85</v>
      </c>
      <c r="H32" s="441">
        <f t="shared" si="0"/>
        <v>41890.199999999997</v>
      </c>
      <c r="I32" s="654">
        <v>4266.8659549999993</v>
      </c>
      <c r="J32" s="441">
        <f t="shared" si="1"/>
        <v>51202.391459999992</v>
      </c>
      <c r="K32" s="467">
        <f t="shared" si="2"/>
        <v>1.2223556641070325E-2</v>
      </c>
      <c r="L32" s="655">
        <f t="shared" si="3"/>
        <v>0.61009842669628589</v>
      </c>
      <c r="N32" s="101"/>
    </row>
    <row r="33" spans="1:14" ht="70.150000000000006" customHeight="1" x14ac:dyDescent="0.25">
      <c r="A33" s="650" t="s">
        <v>300</v>
      </c>
      <c r="B33" s="425" t="s">
        <v>191</v>
      </c>
      <c r="C33" s="651" t="s">
        <v>323</v>
      </c>
      <c r="D33" s="652" t="s">
        <v>192</v>
      </c>
      <c r="E33" s="653" t="s">
        <v>158</v>
      </c>
      <c r="F33" s="440">
        <v>180</v>
      </c>
      <c r="G33" s="653">
        <v>220.71</v>
      </c>
      <c r="H33" s="441">
        <f t="shared" si="0"/>
        <v>39727.800000000003</v>
      </c>
      <c r="I33" s="654">
        <v>269.77383300000002</v>
      </c>
      <c r="J33" s="441">
        <f t="shared" si="1"/>
        <v>48559.289940000002</v>
      </c>
      <c r="K33" s="467">
        <f t="shared" si="2"/>
        <v>1.1592568513043954E-2</v>
      </c>
      <c r="L33" s="491">
        <f t="shared" si="3"/>
        <v>0.6216909952093298</v>
      </c>
    </row>
    <row r="34" spans="1:14" ht="25.15" customHeight="1" x14ac:dyDescent="0.25">
      <c r="A34" s="497" t="s">
        <v>301</v>
      </c>
      <c r="B34" s="425" t="s">
        <v>247</v>
      </c>
      <c r="C34" s="426" t="s">
        <v>323</v>
      </c>
      <c r="D34" s="438" t="s">
        <v>248</v>
      </c>
      <c r="E34" s="439" t="s">
        <v>188</v>
      </c>
      <c r="F34" s="440">
        <v>15</v>
      </c>
      <c r="G34" s="439">
        <v>2492.6</v>
      </c>
      <c r="H34" s="441">
        <f t="shared" si="0"/>
        <v>37389</v>
      </c>
      <c r="I34" s="441">
        <v>3046.7049799999995</v>
      </c>
      <c r="J34" s="441">
        <f t="shared" si="1"/>
        <v>45700.57469999999</v>
      </c>
      <c r="K34" s="467">
        <f t="shared" si="2"/>
        <v>1.0910106880678019E-2</v>
      </c>
      <c r="L34" s="491">
        <f t="shared" si="3"/>
        <v>0.63260110209000786</v>
      </c>
    </row>
    <row r="35" spans="1:14" ht="55.15" customHeight="1" x14ac:dyDescent="0.25">
      <c r="A35" s="650" t="s">
        <v>302</v>
      </c>
      <c r="B35" s="425">
        <v>6259</v>
      </c>
      <c r="C35" s="651" t="s">
        <v>321</v>
      </c>
      <c r="D35" s="652" t="s">
        <v>6</v>
      </c>
      <c r="E35" s="653" t="s">
        <v>4</v>
      </c>
      <c r="F35" s="440">
        <v>132</v>
      </c>
      <c r="G35" s="653">
        <v>256.35000000000002</v>
      </c>
      <c r="H35" s="441">
        <f t="shared" si="0"/>
        <v>33838.200000000004</v>
      </c>
      <c r="I35" s="654">
        <v>313.33660500000002</v>
      </c>
      <c r="J35" s="441">
        <f t="shared" si="1"/>
        <v>41360.431860000004</v>
      </c>
      <c r="K35" s="467">
        <f t="shared" si="2"/>
        <v>9.8739837559110727E-3</v>
      </c>
      <c r="L35" s="491">
        <f t="shared" si="3"/>
        <v>0.64247508584591895</v>
      </c>
    </row>
    <row r="36" spans="1:14" ht="40.15" customHeight="1" x14ac:dyDescent="0.25">
      <c r="A36" s="650" t="s">
        <v>303</v>
      </c>
      <c r="B36" s="425">
        <v>41782</v>
      </c>
      <c r="C36" s="651" t="s">
        <v>321</v>
      </c>
      <c r="D36" s="652" t="s">
        <v>1770</v>
      </c>
      <c r="E36" s="653" t="s">
        <v>0</v>
      </c>
      <c r="F36" s="440">
        <v>60</v>
      </c>
      <c r="G36" s="653">
        <v>544.49</v>
      </c>
      <c r="H36" s="441">
        <f t="shared" si="0"/>
        <v>32669.4</v>
      </c>
      <c r="I36" s="654">
        <v>665.53012699999999</v>
      </c>
      <c r="J36" s="441">
        <f t="shared" si="1"/>
        <v>39931.80762</v>
      </c>
      <c r="K36" s="467">
        <f t="shared" si="2"/>
        <v>9.5329280196748394E-3</v>
      </c>
      <c r="L36" s="655">
        <f t="shared" si="3"/>
        <v>0.65200801386559382</v>
      </c>
      <c r="N36" s="101"/>
    </row>
    <row r="37" spans="1:14" ht="25.15" customHeight="1" x14ac:dyDescent="0.25">
      <c r="A37" s="497" t="s">
        <v>304</v>
      </c>
      <c r="B37" s="425" t="s">
        <v>365</v>
      </c>
      <c r="C37" s="426" t="s">
        <v>358</v>
      </c>
      <c r="D37" s="438" t="s">
        <v>366</v>
      </c>
      <c r="E37" s="439" t="s">
        <v>540</v>
      </c>
      <c r="F37" s="440">
        <v>20</v>
      </c>
      <c r="G37" s="439">
        <v>1631.02</v>
      </c>
      <c r="H37" s="441">
        <f t="shared" si="0"/>
        <v>32620.400000000001</v>
      </c>
      <c r="I37" s="441">
        <v>1993.595746</v>
      </c>
      <c r="J37" s="441">
        <f t="shared" si="1"/>
        <v>39871.914919999996</v>
      </c>
      <c r="K37" s="467">
        <f t="shared" si="2"/>
        <v>9.5186298240249618E-3</v>
      </c>
      <c r="L37" s="491">
        <f t="shared" si="3"/>
        <v>0.66152664368961878</v>
      </c>
    </row>
    <row r="38" spans="1:14" ht="25.15" customHeight="1" x14ac:dyDescent="0.25">
      <c r="A38" s="497" t="s">
        <v>305</v>
      </c>
      <c r="B38" s="425" t="s">
        <v>357</v>
      </c>
      <c r="C38" s="426" t="s">
        <v>358</v>
      </c>
      <c r="D38" s="438" t="s">
        <v>359</v>
      </c>
      <c r="E38" s="439" t="s">
        <v>360</v>
      </c>
      <c r="F38" s="440">
        <v>558.59999999999991</v>
      </c>
      <c r="G38" s="439">
        <v>54.313360000000003</v>
      </c>
      <c r="H38" s="441">
        <f t="shared" si="0"/>
        <v>30339.442895999997</v>
      </c>
      <c r="I38" s="441">
        <v>66.387219928000007</v>
      </c>
      <c r="J38" s="441">
        <f t="shared" si="1"/>
        <v>37083.901051780798</v>
      </c>
      <c r="K38" s="467">
        <f t="shared" si="2"/>
        <v>8.8530467435766549E-3</v>
      </c>
      <c r="L38" s="491">
        <f t="shared" si="3"/>
        <v>0.67037969043319545</v>
      </c>
    </row>
    <row r="39" spans="1:14" ht="40.15" customHeight="1" x14ac:dyDescent="0.25">
      <c r="A39" s="650" t="s">
        <v>1842</v>
      </c>
      <c r="B39" s="425">
        <v>104921</v>
      </c>
      <c r="C39" s="651" t="s">
        <v>321</v>
      </c>
      <c r="D39" s="652" t="s">
        <v>52</v>
      </c>
      <c r="E39" s="653" t="s">
        <v>10</v>
      </c>
      <c r="F39" s="440">
        <v>2986</v>
      </c>
      <c r="G39" s="653">
        <v>10.16</v>
      </c>
      <c r="H39" s="441">
        <f t="shared" si="0"/>
        <v>30337.760000000002</v>
      </c>
      <c r="I39" s="654">
        <v>12.418567999999999</v>
      </c>
      <c r="J39" s="441">
        <f t="shared" si="1"/>
        <v>37081.844047999999</v>
      </c>
      <c r="K39" s="467">
        <f t="shared" si="2"/>
        <v>8.852555674673258E-3</v>
      </c>
      <c r="L39" s="655">
        <f t="shared" si="3"/>
        <v>0.6792322461078687</v>
      </c>
      <c r="N39" s="101"/>
    </row>
    <row r="40" spans="1:14" ht="55.15" customHeight="1" x14ac:dyDescent="0.25">
      <c r="A40" s="650" t="s">
        <v>1860</v>
      </c>
      <c r="B40" s="425" t="s">
        <v>219</v>
      </c>
      <c r="C40" s="651" t="s">
        <v>323</v>
      </c>
      <c r="D40" s="652" t="s">
        <v>220</v>
      </c>
      <c r="E40" s="653" t="s">
        <v>156</v>
      </c>
      <c r="F40" s="440">
        <v>457.03</v>
      </c>
      <c r="G40" s="653">
        <v>64.650000000000006</v>
      </c>
      <c r="H40" s="441">
        <f t="shared" si="0"/>
        <v>29546.9895</v>
      </c>
      <c r="I40" s="654">
        <v>79.021695000000008</v>
      </c>
      <c r="J40" s="441">
        <f t="shared" si="1"/>
        <v>36115.285265850005</v>
      </c>
      <c r="K40" s="467">
        <f t="shared" si="2"/>
        <v>8.6218089129763125E-3</v>
      </c>
      <c r="L40" s="491">
        <f t="shared" si="3"/>
        <v>0.68785405502084496</v>
      </c>
    </row>
    <row r="41" spans="1:14" ht="40.15" customHeight="1" x14ac:dyDescent="0.25">
      <c r="A41" s="650" t="s">
        <v>1861</v>
      </c>
      <c r="B41" s="425">
        <v>102039</v>
      </c>
      <c r="C41" s="651" t="s">
        <v>321</v>
      </c>
      <c r="D41" s="652" t="s">
        <v>30</v>
      </c>
      <c r="E41" s="653" t="s">
        <v>2</v>
      </c>
      <c r="F41" s="440">
        <v>48.86</v>
      </c>
      <c r="G41" s="653">
        <v>597.57000000000005</v>
      </c>
      <c r="H41" s="441">
        <f t="shared" si="0"/>
        <v>29197.270200000003</v>
      </c>
      <c r="I41" s="654">
        <v>730.40981099999999</v>
      </c>
      <c r="J41" s="441">
        <f t="shared" si="1"/>
        <v>35687.823365459997</v>
      </c>
      <c r="K41" s="467">
        <f t="shared" si="2"/>
        <v>8.5197608522837032E-3</v>
      </c>
      <c r="L41" s="655">
        <f t="shared" si="3"/>
        <v>0.69637381587312863</v>
      </c>
      <c r="N41" s="101"/>
    </row>
    <row r="42" spans="1:14" ht="40.15" customHeight="1" x14ac:dyDescent="0.25">
      <c r="A42" s="650" t="s">
        <v>1862</v>
      </c>
      <c r="B42" s="425">
        <v>91927</v>
      </c>
      <c r="C42" s="651" t="s">
        <v>321</v>
      </c>
      <c r="D42" s="652" t="s">
        <v>68</v>
      </c>
      <c r="E42" s="653" t="s">
        <v>0</v>
      </c>
      <c r="F42" s="440">
        <v>5424.71</v>
      </c>
      <c r="G42" s="653">
        <v>5.19</v>
      </c>
      <c r="H42" s="441">
        <f t="shared" si="0"/>
        <v>28154.244900000002</v>
      </c>
      <c r="I42" s="654">
        <v>6.343737</v>
      </c>
      <c r="J42" s="441">
        <f t="shared" si="1"/>
        <v>34412.933541270002</v>
      </c>
      <c r="K42" s="467">
        <f t="shared" si="2"/>
        <v>8.2154061623414404E-3</v>
      </c>
      <c r="L42" s="655">
        <f t="shared" si="3"/>
        <v>0.70458922203547003</v>
      </c>
      <c r="N42" s="101"/>
    </row>
    <row r="43" spans="1:14" ht="40.15" customHeight="1" x14ac:dyDescent="0.25">
      <c r="A43" s="650" t="s">
        <v>1863</v>
      </c>
      <c r="B43" s="425" t="s">
        <v>197</v>
      </c>
      <c r="C43" s="651" t="s">
        <v>323</v>
      </c>
      <c r="D43" s="652" t="s">
        <v>198</v>
      </c>
      <c r="E43" s="653" t="s">
        <v>161</v>
      </c>
      <c r="F43" s="440">
        <v>38.019999999999996</v>
      </c>
      <c r="G43" s="653">
        <v>740.44</v>
      </c>
      <c r="H43" s="441">
        <f t="shared" si="0"/>
        <v>28151.5288</v>
      </c>
      <c r="I43" s="654">
        <v>905.03981199999998</v>
      </c>
      <c r="J43" s="441">
        <f t="shared" si="1"/>
        <v>34409.613652239997</v>
      </c>
      <c r="K43" s="467">
        <f t="shared" si="2"/>
        <v>8.2146136046025702E-3</v>
      </c>
      <c r="L43" s="655">
        <f t="shared" si="3"/>
        <v>0.71280383564007255</v>
      </c>
      <c r="N43" s="101"/>
    </row>
    <row r="44" spans="1:14" ht="40.15" customHeight="1" x14ac:dyDescent="0.25">
      <c r="A44" s="650" t="s">
        <v>1864</v>
      </c>
      <c r="B44" s="425">
        <v>88497</v>
      </c>
      <c r="C44" s="651" t="s">
        <v>321</v>
      </c>
      <c r="D44" s="652" t="s">
        <v>122</v>
      </c>
      <c r="E44" s="653" t="s">
        <v>2</v>
      </c>
      <c r="F44" s="440">
        <v>1309.8875800000001</v>
      </c>
      <c r="G44" s="653">
        <v>19.82</v>
      </c>
      <c r="H44" s="441">
        <f t="shared" si="0"/>
        <v>25961.971835600001</v>
      </c>
      <c r="I44" s="654">
        <v>24.225985999999999</v>
      </c>
      <c r="J44" s="441">
        <f t="shared" si="1"/>
        <v>31733.318174653879</v>
      </c>
      <c r="K44" s="467">
        <f t="shared" si="2"/>
        <v>7.575701076775217E-3</v>
      </c>
      <c r="L44" s="655">
        <f t="shared" si="3"/>
        <v>0.72037953671684773</v>
      </c>
      <c r="N44" s="101"/>
    </row>
    <row r="45" spans="1:14" ht="25.15" customHeight="1" x14ac:dyDescent="0.25">
      <c r="A45" s="497" t="s">
        <v>1865</v>
      </c>
      <c r="B45" s="425" t="s">
        <v>262</v>
      </c>
      <c r="C45" s="426" t="s">
        <v>323</v>
      </c>
      <c r="D45" s="438" t="s">
        <v>263</v>
      </c>
      <c r="E45" s="439" t="s">
        <v>9</v>
      </c>
      <c r="F45" s="440">
        <v>400</v>
      </c>
      <c r="G45" s="439">
        <v>63.28</v>
      </c>
      <c r="H45" s="441">
        <f t="shared" si="0"/>
        <v>25312</v>
      </c>
      <c r="I45" s="441">
        <v>77.347144</v>
      </c>
      <c r="J45" s="441">
        <f t="shared" si="1"/>
        <v>30938.857599999999</v>
      </c>
      <c r="K45" s="467">
        <f t="shared" si="2"/>
        <v>7.3860393528503597E-3</v>
      </c>
      <c r="L45" s="491">
        <f t="shared" si="3"/>
        <v>0.72776557606969805</v>
      </c>
    </row>
    <row r="46" spans="1:14" ht="55.15" customHeight="1" x14ac:dyDescent="0.25">
      <c r="A46" s="650" t="s">
        <v>1866</v>
      </c>
      <c r="B46" s="425" t="s">
        <v>215</v>
      </c>
      <c r="C46" s="651" t="s">
        <v>323</v>
      </c>
      <c r="D46" s="652" t="s">
        <v>216</v>
      </c>
      <c r="E46" s="653" t="s">
        <v>156</v>
      </c>
      <c r="F46" s="440">
        <v>717.34129999999993</v>
      </c>
      <c r="G46" s="653">
        <v>35</v>
      </c>
      <c r="H46" s="441">
        <f t="shared" si="0"/>
        <v>25106.945499999998</v>
      </c>
      <c r="I46" s="654">
        <v>42.780499999999996</v>
      </c>
      <c r="J46" s="441">
        <f t="shared" si="1"/>
        <v>30688.219484649995</v>
      </c>
      <c r="K46" s="467">
        <f t="shared" si="2"/>
        <v>7.3262044679546943E-3</v>
      </c>
      <c r="L46" s="491">
        <f t="shared" si="3"/>
        <v>0.73509178053765278</v>
      </c>
    </row>
    <row r="47" spans="1:14" ht="70.150000000000006" customHeight="1" x14ac:dyDescent="0.25">
      <c r="A47" s="650" t="s">
        <v>1867</v>
      </c>
      <c r="B47" s="425">
        <v>102322</v>
      </c>
      <c r="C47" s="651" t="s">
        <v>321</v>
      </c>
      <c r="D47" s="652" t="s">
        <v>1731</v>
      </c>
      <c r="E47" s="653" t="s">
        <v>3</v>
      </c>
      <c r="F47" s="440">
        <v>1117.1999999999998</v>
      </c>
      <c r="G47" s="653">
        <v>20.37</v>
      </c>
      <c r="H47" s="441">
        <f t="shared" si="0"/>
        <v>22757.363999999998</v>
      </c>
      <c r="I47" s="654">
        <v>24.898250999999998</v>
      </c>
      <c r="J47" s="441">
        <f t="shared" si="1"/>
        <v>27816.326017199994</v>
      </c>
      <c r="K47" s="467">
        <f t="shared" si="2"/>
        <v>6.6405967948459247E-3</v>
      </c>
      <c r="L47" s="491">
        <f t="shared" si="3"/>
        <v>0.74173237733249875</v>
      </c>
    </row>
    <row r="48" spans="1:14" ht="55.15" customHeight="1" x14ac:dyDescent="0.25">
      <c r="A48" s="650" t="s">
        <v>1868</v>
      </c>
      <c r="B48" s="425">
        <v>89478</v>
      </c>
      <c r="C48" s="651" t="s">
        <v>321</v>
      </c>
      <c r="D48" s="652" t="s">
        <v>115</v>
      </c>
      <c r="E48" s="653" t="s">
        <v>2</v>
      </c>
      <c r="F48" s="440">
        <v>149.857</v>
      </c>
      <c r="G48" s="653">
        <v>147.24</v>
      </c>
      <c r="H48" s="441">
        <f t="shared" si="0"/>
        <v>22064.944680000001</v>
      </c>
      <c r="I48" s="654">
        <v>179.971452</v>
      </c>
      <c r="J48" s="441">
        <f t="shared" si="1"/>
        <v>26969.981882363998</v>
      </c>
      <c r="K48" s="467">
        <f t="shared" si="2"/>
        <v>6.4385488987415522E-3</v>
      </c>
      <c r="L48" s="491">
        <f t="shared" si="3"/>
        <v>0.74817092623124026</v>
      </c>
    </row>
    <row r="49" spans="1:14" ht="25.15" customHeight="1" x14ac:dyDescent="0.25">
      <c r="A49" s="497" t="s">
        <v>1869</v>
      </c>
      <c r="B49" s="425" t="s">
        <v>267</v>
      </c>
      <c r="C49" s="426" t="s">
        <v>323</v>
      </c>
      <c r="D49" s="438" t="s">
        <v>268</v>
      </c>
      <c r="E49" s="439" t="s">
        <v>264</v>
      </c>
      <c r="F49" s="440">
        <v>10</v>
      </c>
      <c r="G49" s="439">
        <v>2164.38</v>
      </c>
      <c r="H49" s="441">
        <f t="shared" si="0"/>
        <v>21643.800000000003</v>
      </c>
      <c r="I49" s="441">
        <v>2645.5216740000001</v>
      </c>
      <c r="J49" s="441">
        <f t="shared" si="1"/>
        <v>26455.21674</v>
      </c>
      <c r="K49" s="467">
        <f t="shared" si="2"/>
        <v>6.3156589185059502E-3</v>
      </c>
      <c r="L49" s="491">
        <f t="shared" si="3"/>
        <v>0.7544865851497462</v>
      </c>
    </row>
    <row r="50" spans="1:14" ht="70.150000000000006" customHeight="1" x14ac:dyDescent="0.25">
      <c r="A50" s="650" t="s">
        <v>1870</v>
      </c>
      <c r="B50" s="425">
        <v>87735</v>
      </c>
      <c r="C50" s="651" t="s">
        <v>321</v>
      </c>
      <c r="D50" s="652" t="s">
        <v>126</v>
      </c>
      <c r="E50" s="653" t="s">
        <v>2</v>
      </c>
      <c r="F50" s="440">
        <v>386.79999999999995</v>
      </c>
      <c r="G50" s="653">
        <v>47.74</v>
      </c>
      <c r="H50" s="441">
        <f t="shared" si="0"/>
        <v>18465.831999999999</v>
      </c>
      <c r="I50" s="654">
        <v>58.352601999999997</v>
      </c>
      <c r="J50" s="441">
        <f t="shared" si="1"/>
        <v>22570.786453599998</v>
      </c>
      <c r="K50" s="467">
        <f t="shared" si="2"/>
        <v>5.3883281382397065E-3</v>
      </c>
      <c r="L50" s="491">
        <f t="shared" si="3"/>
        <v>0.75987491328798595</v>
      </c>
    </row>
    <row r="51" spans="1:14" ht="25.15" customHeight="1" x14ac:dyDescent="0.25">
      <c r="A51" s="497" t="s">
        <v>1871</v>
      </c>
      <c r="B51" s="425">
        <v>112603</v>
      </c>
      <c r="C51" s="426" t="s">
        <v>448</v>
      </c>
      <c r="D51" s="438" t="s">
        <v>679</v>
      </c>
      <c r="E51" s="439" t="s">
        <v>680</v>
      </c>
      <c r="F51" s="440">
        <v>9.2622</v>
      </c>
      <c r="G51" s="439">
        <v>1932.3</v>
      </c>
      <c r="H51" s="441">
        <f t="shared" si="0"/>
        <v>17897.34906</v>
      </c>
      <c r="I51" s="441">
        <v>2361.8502899999999</v>
      </c>
      <c r="J51" s="441">
        <f t="shared" si="1"/>
        <v>21875.929756038</v>
      </c>
      <c r="K51" s="467">
        <f t="shared" si="2"/>
        <v>5.2224448668165054E-3</v>
      </c>
      <c r="L51" s="491">
        <f t="shared" si="3"/>
        <v>0.76509735815480251</v>
      </c>
    </row>
    <row r="52" spans="1:14" ht="40.15" customHeight="1" x14ac:dyDescent="0.25">
      <c r="A52" s="650" t="s">
        <v>1872</v>
      </c>
      <c r="B52" s="425">
        <v>88489</v>
      </c>
      <c r="C52" s="651" t="s">
        <v>321</v>
      </c>
      <c r="D52" s="652" t="s">
        <v>120</v>
      </c>
      <c r="E52" s="653" t="s">
        <v>2</v>
      </c>
      <c r="F52" s="440">
        <v>1309.8875800000001</v>
      </c>
      <c r="G52" s="653">
        <v>13.55</v>
      </c>
      <c r="H52" s="441">
        <f t="shared" si="0"/>
        <v>17748.976709000002</v>
      </c>
      <c r="I52" s="654">
        <v>16.562165</v>
      </c>
      <c r="J52" s="441">
        <f t="shared" si="1"/>
        <v>21694.574231410701</v>
      </c>
      <c r="K52" s="467">
        <f t="shared" si="2"/>
        <v>5.1791498279669121E-3</v>
      </c>
      <c r="L52" s="655">
        <f t="shared" si="3"/>
        <v>0.77027650798276948</v>
      </c>
      <c r="N52" s="101"/>
    </row>
    <row r="53" spans="1:14" ht="25.15" customHeight="1" x14ac:dyDescent="0.25">
      <c r="A53" s="497" t="s">
        <v>1873</v>
      </c>
      <c r="B53" s="425">
        <v>8759</v>
      </c>
      <c r="C53" s="426" t="s">
        <v>539</v>
      </c>
      <c r="D53" s="438" t="s">
        <v>1829</v>
      </c>
      <c r="E53" s="439" t="s">
        <v>0</v>
      </c>
      <c r="F53" s="440">
        <v>55.211999999999996</v>
      </c>
      <c r="G53" s="439">
        <v>307.23</v>
      </c>
      <c r="H53" s="441">
        <f t="shared" si="0"/>
        <v>16962.782759999998</v>
      </c>
      <c r="I53" s="441">
        <v>375.52722899999998</v>
      </c>
      <c r="J53" s="441">
        <f t="shared" si="1"/>
        <v>20733.609367547997</v>
      </c>
      <c r="K53" s="467">
        <f t="shared" si="2"/>
        <v>4.9497385034454654E-3</v>
      </c>
      <c r="L53" s="491">
        <f t="shared" si="3"/>
        <v>0.77522624648621496</v>
      </c>
    </row>
    <row r="54" spans="1:14" ht="55.15" customHeight="1" x14ac:dyDescent="0.25">
      <c r="A54" s="650" t="s">
        <v>1874</v>
      </c>
      <c r="B54" s="425" t="s">
        <v>186</v>
      </c>
      <c r="C54" s="651" t="s">
        <v>323</v>
      </c>
      <c r="D54" s="652" t="s">
        <v>187</v>
      </c>
      <c r="E54" s="653" t="s">
        <v>157</v>
      </c>
      <c r="F54" s="440">
        <v>1</v>
      </c>
      <c r="G54" s="653">
        <v>16222.98</v>
      </c>
      <c r="H54" s="441">
        <f t="shared" si="0"/>
        <v>16222.98</v>
      </c>
      <c r="I54" s="654">
        <v>19829.348453999999</v>
      </c>
      <c r="J54" s="441">
        <f t="shared" si="1"/>
        <v>19829.348453999999</v>
      </c>
      <c r="K54" s="467">
        <f t="shared" si="2"/>
        <v>4.7338641237557018E-3</v>
      </c>
      <c r="L54" s="491">
        <f t="shared" si="3"/>
        <v>0.77996011060997061</v>
      </c>
    </row>
    <row r="55" spans="1:14" ht="40.15" customHeight="1" x14ac:dyDescent="0.25">
      <c r="A55" s="650" t="s">
        <v>1875</v>
      </c>
      <c r="B55" s="425">
        <v>88496</v>
      </c>
      <c r="C55" s="651" t="s">
        <v>321</v>
      </c>
      <c r="D55" s="652" t="s">
        <v>121</v>
      </c>
      <c r="E55" s="653" t="s">
        <v>2</v>
      </c>
      <c r="F55" s="440">
        <v>457.03</v>
      </c>
      <c r="G55" s="653">
        <v>35.200000000000003</v>
      </c>
      <c r="H55" s="441">
        <f t="shared" si="0"/>
        <v>16087.456</v>
      </c>
      <c r="I55" s="654">
        <v>43.02496</v>
      </c>
      <c r="J55" s="441">
        <f t="shared" si="1"/>
        <v>19663.697468799997</v>
      </c>
      <c r="K55" s="467">
        <f t="shared" si="2"/>
        <v>4.6943182325872562E-3</v>
      </c>
      <c r="L55" s="655">
        <f t="shared" si="3"/>
        <v>0.78465442884255787</v>
      </c>
      <c r="N55" s="101"/>
    </row>
    <row r="56" spans="1:14" ht="55.15" customHeight="1" x14ac:dyDescent="0.25">
      <c r="A56" s="650" t="s">
        <v>1876</v>
      </c>
      <c r="B56" s="425">
        <v>87700</v>
      </c>
      <c r="C56" s="651" t="s">
        <v>321</v>
      </c>
      <c r="D56" s="652" t="s">
        <v>125</v>
      </c>
      <c r="E56" s="653" t="s">
        <v>2</v>
      </c>
      <c r="F56" s="440">
        <v>257.34960000000001</v>
      </c>
      <c r="G56" s="653">
        <v>59.67</v>
      </c>
      <c r="H56" s="441">
        <f t="shared" si="0"/>
        <v>15356.050632</v>
      </c>
      <c r="I56" s="654">
        <v>72.934640999999999</v>
      </c>
      <c r="J56" s="441">
        <f t="shared" si="1"/>
        <v>18769.700687493601</v>
      </c>
      <c r="K56" s="467">
        <f t="shared" si="2"/>
        <v>4.4808942111375892E-3</v>
      </c>
      <c r="L56" s="491">
        <f t="shared" si="3"/>
        <v>0.78913532305369549</v>
      </c>
    </row>
    <row r="57" spans="1:14" ht="25.15" customHeight="1" x14ac:dyDescent="0.25">
      <c r="A57" s="497" t="s">
        <v>1877</v>
      </c>
      <c r="B57" s="425" t="s">
        <v>265</v>
      </c>
      <c r="C57" s="426" t="s">
        <v>323</v>
      </c>
      <c r="D57" s="438" t="s">
        <v>266</v>
      </c>
      <c r="E57" s="439" t="s">
        <v>264</v>
      </c>
      <c r="F57" s="440">
        <v>10</v>
      </c>
      <c r="G57" s="439">
        <v>1493</v>
      </c>
      <c r="H57" s="441">
        <f t="shared" si="0"/>
        <v>14930</v>
      </c>
      <c r="I57" s="441">
        <v>1824.8938999999998</v>
      </c>
      <c r="J57" s="441">
        <f t="shared" si="1"/>
        <v>18248.938999999998</v>
      </c>
      <c r="K57" s="467">
        <f t="shared" si="2"/>
        <v>4.3565726745439263E-3</v>
      </c>
      <c r="L57" s="491">
        <f t="shared" si="3"/>
        <v>0.79349189572823942</v>
      </c>
    </row>
    <row r="58" spans="1:14" ht="55.15" customHeight="1" x14ac:dyDescent="0.25">
      <c r="A58" s="650" t="s">
        <v>1878</v>
      </c>
      <c r="B58" s="425">
        <v>103322</v>
      </c>
      <c r="C58" s="651" t="s">
        <v>321</v>
      </c>
      <c r="D58" s="652" t="s">
        <v>113</v>
      </c>
      <c r="E58" s="653" t="s">
        <v>2</v>
      </c>
      <c r="F58" s="440">
        <v>238.71099999999998</v>
      </c>
      <c r="G58" s="653">
        <v>59.59</v>
      </c>
      <c r="H58" s="441">
        <f t="shared" si="0"/>
        <v>14224.788489999999</v>
      </c>
      <c r="I58" s="654">
        <v>72.836856999999995</v>
      </c>
      <c r="J58" s="441">
        <f t="shared" si="1"/>
        <v>17386.958971326996</v>
      </c>
      <c r="K58" s="467">
        <f t="shared" si="2"/>
        <v>4.1507920185332187E-3</v>
      </c>
      <c r="L58" s="491">
        <f t="shared" si="3"/>
        <v>0.79764268774677261</v>
      </c>
    </row>
    <row r="59" spans="1:14" ht="30" customHeight="1" x14ac:dyDescent="0.25">
      <c r="A59" s="916" t="s">
        <v>981</v>
      </c>
      <c r="B59" s="917"/>
      <c r="C59" s="917"/>
      <c r="D59" s="917"/>
      <c r="E59" s="917"/>
      <c r="F59" s="917"/>
      <c r="G59" s="917"/>
      <c r="H59" s="917"/>
      <c r="I59" s="917"/>
      <c r="J59" s="917"/>
      <c r="K59" s="917"/>
      <c r="L59" s="918"/>
    </row>
    <row r="60" spans="1:14" ht="40.15" customHeight="1" x14ac:dyDescent="0.25">
      <c r="A60" s="650" t="s">
        <v>1879</v>
      </c>
      <c r="B60" s="425">
        <v>100345</v>
      </c>
      <c r="C60" s="651" t="s">
        <v>321</v>
      </c>
      <c r="D60" s="652" t="s">
        <v>1732</v>
      </c>
      <c r="E60" s="653" t="s">
        <v>10</v>
      </c>
      <c r="F60" s="440">
        <v>1399</v>
      </c>
      <c r="G60" s="653">
        <v>9.66</v>
      </c>
      <c r="H60" s="441">
        <f t="shared" ref="H60:H91" si="4">F60*G60</f>
        <v>13514.34</v>
      </c>
      <c r="I60" s="654">
        <v>11.807418</v>
      </c>
      <c r="J60" s="441">
        <f t="shared" ref="J60:J91" si="5">F60*I60</f>
        <v>16518.577782</v>
      </c>
      <c r="K60" s="467">
        <f t="shared" ref="K60:K91" si="6">J60/$K$283</f>
        <v>3.9434832122234404E-3</v>
      </c>
      <c r="L60" s="655">
        <f>K60+L58</f>
        <v>0.80158617095899609</v>
      </c>
      <c r="N60" s="101"/>
    </row>
    <row r="61" spans="1:14" ht="70.150000000000006" customHeight="1" x14ac:dyDescent="0.25">
      <c r="A61" s="650" t="s">
        <v>1880</v>
      </c>
      <c r="B61" s="425" t="s">
        <v>217</v>
      </c>
      <c r="C61" s="651" t="s">
        <v>323</v>
      </c>
      <c r="D61" s="652" t="s">
        <v>218</v>
      </c>
      <c r="E61" s="653" t="s">
        <v>156</v>
      </c>
      <c r="F61" s="440">
        <v>174.93799999999999</v>
      </c>
      <c r="G61" s="653">
        <v>75.91</v>
      </c>
      <c r="H61" s="441">
        <f t="shared" si="4"/>
        <v>13279.543579999998</v>
      </c>
      <c r="I61" s="654">
        <v>92.784792999999993</v>
      </c>
      <c r="J61" s="441">
        <f t="shared" si="5"/>
        <v>16231.586117833998</v>
      </c>
      <c r="K61" s="467">
        <f t="shared" si="6"/>
        <v>3.8749696377122053E-3</v>
      </c>
      <c r="L61" s="491">
        <f t="shared" si="3"/>
        <v>0.80546114059670826</v>
      </c>
    </row>
    <row r="62" spans="1:14" ht="40.15" customHeight="1" x14ac:dyDescent="0.25">
      <c r="A62" s="650" t="s">
        <v>1881</v>
      </c>
      <c r="B62" s="425">
        <v>41781</v>
      </c>
      <c r="C62" s="651" t="s">
        <v>321</v>
      </c>
      <c r="D62" s="652" t="s">
        <v>1769</v>
      </c>
      <c r="E62" s="653" t="s">
        <v>0</v>
      </c>
      <c r="F62" s="440">
        <v>53</v>
      </c>
      <c r="G62" s="653">
        <v>246.34</v>
      </c>
      <c r="H62" s="441">
        <f t="shared" si="4"/>
        <v>13056.02</v>
      </c>
      <c r="I62" s="654">
        <v>301.101382</v>
      </c>
      <c r="J62" s="441">
        <f t="shared" si="5"/>
        <v>15958.373245999999</v>
      </c>
      <c r="K62" s="467">
        <f t="shared" si="6"/>
        <v>3.8097454769121897E-3</v>
      </c>
      <c r="L62" s="655">
        <f t="shared" si="3"/>
        <v>0.80927088607362041</v>
      </c>
      <c r="N62" s="101"/>
    </row>
    <row r="63" spans="1:14" ht="70.150000000000006" customHeight="1" x14ac:dyDescent="0.25">
      <c r="A63" s="650" t="s">
        <v>1882</v>
      </c>
      <c r="B63" s="425" t="s">
        <v>223</v>
      </c>
      <c r="C63" s="651" t="s">
        <v>323</v>
      </c>
      <c r="D63" s="652" t="s">
        <v>1721</v>
      </c>
      <c r="E63" s="653" t="s">
        <v>158</v>
      </c>
      <c r="F63" s="440">
        <v>16.558</v>
      </c>
      <c r="G63" s="653">
        <v>788</v>
      </c>
      <c r="H63" s="441">
        <f t="shared" si="4"/>
        <v>13047.704</v>
      </c>
      <c r="I63" s="654">
        <v>963.17239999999993</v>
      </c>
      <c r="J63" s="441">
        <f t="shared" si="5"/>
        <v>15948.208599199999</v>
      </c>
      <c r="K63" s="467">
        <f t="shared" si="6"/>
        <v>3.8073188688504682E-3</v>
      </c>
      <c r="L63" s="491">
        <f t="shared" si="3"/>
        <v>0.81307820494247085</v>
      </c>
    </row>
    <row r="64" spans="1:14" ht="55.15" customHeight="1" x14ac:dyDescent="0.25">
      <c r="A64" s="650" t="s">
        <v>1883</v>
      </c>
      <c r="B64" s="425">
        <v>103314</v>
      </c>
      <c r="C64" s="651" t="s">
        <v>321</v>
      </c>
      <c r="D64" s="652" t="s">
        <v>140</v>
      </c>
      <c r="E64" s="653" t="s">
        <v>2</v>
      </c>
      <c r="F64" s="440">
        <v>37.44</v>
      </c>
      <c r="G64" s="653">
        <v>346.59</v>
      </c>
      <c r="H64" s="441">
        <f t="shared" si="4"/>
        <v>12976.329599999999</v>
      </c>
      <c r="I64" s="654">
        <v>423.63695699999994</v>
      </c>
      <c r="J64" s="441">
        <f t="shared" si="5"/>
        <v>15860.967670079997</v>
      </c>
      <c r="K64" s="467">
        <f t="shared" si="6"/>
        <v>3.7864918252669467E-3</v>
      </c>
      <c r="L64" s="491">
        <f t="shared" si="3"/>
        <v>0.81686469676773776</v>
      </c>
    </row>
    <row r="65" spans="1:14" ht="25.5" x14ac:dyDescent="0.25">
      <c r="A65" s="497" t="s">
        <v>1884</v>
      </c>
      <c r="B65" s="425" t="s">
        <v>704</v>
      </c>
      <c r="C65" s="651" t="s">
        <v>358</v>
      </c>
      <c r="D65" s="652" t="s">
        <v>766</v>
      </c>
      <c r="E65" s="653" t="s">
        <v>540</v>
      </c>
      <c r="F65" s="440">
        <v>29.129999999999995</v>
      </c>
      <c r="G65" s="653">
        <v>433.79</v>
      </c>
      <c r="H65" s="441">
        <f t="shared" si="4"/>
        <v>12636.302699999998</v>
      </c>
      <c r="I65" s="654">
        <v>530.22151699999995</v>
      </c>
      <c r="J65" s="441">
        <f t="shared" si="5"/>
        <v>15445.352790209996</v>
      </c>
      <c r="K65" s="467">
        <f t="shared" si="6"/>
        <v>3.6872720060338667E-3</v>
      </c>
      <c r="L65" s="491">
        <f t="shared" si="3"/>
        <v>0.82055196877377168</v>
      </c>
      <c r="N65" s="101"/>
    </row>
    <row r="66" spans="1:14" ht="40.15" customHeight="1" x14ac:dyDescent="0.25">
      <c r="A66" s="650" t="s">
        <v>1885</v>
      </c>
      <c r="B66" s="425" t="s">
        <v>235</v>
      </c>
      <c r="C66" s="651" t="s">
        <v>323</v>
      </c>
      <c r="D66" s="652" t="s">
        <v>236</v>
      </c>
      <c r="E66" s="653" t="s">
        <v>158</v>
      </c>
      <c r="F66" s="440">
        <v>12</v>
      </c>
      <c r="G66" s="653">
        <v>1041.8399999999999</v>
      </c>
      <c r="H66" s="441">
        <f t="shared" si="4"/>
        <v>12502.079999999998</v>
      </c>
      <c r="I66" s="654">
        <v>1273.441032</v>
      </c>
      <c r="J66" s="441">
        <f t="shared" si="5"/>
        <v>15281.292384</v>
      </c>
      <c r="K66" s="467">
        <f t="shared" si="6"/>
        <v>3.6481058340898953E-3</v>
      </c>
      <c r="L66" s="655">
        <f t="shared" si="3"/>
        <v>0.8242000746078616</v>
      </c>
      <c r="N66" s="101"/>
    </row>
    <row r="67" spans="1:14" ht="55.15" customHeight="1" x14ac:dyDescent="0.25">
      <c r="A67" s="650" t="s">
        <v>1886</v>
      </c>
      <c r="B67" s="425">
        <v>101767</v>
      </c>
      <c r="C67" s="651" t="s">
        <v>321</v>
      </c>
      <c r="D67" s="652" t="s">
        <v>1728</v>
      </c>
      <c r="E67" s="653" t="s">
        <v>3</v>
      </c>
      <c r="F67" s="440">
        <v>406.37600000000003</v>
      </c>
      <c r="G67" s="653">
        <v>30.35</v>
      </c>
      <c r="H67" s="441">
        <f t="shared" si="4"/>
        <v>12333.511600000002</v>
      </c>
      <c r="I67" s="654">
        <v>37.096805000000003</v>
      </c>
      <c r="J67" s="441">
        <f t="shared" si="5"/>
        <v>15075.251228680003</v>
      </c>
      <c r="K67" s="467">
        <f t="shared" si="6"/>
        <v>3.5989175899350675E-3</v>
      </c>
      <c r="L67" s="491">
        <f t="shared" si="3"/>
        <v>0.82779899219779662</v>
      </c>
    </row>
    <row r="68" spans="1:14" ht="40.15" customHeight="1" x14ac:dyDescent="0.25">
      <c r="A68" s="650" t="s">
        <v>1887</v>
      </c>
      <c r="B68" s="425">
        <v>100349</v>
      </c>
      <c r="C68" s="651" t="s">
        <v>321</v>
      </c>
      <c r="D68" s="652" t="s">
        <v>1735</v>
      </c>
      <c r="E68" s="653" t="s">
        <v>3</v>
      </c>
      <c r="F68" s="440">
        <v>17.72</v>
      </c>
      <c r="G68" s="653">
        <v>691.91</v>
      </c>
      <c r="H68" s="441">
        <f t="shared" si="4"/>
        <v>12260.645199999999</v>
      </c>
      <c r="I68" s="654">
        <v>845.72159299999987</v>
      </c>
      <c r="J68" s="441">
        <f t="shared" si="5"/>
        <v>14986.186627959996</v>
      </c>
      <c r="K68" s="467">
        <f t="shared" si="6"/>
        <v>3.5776551808840017E-3</v>
      </c>
      <c r="L68" s="655">
        <f t="shared" si="3"/>
        <v>0.83137664737868067</v>
      </c>
      <c r="N68" s="101"/>
    </row>
    <row r="69" spans="1:14" ht="40.15" customHeight="1" x14ac:dyDescent="0.25">
      <c r="A69" s="650" t="s">
        <v>1888</v>
      </c>
      <c r="B69" s="425">
        <v>97914</v>
      </c>
      <c r="C69" s="651" t="s">
        <v>321</v>
      </c>
      <c r="D69" s="652" t="s">
        <v>138</v>
      </c>
      <c r="E69" s="653" t="s">
        <v>128</v>
      </c>
      <c r="F69" s="440">
        <v>3743.9520000000007</v>
      </c>
      <c r="G69" s="653">
        <v>3.08</v>
      </c>
      <c r="H69" s="441">
        <f t="shared" si="4"/>
        <v>11531.372160000003</v>
      </c>
      <c r="I69" s="654">
        <v>3.7646839999999999</v>
      </c>
      <c r="J69" s="441">
        <f t="shared" si="5"/>
        <v>14094.796191168003</v>
      </c>
      <c r="K69" s="467">
        <f t="shared" si="6"/>
        <v>3.3648533725554311E-3</v>
      </c>
      <c r="L69" s="655">
        <f t="shared" si="3"/>
        <v>0.8347415007512361</v>
      </c>
      <c r="N69" s="101"/>
    </row>
    <row r="70" spans="1:14" ht="55.15" customHeight="1" x14ac:dyDescent="0.25">
      <c r="A70" s="650" t="s">
        <v>1889</v>
      </c>
      <c r="B70" s="425" t="s">
        <v>184</v>
      </c>
      <c r="C70" s="651" t="s">
        <v>323</v>
      </c>
      <c r="D70" s="652" t="s">
        <v>185</v>
      </c>
      <c r="E70" s="653" t="s">
        <v>157</v>
      </c>
      <c r="F70" s="440">
        <v>1</v>
      </c>
      <c r="G70" s="653">
        <v>11403.4</v>
      </c>
      <c r="H70" s="441">
        <f t="shared" si="4"/>
        <v>11403.4</v>
      </c>
      <c r="I70" s="654">
        <v>13938.375819999999</v>
      </c>
      <c r="J70" s="441">
        <f t="shared" si="5"/>
        <v>13938.375819999999</v>
      </c>
      <c r="K70" s="467">
        <f t="shared" si="6"/>
        <v>3.3275111076285471E-3</v>
      </c>
      <c r="L70" s="491">
        <f t="shared" si="3"/>
        <v>0.83806901185886462</v>
      </c>
    </row>
    <row r="71" spans="1:14" ht="40.15" customHeight="1" x14ac:dyDescent="0.25">
      <c r="A71" s="650" t="s">
        <v>1890</v>
      </c>
      <c r="B71" s="425">
        <v>92764</v>
      </c>
      <c r="C71" s="651" t="s">
        <v>321</v>
      </c>
      <c r="D71" s="652" t="s">
        <v>34</v>
      </c>
      <c r="E71" s="653" t="s">
        <v>10</v>
      </c>
      <c r="F71" s="440">
        <v>1266.4960000000001</v>
      </c>
      <c r="G71" s="653">
        <v>8.85</v>
      </c>
      <c r="H71" s="441">
        <f t="shared" si="4"/>
        <v>11208.489600000001</v>
      </c>
      <c r="I71" s="654">
        <v>10.817354999999999</v>
      </c>
      <c r="J71" s="441">
        <f t="shared" si="5"/>
        <v>13700.13683808</v>
      </c>
      <c r="K71" s="467">
        <f t="shared" si="6"/>
        <v>3.2706362702123099E-3</v>
      </c>
      <c r="L71" s="655">
        <f t="shared" si="3"/>
        <v>0.84133964812907691</v>
      </c>
      <c r="N71" s="101"/>
    </row>
    <row r="72" spans="1:14" ht="25.15" customHeight="1" x14ac:dyDescent="0.25">
      <c r="A72" s="497" t="s">
        <v>1891</v>
      </c>
      <c r="B72" s="425">
        <v>88322</v>
      </c>
      <c r="C72" s="426" t="s">
        <v>321</v>
      </c>
      <c r="D72" s="438" t="s">
        <v>154</v>
      </c>
      <c r="E72" s="439" t="s">
        <v>9</v>
      </c>
      <c r="F72" s="440">
        <v>400</v>
      </c>
      <c r="G72" s="439">
        <v>27.62</v>
      </c>
      <c r="H72" s="441">
        <f t="shared" si="4"/>
        <v>11048</v>
      </c>
      <c r="I72" s="441">
        <v>33.759926</v>
      </c>
      <c r="J72" s="441">
        <f t="shared" si="5"/>
        <v>13503.9704</v>
      </c>
      <c r="K72" s="467">
        <f t="shared" si="6"/>
        <v>3.2238054191802614E-3</v>
      </c>
      <c r="L72" s="491">
        <f t="shared" si="3"/>
        <v>0.84456345354825713</v>
      </c>
    </row>
    <row r="73" spans="1:14" ht="70.150000000000006" customHeight="1" x14ac:dyDescent="0.25">
      <c r="A73" s="650" t="s">
        <v>1892</v>
      </c>
      <c r="B73" s="425">
        <v>104162</v>
      </c>
      <c r="C73" s="651" t="s">
        <v>321</v>
      </c>
      <c r="D73" s="652" t="s">
        <v>123</v>
      </c>
      <c r="E73" s="653" t="s">
        <v>2</v>
      </c>
      <c r="F73" s="440">
        <v>104.85224000000001</v>
      </c>
      <c r="G73" s="653">
        <v>102.87</v>
      </c>
      <c r="H73" s="441">
        <f t="shared" si="4"/>
        <v>10786.149928800001</v>
      </c>
      <c r="I73" s="654">
        <v>125.738001</v>
      </c>
      <c r="J73" s="441">
        <f t="shared" si="5"/>
        <v>13183.91105797224</v>
      </c>
      <c r="K73" s="467">
        <f t="shared" si="6"/>
        <v>3.1473975916506362E-3</v>
      </c>
      <c r="L73" s="491">
        <f t="shared" si="3"/>
        <v>0.84771085113990774</v>
      </c>
    </row>
    <row r="74" spans="1:14" ht="70.150000000000006" customHeight="1" x14ac:dyDescent="0.25">
      <c r="A74" s="650" t="s">
        <v>1893</v>
      </c>
      <c r="B74" s="425">
        <v>103926</v>
      </c>
      <c r="C74" s="651" t="s">
        <v>321</v>
      </c>
      <c r="D74" s="652" t="s">
        <v>64</v>
      </c>
      <c r="E74" s="653" t="s">
        <v>3</v>
      </c>
      <c r="F74" s="440">
        <v>7.36</v>
      </c>
      <c r="G74" s="653">
        <v>1437.97</v>
      </c>
      <c r="H74" s="441">
        <f t="shared" si="4"/>
        <v>10583.459200000001</v>
      </c>
      <c r="I74" s="654">
        <v>1757.630731</v>
      </c>
      <c r="J74" s="441">
        <f t="shared" si="5"/>
        <v>12936.162180159999</v>
      </c>
      <c r="K74" s="467">
        <f t="shared" si="6"/>
        <v>3.088252454981281E-3</v>
      </c>
      <c r="L74" s="491">
        <f t="shared" si="3"/>
        <v>0.85079910359488897</v>
      </c>
    </row>
    <row r="75" spans="1:14" ht="55.15" customHeight="1" x14ac:dyDescent="0.25">
      <c r="A75" s="650" t="s">
        <v>1894</v>
      </c>
      <c r="B75" s="425" t="s">
        <v>702</v>
      </c>
      <c r="C75" s="651" t="s">
        <v>358</v>
      </c>
      <c r="D75" s="652" t="s">
        <v>1828</v>
      </c>
      <c r="E75" s="653" t="s">
        <v>540</v>
      </c>
      <c r="F75" s="440">
        <v>13.068000000000001</v>
      </c>
      <c r="G75" s="653">
        <v>781.95175240100002</v>
      </c>
      <c r="H75" s="441">
        <f t="shared" si="4"/>
        <v>10218.545500376269</v>
      </c>
      <c r="I75" s="654">
        <v>955.77962695974225</v>
      </c>
      <c r="J75" s="441">
        <f t="shared" si="5"/>
        <v>12490.128165109913</v>
      </c>
      <c r="K75" s="467">
        <f t="shared" si="6"/>
        <v>2.9817706698273974E-3</v>
      </c>
      <c r="L75" s="491">
        <f t="shared" si="3"/>
        <v>0.85378087426471638</v>
      </c>
    </row>
    <row r="76" spans="1:14" ht="25.15" customHeight="1" x14ac:dyDescent="0.25">
      <c r="A76" s="497" t="s">
        <v>1895</v>
      </c>
      <c r="B76" s="425" t="s">
        <v>271</v>
      </c>
      <c r="C76" s="426" t="s">
        <v>323</v>
      </c>
      <c r="D76" s="438" t="s">
        <v>1727</v>
      </c>
      <c r="E76" s="439" t="s">
        <v>264</v>
      </c>
      <c r="F76" s="440">
        <v>6</v>
      </c>
      <c r="G76" s="439">
        <v>1702.56</v>
      </c>
      <c r="H76" s="441">
        <f t="shared" si="4"/>
        <v>10215.36</v>
      </c>
      <c r="I76" s="441">
        <v>2081.039088</v>
      </c>
      <c r="J76" s="441">
        <f t="shared" si="5"/>
        <v>12486.234528000001</v>
      </c>
      <c r="K76" s="467">
        <f t="shared" si="6"/>
        <v>2.9808411411004054E-3</v>
      </c>
      <c r="L76" s="491">
        <f t="shared" si="3"/>
        <v>0.8567617154058168</v>
      </c>
    </row>
    <row r="77" spans="1:14" ht="40.15" customHeight="1" x14ac:dyDescent="0.25">
      <c r="A77" s="650" t="s">
        <v>1896</v>
      </c>
      <c r="B77" s="425" t="s">
        <v>229</v>
      </c>
      <c r="C77" s="651" t="s">
        <v>323</v>
      </c>
      <c r="D77" s="652" t="s">
        <v>230</v>
      </c>
      <c r="E77" s="653" t="s">
        <v>158</v>
      </c>
      <c r="F77" s="440">
        <v>476</v>
      </c>
      <c r="G77" s="653">
        <v>21.2</v>
      </c>
      <c r="H77" s="441">
        <f t="shared" si="4"/>
        <v>10091.199999999999</v>
      </c>
      <c r="I77" s="654">
        <v>25.912759999999999</v>
      </c>
      <c r="J77" s="441">
        <f t="shared" si="5"/>
        <v>12334.473759999999</v>
      </c>
      <c r="K77" s="467">
        <f t="shared" si="6"/>
        <v>2.9446112641230856E-3</v>
      </c>
      <c r="L77" s="655">
        <f t="shared" si="3"/>
        <v>0.85970632666993985</v>
      </c>
      <c r="N77" s="101"/>
    </row>
    <row r="78" spans="1:14" ht="55.15" customHeight="1" x14ac:dyDescent="0.25">
      <c r="A78" s="650" t="s">
        <v>1897</v>
      </c>
      <c r="B78" s="425" t="s">
        <v>182</v>
      </c>
      <c r="C78" s="651" t="s">
        <v>323</v>
      </c>
      <c r="D78" s="652" t="s">
        <v>183</v>
      </c>
      <c r="E78" s="653" t="s">
        <v>157</v>
      </c>
      <c r="F78" s="440">
        <v>1</v>
      </c>
      <c r="G78" s="653">
        <v>10042.73</v>
      </c>
      <c r="H78" s="441">
        <f t="shared" si="4"/>
        <v>10042.73</v>
      </c>
      <c r="I78" s="654">
        <v>12275.228878999998</v>
      </c>
      <c r="J78" s="441">
        <f t="shared" si="5"/>
        <v>12275.228878999998</v>
      </c>
      <c r="K78" s="467">
        <f t="shared" si="6"/>
        <v>2.9304677224261571E-3</v>
      </c>
      <c r="L78" s="491">
        <f t="shared" si="3"/>
        <v>0.86263679439236596</v>
      </c>
    </row>
    <row r="79" spans="1:14" ht="70.150000000000006" customHeight="1" x14ac:dyDescent="0.25">
      <c r="A79" s="650" t="s">
        <v>1898</v>
      </c>
      <c r="B79" s="425" t="s">
        <v>245</v>
      </c>
      <c r="C79" s="651" t="s">
        <v>323</v>
      </c>
      <c r="D79" s="652" t="s">
        <v>246</v>
      </c>
      <c r="E79" s="653" t="s">
        <v>158</v>
      </c>
      <c r="F79" s="440">
        <v>124</v>
      </c>
      <c r="G79" s="653">
        <v>79.14</v>
      </c>
      <c r="H79" s="441">
        <f t="shared" si="4"/>
        <v>9813.36</v>
      </c>
      <c r="I79" s="654">
        <v>96.732821999999999</v>
      </c>
      <c r="J79" s="441">
        <f t="shared" si="5"/>
        <v>11994.869928</v>
      </c>
      <c r="K79" s="467">
        <f t="shared" si="6"/>
        <v>2.8635375767891752E-3</v>
      </c>
      <c r="L79" s="491">
        <f t="shared" si="3"/>
        <v>0.8655003319691551</v>
      </c>
    </row>
    <row r="80" spans="1:14" ht="25.15" customHeight="1" x14ac:dyDescent="0.25">
      <c r="A80" s="497" t="s">
        <v>1899</v>
      </c>
      <c r="B80" s="425">
        <v>190398</v>
      </c>
      <c r="C80" s="426" t="s">
        <v>448</v>
      </c>
      <c r="D80" s="438" t="s">
        <v>698</v>
      </c>
      <c r="E80" s="439" t="s">
        <v>540</v>
      </c>
      <c r="F80" s="440">
        <v>14.6206</v>
      </c>
      <c r="G80" s="439">
        <v>658.29</v>
      </c>
      <c r="H80" s="441">
        <f t="shared" si="4"/>
        <v>9624.5947739999992</v>
      </c>
      <c r="I80" s="441">
        <v>804.62786699999992</v>
      </c>
      <c r="J80" s="441">
        <f t="shared" si="5"/>
        <v>11764.142192260198</v>
      </c>
      <c r="K80" s="467">
        <f t="shared" si="6"/>
        <v>2.8084559006005812E-3</v>
      </c>
      <c r="L80" s="491">
        <f t="shared" si="3"/>
        <v>0.86830878786975563</v>
      </c>
    </row>
    <row r="81" spans="1:14" ht="55.15" customHeight="1" x14ac:dyDescent="0.25">
      <c r="A81" s="650" t="s">
        <v>1900</v>
      </c>
      <c r="B81" s="425" t="s">
        <v>210</v>
      </c>
      <c r="C81" s="651" t="s">
        <v>323</v>
      </c>
      <c r="D81" s="652" t="s">
        <v>1718</v>
      </c>
      <c r="E81" s="653" t="s">
        <v>158</v>
      </c>
      <c r="F81" s="440">
        <v>238.5</v>
      </c>
      <c r="G81" s="653">
        <v>39.6</v>
      </c>
      <c r="H81" s="441">
        <f t="shared" si="4"/>
        <v>9444.6</v>
      </c>
      <c r="I81" s="654">
        <v>48.403080000000003</v>
      </c>
      <c r="J81" s="441">
        <f t="shared" si="5"/>
        <v>11544.13458</v>
      </c>
      <c r="K81" s="467">
        <f t="shared" si="6"/>
        <v>2.7559334415269638E-3</v>
      </c>
      <c r="L81" s="491">
        <f t="shared" si="3"/>
        <v>0.87106472131128254</v>
      </c>
    </row>
    <row r="82" spans="1:14" ht="25.15" customHeight="1" x14ac:dyDescent="0.25">
      <c r="A82" s="497" t="s">
        <v>1901</v>
      </c>
      <c r="B82" s="425" t="s">
        <v>269</v>
      </c>
      <c r="C82" s="426" t="s">
        <v>323</v>
      </c>
      <c r="D82" s="438" t="s">
        <v>270</v>
      </c>
      <c r="E82" s="439" t="s">
        <v>264</v>
      </c>
      <c r="F82" s="440">
        <v>5</v>
      </c>
      <c r="G82" s="439">
        <v>1779.78</v>
      </c>
      <c r="H82" s="441">
        <f t="shared" si="4"/>
        <v>8898.9</v>
      </c>
      <c r="I82" s="441">
        <v>2175.4250939999997</v>
      </c>
      <c r="J82" s="441">
        <f t="shared" si="5"/>
        <v>10877.125469999999</v>
      </c>
      <c r="K82" s="467">
        <f t="shared" si="6"/>
        <v>2.5966982299731379E-3</v>
      </c>
      <c r="L82" s="491">
        <f t="shared" si="3"/>
        <v>0.87366141954125565</v>
      </c>
    </row>
    <row r="83" spans="1:14" ht="40.15" customHeight="1" x14ac:dyDescent="0.25">
      <c r="A83" s="650" t="s">
        <v>1902</v>
      </c>
      <c r="B83" s="425">
        <v>96532</v>
      </c>
      <c r="C83" s="651" t="s">
        <v>321</v>
      </c>
      <c r="D83" s="652" t="s">
        <v>26</v>
      </c>
      <c r="E83" s="653" t="s">
        <v>2</v>
      </c>
      <c r="F83" s="440">
        <v>46.069999999999993</v>
      </c>
      <c r="G83" s="653">
        <v>189.79</v>
      </c>
      <c r="H83" s="441">
        <f t="shared" si="4"/>
        <v>8743.6252999999979</v>
      </c>
      <c r="I83" s="654">
        <v>231.98031699999999</v>
      </c>
      <c r="J83" s="441">
        <f t="shared" si="5"/>
        <v>10687.333204189998</v>
      </c>
      <c r="K83" s="467">
        <f t="shared" si="6"/>
        <v>2.5513890862981204E-3</v>
      </c>
      <c r="L83" s="655">
        <f t="shared" si="3"/>
        <v>0.8762128086275538</v>
      </c>
      <c r="N83" s="101"/>
    </row>
    <row r="84" spans="1:14" ht="55.15" customHeight="1" x14ac:dyDescent="0.25">
      <c r="A84" s="650" t="s">
        <v>1903</v>
      </c>
      <c r="B84" s="425">
        <v>92419</v>
      </c>
      <c r="C84" s="651" t="s">
        <v>321</v>
      </c>
      <c r="D84" s="652" t="s">
        <v>23</v>
      </c>
      <c r="E84" s="653" t="s">
        <v>2</v>
      </c>
      <c r="F84" s="440">
        <v>93.52</v>
      </c>
      <c r="G84" s="653">
        <v>92.04</v>
      </c>
      <c r="H84" s="441">
        <f t="shared" si="4"/>
        <v>8607.5807999999997</v>
      </c>
      <c r="I84" s="654">
        <v>112.50049200000001</v>
      </c>
      <c r="J84" s="441">
        <f t="shared" si="5"/>
        <v>10521.046011840001</v>
      </c>
      <c r="K84" s="467">
        <f t="shared" si="6"/>
        <v>2.5116913132758843E-3</v>
      </c>
      <c r="L84" s="491">
        <f t="shared" ref="L84:L148" si="7">K84+L83</f>
        <v>0.87872449994082968</v>
      </c>
    </row>
    <row r="85" spans="1:14" ht="70.150000000000006" customHeight="1" x14ac:dyDescent="0.25">
      <c r="A85" s="650" t="s">
        <v>1904</v>
      </c>
      <c r="B85" s="425" t="s">
        <v>1708</v>
      </c>
      <c r="C85" s="651" t="s">
        <v>738</v>
      </c>
      <c r="D85" s="652" t="s">
        <v>1716</v>
      </c>
      <c r="E85" s="653" t="s">
        <v>157</v>
      </c>
      <c r="F85" s="440">
        <v>10</v>
      </c>
      <c r="G85" s="653">
        <v>859.83308799999998</v>
      </c>
      <c r="H85" s="441">
        <f t="shared" si="4"/>
        <v>8598.3308799999995</v>
      </c>
      <c r="I85" s="654">
        <v>1050.9739834623999</v>
      </c>
      <c r="J85" s="441">
        <f t="shared" si="5"/>
        <v>10509.739834623999</v>
      </c>
      <c r="K85" s="467">
        <f t="shared" si="6"/>
        <v>2.5089921874410738E-3</v>
      </c>
      <c r="L85" s="491">
        <f t="shared" si="7"/>
        <v>0.88123349212827073</v>
      </c>
    </row>
    <row r="86" spans="1:14" ht="55.15" customHeight="1" x14ac:dyDescent="0.25">
      <c r="A86" s="650" t="s">
        <v>1905</v>
      </c>
      <c r="B86" s="425">
        <v>8365</v>
      </c>
      <c r="C86" s="651" t="s">
        <v>539</v>
      </c>
      <c r="D86" s="652" t="s">
        <v>1827</v>
      </c>
      <c r="E86" s="653" t="s">
        <v>0</v>
      </c>
      <c r="F86" s="440">
        <v>7.75</v>
      </c>
      <c r="G86" s="653">
        <v>1106.51</v>
      </c>
      <c r="H86" s="441">
        <f t="shared" si="4"/>
        <v>8575.4524999999994</v>
      </c>
      <c r="I86" s="654">
        <v>1352.487173</v>
      </c>
      <c r="J86" s="441">
        <f t="shared" si="5"/>
        <v>10481.77559075</v>
      </c>
      <c r="K86" s="467">
        <f t="shared" si="6"/>
        <v>2.5023162781881714E-3</v>
      </c>
      <c r="L86" s="491">
        <f t="shared" si="7"/>
        <v>0.88373580840645893</v>
      </c>
    </row>
    <row r="87" spans="1:14" ht="25.15" customHeight="1" x14ac:dyDescent="0.25">
      <c r="A87" s="497" t="s">
        <v>1906</v>
      </c>
      <c r="B87" s="425">
        <v>4365</v>
      </c>
      <c r="C87" s="426" t="s">
        <v>448</v>
      </c>
      <c r="D87" s="438" t="s">
        <v>1802</v>
      </c>
      <c r="E87" s="439" t="s">
        <v>2</v>
      </c>
      <c r="F87" s="440">
        <v>870.32</v>
      </c>
      <c r="G87" s="439">
        <v>9.66</v>
      </c>
      <c r="H87" s="441">
        <f t="shared" si="4"/>
        <v>8407.2912000000015</v>
      </c>
      <c r="I87" s="441">
        <v>11.807418</v>
      </c>
      <c r="J87" s="441">
        <f t="shared" si="5"/>
        <v>10276.232033760001</v>
      </c>
      <c r="K87" s="467">
        <f t="shared" si="6"/>
        <v>2.4532468257772019E-3</v>
      </c>
      <c r="L87" s="491">
        <f t="shared" si="7"/>
        <v>0.88618905523223612</v>
      </c>
    </row>
    <row r="88" spans="1:14" ht="25.15" customHeight="1" x14ac:dyDescent="0.25">
      <c r="A88" s="497" t="s">
        <v>1907</v>
      </c>
      <c r="B88" s="425">
        <v>141</v>
      </c>
      <c r="C88" s="426" t="s">
        <v>448</v>
      </c>
      <c r="D88" s="438" t="s">
        <v>1800</v>
      </c>
      <c r="E88" s="439" t="s">
        <v>2</v>
      </c>
      <c r="F88" s="440">
        <v>870.32</v>
      </c>
      <c r="G88" s="439">
        <v>9.39</v>
      </c>
      <c r="H88" s="441">
        <f t="shared" si="4"/>
        <v>8172.3048000000008</v>
      </c>
      <c r="I88" s="441">
        <v>11.477397</v>
      </c>
      <c r="J88" s="441">
        <f t="shared" si="5"/>
        <v>9989.0081570399998</v>
      </c>
      <c r="K88" s="467">
        <f t="shared" si="6"/>
        <v>2.3846778151188327E-3</v>
      </c>
      <c r="L88" s="491">
        <f t="shared" si="7"/>
        <v>0.88857373304735499</v>
      </c>
    </row>
    <row r="89" spans="1:14" ht="40.15" customHeight="1" x14ac:dyDescent="0.25">
      <c r="A89" s="650" t="s">
        <v>1908</v>
      </c>
      <c r="B89" s="425">
        <v>96523</v>
      </c>
      <c r="C89" s="651" t="s">
        <v>321</v>
      </c>
      <c r="D89" s="652" t="s">
        <v>106</v>
      </c>
      <c r="E89" s="653" t="s">
        <v>3</v>
      </c>
      <c r="F89" s="440">
        <v>79.836150000000032</v>
      </c>
      <c r="G89" s="653">
        <v>100.91</v>
      </c>
      <c r="H89" s="441">
        <f t="shared" si="4"/>
        <v>8056.2658965000028</v>
      </c>
      <c r="I89" s="654">
        <v>123.34229299999998</v>
      </c>
      <c r="J89" s="441">
        <f t="shared" si="5"/>
        <v>9847.1738052919518</v>
      </c>
      <c r="K89" s="467">
        <f t="shared" si="6"/>
        <v>2.3508176733792389E-3</v>
      </c>
      <c r="L89" s="655">
        <f t="shared" si="7"/>
        <v>0.89092455072073418</v>
      </c>
      <c r="N89" s="101"/>
    </row>
    <row r="90" spans="1:14" ht="55.15" customHeight="1" x14ac:dyDescent="0.25">
      <c r="A90" s="650" t="s">
        <v>1909</v>
      </c>
      <c r="B90" s="425" t="s">
        <v>239</v>
      </c>
      <c r="C90" s="651" t="s">
        <v>323</v>
      </c>
      <c r="D90" s="652" t="s">
        <v>240</v>
      </c>
      <c r="E90" s="653" t="s">
        <v>157</v>
      </c>
      <c r="F90" s="440">
        <v>12</v>
      </c>
      <c r="G90" s="653">
        <v>642.88</v>
      </c>
      <c r="H90" s="441">
        <f t="shared" si="4"/>
        <v>7714.5599999999995</v>
      </c>
      <c r="I90" s="654">
        <v>785.79222399999992</v>
      </c>
      <c r="J90" s="441">
        <f t="shared" si="5"/>
        <v>9429.5066879999995</v>
      </c>
      <c r="K90" s="467">
        <f t="shared" si="6"/>
        <v>2.2511079231165164E-3</v>
      </c>
      <c r="L90" s="491">
        <f t="shared" si="7"/>
        <v>0.89317565864385073</v>
      </c>
    </row>
    <row r="91" spans="1:14" ht="40.15" customHeight="1" x14ac:dyDescent="0.25">
      <c r="A91" s="650" t="s">
        <v>1910</v>
      </c>
      <c r="B91" s="425">
        <v>92265</v>
      </c>
      <c r="C91" s="651" t="s">
        <v>321</v>
      </c>
      <c r="D91" s="652" t="s">
        <v>20</v>
      </c>
      <c r="E91" s="653" t="s">
        <v>2</v>
      </c>
      <c r="F91" s="440">
        <v>58.46</v>
      </c>
      <c r="G91" s="653">
        <v>127.85</v>
      </c>
      <c r="H91" s="441">
        <f t="shared" si="4"/>
        <v>7474.1109999999999</v>
      </c>
      <c r="I91" s="654">
        <v>156.27105499999999</v>
      </c>
      <c r="J91" s="441">
        <f t="shared" si="5"/>
        <v>9135.6058752999998</v>
      </c>
      <c r="K91" s="467">
        <f t="shared" si="6"/>
        <v>2.1809449262631068E-3</v>
      </c>
      <c r="L91" s="655">
        <f t="shared" si="7"/>
        <v>0.89535660357011382</v>
      </c>
      <c r="N91" s="101"/>
    </row>
    <row r="92" spans="1:14" ht="55.15" customHeight="1" x14ac:dyDescent="0.25">
      <c r="A92" s="650" t="s">
        <v>1911</v>
      </c>
      <c r="B92" s="425">
        <v>100341</v>
      </c>
      <c r="C92" s="651" t="s">
        <v>321</v>
      </c>
      <c r="D92" s="652" t="s">
        <v>1736</v>
      </c>
      <c r="E92" s="653" t="s">
        <v>2</v>
      </c>
      <c r="F92" s="440">
        <v>177.5</v>
      </c>
      <c r="G92" s="653">
        <v>42.01</v>
      </c>
      <c r="H92" s="441">
        <f t="shared" ref="H92:H123" si="8">F92*G92</f>
        <v>7456.7749999999996</v>
      </c>
      <c r="I92" s="654">
        <v>51.348822999999996</v>
      </c>
      <c r="J92" s="441">
        <f t="shared" ref="J92:J123" si="9">F92*I92</f>
        <v>9114.4160824999999</v>
      </c>
      <c r="K92" s="467">
        <f t="shared" ref="K92:K123" si="10">J92/$K$283</f>
        <v>2.1758862830021626E-3</v>
      </c>
      <c r="L92" s="491">
        <f t="shared" si="7"/>
        <v>0.89753248985311596</v>
      </c>
    </row>
    <row r="93" spans="1:14" ht="40.15" customHeight="1" x14ac:dyDescent="0.25">
      <c r="A93" s="650" t="s">
        <v>1912</v>
      </c>
      <c r="B93" s="425">
        <v>88488</v>
      </c>
      <c r="C93" s="651" t="s">
        <v>321</v>
      </c>
      <c r="D93" s="652" t="s">
        <v>119</v>
      </c>
      <c r="E93" s="653" t="s">
        <v>2</v>
      </c>
      <c r="F93" s="440">
        <v>457.03</v>
      </c>
      <c r="G93" s="653">
        <v>16.13</v>
      </c>
      <c r="H93" s="441">
        <f t="shared" si="8"/>
        <v>7371.8938999999991</v>
      </c>
      <c r="I93" s="654">
        <v>19.715698999999997</v>
      </c>
      <c r="J93" s="441">
        <f t="shared" si="9"/>
        <v>9010.6659139699987</v>
      </c>
      <c r="K93" s="467">
        <f t="shared" si="10"/>
        <v>2.1511179855577397E-3</v>
      </c>
      <c r="L93" s="655">
        <f t="shared" si="7"/>
        <v>0.89968360783867374</v>
      </c>
      <c r="N93" s="101"/>
    </row>
    <row r="94" spans="1:14" ht="40.15" customHeight="1" x14ac:dyDescent="0.25">
      <c r="A94" s="650" t="s">
        <v>1913</v>
      </c>
      <c r="B94" s="425">
        <v>103669</v>
      </c>
      <c r="C94" s="651" t="s">
        <v>321</v>
      </c>
      <c r="D94" s="652" t="s">
        <v>1730</v>
      </c>
      <c r="E94" s="653" t="s">
        <v>3</v>
      </c>
      <c r="F94" s="440">
        <v>7.32</v>
      </c>
      <c r="G94" s="653">
        <v>999.52</v>
      </c>
      <c r="H94" s="441">
        <f t="shared" si="8"/>
        <v>7316.4863999999998</v>
      </c>
      <c r="I94" s="654">
        <v>1221.7132959999999</v>
      </c>
      <c r="J94" s="441">
        <f t="shared" si="9"/>
        <v>8942.9413267199998</v>
      </c>
      <c r="K94" s="467">
        <f t="shared" si="10"/>
        <v>2.1349500819767089E-3</v>
      </c>
      <c r="L94" s="655">
        <f t="shared" si="7"/>
        <v>0.90181855792065047</v>
      </c>
      <c r="N94" s="101"/>
    </row>
    <row r="95" spans="1:14" ht="25.15" customHeight="1" x14ac:dyDescent="0.25">
      <c r="A95" s="497" t="s">
        <v>1914</v>
      </c>
      <c r="B95" s="425" t="s">
        <v>250</v>
      </c>
      <c r="C95" s="426" t="s">
        <v>323</v>
      </c>
      <c r="D95" s="438" t="s">
        <v>249</v>
      </c>
      <c r="E95" s="439" t="s">
        <v>156</v>
      </c>
      <c r="F95" s="440">
        <v>870.32</v>
      </c>
      <c r="G95" s="439">
        <v>8.33</v>
      </c>
      <c r="H95" s="441">
        <f t="shared" si="8"/>
        <v>7249.7656000000006</v>
      </c>
      <c r="I95" s="441">
        <v>10.181759</v>
      </c>
      <c r="J95" s="441">
        <f t="shared" si="9"/>
        <v>8861.3884928799998</v>
      </c>
      <c r="K95" s="467">
        <f t="shared" si="10"/>
        <v>2.1154809584600504E-3</v>
      </c>
      <c r="L95" s="491">
        <f t="shared" si="7"/>
        <v>0.9039340388791105</v>
      </c>
    </row>
    <row r="96" spans="1:14" ht="25.15" customHeight="1" x14ac:dyDescent="0.25">
      <c r="A96" s="497" t="s">
        <v>1915</v>
      </c>
      <c r="B96" s="425">
        <v>30459</v>
      </c>
      <c r="C96" s="426" t="s">
        <v>448</v>
      </c>
      <c r="D96" s="438" t="s">
        <v>449</v>
      </c>
      <c r="E96" s="439" t="s">
        <v>360</v>
      </c>
      <c r="F96" s="440">
        <v>8.48</v>
      </c>
      <c r="G96" s="439">
        <v>845.38</v>
      </c>
      <c r="H96" s="441">
        <f t="shared" si="8"/>
        <v>7168.8224</v>
      </c>
      <c r="I96" s="441">
        <v>1033.3079740000001</v>
      </c>
      <c r="J96" s="441">
        <f t="shared" si="9"/>
        <v>8762.4516195200013</v>
      </c>
      <c r="K96" s="467">
        <f t="shared" si="10"/>
        <v>2.0918617398860292E-3</v>
      </c>
      <c r="L96" s="491">
        <f t="shared" si="7"/>
        <v>0.90602590061899657</v>
      </c>
    </row>
    <row r="97" spans="1:14" ht="55.15" customHeight="1" x14ac:dyDescent="0.25">
      <c r="A97" s="650" t="s">
        <v>1916</v>
      </c>
      <c r="B97" s="425">
        <v>92988</v>
      </c>
      <c r="C97" s="651" t="s">
        <v>321</v>
      </c>
      <c r="D97" s="652" t="s">
        <v>71</v>
      </c>
      <c r="E97" s="653" t="s">
        <v>0</v>
      </c>
      <c r="F97" s="440">
        <v>118</v>
      </c>
      <c r="G97" s="653">
        <v>58.95</v>
      </c>
      <c r="H97" s="441">
        <f t="shared" si="8"/>
        <v>6956.1</v>
      </c>
      <c r="I97" s="654">
        <v>72.054585000000003</v>
      </c>
      <c r="J97" s="441">
        <f t="shared" si="9"/>
        <v>8502.44103</v>
      </c>
      <c r="K97" s="467">
        <f t="shared" si="10"/>
        <v>2.0297893624511057E-3</v>
      </c>
      <c r="L97" s="491">
        <f t="shared" si="7"/>
        <v>0.9080556899814477</v>
      </c>
    </row>
    <row r="98" spans="1:14" ht="40.15" customHeight="1" x14ac:dyDescent="0.25">
      <c r="A98" s="650" t="s">
        <v>1917</v>
      </c>
      <c r="B98" s="425">
        <v>103686</v>
      </c>
      <c r="C98" s="651" t="s">
        <v>321</v>
      </c>
      <c r="D98" s="652" t="s">
        <v>59</v>
      </c>
      <c r="E98" s="653" t="s">
        <v>3</v>
      </c>
      <c r="F98" s="440">
        <v>9.07</v>
      </c>
      <c r="G98" s="653">
        <v>758.88</v>
      </c>
      <c r="H98" s="441">
        <f t="shared" si="8"/>
        <v>6883.0416000000005</v>
      </c>
      <c r="I98" s="654">
        <v>927.579024</v>
      </c>
      <c r="J98" s="441">
        <f t="shared" si="9"/>
        <v>8413.1417476799998</v>
      </c>
      <c r="K98" s="467">
        <f t="shared" si="10"/>
        <v>2.0084709278170871E-3</v>
      </c>
      <c r="L98" s="655">
        <f t="shared" si="7"/>
        <v>0.91006416090926479</v>
      </c>
      <c r="N98" s="101"/>
    </row>
    <row r="99" spans="1:14" ht="25.15" customHeight="1" x14ac:dyDescent="0.25">
      <c r="A99" s="497" t="s">
        <v>1918</v>
      </c>
      <c r="B99" s="425">
        <v>64</v>
      </c>
      <c r="C99" s="426" t="s">
        <v>448</v>
      </c>
      <c r="D99" s="438" t="s">
        <v>1841</v>
      </c>
      <c r="E99" s="439" t="s">
        <v>2</v>
      </c>
      <c r="F99" s="440">
        <v>870.32</v>
      </c>
      <c r="G99" s="439">
        <v>7.61</v>
      </c>
      <c r="H99" s="441">
        <f t="shared" si="8"/>
        <v>6623.1352000000006</v>
      </c>
      <c r="I99" s="441">
        <v>9.3017029999999998</v>
      </c>
      <c r="J99" s="441">
        <f t="shared" si="9"/>
        <v>8095.4581549600007</v>
      </c>
      <c r="K99" s="467">
        <f t="shared" si="10"/>
        <v>1.9326302633710668E-3</v>
      </c>
      <c r="L99" s="491">
        <f t="shared" si="7"/>
        <v>0.91199679117263588</v>
      </c>
    </row>
    <row r="100" spans="1:14" ht="40.15" customHeight="1" x14ac:dyDescent="0.25">
      <c r="A100" s="650" t="s">
        <v>1919</v>
      </c>
      <c r="B100" s="425">
        <v>88485</v>
      </c>
      <c r="C100" s="651" t="s">
        <v>321</v>
      </c>
      <c r="D100" s="652" t="s">
        <v>118</v>
      </c>
      <c r="E100" s="653" t="s">
        <v>2</v>
      </c>
      <c r="F100" s="440">
        <v>1309.8875800000001</v>
      </c>
      <c r="G100" s="653">
        <v>4.74</v>
      </c>
      <c r="H100" s="441">
        <f t="shared" si="8"/>
        <v>6208.8671292000008</v>
      </c>
      <c r="I100" s="654">
        <v>5.7937019999999997</v>
      </c>
      <c r="J100" s="441">
        <f t="shared" si="9"/>
        <v>7589.09829202116</v>
      </c>
      <c r="K100" s="467">
        <f t="shared" si="10"/>
        <v>1.8117468770895322E-3</v>
      </c>
      <c r="L100" s="655">
        <f t="shared" si="7"/>
        <v>0.91380853804972539</v>
      </c>
      <c r="N100" s="101"/>
    </row>
    <row r="101" spans="1:14" ht="40.15" customHeight="1" x14ac:dyDescent="0.25">
      <c r="A101" s="650" t="s">
        <v>1920</v>
      </c>
      <c r="B101" s="425">
        <v>104920</v>
      </c>
      <c r="C101" s="651" t="s">
        <v>321</v>
      </c>
      <c r="D101" s="652" t="s">
        <v>51</v>
      </c>
      <c r="E101" s="653" t="s">
        <v>10</v>
      </c>
      <c r="F101" s="440">
        <v>546.71</v>
      </c>
      <c r="G101" s="653">
        <v>10.88</v>
      </c>
      <c r="H101" s="441">
        <f t="shared" si="8"/>
        <v>5948.2048000000004</v>
      </c>
      <c r="I101" s="654">
        <v>13.298624</v>
      </c>
      <c r="J101" s="441">
        <f t="shared" si="9"/>
        <v>7270.4907270400008</v>
      </c>
      <c r="K101" s="467">
        <f t="shared" si="10"/>
        <v>1.7356856325700619E-3</v>
      </c>
      <c r="L101" s="655">
        <f t="shared" si="7"/>
        <v>0.91554422368229549</v>
      </c>
      <c r="N101" s="101"/>
    </row>
    <row r="102" spans="1:14" ht="40.15" customHeight="1" x14ac:dyDescent="0.25">
      <c r="A102" s="650" t="s">
        <v>1921</v>
      </c>
      <c r="B102" s="425">
        <v>98402</v>
      </c>
      <c r="C102" s="651" t="s">
        <v>321</v>
      </c>
      <c r="D102" s="652" t="s">
        <v>77</v>
      </c>
      <c r="E102" s="653" t="s">
        <v>0</v>
      </c>
      <c r="F102" s="440">
        <v>245</v>
      </c>
      <c r="G102" s="653">
        <v>23.96</v>
      </c>
      <c r="H102" s="441">
        <f t="shared" si="8"/>
        <v>5870.2</v>
      </c>
      <c r="I102" s="654">
        <v>29.286307999999998</v>
      </c>
      <c r="J102" s="441">
        <f t="shared" si="9"/>
        <v>7175.1454599999997</v>
      </c>
      <c r="K102" s="467">
        <f t="shared" si="10"/>
        <v>1.7129238388551747E-3</v>
      </c>
      <c r="L102" s="655">
        <f t="shared" si="7"/>
        <v>0.91725714752115062</v>
      </c>
      <c r="N102" s="101"/>
    </row>
    <row r="103" spans="1:14" ht="55.15" customHeight="1" x14ac:dyDescent="0.25">
      <c r="A103" s="650" t="s">
        <v>1922</v>
      </c>
      <c r="B103" s="425">
        <v>100576</v>
      </c>
      <c r="C103" s="651" t="s">
        <v>321</v>
      </c>
      <c r="D103" s="652" t="s">
        <v>1729</v>
      </c>
      <c r="E103" s="653" t="s">
        <v>2</v>
      </c>
      <c r="F103" s="440">
        <v>2031.88</v>
      </c>
      <c r="G103" s="653">
        <v>2.86</v>
      </c>
      <c r="H103" s="441">
        <f t="shared" si="8"/>
        <v>5811.1768000000002</v>
      </c>
      <c r="I103" s="654">
        <v>3.4957779999999996</v>
      </c>
      <c r="J103" s="441">
        <f t="shared" si="9"/>
        <v>7103.0014026399995</v>
      </c>
      <c r="K103" s="467">
        <f t="shared" si="10"/>
        <v>1.6957008743351384E-3</v>
      </c>
      <c r="L103" s="491">
        <f t="shared" si="7"/>
        <v>0.91895284839548574</v>
      </c>
    </row>
    <row r="104" spans="1:14" ht="70.150000000000006" customHeight="1" x14ac:dyDescent="0.25">
      <c r="A104" s="650" t="s">
        <v>1923</v>
      </c>
      <c r="B104" s="425" t="s">
        <v>172</v>
      </c>
      <c r="C104" s="651" t="s">
        <v>323</v>
      </c>
      <c r="D104" s="652" t="s">
        <v>173</v>
      </c>
      <c r="E104" s="653" t="s">
        <v>156</v>
      </c>
      <c r="F104" s="440">
        <v>286.11</v>
      </c>
      <c r="G104" s="653">
        <v>20.05</v>
      </c>
      <c r="H104" s="441">
        <f t="shared" si="8"/>
        <v>5736.5055000000002</v>
      </c>
      <c r="I104" s="654">
        <v>24.507114999999999</v>
      </c>
      <c r="J104" s="441">
        <f t="shared" si="9"/>
        <v>7011.7306726500001</v>
      </c>
      <c r="K104" s="467">
        <f t="shared" si="10"/>
        <v>1.6739117956243099E-3</v>
      </c>
      <c r="L104" s="491">
        <f t="shared" si="7"/>
        <v>0.92062676019111001</v>
      </c>
    </row>
    <row r="105" spans="1:14" ht="55.15" customHeight="1" x14ac:dyDescent="0.25">
      <c r="A105" s="650" t="s">
        <v>1924</v>
      </c>
      <c r="B105" s="425" t="s">
        <v>162</v>
      </c>
      <c r="C105" s="651" t="s">
        <v>323</v>
      </c>
      <c r="D105" s="652" t="s">
        <v>163</v>
      </c>
      <c r="E105" s="653" t="s">
        <v>161</v>
      </c>
      <c r="F105" s="440">
        <v>48.010419199999994</v>
      </c>
      <c r="G105" s="653">
        <v>118.17</v>
      </c>
      <c r="H105" s="441">
        <f t="shared" si="8"/>
        <v>5673.3912368639994</v>
      </c>
      <c r="I105" s="654">
        <v>144.43919099999999</v>
      </c>
      <c r="J105" s="441">
        <f t="shared" si="9"/>
        <v>6934.5861088188658</v>
      </c>
      <c r="K105" s="467">
        <f t="shared" si="10"/>
        <v>1.6554950592443849E-3</v>
      </c>
      <c r="L105" s="491">
        <f t="shared" si="7"/>
        <v>0.92228225525035434</v>
      </c>
    </row>
    <row r="106" spans="1:14" ht="55.15" customHeight="1" x14ac:dyDescent="0.25">
      <c r="A106" s="650" t="s">
        <v>1925</v>
      </c>
      <c r="B106" s="425">
        <v>89712</v>
      </c>
      <c r="C106" s="651" t="s">
        <v>321</v>
      </c>
      <c r="D106" s="652" t="s">
        <v>80</v>
      </c>
      <c r="E106" s="653" t="s">
        <v>0</v>
      </c>
      <c r="F106" s="440">
        <v>195.4</v>
      </c>
      <c r="G106" s="653">
        <v>28.67</v>
      </c>
      <c r="H106" s="441">
        <f t="shared" si="8"/>
        <v>5602.1180000000004</v>
      </c>
      <c r="I106" s="654">
        <v>35.043340999999998</v>
      </c>
      <c r="J106" s="441">
        <f t="shared" si="9"/>
        <v>6847.4688313999995</v>
      </c>
      <c r="K106" s="467">
        <f t="shared" si="10"/>
        <v>1.6346975350549681E-3</v>
      </c>
      <c r="L106" s="491">
        <f t="shared" si="7"/>
        <v>0.92391695278540931</v>
      </c>
    </row>
    <row r="107" spans="1:14" ht="55.15" customHeight="1" x14ac:dyDescent="0.25">
      <c r="A107" s="650" t="s">
        <v>1926</v>
      </c>
      <c r="B107" s="425" t="s">
        <v>213</v>
      </c>
      <c r="C107" s="651" t="s">
        <v>323</v>
      </c>
      <c r="D107" s="652" t="s">
        <v>214</v>
      </c>
      <c r="E107" s="653" t="s">
        <v>156</v>
      </c>
      <c r="F107" s="440">
        <v>542.55959999999993</v>
      </c>
      <c r="G107" s="653">
        <v>10.199999999999999</v>
      </c>
      <c r="H107" s="441">
        <f t="shared" si="8"/>
        <v>5534.1079199999986</v>
      </c>
      <c r="I107" s="654">
        <v>12.467459999999999</v>
      </c>
      <c r="J107" s="441">
        <f t="shared" si="9"/>
        <v>6764.340110615999</v>
      </c>
      <c r="K107" s="467">
        <f t="shared" si="10"/>
        <v>1.6148521997487691E-3</v>
      </c>
      <c r="L107" s="491">
        <f t="shared" si="7"/>
        <v>0.92553180498515808</v>
      </c>
    </row>
    <row r="108" spans="1:14" ht="40.15" customHeight="1" x14ac:dyDescent="0.25">
      <c r="A108" s="650" t="s">
        <v>1927</v>
      </c>
      <c r="B108" s="425">
        <v>94287</v>
      </c>
      <c r="C108" s="651" t="s">
        <v>321</v>
      </c>
      <c r="D108" s="652" t="s">
        <v>1737</v>
      </c>
      <c r="E108" s="653" t="s">
        <v>0</v>
      </c>
      <c r="F108" s="440">
        <v>154</v>
      </c>
      <c r="G108" s="653">
        <v>35.42</v>
      </c>
      <c r="H108" s="441">
        <f t="shared" si="8"/>
        <v>5454.68</v>
      </c>
      <c r="I108" s="654">
        <v>43.293866000000001</v>
      </c>
      <c r="J108" s="441">
        <f t="shared" si="9"/>
        <v>6667.2553640000006</v>
      </c>
      <c r="K108" s="467">
        <f t="shared" si="10"/>
        <v>1.5916751397442243E-3</v>
      </c>
      <c r="L108" s="655">
        <f t="shared" si="7"/>
        <v>0.92712348012490231</v>
      </c>
      <c r="N108" s="101"/>
    </row>
    <row r="109" spans="1:14" ht="70.150000000000006" customHeight="1" x14ac:dyDescent="0.25">
      <c r="A109" s="650" t="s">
        <v>1928</v>
      </c>
      <c r="B109" s="425">
        <v>90789</v>
      </c>
      <c r="C109" s="651" t="s">
        <v>321</v>
      </c>
      <c r="D109" s="652" t="s">
        <v>11</v>
      </c>
      <c r="E109" s="653" t="s">
        <v>1</v>
      </c>
      <c r="F109" s="440">
        <v>7</v>
      </c>
      <c r="G109" s="653">
        <v>756.92</v>
      </c>
      <c r="H109" s="441">
        <f t="shared" si="8"/>
        <v>5298.44</v>
      </c>
      <c r="I109" s="654">
        <v>925.18331599999988</v>
      </c>
      <c r="J109" s="441">
        <f t="shared" si="9"/>
        <v>6476.2832119999994</v>
      </c>
      <c r="K109" s="467">
        <f t="shared" si="10"/>
        <v>1.5460843216149043E-3</v>
      </c>
      <c r="L109" s="491">
        <f t="shared" si="7"/>
        <v>0.92866956444651716</v>
      </c>
    </row>
    <row r="110" spans="1:14" ht="40.15" customHeight="1" x14ac:dyDescent="0.25">
      <c r="A110" s="650" t="s">
        <v>1929</v>
      </c>
      <c r="B110" s="425">
        <v>89356</v>
      </c>
      <c r="C110" s="651" t="s">
        <v>321</v>
      </c>
      <c r="D110" s="652" t="s">
        <v>1743</v>
      </c>
      <c r="E110" s="653" t="s">
        <v>0</v>
      </c>
      <c r="F110" s="440">
        <v>216.45</v>
      </c>
      <c r="G110" s="653">
        <v>25.3</v>
      </c>
      <c r="H110" s="441">
        <f t="shared" si="8"/>
        <v>5476.1849999999995</v>
      </c>
      <c r="I110" s="654">
        <v>29.406190000000002</v>
      </c>
      <c r="J110" s="441">
        <f t="shared" si="9"/>
        <v>6364.9698255000003</v>
      </c>
      <c r="K110" s="467">
        <f t="shared" si="10"/>
        <v>1.5195104557075853E-3</v>
      </c>
      <c r="L110" s="655">
        <f t="shared" si="7"/>
        <v>0.9301890749022248</v>
      </c>
      <c r="N110" s="101"/>
    </row>
    <row r="111" spans="1:14" ht="25.15" customHeight="1" x14ac:dyDescent="0.25">
      <c r="A111" s="497" t="s">
        <v>1930</v>
      </c>
      <c r="B111" s="425">
        <v>98509</v>
      </c>
      <c r="C111" s="426" t="s">
        <v>321</v>
      </c>
      <c r="D111" s="438" t="s">
        <v>1749</v>
      </c>
      <c r="E111" s="439" t="s">
        <v>1</v>
      </c>
      <c r="F111" s="440">
        <v>85</v>
      </c>
      <c r="G111" s="439">
        <v>57.97</v>
      </c>
      <c r="H111" s="441">
        <f t="shared" si="8"/>
        <v>4927.45</v>
      </c>
      <c r="I111" s="441">
        <v>70.856730999999996</v>
      </c>
      <c r="J111" s="441">
        <f t="shared" si="9"/>
        <v>6022.8221349999994</v>
      </c>
      <c r="K111" s="467">
        <f t="shared" si="10"/>
        <v>1.4378294725506677E-3</v>
      </c>
      <c r="L111" s="491">
        <f t="shared" si="7"/>
        <v>0.93162690437477547</v>
      </c>
    </row>
    <row r="112" spans="1:14" ht="55.15" customHeight="1" x14ac:dyDescent="0.25">
      <c r="A112" s="650" t="s">
        <v>1931</v>
      </c>
      <c r="B112" s="425" t="s">
        <v>221</v>
      </c>
      <c r="C112" s="651" t="s">
        <v>323</v>
      </c>
      <c r="D112" s="652" t="s">
        <v>222</v>
      </c>
      <c r="E112" s="653" t="s">
        <v>158</v>
      </c>
      <c r="F112" s="440">
        <v>283.202</v>
      </c>
      <c r="G112" s="653">
        <v>17.079999999999998</v>
      </c>
      <c r="H112" s="441">
        <f t="shared" si="8"/>
        <v>4837.0901599999997</v>
      </c>
      <c r="I112" s="654">
        <v>20.876883999999997</v>
      </c>
      <c r="J112" s="441">
        <f t="shared" si="9"/>
        <v>5912.3753025679989</v>
      </c>
      <c r="K112" s="467">
        <f t="shared" si="10"/>
        <v>1.4114624792606366E-3</v>
      </c>
      <c r="L112" s="491">
        <f t="shared" si="7"/>
        <v>0.93303836685403607</v>
      </c>
    </row>
    <row r="113" spans="1:14" ht="40.15" customHeight="1" x14ac:dyDescent="0.25">
      <c r="A113" s="650" t="s">
        <v>1932</v>
      </c>
      <c r="B113" s="425" t="s">
        <v>254</v>
      </c>
      <c r="C113" s="651" t="s">
        <v>323</v>
      </c>
      <c r="D113" s="652" t="s">
        <v>255</v>
      </c>
      <c r="E113" s="653" t="s">
        <v>156</v>
      </c>
      <c r="F113" s="440">
        <v>19.3</v>
      </c>
      <c r="G113" s="653">
        <v>246.52</v>
      </c>
      <c r="H113" s="441">
        <f t="shared" si="8"/>
        <v>4757.8360000000002</v>
      </c>
      <c r="I113" s="654">
        <v>301.32139599999999</v>
      </c>
      <c r="J113" s="441">
        <f t="shared" si="9"/>
        <v>5815.5029427999998</v>
      </c>
      <c r="K113" s="467">
        <f t="shared" si="10"/>
        <v>1.3883361224086657E-3</v>
      </c>
      <c r="L113" s="655">
        <f t="shared" si="7"/>
        <v>0.9344267029764447</v>
      </c>
      <c r="N113" s="101"/>
    </row>
    <row r="114" spans="1:14" ht="40.15" customHeight="1" x14ac:dyDescent="0.25">
      <c r="A114" s="650" t="s">
        <v>1933</v>
      </c>
      <c r="B114" s="425">
        <v>102008</v>
      </c>
      <c r="C114" s="651" t="s">
        <v>321</v>
      </c>
      <c r="D114" s="652" t="s">
        <v>29</v>
      </c>
      <c r="E114" s="653" t="s">
        <v>2</v>
      </c>
      <c r="F114" s="440">
        <v>10.01</v>
      </c>
      <c r="G114" s="653">
        <v>475.1</v>
      </c>
      <c r="H114" s="441">
        <f t="shared" si="8"/>
        <v>4755.7510000000002</v>
      </c>
      <c r="I114" s="654">
        <v>580.71473000000003</v>
      </c>
      <c r="J114" s="441">
        <f t="shared" si="9"/>
        <v>5812.9544473000005</v>
      </c>
      <c r="K114" s="467">
        <f t="shared" si="10"/>
        <v>1.3877277195937679E-3</v>
      </c>
      <c r="L114" s="655">
        <f t="shared" si="7"/>
        <v>0.93581443069603842</v>
      </c>
      <c r="N114" s="101"/>
    </row>
    <row r="115" spans="1:14" ht="70.150000000000006" customHeight="1" x14ac:dyDescent="0.25">
      <c r="A115" s="650" t="s">
        <v>1934</v>
      </c>
      <c r="B115" s="425" t="s">
        <v>204</v>
      </c>
      <c r="C115" s="651" t="s">
        <v>323</v>
      </c>
      <c r="D115" s="652" t="s">
        <v>205</v>
      </c>
      <c r="E115" s="653" t="s">
        <v>156</v>
      </c>
      <c r="F115" s="440">
        <v>56.320000000000007</v>
      </c>
      <c r="G115" s="653">
        <v>84.18</v>
      </c>
      <c r="H115" s="441">
        <f t="shared" si="8"/>
        <v>4741.017600000001</v>
      </c>
      <c r="I115" s="654">
        <v>102.893214</v>
      </c>
      <c r="J115" s="441">
        <f t="shared" si="9"/>
        <v>5794.9458124800012</v>
      </c>
      <c r="K115" s="467">
        <f t="shared" si="10"/>
        <v>1.3834285147817705E-3</v>
      </c>
      <c r="L115" s="491">
        <f t="shared" si="7"/>
        <v>0.93719785921082022</v>
      </c>
    </row>
    <row r="116" spans="1:14" ht="70.150000000000006" customHeight="1" x14ac:dyDescent="0.25">
      <c r="A116" s="650" t="s">
        <v>1935</v>
      </c>
      <c r="B116" s="425">
        <v>90790</v>
      </c>
      <c r="C116" s="651" t="s">
        <v>321</v>
      </c>
      <c r="D116" s="652" t="s">
        <v>12</v>
      </c>
      <c r="E116" s="653" t="s">
        <v>1</v>
      </c>
      <c r="F116" s="440">
        <v>6</v>
      </c>
      <c r="G116" s="653">
        <v>781.12</v>
      </c>
      <c r="H116" s="441">
        <f t="shared" si="8"/>
        <v>4686.72</v>
      </c>
      <c r="I116" s="654">
        <v>954.76297599999998</v>
      </c>
      <c r="J116" s="441">
        <f t="shared" si="9"/>
        <v>5728.5778559999999</v>
      </c>
      <c r="K116" s="467">
        <f t="shared" si="10"/>
        <v>1.3675844799222044E-3</v>
      </c>
      <c r="L116" s="491">
        <f t="shared" si="7"/>
        <v>0.93856544369074246</v>
      </c>
    </row>
    <row r="117" spans="1:14" ht="40.15" customHeight="1" x14ac:dyDescent="0.25">
      <c r="A117" s="650" t="s">
        <v>1936</v>
      </c>
      <c r="B117" s="425">
        <v>100903</v>
      </c>
      <c r="C117" s="651" t="s">
        <v>321</v>
      </c>
      <c r="D117" s="652" t="s">
        <v>1739</v>
      </c>
      <c r="E117" s="653" t="s">
        <v>1</v>
      </c>
      <c r="F117" s="440">
        <v>148</v>
      </c>
      <c r="G117" s="653">
        <v>31.26</v>
      </c>
      <c r="H117" s="441">
        <f t="shared" si="8"/>
        <v>4626.4800000000005</v>
      </c>
      <c r="I117" s="654">
        <v>38.209097999999997</v>
      </c>
      <c r="J117" s="441">
        <f t="shared" si="9"/>
        <v>5654.9465039999995</v>
      </c>
      <c r="K117" s="467">
        <f t="shared" si="10"/>
        <v>1.3500064532701932E-3</v>
      </c>
      <c r="L117" s="655">
        <f t="shared" si="7"/>
        <v>0.93991545014401268</v>
      </c>
      <c r="N117" s="101"/>
    </row>
    <row r="118" spans="1:14" ht="81" customHeight="1" x14ac:dyDescent="0.25">
      <c r="A118" s="650" t="s">
        <v>1937</v>
      </c>
      <c r="B118" s="425" t="s">
        <v>174</v>
      </c>
      <c r="C118" s="651" t="s">
        <v>323</v>
      </c>
      <c r="D118" s="652" t="s">
        <v>175</v>
      </c>
      <c r="E118" s="653" t="s">
        <v>157</v>
      </c>
      <c r="F118" s="440">
        <v>1</v>
      </c>
      <c r="G118" s="653">
        <v>4624.74</v>
      </c>
      <c r="H118" s="441">
        <f t="shared" si="8"/>
        <v>4624.74</v>
      </c>
      <c r="I118" s="654">
        <v>5652.8197019999998</v>
      </c>
      <c r="J118" s="441">
        <f t="shared" si="9"/>
        <v>5652.8197019999998</v>
      </c>
      <c r="K118" s="467">
        <f t="shared" si="10"/>
        <v>1.3494987214246669E-3</v>
      </c>
      <c r="L118" s="491">
        <f t="shared" si="7"/>
        <v>0.94126494886543732</v>
      </c>
    </row>
    <row r="119" spans="1:14" ht="55.15" customHeight="1" x14ac:dyDescent="0.25">
      <c r="A119" s="650" t="s">
        <v>1938</v>
      </c>
      <c r="B119" s="425">
        <v>89714</v>
      </c>
      <c r="C119" s="651" t="s">
        <v>321</v>
      </c>
      <c r="D119" s="652" t="s">
        <v>82</v>
      </c>
      <c r="E119" s="653" t="s">
        <v>0</v>
      </c>
      <c r="F119" s="440">
        <v>112.25</v>
      </c>
      <c r="G119" s="653">
        <v>39.94</v>
      </c>
      <c r="H119" s="441">
        <f t="shared" si="8"/>
        <v>4483.2649999999994</v>
      </c>
      <c r="I119" s="654">
        <v>48.818661999999996</v>
      </c>
      <c r="J119" s="441">
        <f t="shared" si="9"/>
        <v>5479.8948094999996</v>
      </c>
      <c r="K119" s="467">
        <f t="shared" si="10"/>
        <v>1.3082163289845395E-3</v>
      </c>
      <c r="L119" s="491">
        <f t="shared" si="7"/>
        <v>0.94257316519442191</v>
      </c>
    </row>
    <row r="120" spans="1:14" ht="55.15" customHeight="1" x14ac:dyDescent="0.25">
      <c r="A120" s="650" t="s">
        <v>1939</v>
      </c>
      <c r="B120" s="425">
        <v>92447</v>
      </c>
      <c r="C120" s="651" t="s">
        <v>321</v>
      </c>
      <c r="D120" s="652" t="s">
        <v>24</v>
      </c>
      <c r="E120" s="653" t="s">
        <v>2</v>
      </c>
      <c r="F120" s="440">
        <v>18.03</v>
      </c>
      <c r="G120" s="653">
        <v>248.57</v>
      </c>
      <c r="H120" s="441">
        <f t="shared" si="8"/>
        <v>4481.7170999999998</v>
      </c>
      <c r="I120" s="654">
        <v>303.827111</v>
      </c>
      <c r="J120" s="441">
        <f t="shared" si="9"/>
        <v>5478.0028113300004</v>
      </c>
      <c r="K120" s="467">
        <f t="shared" si="10"/>
        <v>1.3077646519019594E-3</v>
      </c>
      <c r="L120" s="491">
        <f t="shared" si="7"/>
        <v>0.94388092984632388</v>
      </c>
    </row>
    <row r="121" spans="1:14" ht="25.15" customHeight="1" x14ac:dyDescent="0.25">
      <c r="A121" s="497" t="s">
        <v>1940</v>
      </c>
      <c r="B121" s="425" t="s">
        <v>261</v>
      </c>
      <c r="C121" s="426" t="s">
        <v>323</v>
      </c>
      <c r="D121" s="438" t="s">
        <v>1823</v>
      </c>
      <c r="E121" s="439" t="s">
        <v>161</v>
      </c>
      <c r="F121" s="440">
        <v>406.37600000000003</v>
      </c>
      <c r="G121" s="439">
        <v>10.88</v>
      </c>
      <c r="H121" s="441">
        <f t="shared" si="8"/>
        <v>4421.3708800000004</v>
      </c>
      <c r="I121" s="441">
        <v>13.298624</v>
      </c>
      <c r="J121" s="441">
        <f t="shared" si="9"/>
        <v>5404.2416266240007</v>
      </c>
      <c r="K121" s="467">
        <f t="shared" si="10"/>
        <v>1.2901556302633782E-3</v>
      </c>
      <c r="L121" s="491">
        <f t="shared" si="7"/>
        <v>0.94517108547658724</v>
      </c>
    </row>
    <row r="122" spans="1:14" ht="55.15" customHeight="1" x14ac:dyDescent="0.25">
      <c r="A122" s="650" t="s">
        <v>1941</v>
      </c>
      <c r="B122" s="425" t="s">
        <v>212</v>
      </c>
      <c r="C122" s="651" t="s">
        <v>323</v>
      </c>
      <c r="D122" s="652" t="s">
        <v>1720</v>
      </c>
      <c r="E122" s="653" t="s">
        <v>158</v>
      </c>
      <c r="F122" s="440">
        <v>198.8048</v>
      </c>
      <c r="G122" s="653">
        <v>21.73</v>
      </c>
      <c r="H122" s="441">
        <f t="shared" si="8"/>
        <v>4320.0283040000004</v>
      </c>
      <c r="I122" s="654">
        <v>26.560579000000001</v>
      </c>
      <c r="J122" s="441">
        <f t="shared" si="9"/>
        <v>5280.3705959792005</v>
      </c>
      <c r="K122" s="467">
        <f t="shared" si="10"/>
        <v>1.2605838755835731E-3</v>
      </c>
      <c r="L122" s="491">
        <f t="shared" si="7"/>
        <v>0.94643166935217082</v>
      </c>
    </row>
    <row r="123" spans="1:14" ht="40.15" customHeight="1" x14ac:dyDescent="0.25">
      <c r="A123" s="650" t="s">
        <v>1942</v>
      </c>
      <c r="B123" s="425">
        <v>95945</v>
      </c>
      <c r="C123" s="651" t="s">
        <v>321</v>
      </c>
      <c r="D123" s="652" t="s">
        <v>44</v>
      </c>
      <c r="E123" s="653" t="s">
        <v>10</v>
      </c>
      <c r="F123" s="440">
        <v>256</v>
      </c>
      <c r="G123" s="653">
        <v>16.55</v>
      </c>
      <c r="H123" s="441">
        <f t="shared" si="8"/>
        <v>4236.8</v>
      </c>
      <c r="I123" s="654">
        <v>20.229064999999999</v>
      </c>
      <c r="J123" s="441">
        <f t="shared" si="9"/>
        <v>5178.6406399999996</v>
      </c>
      <c r="K123" s="467">
        <f t="shared" si="10"/>
        <v>1.2362978638652182E-3</v>
      </c>
      <c r="L123" s="655">
        <f t="shared" si="7"/>
        <v>0.94766796721603608</v>
      </c>
      <c r="N123" s="101"/>
    </row>
    <row r="124" spans="1:14" ht="25.15" customHeight="1" x14ac:dyDescent="0.25">
      <c r="A124" s="497" t="s">
        <v>1943</v>
      </c>
      <c r="B124" s="425" t="s">
        <v>233</v>
      </c>
      <c r="C124" s="426" t="s">
        <v>323</v>
      </c>
      <c r="D124" s="438" t="s">
        <v>234</v>
      </c>
      <c r="E124" s="439" t="s">
        <v>224</v>
      </c>
      <c r="F124" s="440">
        <v>1</v>
      </c>
      <c r="G124" s="439">
        <v>4176.38</v>
      </c>
      <c r="H124" s="441">
        <f t="shared" ref="H124" si="11">F124*G124</f>
        <v>4176.38</v>
      </c>
      <c r="I124" s="441">
        <v>5104.7892739999998</v>
      </c>
      <c r="J124" s="441">
        <f t="shared" ref="J124" si="12">F124*I124</f>
        <v>5104.7892739999998</v>
      </c>
      <c r="K124" s="467">
        <f t="shared" ref="K124" si="13">J124/$K$283</f>
        <v>1.218667313229187E-3</v>
      </c>
      <c r="L124" s="491">
        <f t="shared" si="7"/>
        <v>0.94888663452926525</v>
      </c>
    </row>
    <row r="125" spans="1:14" ht="30.6" customHeight="1" x14ac:dyDescent="0.25">
      <c r="A125" s="919" t="s">
        <v>982</v>
      </c>
      <c r="B125" s="920"/>
      <c r="C125" s="920"/>
      <c r="D125" s="920"/>
      <c r="E125" s="920"/>
      <c r="F125" s="920"/>
      <c r="G125" s="920"/>
      <c r="H125" s="920"/>
      <c r="I125" s="920"/>
      <c r="J125" s="920"/>
      <c r="K125" s="920"/>
      <c r="L125" s="921"/>
    </row>
    <row r="126" spans="1:14" ht="40.15" customHeight="1" x14ac:dyDescent="0.25">
      <c r="A126" s="650" t="s">
        <v>1944</v>
      </c>
      <c r="B126" s="425">
        <v>91933</v>
      </c>
      <c r="C126" s="651" t="s">
        <v>321</v>
      </c>
      <c r="D126" s="652" t="s">
        <v>69</v>
      </c>
      <c r="E126" s="653" t="s">
        <v>0</v>
      </c>
      <c r="F126" s="440">
        <v>240</v>
      </c>
      <c r="G126" s="653">
        <v>17.22</v>
      </c>
      <c r="H126" s="441">
        <f t="shared" ref="H126:H157" si="14">F126*G126</f>
        <v>4132.7999999999993</v>
      </c>
      <c r="I126" s="654">
        <v>21.048005999999997</v>
      </c>
      <c r="J126" s="441">
        <f t="shared" ref="J126:J157" si="15">F126*I126</f>
        <v>5051.5214399999995</v>
      </c>
      <c r="K126" s="467">
        <f t="shared" ref="K126:K157" si="16">J126/$K$283</f>
        <v>1.2059506730981338E-3</v>
      </c>
      <c r="L126" s="655">
        <f>K126+L124</f>
        <v>0.95009258520236339</v>
      </c>
      <c r="N126" s="101"/>
    </row>
    <row r="127" spans="1:14" ht="25.15" customHeight="1" x14ac:dyDescent="0.25">
      <c r="A127" s="497" t="s">
        <v>1945</v>
      </c>
      <c r="B127" s="425" t="s">
        <v>722</v>
      </c>
      <c r="C127" s="426" t="s">
        <v>358</v>
      </c>
      <c r="D127" s="438" t="s">
        <v>723</v>
      </c>
      <c r="E127" s="439" t="s">
        <v>0</v>
      </c>
      <c r="F127" s="440">
        <v>14.462999999999997</v>
      </c>
      <c r="G127" s="439">
        <v>282.3075</v>
      </c>
      <c r="H127" s="441">
        <f t="shared" si="14"/>
        <v>4083.0133724999992</v>
      </c>
      <c r="I127" s="441">
        <v>345.06445724999998</v>
      </c>
      <c r="J127" s="441">
        <f t="shared" si="15"/>
        <v>4990.6672452067487</v>
      </c>
      <c r="K127" s="467">
        <f t="shared" si="16"/>
        <v>1.1914229396135926E-3</v>
      </c>
      <c r="L127" s="491">
        <f t="shared" si="7"/>
        <v>0.951284008141977</v>
      </c>
    </row>
    <row r="128" spans="1:14" ht="40.15" customHeight="1" x14ac:dyDescent="0.25">
      <c r="A128" s="650" t="s">
        <v>1946</v>
      </c>
      <c r="B128" s="425">
        <v>93187</v>
      </c>
      <c r="C128" s="651" t="s">
        <v>321</v>
      </c>
      <c r="D128" s="652" t="s">
        <v>60</v>
      </c>
      <c r="E128" s="653" t="s">
        <v>0</v>
      </c>
      <c r="F128" s="440">
        <v>46.852000000000004</v>
      </c>
      <c r="G128" s="653">
        <v>85.27</v>
      </c>
      <c r="H128" s="441">
        <f t="shared" si="14"/>
        <v>3995.0700400000001</v>
      </c>
      <c r="I128" s="654">
        <v>104.22552099999999</v>
      </c>
      <c r="J128" s="441">
        <f t="shared" si="15"/>
        <v>4883.1741098920002</v>
      </c>
      <c r="K128" s="467">
        <f t="shared" si="16"/>
        <v>1.1657610829975294E-3</v>
      </c>
      <c r="L128" s="655">
        <f t="shared" si="7"/>
        <v>0.95244976922497449</v>
      </c>
      <c r="N128" s="101"/>
    </row>
    <row r="129" spans="1:14" ht="40.15" customHeight="1" x14ac:dyDescent="0.25">
      <c r="A129" s="650" t="s">
        <v>1947</v>
      </c>
      <c r="B129" s="425">
        <v>100342</v>
      </c>
      <c r="C129" s="651" t="s">
        <v>321</v>
      </c>
      <c r="D129" s="652" t="s">
        <v>1734</v>
      </c>
      <c r="E129" s="653" t="s">
        <v>10</v>
      </c>
      <c r="F129" s="440">
        <v>222</v>
      </c>
      <c r="G129" s="653">
        <v>17.54</v>
      </c>
      <c r="H129" s="441">
        <f t="shared" si="14"/>
        <v>3893.8799999999997</v>
      </c>
      <c r="I129" s="654">
        <v>21.439141999999997</v>
      </c>
      <c r="J129" s="441">
        <f t="shared" si="15"/>
        <v>4759.4895239999996</v>
      </c>
      <c r="K129" s="467">
        <f t="shared" si="16"/>
        <v>1.1362338383089821E-3</v>
      </c>
      <c r="L129" s="655">
        <f t="shared" si="7"/>
        <v>0.95358600306328345</v>
      </c>
      <c r="N129" s="101"/>
    </row>
    <row r="130" spans="1:14" ht="40.15" customHeight="1" x14ac:dyDescent="0.25">
      <c r="A130" s="650" t="s">
        <v>1948</v>
      </c>
      <c r="B130" s="425">
        <v>227</v>
      </c>
      <c r="C130" s="651" t="s">
        <v>539</v>
      </c>
      <c r="D130" s="652" t="s">
        <v>1824</v>
      </c>
      <c r="E130" s="653" t="s">
        <v>540</v>
      </c>
      <c r="F130" s="440">
        <v>60.065850000000012</v>
      </c>
      <c r="G130" s="653">
        <v>55.64</v>
      </c>
      <c r="H130" s="441">
        <f t="shared" si="14"/>
        <v>3342.0638940000008</v>
      </c>
      <c r="I130" s="654">
        <v>68.008771999999993</v>
      </c>
      <c r="J130" s="441">
        <f t="shared" si="15"/>
        <v>4085.0046976362005</v>
      </c>
      <c r="K130" s="467">
        <f t="shared" si="16"/>
        <v>9.7521394756733238E-4</v>
      </c>
      <c r="L130" s="655">
        <f t="shared" si="7"/>
        <v>0.95456121701085073</v>
      </c>
      <c r="N130" s="101"/>
    </row>
    <row r="131" spans="1:14" ht="40.15" customHeight="1" x14ac:dyDescent="0.25">
      <c r="A131" s="650" t="s">
        <v>1949</v>
      </c>
      <c r="B131" s="425">
        <v>95946</v>
      </c>
      <c r="C131" s="651" t="s">
        <v>321</v>
      </c>
      <c r="D131" s="652" t="s">
        <v>45</v>
      </c>
      <c r="E131" s="653" t="s">
        <v>10</v>
      </c>
      <c r="F131" s="440">
        <v>252</v>
      </c>
      <c r="G131" s="653">
        <v>12.9</v>
      </c>
      <c r="H131" s="441">
        <f t="shared" si="14"/>
        <v>3250.8</v>
      </c>
      <c r="I131" s="654">
        <v>15.767669999999999</v>
      </c>
      <c r="J131" s="441">
        <f t="shared" si="15"/>
        <v>3973.4528399999999</v>
      </c>
      <c r="K131" s="467">
        <f t="shared" si="16"/>
        <v>9.4858315140036145E-4</v>
      </c>
      <c r="L131" s="655">
        <f t="shared" si="7"/>
        <v>0.95550980016225107</v>
      </c>
      <c r="N131" s="101"/>
    </row>
    <row r="132" spans="1:14" ht="55.15" customHeight="1" x14ac:dyDescent="0.25">
      <c r="A132" s="650" t="s">
        <v>1950</v>
      </c>
      <c r="B132" s="425">
        <v>92413</v>
      </c>
      <c r="C132" s="651" t="s">
        <v>321</v>
      </c>
      <c r="D132" s="652" t="s">
        <v>21</v>
      </c>
      <c r="E132" s="653" t="s">
        <v>2</v>
      </c>
      <c r="F132" s="440">
        <v>28.22</v>
      </c>
      <c r="G132" s="653">
        <v>110.63</v>
      </c>
      <c r="H132" s="441">
        <f t="shared" si="14"/>
        <v>3121.9785999999999</v>
      </c>
      <c r="I132" s="654">
        <v>135.22304899999997</v>
      </c>
      <c r="J132" s="441">
        <f t="shared" si="15"/>
        <v>3815.9944427799992</v>
      </c>
      <c r="K132" s="467">
        <f t="shared" si="16"/>
        <v>9.1099307831687211E-4</v>
      </c>
      <c r="L132" s="491">
        <f t="shared" si="7"/>
        <v>0.95642079324056795</v>
      </c>
    </row>
    <row r="133" spans="1:14" ht="40.15" customHeight="1" x14ac:dyDescent="0.25">
      <c r="A133" s="650" t="s">
        <v>1951</v>
      </c>
      <c r="B133" s="425">
        <v>91341</v>
      </c>
      <c r="C133" s="651" t="s">
        <v>321</v>
      </c>
      <c r="D133" s="652" t="s">
        <v>17</v>
      </c>
      <c r="E133" s="653" t="s">
        <v>2</v>
      </c>
      <c r="F133" s="440">
        <v>4.8</v>
      </c>
      <c r="G133" s="653">
        <v>645.64</v>
      </c>
      <c r="H133" s="441">
        <f t="shared" si="14"/>
        <v>3099.0719999999997</v>
      </c>
      <c r="I133" s="654">
        <v>789.16577199999995</v>
      </c>
      <c r="J133" s="441">
        <f t="shared" si="15"/>
        <v>3787.9957055999994</v>
      </c>
      <c r="K133" s="467">
        <f t="shared" si="16"/>
        <v>9.0430893447047511E-4</v>
      </c>
      <c r="L133" s="655">
        <f t="shared" si="7"/>
        <v>0.95732510217503841</v>
      </c>
      <c r="N133" s="101"/>
    </row>
    <row r="134" spans="1:14" ht="25.15" customHeight="1" x14ac:dyDescent="0.25">
      <c r="A134" s="497" t="s">
        <v>1952</v>
      </c>
      <c r="B134" s="425" t="s">
        <v>725</v>
      </c>
      <c r="C134" s="426" t="s">
        <v>358</v>
      </c>
      <c r="D134" s="438" t="s">
        <v>726</v>
      </c>
      <c r="E134" s="439" t="s">
        <v>1</v>
      </c>
      <c r="F134" s="440">
        <v>1</v>
      </c>
      <c r="G134" s="439">
        <v>3073.5</v>
      </c>
      <c r="H134" s="441">
        <f t="shared" si="14"/>
        <v>3073.5</v>
      </c>
      <c r="I134" s="441">
        <v>3756.7390499999997</v>
      </c>
      <c r="J134" s="441">
        <f t="shared" si="15"/>
        <v>3756.7390499999997</v>
      </c>
      <c r="K134" s="467">
        <f t="shared" si="16"/>
        <v>8.968470271407071E-4</v>
      </c>
      <c r="L134" s="491">
        <f t="shared" si="7"/>
        <v>0.95822194920217907</v>
      </c>
    </row>
    <row r="135" spans="1:14" ht="55.15" customHeight="1" x14ac:dyDescent="0.25">
      <c r="A135" s="650" t="s">
        <v>1953</v>
      </c>
      <c r="B135" s="425">
        <v>103326</v>
      </c>
      <c r="C135" s="651" t="s">
        <v>321</v>
      </c>
      <c r="D135" s="652" t="s">
        <v>114</v>
      </c>
      <c r="E135" s="653" t="s">
        <v>2</v>
      </c>
      <c r="F135" s="440">
        <v>32.568799999999996</v>
      </c>
      <c r="G135" s="653">
        <v>94.01</v>
      </c>
      <c r="H135" s="441">
        <f t="shared" si="14"/>
        <v>3061.7928879999999</v>
      </c>
      <c r="I135" s="654">
        <v>114.908423</v>
      </c>
      <c r="J135" s="441">
        <f t="shared" si="15"/>
        <v>3742.4294470023997</v>
      </c>
      <c r="K135" s="467">
        <f t="shared" si="16"/>
        <v>8.9343089289844156E-4</v>
      </c>
      <c r="L135" s="491">
        <f t="shared" si="7"/>
        <v>0.95911538009507746</v>
      </c>
    </row>
    <row r="136" spans="1:14" ht="25.15" customHeight="1" x14ac:dyDescent="0.25">
      <c r="A136" s="497" t="s">
        <v>1954</v>
      </c>
      <c r="B136" s="425" t="s">
        <v>347</v>
      </c>
      <c r="C136" s="426" t="s">
        <v>335</v>
      </c>
      <c r="D136" s="438" t="s">
        <v>348</v>
      </c>
      <c r="E136" s="439" t="s">
        <v>337</v>
      </c>
      <c r="F136" s="440">
        <v>1</v>
      </c>
      <c r="G136" s="439">
        <v>3000</v>
      </c>
      <c r="H136" s="441">
        <f t="shared" si="14"/>
        <v>3000</v>
      </c>
      <c r="I136" s="441">
        <v>3666.8999999999996</v>
      </c>
      <c r="J136" s="441">
        <f t="shared" si="15"/>
        <v>3666.8999999999996</v>
      </c>
      <c r="K136" s="467">
        <f t="shared" si="16"/>
        <v>8.753997336658927E-4</v>
      </c>
      <c r="L136" s="491">
        <f t="shared" si="7"/>
        <v>0.95999077982874337</v>
      </c>
    </row>
    <row r="137" spans="1:14" ht="40.15" customHeight="1" x14ac:dyDescent="0.25">
      <c r="A137" s="650" t="s">
        <v>1955</v>
      </c>
      <c r="B137" s="425">
        <v>89450</v>
      </c>
      <c r="C137" s="651" t="s">
        <v>321</v>
      </c>
      <c r="D137" s="652" t="s">
        <v>1746</v>
      </c>
      <c r="E137" s="653" t="s">
        <v>0</v>
      </c>
      <c r="F137" s="440">
        <v>109.4</v>
      </c>
      <c r="G137" s="653">
        <v>27.86</v>
      </c>
      <c r="H137" s="441">
        <f t="shared" si="14"/>
        <v>3047.884</v>
      </c>
      <c r="I137" s="654">
        <v>32.381678000000001</v>
      </c>
      <c r="J137" s="441">
        <f t="shared" si="15"/>
        <v>3542.5555732000003</v>
      </c>
      <c r="K137" s="467">
        <f t="shared" si="16"/>
        <v>8.4571496503201742E-4</v>
      </c>
      <c r="L137" s="655">
        <f t="shared" si="7"/>
        <v>0.96083649479377542</v>
      </c>
      <c r="N137" s="101"/>
    </row>
    <row r="138" spans="1:14" ht="40.15" customHeight="1" x14ac:dyDescent="0.25">
      <c r="A138" s="650" t="s">
        <v>1956</v>
      </c>
      <c r="B138" s="425">
        <v>95796</v>
      </c>
      <c r="C138" s="651" t="s">
        <v>321</v>
      </c>
      <c r="D138" s="652" t="s">
        <v>73</v>
      </c>
      <c r="E138" s="653" t="s">
        <v>1</v>
      </c>
      <c r="F138" s="440">
        <v>51</v>
      </c>
      <c r="G138" s="653">
        <v>56.72</v>
      </c>
      <c r="H138" s="441">
        <f t="shared" si="14"/>
        <v>2892.72</v>
      </c>
      <c r="I138" s="654">
        <v>69.328856000000002</v>
      </c>
      <c r="J138" s="441">
        <f t="shared" si="15"/>
        <v>3535.7716559999999</v>
      </c>
      <c r="K138" s="467">
        <f t="shared" si="16"/>
        <v>8.4409543919000045E-4</v>
      </c>
      <c r="L138" s="655">
        <f t="shared" si="7"/>
        <v>0.96168059023296537</v>
      </c>
      <c r="N138" s="101"/>
    </row>
    <row r="139" spans="1:14" ht="40.15" customHeight="1" x14ac:dyDescent="0.25">
      <c r="A139" s="650" t="s">
        <v>1957</v>
      </c>
      <c r="B139" s="425">
        <v>96531</v>
      </c>
      <c r="C139" s="651" t="s">
        <v>321</v>
      </c>
      <c r="D139" s="652" t="s">
        <v>25</v>
      </c>
      <c r="E139" s="653" t="s">
        <v>2</v>
      </c>
      <c r="F139" s="440">
        <v>25.6</v>
      </c>
      <c r="G139" s="653">
        <v>110.94</v>
      </c>
      <c r="H139" s="441">
        <f t="shared" si="14"/>
        <v>2840.0640000000003</v>
      </c>
      <c r="I139" s="654">
        <v>135.60196199999999</v>
      </c>
      <c r="J139" s="441">
        <f t="shared" si="15"/>
        <v>3471.4102272</v>
      </c>
      <c r="K139" s="467">
        <f t="shared" si="16"/>
        <v>8.2873042306469673E-4</v>
      </c>
      <c r="L139" s="655">
        <f t="shared" si="7"/>
        <v>0.96250932065603012</v>
      </c>
      <c r="N139" s="101"/>
    </row>
    <row r="140" spans="1:14" ht="25.5" x14ac:dyDescent="0.25">
      <c r="A140" s="497" t="s">
        <v>1958</v>
      </c>
      <c r="B140" s="425">
        <v>98305</v>
      </c>
      <c r="C140" s="651" t="s">
        <v>321</v>
      </c>
      <c r="D140" s="652" t="s">
        <v>78</v>
      </c>
      <c r="E140" s="653" t="s">
        <v>1</v>
      </c>
      <c r="F140" s="440">
        <v>1</v>
      </c>
      <c r="G140" s="653">
        <v>2833.53</v>
      </c>
      <c r="H140" s="441">
        <f t="shared" si="14"/>
        <v>2833.53</v>
      </c>
      <c r="I140" s="654">
        <v>3463.4237189999999</v>
      </c>
      <c r="J140" s="441">
        <f t="shared" si="15"/>
        <v>3463.4237189999999</v>
      </c>
      <c r="K140" s="467">
        <f t="shared" si="16"/>
        <v>8.2682380244477238E-4</v>
      </c>
      <c r="L140" s="491">
        <f t="shared" si="7"/>
        <v>0.96333614445847493</v>
      </c>
    </row>
    <row r="141" spans="1:14" ht="40.15" customHeight="1" x14ac:dyDescent="0.25">
      <c r="A141" s="650" t="s">
        <v>1959</v>
      </c>
      <c r="B141" s="425">
        <v>92760</v>
      </c>
      <c r="C141" s="651" t="s">
        <v>321</v>
      </c>
      <c r="D141" s="652" t="s">
        <v>31</v>
      </c>
      <c r="E141" s="653" t="s">
        <v>10</v>
      </c>
      <c r="F141" s="440">
        <v>208.374</v>
      </c>
      <c r="G141" s="653">
        <v>13.42</v>
      </c>
      <c r="H141" s="441">
        <f t="shared" si="14"/>
        <v>2796.3790799999997</v>
      </c>
      <c r="I141" s="654">
        <v>16.403265999999999</v>
      </c>
      <c r="J141" s="441">
        <f t="shared" si="15"/>
        <v>3418.0141494839995</v>
      </c>
      <c r="K141" s="467">
        <f t="shared" si="16"/>
        <v>8.1598316728695799E-4</v>
      </c>
      <c r="L141" s="655">
        <f t="shared" si="7"/>
        <v>0.96415212762576186</v>
      </c>
      <c r="N141" s="101"/>
    </row>
    <row r="142" spans="1:14" ht="25.15" customHeight="1" x14ac:dyDescent="0.25">
      <c r="A142" s="497" t="s">
        <v>1960</v>
      </c>
      <c r="B142" s="425">
        <v>92882</v>
      </c>
      <c r="C142" s="426" t="s">
        <v>321</v>
      </c>
      <c r="D142" s="438" t="s">
        <v>37</v>
      </c>
      <c r="E142" s="439" t="s">
        <v>10</v>
      </c>
      <c r="F142" s="440">
        <v>203.82</v>
      </c>
      <c r="G142" s="439">
        <v>13.52</v>
      </c>
      <c r="H142" s="441">
        <f t="shared" si="14"/>
        <v>2755.6463999999996</v>
      </c>
      <c r="I142" s="441">
        <v>16.525496</v>
      </c>
      <c r="J142" s="441">
        <f t="shared" si="15"/>
        <v>3368.2265947199999</v>
      </c>
      <c r="K142" s="467">
        <f t="shared" si="16"/>
        <v>8.0409737487912539E-4</v>
      </c>
      <c r="L142" s="491">
        <f t="shared" si="7"/>
        <v>0.96495622500064093</v>
      </c>
    </row>
    <row r="143" spans="1:14" ht="55.15" customHeight="1" x14ac:dyDescent="0.25">
      <c r="A143" s="650" t="s">
        <v>1961</v>
      </c>
      <c r="B143" s="425">
        <v>87640</v>
      </c>
      <c r="C143" s="651" t="s">
        <v>321</v>
      </c>
      <c r="D143" s="652" t="s">
        <v>124</v>
      </c>
      <c r="E143" s="653" t="s">
        <v>2</v>
      </c>
      <c r="F143" s="440">
        <v>51.2</v>
      </c>
      <c r="G143" s="653">
        <v>52.39</v>
      </c>
      <c r="H143" s="441">
        <f t="shared" si="14"/>
        <v>2682.3680000000004</v>
      </c>
      <c r="I143" s="654">
        <v>64.036297000000005</v>
      </c>
      <c r="J143" s="441">
        <f t="shared" si="15"/>
        <v>3278.6584064000003</v>
      </c>
      <c r="K143" s="467">
        <f t="shared" si="16"/>
        <v>7.8271474426463798E-4</v>
      </c>
      <c r="L143" s="491">
        <f t="shared" si="7"/>
        <v>0.96573893974490554</v>
      </c>
    </row>
    <row r="144" spans="1:14" ht="55.15" customHeight="1" x14ac:dyDescent="0.25">
      <c r="A144" s="650" t="s">
        <v>1962</v>
      </c>
      <c r="B144" s="425">
        <v>4538</v>
      </c>
      <c r="C144" s="651" t="s">
        <v>539</v>
      </c>
      <c r="D144" s="652" t="s">
        <v>1825</v>
      </c>
      <c r="E144" s="653" t="s">
        <v>157</v>
      </c>
      <c r="F144" s="440">
        <v>5</v>
      </c>
      <c r="G144" s="653">
        <v>534.62</v>
      </c>
      <c r="H144" s="441">
        <f t="shared" si="14"/>
        <v>2673.1</v>
      </c>
      <c r="I144" s="654">
        <v>653.46602599999994</v>
      </c>
      <c r="J144" s="441">
        <f t="shared" si="15"/>
        <v>3267.3301299999998</v>
      </c>
      <c r="K144" s="467">
        <f t="shared" si="16"/>
        <v>7.8001034268743272E-4</v>
      </c>
      <c r="L144" s="491">
        <f t="shared" si="7"/>
        <v>0.96651895008759303</v>
      </c>
    </row>
    <row r="145" spans="1:14" ht="55.15" customHeight="1" x14ac:dyDescent="0.25">
      <c r="A145" s="650" t="s">
        <v>1963</v>
      </c>
      <c r="B145" s="425">
        <v>1527</v>
      </c>
      <c r="C145" s="651" t="s">
        <v>321</v>
      </c>
      <c r="D145" s="652" t="s">
        <v>1759</v>
      </c>
      <c r="E145" s="653" t="s">
        <v>3</v>
      </c>
      <c r="F145" s="440">
        <v>4.6099999999999994</v>
      </c>
      <c r="G145" s="653">
        <v>579.21</v>
      </c>
      <c r="H145" s="441">
        <f t="shared" si="14"/>
        <v>2670.1580999999996</v>
      </c>
      <c r="I145" s="654">
        <v>707.96838300000002</v>
      </c>
      <c r="J145" s="441">
        <f t="shared" si="15"/>
        <v>3263.7342456299998</v>
      </c>
      <c r="K145" s="467">
        <f t="shared" si="16"/>
        <v>7.7915189652860879E-4</v>
      </c>
      <c r="L145" s="491">
        <f t="shared" si="7"/>
        <v>0.96729810198412169</v>
      </c>
    </row>
    <row r="146" spans="1:14" ht="40.15" customHeight="1" x14ac:dyDescent="0.25">
      <c r="A146" s="650" t="s">
        <v>1964</v>
      </c>
      <c r="B146" s="425">
        <v>88484</v>
      </c>
      <c r="C146" s="651" t="s">
        <v>321</v>
      </c>
      <c r="D146" s="652" t="s">
        <v>117</v>
      </c>
      <c r="E146" s="653" t="s">
        <v>2</v>
      </c>
      <c r="F146" s="440">
        <v>457.03</v>
      </c>
      <c r="G146" s="653">
        <v>5.79</v>
      </c>
      <c r="H146" s="441">
        <f t="shared" si="14"/>
        <v>2646.2037</v>
      </c>
      <c r="I146" s="654">
        <v>7.0771169999999994</v>
      </c>
      <c r="J146" s="441">
        <f t="shared" si="15"/>
        <v>3234.4547825099994</v>
      </c>
      <c r="K146" s="467">
        <f t="shared" si="16"/>
        <v>7.7216200473523321E-4</v>
      </c>
      <c r="L146" s="655">
        <f t="shared" si="7"/>
        <v>0.96807026398885698</v>
      </c>
      <c r="N146" s="101"/>
    </row>
    <row r="147" spans="1:14" ht="40.15" customHeight="1" x14ac:dyDescent="0.25">
      <c r="A147" s="650" t="s">
        <v>1965</v>
      </c>
      <c r="B147" s="425">
        <v>96619</v>
      </c>
      <c r="C147" s="651" t="s">
        <v>321</v>
      </c>
      <c r="D147" s="652" t="s">
        <v>19</v>
      </c>
      <c r="E147" s="653" t="s">
        <v>2</v>
      </c>
      <c r="F147" s="440">
        <v>58.002499999999998</v>
      </c>
      <c r="G147" s="653">
        <v>45.31</v>
      </c>
      <c r="H147" s="441">
        <f t="shared" si="14"/>
        <v>2628.0932750000002</v>
      </c>
      <c r="I147" s="654">
        <v>55.382413</v>
      </c>
      <c r="J147" s="441">
        <f t="shared" si="15"/>
        <v>3212.3184100324997</v>
      </c>
      <c r="K147" s="467">
        <f t="shared" si="16"/>
        <v>7.668773843280413E-4</v>
      </c>
      <c r="L147" s="655">
        <f t="shared" si="7"/>
        <v>0.968837141373185</v>
      </c>
      <c r="N147" s="101"/>
    </row>
    <row r="148" spans="1:14" ht="25.5" x14ac:dyDescent="0.25">
      <c r="A148" s="497" t="s">
        <v>1966</v>
      </c>
      <c r="B148" s="425">
        <v>95578</v>
      </c>
      <c r="C148" s="651" t="s">
        <v>321</v>
      </c>
      <c r="D148" s="652" t="s">
        <v>42</v>
      </c>
      <c r="E148" s="653" t="s">
        <v>10</v>
      </c>
      <c r="F148" s="440">
        <v>297</v>
      </c>
      <c r="G148" s="653">
        <v>8.7799999999999994</v>
      </c>
      <c r="H148" s="441">
        <f t="shared" si="14"/>
        <v>2607.66</v>
      </c>
      <c r="I148" s="654">
        <v>10.731793999999999</v>
      </c>
      <c r="J148" s="441">
        <f t="shared" si="15"/>
        <v>3187.3428179999996</v>
      </c>
      <c r="K148" s="467">
        <f t="shared" si="16"/>
        <v>7.6091495649706733E-4</v>
      </c>
      <c r="L148" s="491">
        <f t="shared" si="7"/>
        <v>0.9695980563296821</v>
      </c>
    </row>
    <row r="149" spans="1:14" ht="55.15" customHeight="1" x14ac:dyDescent="0.25">
      <c r="A149" s="650" t="s">
        <v>1967</v>
      </c>
      <c r="B149" s="425">
        <v>91306</v>
      </c>
      <c r="C149" s="651" t="s">
        <v>321</v>
      </c>
      <c r="D149" s="652" t="s">
        <v>15</v>
      </c>
      <c r="E149" s="653" t="s">
        <v>1</v>
      </c>
      <c r="F149" s="440">
        <v>16</v>
      </c>
      <c r="G149" s="653">
        <v>160.81</v>
      </c>
      <c r="H149" s="441">
        <f t="shared" si="14"/>
        <v>2572.96</v>
      </c>
      <c r="I149" s="654">
        <v>196.558063</v>
      </c>
      <c r="J149" s="441">
        <f t="shared" si="15"/>
        <v>3144.9290080000001</v>
      </c>
      <c r="K149" s="467">
        <f t="shared" si="16"/>
        <v>7.5078949957766523E-4</v>
      </c>
      <c r="L149" s="491">
        <f t="shared" ref="L149:L212" si="17">K149+L148</f>
        <v>0.97034884582925973</v>
      </c>
    </row>
    <row r="150" spans="1:14" ht="40.15" customHeight="1" x14ac:dyDescent="0.25">
      <c r="A150" s="650" t="s">
        <v>1968</v>
      </c>
      <c r="B150" s="425">
        <v>96546</v>
      </c>
      <c r="C150" s="651" t="s">
        <v>321</v>
      </c>
      <c r="D150" s="652" t="s">
        <v>47</v>
      </c>
      <c r="E150" s="653" t="s">
        <v>10</v>
      </c>
      <c r="F150" s="440">
        <v>178.2</v>
      </c>
      <c r="G150" s="653">
        <v>14.32</v>
      </c>
      <c r="H150" s="441">
        <f t="shared" si="14"/>
        <v>2551.8240000000001</v>
      </c>
      <c r="I150" s="654">
        <v>17.503336000000001</v>
      </c>
      <c r="J150" s="441">
        <f t="shared" si="15"/>
        <v>3119.0944752</v>
      </c>
      <c r="K150" s="467">
        <f t="shared" si="16"/>
        <v>7.4462201665407776E-4</v>
      </c>
      <c r="L150" s="655">
        <f t="shared" si="17"/>
        <v>0.97109346784591377</v>
      </c>
      <c r="N150" s="101"/>
    </row>
    <row r="151" spans="1:14" ht="40.15" customHeight="1" x14ac:dyDescent="0.25">
      <c r="A151" s="650" t="s">
        <v>1975</v>
      </c>
      <c r="B151" s="425">
        <v>96534</v>
      </c>
      <c r="C151" s="651" t="s">
        <v>321</v>
      </c>
      <c r="D151" s="652" t="s">
        <v>28</v>
      </c>
      <c r="E151" s="653" t="s">
        <v>2</v>
      </c>
      <c r="F151" s="440">
        <v>29.63</v>
      </c>
      <c r="G151" s="653">
        <v>82.92</v>
      </c>
      <c r="H151" s="441">
        <f t="shared" si="14"/>
        <v>2456.9196000000002</v>
      </c>
      <c r="I151" s="654">
        <v>101.353116</v>
      </c>
      <c r="J151" s="441">
        <f t="shared" si="15"/>
        <v>3003.09282708</v>
      </c>
      <c r="K151" s="467">
        <f t="shared" si="16"/>
        <v>7.1692892115950396E-4</v>
      </c>
      <c r="L151" s="655">
        <f t="shared" si="17"/>
        <v>0.97181039676707326</v>
      </c>
      <c r="N151" s="101"/>
    </row>
    <row r="152" spans="1:14" ht="40.15" customHeight="1" x14ac:dyDescent="0.25">
      <c r="A152" s="650" t="s">
        <v>1976</v>
      </c>
      <c r="B152" s="425">
        <v>96533</v>
      </c>
      <c r="C152" s="651" t="s">
        <v>321</v>
      </c>
      <c r="D152" s="652" t="s">
        <v>27</v>
      </c>
      <c r="E152" s="653" t="s">
        <v>2</v>
      </c>
      <c r="F152" s="440">
        <v>24.8</v>
      </c>
      <c r="G152" s="653">
        <v>98.72</v>
      </c>
      <c r="H152" s="441">
        <f t="shared" si="14"/>
        <v>2448.2559999999999</v>
      </c>
      <c r="I152" s="654">
        <v>120.66545599999999</v>
      </c>
      <c r="J152" s="441">
        <f t="shared" si="15"/>
        <v>2992.5033088</v>
      </c>
      <c r="K152" s="467">
        <f t="shared" si="16"/>
        <v>7.1440088344864141E-4</v>
      </c>
      <c r="L152" s="655">
        <f t="shared" si="17"/>
        <v>0.97252479765052191</v>
      </c>
      <c r="N152" s="101"/>
    </row>
    <row r="153" spans="1:14" ht="40.15" customHeight="1" x14ac:dyDescent="0.25">
      <c r="A153" s="650" t="s">
        <v>1977</v>
      </c>
      <c r="B153" s="425">
        <v>98511</v>
      </c>
      <c r="C153" s="651" t="s">
        <v>321</v>
      </c>
      <c r="D153" s="652" t="s">
        <v>1750</v>
      </c>
      <c r="E153" s="653" t="s">
        <v>1</v>
      </c>
      <c r="F153" s="440">
        <v>14</v>
      </c>
      <c r="G153" s="653">
        <v>172.25</v>
      </c>
      <c r="H153" s="441">
        <f t="shared" si="14"/>
        <v>2411.5</v>
      </c>
      <c r="I153" s="654">
        <v>210.54117499999998</v>
      </c>
      <c r="J153" s="441">
        <f t="shared" si="15"/>
        <v>2947.5764499999996</v>
      </c>
      <c r="K153" s="467">
        <f t="shared" si="16"/>
        <v>7.0367548591176673E-4</v>
      </c>
      <c r="L153" s="655">
        <f t="shared" si="17"/>
        <v>0.97322847313643368</v>
      </c>
      <c r="N153" s="101"/>
    </row>
    <row r="154" spans="1:14" ht="25.15" customHeight="1" x14ac:dyDescent="0.25">
      <c r="A154" s="497" t="s">
        <v>1978</v>
      </c>
      <c r="B154" s="425">
        <v>98524</v>
      </c>
      <c r="C154" s="426" t="s">
        <v>321</v>
      </c>
      <c r="D154" s="438" t="s">
        <v>139</v>
      </c>
      <c r="E154" s="439" t="s">
        <v>2</v>
      </c>
      <c r="F154" s="440">
        <v>500</v>
      </c>
      <c r="G154" s="439">
        <v>4.82</v>
      </c>
      <c r="H154" s="441">
        <f t="shared" si="14"/>
        <v>2410</v>
      </c>
      <c r="I154" s="441">
        <v>5.8914860000000004</v>
      </c>
      <c r="J154" s="441">
        <f t="shared" si="15"/>
        <v>2945.7430000000004</v>
      </c>
      <c r="K154" s="467">
        <f t="shared" si="16"/>
        <v>7.0323778604493401E-4</v>
      </c>
      <c r="L154" s="491">
        <f t="shared" si="17"/>
        <v>0.97393171092247866</v>
      </c>
    </row>
    <row r="155" spans="1:14" ht="55.15" customHeight="1" x14ac:dyDescent="0.25">
      <c r="A155" s="650" t="s">
        <v>1979</v>
      </c>
      <c r="B155" s="425">
        <v>94965</v>
      </c>
      <c r="C155" s="651" t="s">
        <v>321</v>
      </c>
      <c r="D155" s="652" t="s">
        <v>54</v>
      </c>
      <c r="E155" s="653" t="s">
        <v>3</v>
      </c>
      <c r="F155" s="440">
        <v>4.2300000000000004</v>
      </c>
      <c r="G155" s="653">
        <v>564.57000000000005</v>
      </c>
      <c r="H155" s="441">
        <f t="shared" si="14"/>
        <v>2388.1311000000005</v>
      </c>
      <c r="I155" s="654">
        <v>690.07391100000007</v>
      </c>
      <c r="J155" s="441">
        <f t="shared" si="15"/>
        <v>2919.0126435300008</v>
      </c>
      <c r="K155" s="467">
        <f t="shared" si="16"/>
        <v>6.9685644296641207E-4</v>
      </c>
      <c r="L155" s="491">
        <f t="shared" si="17"/>
        <v>0.97462856736544512</v>
      </c>
    </row>
    <row r="156" spans="1:14" ht="40.15" customHeight="1" x14ac:dyDescent="0.25">
      <c r="A156" s="650" t="s">
        <v>1980</v>
      </c>
      <c r="B156" s="425">
        <v>100619</v>
      </c>
      <c r="C156" s="651" t="s">
        <v>321</v>
      </c>
      <c r="D156" s="652" t="s">
        <v>1751</v>
      </c>
      <c r="E156" s="653" t="s">
        <v>1</v>
      </c>
      <c r="F156" s="440">
        <v>4</v>
      </c>
      <c r="G156" s="653">
        <v>592.35</v>
      </c>
      <c r="H156" s="441">
        <f t="shared" si="14"/>
        <v>2369.4</v>
      </c>
      <c r="I156" s="654">
        <v>724.029405</v>
      </c>
      <c r="J156" s="441">
        <f t="shared" si="15"/>
        <v>2896.11762</v>
      </c>
      <c r="K156" s="467">
        <f t="shared" si="16"/>
        <v>6.9139070964932211E-4</v>
      </c>
      <c r="L156" s="655">
        <f t="shared" si="17"/>
        <v>0.97531995807509442</v>
      </c>
      <c r="N156" s="101"/>
    </row>
    <row r="157" spans="1:14" ht="25.15" customHeight="1" x14ac:dyDescent="0.25">
      <c r="A157" s="497" t="s">
        <v>1981</v>
      </c>
      <c r="B157" s="425">
        <v>99811</v>
      </c>
      <c r="C157" s="426" t="s">
        <v>321</v>
      </c>
      <c r="D157" s="438" t="s">
        <v>129</v>
      </c>
      <c r="E157" s="439" t="s">
        <v>2</v>
      </c>
      <c r="F157" s="440">
        <v>629.24</v>
      </c>
      <c r="G157" s="439">
        <v>3.73</v>
      </c>
      <c r="H157" s="441">
        <f t="shared" si="14"/>
        <v>2347.0652</v>
      </c>
      <c r="I157" s="441">
        <v>4.5591789999999994</v>
      </c>
      <c r="J157" s="441">
        <f t="shared" si="15"/>
        <v>2868.8177939599996</v>
      </c>
      <c r="K157" s="467">
        <f t="shared" si="16"/>
        <v>6.8487341699216173E-4</v>
      </c>
      <c r="L157" s="491">
        <f t="shared" si="17"/>
        <v>0.97600483149208661</v>
      </c>
    </row>
    <row r="158" spans="1:14" ht="55.15" customHeight="1" x14ac:dyDescent="0.25">
      <c r="A158" s="650" t="s">
        <v>1982</v>
      </c>
      <c r="B158" s="425" t="s">
        <v>226</v>
      </c>
      <c r="C158" s="651" t="s">
        <v>323</v>
      </c>
      <c r="D158" s="652" t="s">
        <v>1723</v>
      </c>
      <c r="E158" s="653" t="s">
        <v>157</v>
      </c>
      <c r="F158" s="440">
        <v>2</v>
      </c>
      <c r="G158" s="653">
        <v>1052.08</v>
      </c>
      <c r="H158" s="441">
        <f t="shared" ref="H158:H189" si="18">F158*G158</f>
        <v>2104.16</v>
      </c>
      <c r="I158" s="654">
        <v>1285.9573839999998</v>
      </c>
      <c r="J158" s="441">
        <f t="shared" ref="J158:J189" si="19">F158*I158</f>
        <v>2571.9147679999996</v>
      </c>
      <c r="K158" s="467">
        <f t="shared" ref="K158:K189" si="20">J158/$K$283</f>
        <v>6.1399370119680826E-4</v>
      </c>
      <c r="L158" s="491">
        <f t="shared" si="17"/>
        <v>0.97661882519328347</v>
      </c>
    </row>
    <row r="159" spans="1:14" ht="40.15" customHeight="1" x14ac:dyDescent="0.25">
      <c r="A159" s="650" t="s">
        <v>1983</v>
      </c>
      <c r="B159" s="425">
        <v>89355</v>
      </c>
      <c r="C159" s="651" t="s">
        <v>321</v>
      </c>
      <c r="D159" s="652" t="s">
        <v>1742</v>
      </c>
      <c r="E159" s="653" t="s">
        <v>0</v>
      </c>
      <c r="F159" s="440">
        <v>95.2</v>
      </c>
      <c r="G159" s="653">
        <v>21.91</v>
      </c>
      <c r="H159" s="441">
        <f t="shared" si="18"/>
        <v>2085.8319999999999</v>
      </c>
      <c r="I159" s="654">
        <v>25.465993000000001</v>
      </c>
      <c r="J159" s="441">
        <f t="shared" si="19"/>
        <v>2424.3625336</v>
      </c>
      <c r="K159" s="467">
        <f t="shared" si="20"/>
        <v>5.787685282453869E-4</v>
      </c>
      <c r="L159" s="655">
        <f t="shared" si="17"/>
        <v>0.97719759372152881</v>
      </c>
      <c r="N159" s="101"/>
    </row>
    <row r="160" spans="1:14" ht="70.150000000000006" customHeight="1" x14ac:dyDescent="0.25">
      <c r="A160" s="650" t="s">
        <v>1984</v>
      </c>
      <c r="B160" s="425">
        <v>90793</v>
      </c>
      <c r="C160" s="651" t="s">
        <v>321</v>
      </c>
      <c r="D160" s="652" t="s">
        <v>13</v>
      </c>
      <c r="E160" s="653" t="s">
        <v>1</v>
      </c>
      <c r="F160" s="440">
        <v>2</v>
      </c>
      <c r="G160" s="653">
        <v>971.16</v>
      </c>
      <c r="H160" s="441">
        <f t="shared" si="18"/>
        <v>1942.32</v>
      </c>
      <c r="I160" s="654">
        <v>1187.0488679999999</v>
      </c>
      <c r="J160" s="441">
        <f t="shared" si="19"/>
        <v>2374.0977359999997</v>
      </c>
      <c r="K160" s="467">
        <f t="shared" si="20"/>
        <v>5.6676880356464564E-4</v>
      </c>
      <c r="L160" s="491">
        <f t="shared" si="17"/>
        <v>0.97776436252509347</v>
      </c>
    </row>
    <row r="161" spans="1:14" ht="40.15" customHeight="1" x14ac:dyDescent="0.25">
      <c r="A161" s="650" t="s">
        <v>1985</v>
      </c>
      <c r="B161" s="425">
        <v>101617</v>
      </c>
      <c r="C161" s="651" t="s">
        <v>321</v>
      </c>
      <c r="D161" s="652" t="s">
        <v>112</v>
      </c>
      <c r="E161" s="653" t="s">
        <v>2</v>
      </c>
      <c r="F161" s="440">
        <v>558.59999999999991</v>
      </c>
      <c r="G161" s="653">
        <v>3.42</v>
      </c>
      <c r="H161" s="441">
        <f t="shared" si="18"/>
        <v>1910.4119999999996</v>
      </c>
      <c r="I161" s="654">
        <v>4.1802659999999996</v>
      </c>
      <c r="J161" s="441">
        <f t="shared" si="19"/>
        <v>2335.0965875999996</v>
      </c>
      <c r="K161" s="467">
        <f t="shared" si="20"/>
        <v>5.5745805199737509E-4</v>
      </c>
      <c r="L161" s="655">
        <f t="shared" si="17"/>
        <v>0.97832182057709083</v>
      </c>
      <c r="N161" s="101"/>
    </row>
    <row r="162" spans="1:14" ht="25.15" customHeight="1" x14ac:dyDescent="0.25">
      <c r="A162" s="497" t="s">
        <v>1986</v>
      </c>
      <c r="B162" s="425">
        <v>92800</v>
      </c>
      <c r="C162" s="426" t="s">
        <v>321</v>
      </c>
      <c r="D162" s="438" t="s">
        <v>36</v>
      </c>
      <c r="E162" s="439" t="s">
        <v>10</v>
      </c>
      <c r="F162" s="440">
        <v>189</v>
      </c>
      <c r="G162" s="439">
        <v>9.98</v>
      </c>
      <c r="H162" s="441">
        <f t="shared" si="18"/>
        <v>1886.22</v>
      </c>
      <c r="I162" s="441">
        <v>12.198554</v>
      </c>
      <c r="J162" s="441">
        <f t="shared" si="19"/>
        <v>2305.5267060000001</v>
      </c>
      <c r="K162" s="467">
        <f t="shared" si="20"/>
        <v>5.5039882854509344E-4</v>
      </c>
      <c r="L162" s="491">
        <f t="shared" si="17"/>
        <v>0.97887221940563596</v>
      </c>
    </row>
    <row r="163" spans="1:14" ht="55.15" customHeight="1" x14ac:dyDescent="0.25">
      <c r="A163" s="650" t="s">
        <v>1987</v>
      </c>
      <c r="B163" s="425">
        <v>92923</v>
      </c>
      <c r="C163" s="651" t="s">
        <v>321</v>
      </c>
      <c r="D163" s="652" t="s">
        <v>40</v>
      </c>
      <c r="E163" s="653" t="s">
        <v>10</v>
      </c>
      <c r="F163" s="440">
        <v>171</v>
      </c>
      <c r="G163" s="653">
        <v>10.47</v>
      </c>
      <c r="H163" s="441">
        <f t="shared" si="18"/>
        <v>1790.3700000000001</v>
      </c>
      <c r="I163" s="654">
        <v>12.797480999999999</v>
      </c>
      <c r="J163" s="441">
        <f t="shared" si="19"/>
        <v>2188.3692510000001</v>
      </c>
      <c r="K163" s="467">
        <f t="shared" si="20"/>
        <v>5.2242980705446821E-4</v>
      </c>
      <c r="L163" s="491">
        <f t="shared" si="17"/>
        <v>0.97939464921269037</v>
      </c>
    </row>
    <row r="164" spans="1:14" ht="40.15" customHeight="1" x14ac:dyDescent="0.25">
      <c r="A164" s="650" t="s">
        <v>1988</v>
      </c>
      <c r="B164" s="425">
        <v>100346</v>
      </c>
      <c r="C164" s="651" t="s">
        <v>321</v>
      </c>
      <c r="D164" s="652" t="s">
        <v>1733</v>
      </c>
      <c r="E164" s="653" t="s">
        <v>10</v>
      </c>
      <c r="F164" s="440">
        <v>187</v>
      </c>
      <c r="G164" s="653">
        <v>9.2100000000000009</v>
      </c>
      <c r="H164" s="441">
        <f t="shared" si="18"/>
        <v>1722.2700000000002</v>
      </c>
      <c r="I164" s="654">
        <v>11.257383000000001</v>
      </c>
      <c r="J164" s="441">
        <f t="shared" si="19"/>
        <v>2105.1306210000002</v>
      </c>
      <c r="K164" s="467">
        <f t="shared" si="20"/>
        <v>5.0255823310025249E-4</v>
      </c>
      <c r="L164" s="655">
        <f t="shared" si="17"/>
        <v>0.97989720744579067</v>
      </c>
      <c r="N164" s="101"/>
    </row>
    <row r="165" spans="1:14" ht="25.15" customHeight="1" x14ac:dyDescent="0.25">
      <c r="A165" s="497" t="s">
        <v>1989</v>
      </c>
      <c r="B165" s="425">
        <v>93194</v>
      </c>
      <c r="C165" s="426" t="s">
        <v>321</v>
      </c>
      <c r="D165" s="438" t="s">
        <v>61</v>
      </c>
      <c r="E165" s="439" t="s">
        <v>0</v>
      </c>
      <c r="F165" s="440">
        <v>55.193999999999996</v>
      </c>
      <c r="G165" s="439">
        <v>30.96</v>
      </c>
      <c r="H165" s="441">
        <f t="shared" si="18"/>
        <v>1708.8062399999999</v>
      </c>
      <c r="I165" s="441">
        <v>37.842407999999999</v>
      </c>
      <c r="J165" s="441">
        <f t="shared" si="19"/>
        <v>2088.6738671519997</v>
      </c>
      <c r="K165" s="467">
        <f t="shared" si="20"/>
        <v>4.9862950912753852E-4</v>
      </c>
      <c r="L165" s="491">
        <f t="shared" si="17"/>
        <v>0.98039583695491817</v>
      </c>
    </row>
    <row r="166" spans="1:14" ht="40.15" customHeight="1" x14ac:dyDescent="0.25">
      <c r="A166" s="650" t="s">
        <v>1990</v>
      </c>
      <c r="B166" s="425">
        <v>11781</v>
      </c>
      <c r="C166" s="651" t="s">
        <v>321</v>
      </c>
      <c r="D166" s="652" t="s">
        <v>1772</v>
      </c>
      <c r="E166" s="653" t="s">
        <v>1</v>
      </c>
      <c r="F166" s="440">
        <v>6</v>
      </c>
      <c r="G166" s="653">
        <v>282.81</v>
      </c>
      <c r="H166" s="441">
        <f t="shared" si="18"/>
        <v>1696.8600000000001</v>
      </c>
      <c r="I166" s="654">
        <v>328.71006300000005</v>
      </c>
      <c r="J166" s="441">
        <f t="shared" si="19"/>
        <v>1972.2603780000004</v>
      </c>
      <c r="K166" s="467">
        <f t="shared" si="20"/>
        <v>4.7083809474515081E-4</v>
      </c>
      <c r="L166" s="655">
        <f t="shared" si="17"/>
        <v>0.98086667504966329</v>
      </c>
      <c r="N166" s="101"/>
    </row>
    <row r="167" spans="1:14" ht="40.15" customHeight="1" x14ac:dyDescent="0.25">
      <c r="A167" s="650" t="s">
        <v>1991</v>
      </c>
      <c r="B167" s="425">
        <v>100858</v>
      </c>
      <c r="C167" s="651" t="s">
        <v>321</v>
      </c>
      <c r="D167" s="652" t="s">
        <v>101</v>
      </c>
      <c r="E167" s="653" t="s">
        <v>1</v>
      </c>
      <c r="F167" s="440">
        <v>2</v>
      </c>
      <c r="G167" s="653">
        <v>804.58</v>
      </c>
      <c r="H167" s="441">
        <f t="shared" si="18"/>
        <v>1609.16</v>
      </c>
      <c r="I167" s="654">
        <v>983.43813399999999</v>
      </c>
      <c r="J167" s="441">
        <f t="shared" si="19"/>
        <v>1966.876268</v>
      </c>
      <c r="K167" s="467">
        <f t="shared" si="20"/>
        <v>4.6955274514193603E-4</v>
      </c>
      <c r="L167" s="655">
        <f t="shared" si="17"/>
        <v>0.98133622779480523</v>
      </c>
      <c r="N167" s="101"/>
    </row>
    <row r="168" spans="1:14" ht="40.15" customHeight="1" x14ac:dyDescent="0.25">
      <c r="A168" s="650" t="s">
        <v>1992</v>
      </c>
      <c r="B168" s="425">
        <v>89357</v>
      </c>
      <c r="C168" s="651" t="s">
        <v>321</v>
      </c>
      <c r="D168" s="652" t="s">
        <v>1744</v>
      </c>
      <c r="E168" s="653" t="s">
        <v>0</v>
      </c>
      <c r="F168" s="440">
        <v>48.699999999999996</v>
      </c>
      <c r="G168" s="653">
        <v>34.200000000000003</v>
      </c>
      <c r="H168" s="441">
        <f t="shared" si="18"/>
        <v>1665.54</v>
      </c>
      <c r="I168" s="654">
        <v>39.750660000000011</v>
      </c>
      <c r="J168" s="441">
        <f t="shared" si="19"/>
        <v>1935.8571420000003</v>
      </c>
      <c r="K168" s="467">
        <f t="shared" si="20"/>
        <v>4.6214754329870376E-4</v>
      </c>
      <c r="L168" s="655">
        <f t="shared" si="17"/>
        <v>0.98179837533810388</v>
      </c>
      <c r="N168" s="101"/>
    </row>
    <row r="169" spans="1:14" ht="40.15" customHeight="1" x14ac:dyDescent="0.25">
      <c r="A169" s="650" t="s">
        <v>1993</v>
      </c>
      <c r="B169" s="425">
        <v>89449</v>
      </c>
      <c r="C169" s="651" t="s">
        <v>321</v>
      </c>
      <c r="D169" s="652" t="s">
        <v>1745</v>
      </c>
      <c r="E169" s="653" t="s">
        <v>0</v>
      </c>
      <c r="F169" s="440">
        <v>94.25</v>
      </c>
      <c r="G169" s="653">
        <v>17.48</v>
      </c>
      <c r="H169" s="441">
        <f t="shared" si="18"/>
        <v>1647.49</v>
      </c>
      <c r="I169" s="654">
        <v>20.317004000000001</v>
      </c>
      <c r="J169" s="441">
        <f t="shared" si="19"/>
        <v>1914.8776270000001</v>
      </c>
      <c r="K169" s="467">
        <f t="shared" si="20"/>
        <v>4.5713909969690391E-4</v>
      </c>
      <c r="L169" s="655">
        <f t="shared" si="17"/>
        <v>0.98225551443780079</v>
      </c>
      <c r="N169" s="101"/>
    </row>
    <row r="170" spans="1:14" ht="40.15" customHeight="1" x14ac:dyDescent="0.25">
      <c r="A170" s="650" t="s">
        <v>1994</v>
      </c>
      <c r="B170" s="425">
        <v>100701</v>
      </c>
      <c r="C170" s="651" t="s">
        <v>321</v>
      </c>
      <c r="D170" s="652" t="s">
        <v>16</v>
      </c>
      <c r="E170" s="653" t="s">
        <v>2</v>
      </c>
      <c r="F170" s="440">
        <v>2.94</v>
      </c>
      <c r="G170" s="653">
        <v>531.20000000000005</v>
      </c>
      <c r="H170" s="441">
        <f t="shared" si="18"/>
        <v>1561.7280000000001</v>
      </c>
      <c r="I170" s="654">
        <v>649.28575999999998</v>
      </c>
      <c r="J170" s="441">
        <f t="shared" si="19"/>
        <v>1908.9001343999998</v>
      </c>
      <c r="K170" s="467">
        <f t="shared" si="20"/>
        <v>4.5571209175285579E-4</v>
      </c>
      <c r="L170" s="655">
        <f t="shared" si="17"/>
        <v>0.98271122652955367</v>
      </c>
      <c r="N170" s="101"/>
    </row>
    <row r="171" spans="1:14" ht="40.15" customHeight="1" x14ac:dyDescent="0.25">
      <c r="A171" s="650" t="s">
        <v>1995</v>
      </c>
      <c r="B171" s="425">
        <v>92763</v>
      </c>
      <c r="C171" s="651" t="s">
        <v>321</v>
      </c>
      <c r="D171" s="652" t="s">
        <v>33</v>
      </c>
      <c r="E171" s="653" t="s">
        <v>10</v>
      </c>
      <c r="F171" s="440">
        <v>165.4</v>
      </c>
      <c r="G171" s="653">
        <v>9.18</v>
      </c>
      <c r="H171" s="441">
        <f t="shared" si="18"/>
        <v>1518.3720000000001</v>
      </c>
      <c r="I171" s="654">
        <v>11.220713999999999</v>
      </c>
      <c r="J171" s="441">
        <f t="shared" si="19"/>
        <v>1855.9060955999998</v>
      </c>
      <c r="K171" s="467">
        <f t="shared" si="20"/>
        <v>4.4306081480191632E-4</v>
      </c>
      <c r="L171" s="655">
        <f t="shared" si="17"/>
        <v>0.98315428734435562</v>
      </c>
      <c r="N171" s="101"/>
    </row>
    <row r="172" spans="1:14" ht="40.15" customHeight="1" x14ac:dyDescent="0.25">
      <c r="A172" s="650" t="s">
        <v>1996</v>
      </c>
      <c r="B172" s="425">
        <v>93382</v>
      </c>
      <c r="C172" s="651" t="s">
        <v>321</v>
      </c>
      <c r="D172" s="652" t="s">
        <v>109</v>
      </c>
      <c r="E172" s="653" t="s">
        <v>3</v>
      </c>
      <c r="F172" s="440">
        <v>51.41615000000003</v>
      </c>
      <c r="G172" s="653">
        <v>28.3</v>
      </c>
      <c r="H172" s="441">
        <f t="shared" si="18"/>
        <v>1455.0770450000009</v>
      </c>
      <c r="I172" s="654">
        <v>34.591090000000001</v>
      </c>
      <c r="J172" s="441">
        <f t="shared" si="19"/>
        <v>1778.540672103501</v>
      </c>
      <c r="K172" s="467">
        <f t="shared" si="20"/>
        <v>4.2459135255211835E-4</v>
      </c>
      <c r="L172" s="655">
        <f t="shared" si="17"/>
        <v>0.98357887869690774</v>
      </c>
      <c r="N172" s="101"/>
    </row>
    <row r="173" spans="1:14" ht="25.15" customHeight="1" x14ac:dyDescent="0.25">
      <c r="A173" s="497" t="s">
        <v>1997</v>
      </c>
      <c r="B173" s="425">
        <v>190397</v>
      </c>
      <c r="C173" s="426" t="s">
        <v>448</v>
      </c>
      <c r="D173" s="438" t="s">
        <v>699</v>
      </c>
      <c r="E173" s="439" t="s">
        <v>540</v>
      </c>
      <c r="F173" s="440">
        <v>23.459999999999997</v>
      </c>
      <c r="G173" s="439">
        <v>61.04</v>
      </c>
      <c r="H173" s="441">
        <f t="shared" si="18"/>
        <v>1431.9983999999997</v>
      </c>
      <c r="I173" s="441">
        <v>74.609191999999993</v>
      </c>
      <c r="J173" s="441">
        <f t="shared" si="19"/>
        <v>1750.3316443199997</v>
      </c>
      <c r="K173" s="467">
        <f t="shared" si="20"/>
        <v>4.1785700598999479E-4</v>
      </c>
      <c r="L173" s="491">
        <f t="shared" si="17"/>
        <v>0.9839967357028977</v>
      </c>
    </row>
    <row r="174" spans="1:14" ht="40.15" customHeight="1" x14ac:dyDescent="0.25">
      <c r="A174" s="650" t="s">
        <v>1998</v>
      </c>
      <c r="B174" s="425" t="s">
        <v>252</v>
      </c>
      <c r="C174" s="651" t="s">
        <v>323</v>
      </c>
      <c r="D174" s="652" t="s">
        <v>253</v>
      </c>
      <c r="E174" s="653" t="s">
        <v>161</v>
      </c>
      <c r="F174" s="440">
        <v>406.37600000000003</v>
      </c>
      <c r="G174" s="653">
        <v>3.42</v>
      </c>
      <c r="H174" s="441">
        <f t="shared" si="18"/>
        <v>1389.80592</v>
      </c>
      <c r="I174" s="654">
        <v>4.1802659999999996</v>
      </c>
      <c r="J174" s="441">
        <f t="shared" si="19"/>
        <v>1698.7597760159999</v>
      </c>
      <c r="K174" s="467">
        <f t="shared" si="20"/>
        <v>4.0554524407176036E-4</v>
      </c>
      <c r="L174" s="655">
        <f t="shared" si="17"/>
        <v>0.98440228094696947</v>
      </c>
      <c r="N174" s="101"/>
    </row>
    <row r="175" spans="1:14" ht="40.15" customHeight="1" x14ac:dyDescent="0.25">
      <c r="A175" s="650" t="s">
        <v>1999</v>
      </c>
      <c r="B175" s="425">
        <v>103670</v>
      </c>
      <c r="C175" s="651" t="s">
        <v>321</v>
      </c>
      <c r="D175" s="652" t="s">
        <v>55</v>
      </c>
      <c r="E175" s="653" t="s">
        <v>3</v>
      </c>
      <c r="F175" s="440">
        <v>4.2300000000000004</v>
      </c>
      <c r="G175" s="653">
        <v>321.64</v>
      </c>
      <c r="H175" s="441">
        <f t="shared" si="18"/>
        <v>1360.5372</v>
      </c>
      <c r="I175" s="654">
        <v>393.14057199999996</v>
      </c>
      <c r="J175" s="441">
        <f t="shared" si="19"/>
        <v>1662.9846195600001</v>
      </c>
      <c r="K175" s="467">
        <f t="shared" si="20"/>
        <v>3.9700463417417987E-4</v>
      </c>
      <c r="L175" s="655">
        <f t="shared" si="17"/>
        <v>0.9847992855811436</v>
      </c>
      <c r="N175" s="101"/>
    </row>
    <row r="176" spans="1:14" ht="55.15" customHeight="1" x14ac:dyDescent="0.25">
      <c r="A176" s="650" t="s">
        <v>2000</v>
      </c>
      <c r="B176" s="425">
        <v>92415</v>
      </c>
      <c r="C176" s="651" t="s">
        <v>321</v>
      </c>
      <c r="D176" s="652" t="s">
        <v>22</v>
      </c>
      <c r="E176" s="653" t="s">
        <v>2</v>
      </c>
      <c r="F176" s="440">
        <v>9.25</v>
      </c>
      <c r="G176" s="653">
        <v>146.72</v>
      </c>
      <c r="H176" s="441">
        <f t="shared" si="18"/>
        <v>1357.16</v>
      </c>
      <c r="I176" s="654">
        <v>179.33585599999998</v>
      </c>
      <c r="J176" s="441">
        <f t="shared" si="19"/>
        <v>1658.8566679999999</v>
      </c>
      <c r="K176" s="467">
        <f t="shared" si="20"/>
        <v>3.9601916751400099E-4</v>
      </c>
      <c r="L176" s="491">
        <f t="shared" si="17"/>
        <v>0.98519530474865757</v>
      </c>
    </row>
    <row r="177" spans="1:14" ht="40.15" customHeight="1" x14ac:dyDescent="0.25">
      <c r="A177" s="650" t="s">
        <v>2001</v>
      </c>
      <c r="B177" s="425">
        <v>105035</v>
      </c>
      <c r="C177" s="651" t="s">
        <v>321</v>
      </c>
      <c r="D177" s="652" t="s">
        <v>62</v>
      </c>
      <c r="E177" s="653" t="s">
        <v>0</v>
      </c>
      <c r="F177" s="440">
        <v>18.920000000000002</v>
      </c>
      <c r="G177" s="653">
        <v>71.45</v>
      </c>
      <c r="H177" s="441">
        <f t="shared" si="18"/>
        <v>1351.8340000000003</v>
      </c>
      <c r="I177" s="654">
        <v>87.333335000000005</v>
      </c>
      <c r="J177" s="441">
        <f t="shared" si="19"/>
        <v>1652.3466982000002</v>
      </c>
      <c r="K177" s="467">
        <f t="shared" si="20"/>
        <v>3.944650411868329E-4</v>
      </c>
      <c r="L177" s="655">
        <f t="shared" si="17"/>
        <v>0.98558976978984436</v>
      </c>
      <c r="N177" s="101"/>
    </row>
    <row r="178" spans="1:14" ht="55.15" customHeight="1" x14ac:dyDescent="0.25">
      <c r="A178" s="650" t="s">
        <v>2002</v>
      </c>
      <c r="B178" s="425">
        <v>94713</v>
      </c>
      <c r="C178" s="651" t="s">
        <v>321</v>
      </c>
      <c r="D178" s="652" t="s">
        <v>1741</v>
      </c>
      <c r="E178" s="653" t="s">
        <v>1</v>
      </c>
      <c r="F178" s="440">
        <v>6</v>
      </c>
      <c r="G178" s="653">
        <v>223.34</v>
      </c>
      <c r="H178" s="441">
        <f t="shared" si="18"/>
        <v>1340.04</v>
      </c>
      <c r="I178" s="654">
        <v>272.98848199999998</v>
      </c>
      <c r="J178" s="441">
        <f t="shared" si="19"/>
        <v>1637.9308919999999</v>
      </c>
      <c r="K178" s="467">
        <f t="shared" si="20"/>
        <v>3.9102355303388095E-4</v>
      </c>
      <c r="L178" s="491">
        <f t="shared" si="17"/>
        <v>0.98598079334287825</v>
      </c>
    </row>
    <row r="179" spans="1:14" ht="40.15" customHeight="1" x14ac:dyDescent="0.25">
      <c r="A179" s="650" t="s">
        <v>2003</v>
      </c>
      <c r="B179" s="425">
        <v>95584</v>
      </c>
      <c r="C179" s="651" t="s">
        <v>321</v>
      </c>
      <c r="D179" s="652" t="s">
        <v>43</v>
      </c>
      <c r="E179" s="653" t="s">
        <v>10</v>
      </c>
      <c r="F179" s="440">
        <v>88.38</v>
      </c>
      <c r="G179" s="653">
        <v>14.3</v>
      </c>
      <c r="H179" s="441">
        <f t="shared" si="18"/>
        <v>1263.8340000000001</v>
      </c>
      <c r="I179" s="654">
        <v>17.47889</v>
      </c>
      <c r="J179" s="441">
        <f t="shared" si="19"/>
        <v>1544.7842982</v>
      </c>
      <c r="K179" s="467">
        <f t="shared" si="20"/>
        <v>3.6878664899930001E-4</v>
      </c>
      <c r="L179" s="655">
        <f t="shared" si="17"/>
        <v>0.98634957999187756</v>
      </c>
      <c r="N179" s="101"/>
    </row>
    <row r="180" spans="1:14" ht="55.15" customHeight="1" x14ac:dyDescent="0.25">
      <c r="A180" s="650" t="s">
        <v>2004</v>
      </c>
      <c r="B180" s="425">
        <v>92916</v>
      </c>
      <c r="C180" s="651" t="s">
        <v>321</v>
      </c>
      <c r="D180" s="652" t="s">
        <v>39</v>
      </c>
      <c r="E180" s="653" t="s">
        <v>10</v>
      </c>
      <c r="F180" s="440">
        <v>80</v>
      </c>
      <c r="G180" s="653">
        <v>15.66</v>
      </c>
      <c r="H180" s="441">
        <f t="shared" si="18"/>
        <v>1252.8</v>
      </c>
      <c r="I180" s="654">
        <v>19.141217999999999</v>
      </c>
      <c r="J180" s="441">
        <f t="shared" si="19"/>
        <v>1531.2974399999998</v>
      </c>
      <c r="K180" s="467">
        <f t="shared" si="20"/>
        <v>3.6556692877887678E-4</v>
      </c>
      <c r="L180" s="491">
        <f t="shared" si="17"/>
        <v>0.98671514692065643</v>
      </c>
    </row>
    <row r="181" spans="1:14" ht="55.15" customHeight="1" x14ac:dyDescent="0.25">
      <c r="A181" s="650" t="s">
        <v>2005</v>
      </c>
      <c r="B181" s="425">
        <v>101883</v>
      </c>
      <c r="C181" s="651" t="s">
        <v>321</v>
      </c>
      <c r="D181" s="652" t="s">
        <v>1740</v>
      </c>
      <c r="E181" s="653" t="s">
        <v>1</v>
      </c>
      <c r="F181" s="440">
        <v>2</v>
      </c>
      <c r="G181" s="653">
        <v>626.12</v>
      </c>
      <c r="H181" s="441">
        <f t="shared" si="18"/>
        <v>1252.24</v>
      </c>
      <c r="I181" s="654">
        <v>765.30647599999998</v>
      </c>
      <c r="J181" s="441">
        <f t="shared" si="19"/>
        <v>1530.612952</v>
      </c>
      <c r="K181" s="467">
        <f t="shared" si="20"/>
        <v>3.6540352082859253E-4</v>
      </c>
      <c r="L181" s="491">
        <f t="shared" si="17"/>
        <v>0.98708055044148502</v>
      </c>
    </row>
    <row r="182" spans="1:14" ht="25.15" customHeight="1" x14ac:dyDescent="0.25">
      <c r="A182" s="497" t="s">
        <v>2006</v>
      </c>
      <c r="B182" s="425" t="s">
        <v>334</v>
      </c>
      <c r="C182" s="426" t="s">
        <v>335</v>
      </c>
      <c r="D182" s="438" t="s">
        <v>336</v>
      </c>
      <c r="E182" s="439" t="s">
        <v>337</v>
      </c>
      <c r="F182" s="440">
        <v>1</v>
      </c>
      <c r="G182" s="439">
        <v>1200</v>
      </c>
      <c r="H182" s="441">
        <f t="shared" si="18"/>
        <v>1200</v>
      </c>
      <c r="I182" s="441">
        <v>1466.76</v>
      </c>
      <c r="J182" s="441">
        <f t="shared" si="19"/>
        <v>1466.76</v>
      </c>
      <c r="K182" s="467">
        <f t="shared" si="20"/>
        <v>3.5015989346635711E-4</v>
      </c>
      <c r="L182" s="491">
        <f t="shared" si="17"/>
        <v>0.98743071033495133</v>
      </c>
    </row>
    <row r="183" spans="1:14" ht="25.15" customHeight="1" x14ac:dyDescent="0.25">
      <c r="A183" s="497" t="s">
        <v>2007</v>
      </c>
      <c r="B183" s="425">
        <v>92883</v>
      </c>
      <c r="C183" s="426" t="s">
        <v>321</v>
      </c>
      <c r="D183" s="438" t="s">
        <v>38</v>
      </c>
      <c r="E183" s="439" t="s">
        <v>10</v>
      </c>
      <c r="F183" s="440">
        <v>97.12</v>
      </c>
      <c r="G183" s="439">
        <v>12.25</v>
      </c>
      <c r="H183" s="441">
        <f t="shared" si="18"/>
        <v>1189.72</v>
      </c>
      <c r="I183" s="441">
        <v>14.973174999999999</v>
      </c>
      <c r="J183" s="441">
        <f t="shared" si="19"/>
        <v>1454.1947560000001</v>
      </c>
      <c r="K183" s="467">
        <f t="shared" si="20"/>
        <v>3.4716019037899534E-4</v>
      </c>
      <c r="L183" s="491">
        <f t="shared" si="17"/>
        <v>0.98777787052533028</v>
      </c>
    </row>
    <row r="184" spans="1:14" ht="40.15" customHeight="1" x14ac:dyDescent="0.25">
      <c r="A184" s="650" t="s">
        <v>2008</v>
      </c>
      <c r="B184" s="425">
        <v>86904</v>
      </c>
      <c r="C184" s="651" t="s">
        <v>321</v>
      </c>
      <c r="D184" s="652" t="s">
        <v>100</v>
      </c>
      <c r="E184" s="653" t="s">
        <v>1</v>
      </c>
      <c r="F184" s="440">
        <v>7</v>
      </c>
      <c r="G184" s="653">
        <v>169.88</v>
      </c>
      <c r="H184" s="441">
        <f t="shared" si="18"/>
        <v>1189.1599999999999</v>
      </c>
      <c r="I184" s="654">
        <v>207.64432399999998</v>
      </c>
      <c r="J184" s="441">
        <f t="shared" si="19"/>
        <v>1453.510268</v>
      </c>
      <c r="K184" s="467">
        <f t="shared" si="20"/>
        <v>3.4699678242871104E-4</v>
      </c>
      <c r="L184" s="655">
        <f t="shared" si="17"/>
        <v>0.98812486730775895</v>
      </c>
      <c r="N184" s="101"/>
    </row>
    <row r="185" spans="1:14" ht="40.15" customHeight="1" x14ac:dyDescent="0.25">
      <c r="A185" s="650" t="s">
        <v>2009</v>
      </c>
      <c r="B185" s="425">
        <v>92762</v>
      </c>
      <c r="C185" s="651" t="s">
        <v>321</v>
      </c>
      <c r="D185" s="652" t="s">
        <v>32</v>
      </c>
      <c r="E185" s="653" t="s">
        <v>10</v>
      </c>
      <c r="F185" s="440">
        <v>107.30000000000001</v>
      </c>
      <c r="G185" s="653">
        <v>11.01</v>
      </c>
      <c r="H185" s="441">
        <f t="shared" si="18"/>
        <v>1181.373</v>
      </c>
      <c r="I185" s="654">
        <v>13.457522999999998</v>
      </c>
      <c r="J185" s="441">
        <f t="shared" si="19"/>
        <v>1443.9922179</v>
      </c>
      <c r="K185" s="467">
        <f t="shared" si="20"/>
        <v>3.4472453652002559E-4</v>
      </c>
      <c r="L185" s="655">
        <f t="shared" si="17"/>
        <v>0.98846959184427896</v>
      </c>
      <c r="N185" s="101"/>
    </row>
    <row r="186" spans="1:14" ht="55.15" customHeight="1" x14ac:dyDescent="0.25">
      <c r="A186" s="650" t="s">
        <v>2010</v>
      </c>
      <c r="B186" s="425">
        <v>103674</v>
      </c>
      <c r="C186" s="651" t="s">
        <v>321</v>
      </c>
      <c r="D186" s="652" t="s">
        <v>58</v>
      </c>
      <c r="E186" s="653" t="s">
        <v>3</v>
      </c>
      <c r="F186" s="440">
        <v>1.66</v>
      </c>
      <c r="G186" s="653">
        <v>706.84</v>
      </c>
      <c r="H186" s="441">
        <f t="shared" si="18"/>
        <v>1173.3543999999999</v>
      </c>
      <c r="I186" s="654">
        <v>863.97053200000005</v>
      </c>
      <c r="J186" s="441">
        <f t="shared" si="19"/>
        <v>1434.19108312</v>
      </c>
      <c r="K186" s="467">
        <f t="shared" si="20"/>
        <v>3.4238470975190118E-4</v>
      </c>
      <c r="L186" s="491">
        <f t="shared" si="17"/>
        <v>0.98881197655403086</v>
      </c>
    </row>
    <row r="187" spans="1:14" ht="38.25" x14ac:dyDescent="0.25">
      <c r="A187" s="650" t="s">
        <v>2011</v>
      </c>
      <c r="B187" s="425">
        <v>95789</v>
      </c>
      <c r="C187" s="651" t="s">
        <v>321</v>
      </c>
      <c r="D187" s="652" t="s">
        <v>72</v>
      </c>
      <c r="E187" s="653" t="s">
        <v>1</v>
      </c>
      <c r="F187" s="440">
        <v>24</v>
      </c>
      <c r="G187" s="653">
        <v>48.24</v>
      </c>
      <c r="H187" s="441">
        <f t="shared" si="18"/>
        <v>1157.76</v>
      </c>
      <c r="I187" s="654">
        <v>58.963751999999999</v>
      </c>
      <c r="J187" s="441">
        <f t="shared" si="19"/>
        <v>1415.130048</v>
      </c>
      <c r="K187" s="467">
        <f t="shared" si="20"/>
        <v>3.3783426521634137E-4</v>
      </c>
      <c r="L187" s="491">
        <f t="shared" si="17"/>
        <v>0.98914981081924724</v>
      </c>
    </row>
    <row r="188" spans="1:14" ht="40.15" customHeight="1" x14ac:dyDescent="0.25">
      <c r="A188" s="650" t="s">
        <v>2012</v>
      </c>
      <c r="B188" s="425">
        <v>95948</v>
      </c>
      <c r="C188" s="651" t="s">
        <v>321</v>
      </c>
      <c r="D188" s="652" t="s">
        <v>46</v>
      </c>
      <c r="E188" s="653" t="s">
        <v>10</v>
      </c>
      <c r="F188" s="440">
        <v>136</v>
      </c>
      <c r="G188" s="653">
        <v>8.39</v>
      </c>
      <c r="H188" s="441">
        <f t="shared" si="18"/>
        <v>1141.04</v>
      </c>
      <c r="I188" s="654">
        <v>10.255097000000001</v>
      </c>
      <c r="J188" s="441">
        <f t="shared" si="19"/>
        <v>1394.6931920000002</v>
      </c>
      <c r="K188" s="467">
        <f t="shared" si="20"/>
        <v>3.3295537070071016E-4</v>
      </c>
      <c r="L188" s="655">
        <f t="shared" si="17"/>
        <v>0.9894827661899479</v>
      </c>
      <c r="N188" s="101"/>
    </row>
    <row r="189" spans="1:14" ht="55.15" customHeight="1" x14ac:dyDescent="0.25">
      <c r="A189" s="650" t="s">
        <v>2013</v>
      </c>
      <c r="B189" s="425">
        <v>91893</v>
      </c>
      <c r="C189" s="651" t="s">
        <v>321</v>
      </c>
      <c r="D189" s="652" t="s">
        <v>65</v>
      </c>
      <c r="E189" s="653" t="s">
        <v>1</v>
      </c>
      <c r="F189" s="440">
        <v>60</v>
      </c>
      <c r="G189" s="653">
        <v>18.79</v>
      </c>
      <c r="H189" s="441">
        <f t="shared" si="18"/>
        <v>1127.3999999999999</v>
      </c>
      <c r="I189" s="654">
        <v>22.967016999999998</v>
      </c>
      <c r="J189" s="441">
        <f t="shared" si="19"/>
        <v>1378.0210199999999</v>
      </c>
      <c r="K189" s="467">
        <f t="shared" si="20"/>
        <v>3.2897521991164251E-4</v>
      </c>
      <c r="L189" s="491">
        <f t="shared" si="17"/>
        <v>0.9898117414098595</v>
      </c>
    </row>
    <row r="190" spans="1:14" ht="70.150000000000006" customHeight="1" x14ac:dyDescent="0.25">
      <c r="A190" s="650" t="s">
        <v>2014</v>
      </c>
      <c r="B190" s="425" t="s">
        <v>180</v>
      </c>
      <c r="C190" s="651" t="s">
        <v>323</v>
      </c>
      <c r="D190" s="652" t="s">
        <v>181</v>
      </c>
      <c r="E190" s="653" t="s">
        <v>157</v>
      </c>
      <c r="F190" s="440">
        <v>1</v>
      </c>
      <c r="G190" s="653">
        <v>1069.92</v>
      </c>
      <c r="H190" s="441">
        <f t="shared" ref="H190:H221" si="21">F190*G190</f>
        <v>1069.92</v>
      </c>
      <c r="I190" s="654">
        <v>1307.7632160000001</v>
      </c>
      <c r="J190" s="441">
        <f t="shared" ref="J190:J221" si="22">F190*I190</f>
        <v>1307.7632160000001</v>
      </c>
      <c r="K190" s="467">
        <f t="shared" ref="K190:K221" si="23">J190/$K$283</f>
        <v>3.1220256101460405E-4</v>
      </c>
      <c r="L190" s="491">
        <f t="shared" si="17"/>
        <v>0.99012394397087411</v>
      </c>
    </row>
    <row r="191" spans="1:14" ht="70.150000000000006" customHeight="1" x14ac:dyDescent="0.25">
      <c r="A191" s="650" t="s">
        <v>2015</v>
      </c>
      <c r="B191" s="425" t="s">
        <v>168</v>
      </c>
      <c r="C191" s="651" t="s">
        <v>323</v>
      </c>
      <c r="D191" s="652" t="s">
        <v>169</v>
      </c>
      <c r="E191" s="653" t="s">
        <v>156</v>
      </c>
      <c r="F191" s="440">
        <v>45.371999999999986</v>
      </c>
      <c r="G191" s="653">
        <v>23.39</v>
      </c>
      <c r="H191" s="441">
        <f t="shared" si="21"/>
        <v>1061.2510799999998</v>
      </c>
      <c r="I191" s="654">
        <v>28.589596999999998</v>
      </c>
      <c r="J191" s="441">
        <f t="shared" si="22"/>
        <v>1297.1671950839996</v>
      </c>
      <c r="K191" s="467">
        <f t="shared" si="23"/>
        <v>3.0967297092821363E-4</v>
      </c>
      <c r="L191" s="491">
        <f t="shared" si="17"/>
        <v>0.99043361694180232</v>
      </c>
    </row>
    <row r="192" spans="1:14" ht="40.15" customHeight="1" x14ac:dyDescent="0.25">
      <c r="A192" s="650" t="s">
        <v>2016</v>
      </c>
      <c r="B192" s="425">
        <v>104917</v>
      </c>
      <c r="C192" s="651" t="s">
        <v>321</v>
      </c>
      <c r="D192" s="652" t="s">
        <v>49</v>
      </c>
      <c r="E192" s="653" t="s">
        <v>10</v>
      </c>
      <c r="F192" s="440">
        <v>65.490000000000009</v>
      </c>
      <c r="G192" s="653">
        <v>15.89</v>
      </c>
      <c r="H192" s="441">
        <f t="shared" si="21"/>
        <v>1040.6361000000002</v>
      </c>
      <c r="I192" s="654">
        <v>19.422346999999998</v>
      </c>
      <c r="J192" s="441">
        <f t="shared" si="22"/>
        <v>1271.9695050300002</v>
      </c>
      <c r="K192" s="467">
        <f t="shared" si="23"/>
        <v>3.0365752159437119E-4</v>
      </c>
      <c r="L192" s="655">
        <f t="shared" si="17"/>
        <v>0.99073727446339666</v>
      </c>
      <c r="N192" s="101"/>
    </row>
    <row r="193" spans="1:14" ht="25.15" customHeight="1" x14ac:dyDescent="0.25">
      <c r="A193" s="497" t="s">
        <v>2017</v>
      </c>
      <c r="B193" s="425" t="s">
        <v>256</v>
      </c>
      <c r="C193" s="426" t="s">
        <v>323</v>
      </c>
      <c r="D193" s="438" t="s">
        <v>257</v>
      </c>
      <c r="E193" s="439" t="s">
        <v>156</v>
      </c>
      <c r="F193" s="440">
        <v>5.76</v>
      </c>
      <c r="G193" s="439">
        <v>172.57</v>
      </c>
      <c r="H193" s="441">
        <f t="shared" si="21"/>
        <v>994.00319999999988</v>
      </c>
      <c r="I193" s="441">
        <v>210.93231099999997</v>
      </c>
      <c r="J193" s="441">
        <f t="shared" si="22"/>
        <v>1214.9701113599997</v>
      </c>
      <c r="K193" s="467">
        <f t="shared" si="23"/>
        <v>2.9005004551434834E-4</v>
      </c>
      <c r="L193" s="491">
        <f t="shared" si="17"/>
        <v>0.99102732450891096</v>
      </c>
    </row>
    <row r="194" spans="1:14" ht="25.15" customHeight="1" x14ac:dyDescent="0.25">
      <c r="A194" s="497" t="s">
        <v>2018</v>
      </c>
      <c r="B194" s="425">
        <v>170306</v>
      </c>
      <c r="C194" s="426" t="s">
        <v>448</v>
      </c>
      <c r="D194" s="438" t="s">
        <v>700</v>
      </c>
      <c r="E194" s="439" t="s">
        <v>540</v>
      </c>
      <c r="F194" s="440">
        <v>2.0170999999999997</v>
      </c>
      <c r="G194" s="439">
        <v>490.91</v>
      </c>
      <c r="H194" s="441">
        <f t="shared" si="21"/>
        <v>990.21456099999989</v>
      </c>
      <c r="I194" s="441">
        <v>600.03929300000004</v>
      </c>
      <c r="J194" s="441">
        <f t="shared" si="22"/>
        <v>1210.3392579102999</v>
      </c>
      <c r="K194" s="467">
        <f t="shared" si="23"/>
        <v>2.8894452099049631E-4</v>
      </c>
      <c r="L194" s="491">
        <f t="shared" si="17"/>
        <v>0.99131626902990144</v>
      </c>
    </row>
    <row r="195" spans="1:14" ht="55.15" customHeight="1" x14ac:dyDescent="0.25">
      <c r="A195" s="650" t="s">
        <v>2019</v>
      </c>
      <c r="B195" s="425" t="s">
        <v>164</v>
      </c>
      <c r="C195" s="651" t="s">
        <v>323</v>
      </c>
      <c r="D195" s="652" t="s">
        <v>165</v>
      </c>
      <c r="E195" s="653" t="s">
        <v>161</v>
      </c>
      <c r="F195" s="440">
        <v>3.5100000000000002</v>
      </c>
      <c r="G195" s="653">
        <v>278.57</v>
      </c>
      <c r="H195" s="441">
        <f t="shared" si="21"/>
        <v>977.78070000000002</v>
      </c>
      <c r="I195" s="654">
        <v>340.49611099999998</v>
      </c>
      <c r="J195" s="441">
        <f t="shared" si="22"/>
        <v>1195.1413496100001</v>
      </c>
      <c r="K195" s="467">
        <f t="shared" si="23"/>
        <v>2.8531632145455013E-4</v>
      </c>
      <c r="L195" s="491">
        <f t="shared" si="17"/>
        <v>0.99160158535135601</v>
      </c>
    </row>
    <row r="196" spans="1:14" ht="51" x14ac:dyDescent="0.25">
      <c r="A196" s="497" t="s">
        <v>2020</v>
      </c>
      <c r="B196" s="425" t="s">
        <v>166</v>
      </c>
      <c r="C196" s="651" t="s">
        <v>323</v>
      </c>
      <c r="D196" s="652" t="s">
        <v>167</v>
      </c>
      <c r="E196" s="653" t="s">
        <v>156</v>
      </c>
      <c r="F196" s="440">
        <v>29.810000000000002</v>
      </c>
      <c r="G196" s="653">
        <v>32.229999999999997</v>
      </c>
      <c r="H196" s="441">
        <f t="shared" si="21"/>
        <v>960.77629999999999</v>
      </c>
      <c r="I196" s="654">
        <v>39.394728999999991</v>
      </c>
      <c r="J196" s="441">
        <f t="shared" si="22"/>
        <v>1174.3568714899998</v>
      </c>
      <c r="K196" s="467">
        <f t="shared" si="23"/>
        <v>2.8035443904416725E-4</v>
      </c>
      <c r="L196" s="491">
        <f t="shared" si="17"/>
        <v>0.99188193979040018</v>
      </c>
      <c r="N196" s="101"/>
    </row>
    <row r="197" spans="1:14" ht="25.15" customHeight="1" x14ac:dyDescent="0.25">
      <c r="A197" s="497" t="s">
        <v>2021</v>
      </c>
      <c r="B197" s="425">
        <v>98520</v>
      </c>
      <c r="C197" s="426" t="s">
        <v>321</v>
      </c>
      <c r="D197" s="438" t="s">
        <v>1748</v>
      </c>
      <c r="E197" s="439" t="s">
        <v>2</v>
      </c>
      <c r="F197" s="440">
        <v>167.69499999999999</v>
      </c>
      <c r="G197" s="439">
        <v>5.71</v>
      </c>
      <c r="H197" s="441">
        <f t="shared" si="21"/>
        <v>957.53845000000001</v>
      </c>
      <c r="I197" s="441">
        <v>6.9793329999999996</v>
      </c>
      <c r="J197" s="441">
        <f t="shared" si="22"/>
        <v>1170.3992474349998</v>
      </c>
      <c r="K197" s="467">
        <f t="shared" si="23"/>
        <v>2.7940963470161721E-4</v>
      </c>
      <c r="L197" s="491">
        <f t="shared" si="17"/>
        <v>0.99216134942510181</v>
      </c>
    </row>
    <row r="198" spans="1:14" ht="55.15" customHeight="1" x14ac:dyDescent="0.25">
      <c r="A198" s="650" t="s">
        <v>2022</v>
      </c>
      <c r="B198" s="425" t="s">
        <v>231</v>
      </c>
      <c r="C198" s="651" t="s">
        <v>323</v>
      </c>
      <c r="D198" s="652" t="s">
        <v>232</v>
      </c>
      <c r="E198" s="653" t="s">
        <v>158</v>
      </c>
      <c r="F198" s="440">
        <v>10.7</v>
      </c>
      <c r="G198" s="653">
        <v>89.46</v>
      </c>
      <c r="H198" s="441">
        <f t="shared" si="21"/>
        <v>957.22199999999987</v>
      </c>
      <c r="I198" s="654">
        <v>109.34695799999999</v>
      </c>
      <c r="J198" s="441">
        <f t="shared" si="22"/>
        <v>1170.0124505999997</v>
      </c>
      <c r="K198" s="467">
        <f t="shared" si="23"/>
        <v>2.7931729461971102E-4</v>
      </c>
      <c r="L198" s="491">
        <f t="shared" si="17"/>
        <v>0.99244066671972153</v>
      </c>
    </row>
    <row r="199" spans="1:14" ht="40.15" customHeight="1" x14ac:dyDescent="0.25">
      <c r="A199" s="650" t="s">
        <v>2023</v>
      </c>
      <c r="B199" s="425">
        <v>97645</v>
      </c>
      <c r="C199" s="651" t="s">
        <v>321</v>
      </c>
      <c r="D199" s="652" t="s">
        <v>135</v>
      </c>
      <c r="E199" s="653" t="s">
        <v>2</v>
      </c>
      <c r="F199" s="440">
        <v>34.846674999999998</v>
      </c>
      <c r="G199" s="653">
        <v>26.72</v>
      </c>
      <c r="H199" s="441">
        <f t="shared" si="21"/>
        <v>931.1031559999999</v>
      </c>
      <c r="I199" s="654">
        <v>32.659855999999998</v>
      </c>
      <c r="J199" s="441">
        <f t="shared" si="22"/>
        <v>1138.0873875787997</v>
      </c>
      <c r="K199" s="467">
        <f t="shared" si="23"/>
        <v>2.7169581825929069E-4</v>
      </c>
      <c r="L199" s="655">
        <f t="shared" si="17"/>
        <v>0.99271236253798079</v>
      </c>
      <c r="N199" s="101"/>
    </row>
    <row r="200" spans="1:14" ht="40.15" customHeight="1" x14ac:dyDescent="0.25">
      <c r="A200" s="650" t="s">
        <v>2024</v>
      </c>
      <c r="B200" s="425">
        <v>97631</v>
      </c>
      <c r="C200" s="651" t="s">
        <v>321</v>
      </c>
      <c r="D200" s="652" t="s">
        <v>132</v>
      </c>
      <c r="E200" s="653" t="s">
        <v>2</v>
      </c>
      <c r="F200" s="440">
        <v>73.651999999999987</v>
      </c>
      <c r="G200" s="653">
        <v>12.35</v>
      </c>
      <c r="H200" s="441">
        <f t="shared" si="21"/>
        <v>909.60219999999981</v>
      </c>
      <c r="I200" s="654">
        <v>15.095405</v>
      </c>
      <c r="J200" s="441">
        <f t="shared" si="22"/>
        <v>1111.8067690599999</v>
      </c>
      <c r="K200" s="467">
        <f t="shared" si="23"/>
        <v>2.6542184120730336E-4</v>
      </c>
      <c r="L200" s="655">
        <f t="shared" si="17"/>
        <v>0.99297778437918804</v>
      </c>
      <c r="N200" s="101"/>
    </row>
    <row r="201" spans="1:14" ht="38.25" x14ac:dyDescent="0.25">
      <c r="A201" s="650" t="s">
        <v>2025</v>
      </c>
      <c r="B201" s="425">
        <v>95802</v>
      </c>
      <c r="C201" s="651" t="s">
        <v>321</v>
      </c>
      <c r="D201" s="652" t="s">
        <v>74</v>
      </c>
      <c r="E201" s="653" t="s">
        <v>1</v>
      </c>
      <c r="F201" s="440">
        <v>15</v>
      </c>
      <c r="G201" s="653">
        <v>59.28</v>
      </c>
      <c r="H201" s="441">
        <f t="shared" si="21"/>
        <v>889.2</v>
      </c>
      <c r="I201" s="654">
        <v>72.457943999999998</v>
      </c>
      <c r="J201" s="441">
        <f t="shared" si="22"/>
        <v>1086.86916</v>
      </c>
      <c r="K201" s="467">
        <f t="shared" si="23"/>
        <v>2.5946848105857064E-4</v>
      </c>
      <c r="L201" s="491">
        <f t="shared" si="17"/>
        <v>0.99323725286024667</v>
      </c>
    </row>
    <row r="202" spans="1:14" ht="55.15" customHeight="1" x14ac:dyDescent="0.25">
      <c r="A202" s="650" t="s">
        <v>2026</v>
      </c>
      <c r="B202" s="425">
        <v>93020</v>
      </c>
      <c r="C202" s="651" t="s">
        <v>321</v>
      </c>
      <c r="D202" s="652" t="s">
        <v>66</v>
      </c>
      <c r="E202" s="653" t="s">
        <v>1</v>
      </c>
      <c r="F202" s="440">
        <v>26</v>
      </c>
      <c r="G202" s="653">
        <v>33.380000000000003</v>
      </c>
      <c r="H202" s="441">
        <f t="shared" si="21"/>
        <v>867.88000000000011</v>
      </c>
      <c r="I202" s="654">
        <v>40.800373999999998</v>
      </c>
      <c r="J202" s="441">
        <f t="shared" si="22"/>
        <v>1060.809724</v>
      </c>
      <c r="K202" s="467">
        <f t="shared" si="23"/>
        <v>2.5324730695131832E-4</v>
      </c>
      <c r="L202" s="491">
        <f t="shared" si="17"/>
        <v>0.99349050016719798</v>
      </c>
    </row>
    <row r="203" spans="1:14" ht="40.15" customHeight="1" x14ac:dyDescent="0.25">
      <c r="A203" s="650" t="s">
        <v>2027</v>
      </c>
      <c r="B203" s="425" t="s">
        <v>178</v>
      </c>
      <c r="C203" s="651" t="s">
        <v>323</v>
      </c>
      <c r="D203" s="652" t="s">
        <v>179</v>
      </c>
      <c r="E203" s="653" t="s">
        <v>157</v>
      </c>
      <c r="F203" s="440">
        <v>1</v>
      </c>
      <c r="G203" s="653">
        <v>845.13</v>
      </c>
      <c r="H203" s="441">
        <f t="shared" si="21"/>
        <v>845.13</v>
      </c>
      <c r="I203" s="654">
        <v>1033.002399</v>
      </c>
      <c r="J203" s="441">
        <f t="shared" si="22"/>
        <v>1033.002399</v>
      </c>
      <c r="K203" s="467">
        <f t="shared" si="23"/>
        <v>2.4660885897101866E-4</v>
      </c>
      <c r="L203" s="655">
        <f t="shared" si="17"/>
        <v>0.99373710902616896</v>
      </c>
      <c r="N203" s="101"/>
    </row>
    <row r="204" spans="1:14" ht="55.15" customHeight="1" x14ac:dyDescent="0.25">
      <c r="A204" s="650" t="s">
        <v>2028</v>
      </c>
      <c r="B204" s="425">
        <v>89711</v>
      </c>
      <c r="C204" s="651" t="s">
        <v>321</v>
      </c>
      <c r="D204" s="652" t="s">
        <v>79</v>
      </c>
      <c r="E204" s="653" t="s">
        <v>0</v>
      </c>
      <c r="F204" s="440">
        <v>36</v>
      </c>
      <c r="G204" s="653">
        <v>22.9</v>
      </c>
      <c r="H204" s="441">
        <f t="shared" si="21"/>
        <v>824.4</v>
      </c>
      <c r="I204" s="654">
        <v>27.990669999999998</v>
      </c>
      <c r="J204" s="441">
        <f t="shared" si="22"/>
        <v>1007.6641199999999</v>
      </c>
      <c r="K204" s="467">
        <f t="shared" si="23"/>
        <v>2.4055984681138734E-4</v>
      </c>
      <c r="L204" s="491">
        <f t="shared" si="17"/>
        <v>0.99397766887298034</v>
      </c>
    </row>
    <row r="205" spans="1:14" ht="40.15" customHeight="1" x14ac:dyDescent="0.25">
      <c r="A205" s="650" t="s">
        <v>2029</v>
      </c>
      <c r="B205" s="425">
        <v>97632</v>
      </c>
      <c r="C205" s="651" t="s">
        <v>321</v>
      </c>
      <c r="D205" s="652" t="s">
        <v>133</v>
      </c>
      <c r="E205" s="653" t="s">
        <v>0</v>
      </c>
      <c r="F205" s="440">
        <v>286.11</v>
      </c>
      <c r="G205" s="653">
        <v>2.88</v>
      </c>
      <c r="H205" s="441">
        <f t="shared" si="21"/>
        <v>823.99680000000001</v>
      </c>
      <c r="I205" s="654">
        <v>3.5202239999999998</v>
      </c>
      <c r="J205" s="441">
        <f t="shared" si="22"/>
        <v>1007.1712886399999</v>
      </c>
      <c r="K205" s="467">
        <f t="shared" si="23"/>
        <v>2.4044219308718264E-4</v>
      </c>
      <c r="L205" s="655">
        <f t="shared" si="17"/>
        <v>0.9942181110660675</v>
      </c>
      <c r="N205" s="101"/>
    </row>
    <row r="206" spans="1:14" ht="25.15" customHeight="1" x14ac:dyDescent="0.25">
      <c r="A206" s="497" t="s">
        <v>2030</v>
      </c>
      <c r="B206" s="425" t="s">
        <v>243</v>
      </c>
      <c r="C206" s="426" t="s">
        <v>323</v>
      </c>
      <c r="D206" s="438" t="s">
        <v>1724</v>
      </c>
      <c r="E206" s="439" t="s">
        <v>158</v>
      </c>
      <c r="F206" s="440">
        <v>1</v>
      </c>
      <c r="G206" s="439">
        <v>796.25</v>
      </c>
      <c r="H206" s="441">
        <f t="shared" si="21"/>
        <v>796.25</v>
      </c>
      <c r="I206" s="441">
        <v>973.25637499999993</v>
      </c>
      <c r="J206" s="441">
        <f t="shared" si="22"/>
        <v>973.25637499999993</v>
      </c>
      <c r="K206" s="467">
        <f t="shared" si="23"/>
        <v>2.3234567931048903E-4</v>
      </c>
      <c r="L206" s="491">
        <f t="shared" si="17"/>
        <v>0.99445045674537802</v>
      </c>
    </row>
    <row r="207" spans="1:14" ht="55.15" customHeight="1" x14ac:dyDescent="0.25">
      <c r="A207" s="650" t="s">
        <v>2031</v>
      </c>
      <c r="B207" s="425">
        <v>89713</v>
      </c>
      <c r="C207" s="651" t="s">
        <v>321</v>
      </c>
      <c r="D207" s="652" t="s">
        <v>81</v>
      </c>
      <c r="E207" s="653" t="s">
        <v>0</v>
      </c>
      <c r="F207" s="440">
        <v>22.25</v>
      </c>
      <c r="G207" s="653">
        <v>35.65</v>
      </c>
      <c r="H207" s="441">
        <f t="shared" si="21"/>
        <v>793.21249999999998</v>
      </c>
      <c r="I207" s="654">
        <v>43.574994999999994</v>
      </c>
      <c r="J207" s="441">
        <f t="shared" si="22"/>
        <v>969.5436387499999</v>
      </c>
      <c r="K207" s="467">
        <f t="shared" si="23"/>
        <v>2.314593370801523E-4</v>
      </c>
      <c r="L207" s="491">
        <f t="shared" si="17"/>
        <v>0.99468191608245815</v>
      </c>
    </row>
    <row r="208" spans="1:14" ht="55.15" customHeight="1" x14ac:dyDescent="0.25">
      <c r="A208" s="650" t="s">
        <v>2032</v>
      </c>
      <c r="B208" s="425">
        <v>43096</v>
      </c>
      <c r="C208" s="651" t="s">
        <v>321</v>
      </c>
      <c r="D208" s="652" t="s">
        <v>1757</v>
      </c>
      <c r="E208" s="653" t="s">
        <v>1</v>
      </c>
      <c r="F208" s="440">
        <v>3</v>
      </c>
      <c r="G208" s="653">
        <v>261.43</v>
      </c>
      <c r="H208" s="441">
        <f t="shared" si="21"/>
        <v>784.29</v>
      </c>
      <c r="I208" s="654">
        <v>319.54588899999999</v>
      </c>
      <c r="J208" s="441">
        <f t="shared" si="22"/>
        <v>958.63766699999996</v>
      </c>
      <c r="K208" s="467">
        <f t="shared" si="23"/>
        <v>2.2885575237227435E-4</v>
      </c>
      <c r="L208" s="491">
        <f t="shared" si="17"/>
        <v>0.99491077183483045</v>
      </c>
    </row>
    <row r="209" spans="1:14" ht="25.15" customHeight="1" x14ac:dyDescent="0.25">
      <c r="A209" s="497" t="s">
        <v>2033</v>
      </c>
      <c r="B209" s="425">
        <v>39600</v>
      </c>
      <c r="C209" s="426" t="s">
        <v>321</v>
      </c>
      <c r="D209" s="438" t="s">
        <v>1760</v>
      </c>
      <c r="E209" s="439" t="s">
        <v>1</v>
      </c>
      <c r="F209" s="440">
        <v>54</v>
      </c>
      <c r="G209" s="439">
        <v>14.52</v>
      </c>
      <c r="H209" s="441">
        <f t="shared" si="21"/>
        <v>784.07999999999993</v>
      </c>
      <c r="I209" s="441">
        <v>17.747795999999997</v>
      </c>
      <c r="J209" s="441">
        <f t="shared" si="22"/>
        <v>958.3809839999999</v>
      </c>
      <c r="K209" s="467">
        <f t="shared" si="23"/>
        <v>2.2879447439091773E-4</v>
      </c>
      <c r="L209" s="491">
        <f t="shared" si="17"/>
        <v>0.9951395663092214</v>
      </c>
    </row>
    <row r="210" spans="1:14" ht="40.15" customHeight="1" x14ac:dyDescent="0.25">
      <c r="A210" s="650" t="s">
        <v>2034</v>
      </c>
      <c r="B210" s="425">
        <v>1750</v>
      </c>
      <c r="C210" s="651" t="s">
        <v>321</v>
      </c>
      <c r="D210" s="652" t="s">
        <v>1756</v>
      </c>
      <c r="E210" s="653" t="s">
        <v>1</v>
      </c>
      <c r="F210" s="440">
        <v>1</v>
      </c>
      <c r="G210" s="653">
        <v>753.64</v>
      </c>
      <c r="H210" s="441">
        <f t="shared" si="21"/>
        <v>753.64</v>
      </c>
      <c r="I210" s="654">
        <v>921.17417199999988</v>
      </c>
      <c r="J210" s="441">
        <f t="shared" si="22"/>
        <v>921.17417199999988</v>
      </c>
      <c r="K210" s="467">
        <f t="shared" si="23"/>
        <v>2.1991208509332112E-4</v>
      </c>
      <c r="L210" s="655">
        <f t="shared" si="17"/>
        <v>0.99535947839431471</v>
      </c>
      <c r="N210" s="101"/>
    </row>
    <row r="211" spans="1:14" ht="25.5" x14ac:dyDescent="0.25">
      <c r="A211" s="650" t="s">
        <v>2035</v>
      </c>
      <c r="B211" s="425">
        <v>95577</v>
      </c>
      <c r="C211" s="651" t="s">
        <v>321</v>
      </c>
      <c r="D211" s="652" t="s">
        <v>41</v>
      </c>
      <c r="E211" s="653" t="s">
        <v>10</v>
      </c>
      <c r="F211" s="440">
        <v>65.77</v>
      </c>
      <c r="G211" s="653">
        <v>10.63</v>
      </c>
      <c r="H211" s="441">
        <f t="shared" si="21"/>
        <v>699.13509999999997</v>
      </c>
      <c r="I211" s="654">
        <v>12.993049000000001</v>
      </c>
      <c r="J211" s="441">
        <f t="shared" si="22"/>
        <v>854.55283272999998</v>
      </c>
      <c r="K211" s="467">
        <f t="shared" si="23"/>
        <v>2.040075601121591E-4</v>
      </c>
      <c r="L211" s="491">
        <f t="shared" si="17"/>
        <v>0.9955634859544269</v>
      </c>
    </row>
    <row r="212" spans="1:14" ht="55.15" customHeight="1" x14ac:dyDescent="0.25">
      <c r="A212" s="650" t="s">
        <v>2036</v>
      </c>
      <c r="B212" s="425">
        <v>92984</v>
      </c>
      <c r="C212" s="651" t="s">
        <v>321</v>
      </c>
      <c r="D212" s="652" t="s">
        <v>70</v>
      </c>
      <c r="E212" s="653" t="s">
        <v>0</v>
      </c>
      <c r="F212" s="440">
        <v>20</v>
      </c>
      <c r="G212" s="653">
        <v>29.43</v>
      </c>
      <c r="H212" s="441">
        <f t="shared" si="21"/>
        <v>588.6</v>
      </c>
      <c r="I212" s="654">
        <v>35.972288999999996</v>
      </c>
      <c r="J212" s="441">
        <f t="shared" si="22"/>
        <v>719.4457799999999</v>
      </c>
      <c r="K212" s="467">
        <f t="shared" si="23"/>
        <v>1.7175342774524815E-4</v>
      </c>
      <c r="L212" s="491">
        <f t="shared" si="17"/>
        <v>0.99573523938217212</v>
      </c>
    </row>
    <row r="213" spans="1:14" ht="55.15" customHeight="1" x14ac:dyDescent="0.25">
      <c r="A213" s="650" t="s">
        <v>2037</v>
      </c>
      <c r="B213" s="425" t="s">
        <v>176</v>
      </c>
      <c r="C213" s="651" t="s">
        <v>323</v>
      </c>
      <c r="D213" s="652" t="s">
        <v>177</v>
      </c>
      <c r="E213" s="653" t="s">
        <v>157</v>
      </c>
      <c r="F213" s="440">
        <v>1</v>
      </c>
      <c r="G213" s="653">
        <v>574.82000000000005</v>
      </c>
      <c r="H213" s="441">
        <f t="shared" si="21"/>
        <v>574.82000000000005</v>
      </c>
      <c r="I213" s="654">
        <v>702.602486</v>
      </c>
      <c r="J213" s="441">
        <f t="shared" si="22"/>
        <v>702.602486</v>
      </c>
      <c r="K213" s="467">
        <f t="shared" si="23"/>
        <v>1.6773242496860951E-4</v>
      </c>
      <c r="L213" s="491">
        <f t="shared" ref="L213:L231" si="24">K213+L212</f>
        <v>0.99590297180714071</v>
      </c>
    </row>
    <row r="214" spans="1:14" ht="40.15" customHeight="1" x14ac:dyDescent="0.25">
      <c r="A214" s="650" t="s">
        <v>2038</v>
      </c>
      <c r="B214" s="425">
        <v>21112</v>
      </c>
      <c r="C214" s="651" t="s">
        <v>321</v>
      </c>
      <c r="D214" s="652" t="s">
        <v>1771</v>
      </c>
      <c r="E214" s="653" t="s">
        <v>1</v>
      </c>
      <c r="F214" s="440">
        <v>2</v>
      </c>
      <c r="G214" s="653">
        <v>300.51</v>
      </c>
      <c r="H214" s="441">
        <f t="shared" si="21"/>
        <v>601.02</v>
      </c>
      <c r="I214" s="654">
        <v>349.28277300000002</v>
      </c>
      <c r="J214" s="441">
        <f t="shared" si="22"/>
        <v>698.56554600000004</v>
      </c>
      <c r="K214" s="467">
        <f t="shared" si="23"/>
        <v>1.6676868551544058E-4</v>
      </c>
      <c r="L214" s="655">
        <f t="shared" si="24"/>
        <v>0.99606974049265617</v>
      </c>
      <c r="N214" s="101"/>
    </row>
    <row r="215" spans="1:14" ht="40.15" customHeight="1" x14ac:dyDescent="0.25">
      <c r="A215" s="650" t="s">
        <v>2039</v>
      </c>
      <c r="B215" s="425">
        <v>96527</v>
      </c>
      <c r="C215" s="651" t="s">
        <v>321</v>
      </c>
      <c r="D215" s="652" t="s">
        <v>107</v>
      </c>
      <c r="E215" s="653" t="s">
        <v>3</v>
      </c>
      <c r="F215" s="440">
        <v>4.99</v>
      </c>
      <c r="G215" s="653">
        <v>110.9</v>
      </c>
      <c r="H215" s="441">
        <f t="shared" si="21"/>
        <v>553.39100000000008</v>
      </c>
      <c r="I215" s="654">
        <v>135.55306999999999</v>
      </c>
      <c r="J215" s="441">
        <f t="shared" si="22"/>
        <v>676.40981929999998</v>
      </c>
      <c r="K215" s="467">
        <f t="shared" si="23"/>
        <v>1.6147944467103403E-4</v>
      </c>
      <c r="L215" s="655">
        <f t="shared" si="24"/>
        <v>0.99623121993732722</v>
      </c>
      <c r="N215" s="101"/>
    </row>
    <row r="216" spans="1:14" ht="55.15" customHeight="1" x14ac:dyDescent="0.25">
      <c r="A216" s="650" t="s">
        <v>2040</v>
      </c>
      <c r="B216" s="425" t="s">
        <v>170</v>
      </c>
      <c r="C216" s="651" t="s">
        <v>323</v>
      </c>
      <c r="D216" s="652" t="s">
        <v>171</v>
      </c>
      <c r="E216" s="653" t="s">
        <v>156</v>
      </c>
      <c r="F216" s="440">
        <v>28.28</v>
      </c>
      <c r="G216" s="653">
        <v>18.71</v>
      </c>
      <c r="H216" s="441">
        <f t="shared" si="21"/>
        <v>529.11880000000008</v>
      </c>
      <c r="I216" s="654">
        <v>22.869233000000001</v>
      </c>
      <c r="J216" s="441">
        <f t="shared" si="22"/>
        <v>646.74190924000004</v>
      </c>
      <c r="K216" s="467">
        <f t="shared" si="23"/>
        <v>1.5439681886587228E-4</v>
      </c>
      <c r="L216" s="491">
        <f t="shared" si="24"/>
        <v>0.99638561675619308</v>
      </c>
    </row>
    <row r="217" spans="1:14" ht="55.15" customHeight="1" x14ac:dyDescent="0.25">
      <c r="A217" s="650" t="s">
        <v>2041</v>
      </c>
      <c r="B217" s="425" t="s">
        <v>193</v>
      </c>
      <c r="C217" s="651" t="s">
        <v>323</v>
      </c>
      <c r="D217" s="652" t="s">
        <v>194</v>
      </c>
      <c r="E217" s="653" t="s">
        <v>161</v>
      </c>
      <c r="F217" s="440">
        <v>54.46</v>
      </c>
      <c r="G217" s="653">
        <v>9.35</v>
      </c>
      <c r="H217" s="441">
        <f t="shared" si="21"/>
        <v>509.20099999999996</v>
      </c>
      <c r="I217" s="654">
        <v>11.428504999999999</v>
      </c>
      <c r="J217" s="441">
        <f t="shared" si="22"/>
        <v>622.39638230000003</v>
      </c>
      <c r="K217" s="467">
        <f t="shared" si="23"/>
        <v>1.4858480659413545E-4</v>
      </c>
      <c r="L217" s="491">
        <f t="shared" si="24"/>
        <v>0.99653420156278727</v>
      </c>
    </row>
    <row r="218" spans="1:14" ht="40.15" customHeight="1" x14ac:dyDescent="0.25">
      <c r="A218" s="650" t="s">
        <v>2042</v>
      </c>
      <c r="B218" s="425">
        <v>86881</v>
      </c>
      <c r="C218" s="651" t="s">
        <v>321</v>
      </c>
      <c r="D218" s="652" t="s">
        <v>98</v>
      </c>
      <c r="E218" s="653" t="s">
        <v>1</v>
      </c>
      <c r="F218" s="440">
        <v>2</v>
      </c>
      <c r="G218" s="653">
        <v>254.27</v>
      </c>
      <c r="H218" s="441">
        <f t="shared" si="21"/>
        <v>508.54</v>
      </c>
      <c r="I218" s="654">
        <v>310.79422099999999</v>
      </c>
      <c r="J218" s="441">
        <f t="shared" si="22"/>
        <v>621.58844199999999</v>
      </c>
      <c r="K218" s="467">
        <f t="shared" si="23"/>
        <v>1.4839192685281772E-4</v>
      </c>
      <c r="L218" s="655">
        <f t="shared" si="24"/>
        <v>0.99668259348964006</v>
      </c>
      <c r="N218" s="101"/>
    </row>
    <row r="219" spans="1:14" ht="40.15" customHeight="1" x14ac:dyDescent="0.25">
      <c r="A219" s="650" t="s">
        <v>2043</v>
      </c>
      <c r="B219" s="425">
        <v>95809</v>
      </c>
      <c r="C219" s="651" t="s">
        <v>321</v>
      </c>
      <c r="D219" s="652" t="s">
        <v>75</v>
      </c>
      <c r="E219" s="653" t="s">
        <v>1</v>
      </c>
      <c r="F219" s="440">
        <v>12</v>
      </c>
      <c r="G219" s="653">
        <v>41.81</v>
      </c>
      <c r="H219" s="441">
        <f t="shared" si="21"/>
        <v>501.72</v>
      </c>
      <c r="I219" s="654">
        <v>51.104362999999999</v>
      </c>
      <c r="J219" s="441">
        <f t="shared" si="22"/>
        <v>613.25235599999996</v>
      </c>
      <c r="K219" s="467">
        <f t="shared" si="23"/>
        <v>1.4640185145828392E-4</v>
      </c>
      <c r="L219" s="655">
        <f t="shared" si="24"/>
        <v>0.99682899534109837</v>
      </c>
      <c r="N219" s="101"/>
    </row>
    <row r="220" spans="1:14" ht="40.15" customHeight="1" x14ac:dyDescent="0.25">
      <c r="A220" s="650" t="s">
        <v>2044</v>
      </c>
      <c r="B220" s="425" t="s">
        <v>225</v>
      </c>
      <c r="C220" s="651" t="s">
        <v>323</v>
      </c>
      <c r="D220" s="652" t="s">
        <v>1722</v>
      </c>
      <c r="E220" s="653" t="s">
        <v>157</v>
      </c>
      <c r="F220" s="440">
        <v>9</v>
      </c>
      <c r="G220" s="653">
        <v>54.49</v>
      </c>
      <c r="H220" s="441">
        <f t="shared" si="21"/>
        <v>490.41</v>
      </c>
      <c r="I220" s="654">
        <v>66.603127000000001</v>
      </c>
      <c r="J220" s="441">
        <f t="shared" si="22"/>
        <v>599.42814299999998</v>
      </c>
      <c r="K220" s="467">
        <f t="shared" si="23"/>
        <v>1.431015944623635E-4</v>
      </c>
      <c r="L220" s="655">
        <f t="shared" si="24"/>
        <v>0.99697209693556077</v>
      </c>
      <c r="N220" s="101"/>
    </row>
    <row r="221" spans="1:14" ht="40.15" customHeight="1" x14ac:dyDescent="0.25">
      <c r="A221" s="650" t="s">
        <v>2045</v>
      </c>
      <c r="B221" s="425">
        <v>94499</v>
      </c>
      <c r="C221" s="651" t="s">
        <v>321</v>
      </c>
      <c r="D221" s="652" t="s">
        <v>103</v>
      </c>
      <c r="E221" s="653" t="s">
        <v>1</v>
      </c>
      <c r="F221" s="440">
        <v>1</v>
      </c>
      <c r="G221" s="653">
        <v>467.59</v>
      </c>
      <c r="H221" s="441">
        <f t="shared" si="21"/>
        <v>467.59</v>
      </c>
      <c r="I221" s="654">
        <v>571.53525699999989</v>
      </c>
      <c r="J221" s="441">
        <f t="shared" si="22"/>
        <v>571.53525699999989</v>
      </c>
      <c r="K221" s="467">
        <f t="shared" si="23"/>
        <v>1.3644272048827824E-4</v>
      </c>
      <c r="L221" s="655">
        <f t="shared" si="24"/>
        <v>0.99710853965604906</v>
      </c>
      <c r="N221" s="101"/>
    </row>
    <row r="222" spans="1:14" ht="25.15" customHeight="1" x14ac:dyDescent="0.25">
      <c r="A222" s="497" t="s">
        <v>2046</v>
      </c>
      <c r="B222" s="425">
        <v>100705</v>
      </c>
      <c r="C222" s="426" t="s">
        <v>321</v>
      </c>
      <c r="D222" s="438" t="s">
        <v>18</v>
      </c>
      <c r="E222" s="439" t="s">
        <v>1</v>
      </c>
      <c r="F222" s="440">
        <v>5</v>
      </c>
      <c r="G222" s="439">
        <v>93.37</v>
      </c>
      <c r="H222" s="441">
        <f t="shared" ref="H222:H253" si="25">F222*G222</f>
        <v>466.85</v>
      </c>
      <c r="I222" s="441">
        <v>114.12615100000001</v>
      </c>
      <c r="J222" s="441">
        <f t="shared" ref="J222:J253" si="26">F222*I222</f>
        <v>570.63075500000002</v>
      </c>
      <c r="K222" s="467">
        <f t="shared" ref="K222:K253" si="27">J222/$K$283</f>
        <v>1.3622678855397402E-4</v>
      </c>
      <c r="L222" s="491">
        <f t="shared" si="24"/>
        <v>0.99724476644460303</v>
      </c>
    </row>
    <row r="223" spans="1:14" ht="25.15" customHeight="1" x14ac:dyDescent="0.25">
      <c r="A223" s="497" t="s">
        <v>2047</v>
      </c>
      <c r="B223" s="425">
        <v>22743</v>
      </c>
      <c r="C223" s="426" t="s">
        <v>448</v>
      </c>
      <c r="D223" s="438" t="s">
        <v>522</v>
      </c>
      <c r="E223" s="439" t="s">
        <v>523</v>
      </c>
      <c r="F223" s="440">
        <v>2.17605</v>
      </c>
      <c r="G223" s="439">
        <v>213.62</v>
      </c>
      <c r="H223" s="441">
        <f t="shared" si="25"/>
        <v>464.847801</v>
      </c>
      <c r="I223" s="441">
        <v>261.10772600000001</v>
      </c>
      <c r="J223" s="441">
        <f t="shared" si="26"/>
        <v>568.18346716230008</v>
      </c>
      <c r="K223" s="467">
        <f t="shared" si="27"/>
        <v>1.3564254706352534E-4</v>
      </c>
      <c r="L223" s="491">
        <f t="shared" si="24"/>
        <v>0.99738040899166658</v>
      </c>
    </row>
    <row r="224" spans="1:14" ht="55.15" customHeight="1" x14ac:dyDescent="0.25">
      <c r="A224" s="650" t="s">
        <v>2048</v>
      </c>
      <c r="B224" s="425">
        <v>104111</v>
      </c>
      <c r="C224" s="651" t="s">
        <v>321</v>
      </c>
      <c r="D224" s="652" t="s">
        <v>48</v>
      </c>
      <c r="E224" s="653" t="s">
        <v>10</v>
      </c>
      <c r="F224" s="440">
        <v>19.72</v>
      </c>
      <c r="G224" s="653">
        <v>21.57</v>
      </c>
      <c r="H224" s="441">
        <f t="shared" si="25"/>
        <v>425.36039999999997</v>
      </c>
      <c r="I224" s="654">
        <v>26.365010999999999</v>
      </c>
      <c r="J224" s="441">
        <f t="shared" si="26"/>
        <v>519.9180169199999</v>
      </c>
      <c r="K224" s="467">
        <f t="shared" si="27"/>
        <v>1.241201269573392E-4</v>
      </c>
      <c r="L224" s="491">
        <f t="shared" si="24"/>
        <v>0.99750452911862397</v>
      </c>
    </row>
    <row r="225" spans="1:14" ht="25.15" customHeight="1" x14ac:dyDescent="0.25">
      <c r="A225" s="497" t="s">
        <v>2049</v>
      </c>
      <c r="B225" s="425" t="s">
        <v>692</v>
      </c>
      <c r="C225" s="426" t="s">
        <v>358</v>
      </c>
      <c r="D225" s="438" t="s">
        <v>752</v>
      </c>
      <c r="E225" s="439" t="s">
        <v>1</v>
      </c>
      <c r="F225" s="440">
        <v>1</v>
      </c>
      <c r="G225" s="439">
        <v>409.22899999999998</v>
      </c>
      <c r="H225" s="441">
        <f t="shared" si="25"/>
        <v>409.22899999999998</v>
      </c>
      <c r="I225" s="441">
        <v>500.20060669999998</v>
      </c>
      <c r="J225" s="441">
        <f t="shared" si="26"/>
        <v>500.20060669999998</v>
      </c>
      <c r="K225" s="467">
        <f t="shared" si="27"/>
        <v>1.1941298586945321E-4</v>
      </c>
      <c r="L225" s="491">
        <f t="shared" si="24"/>
        <v>0.99762394210449346</v>
      </c>
    </row>
    <row r="226" spans="1:14" ht="55.15" customHeight="1" x14ac:dyDescent="0.25">
      <c r="A226" s="650" t="s">
        <v>2050</v>
      </c>
      <c r="B226" s="425">
        <v>89724</v>
      </c>
      <c r="C226" s="651" t="s">
        <v>321</v>
      </c>
      <c r="D226" s="652" t="s">
        <v>83</v>
      </c>
      <c r="E226" s="653" t="s">
        <v>1</v>
      </c>
      <c r="F226" s="440">
        <v>37</v>
      </c>
      <c r="G226" s="653">
        <v>10.78</v>
      </c>
      <c r="H226" s="441">
        <f t="shared" si="25"/>
        <v>398.85999999999996</v>
      </c>
      <c r="I226" s="654">
        <v>13.176393999999998</v>
      </c>
      <c r="J226" s="441">
        <f t="shared" si="26"/>
        <v>487.52657799999992</v>
      </c>
      <c r="K226" s="467">
        <f t="shared" si="27"/>
        <v>1.1638731258999265E-4</v>
      </c>
      <c r="L226" s="491">
        <f t="shared" si="24"/>
        <v>0.99774032941708346</v>
      </c>
    </row>
    <row r="227" spans="1:14" ht="40.15" customHeight="1" x14ac:dyDescent="0.25">
      <c r="A227" s="650" t="s">
        <v>2051</v>
      </c>
      <c r="B227" s="425" t="s">
        <v>211</v>
      </c>
      <c r="C227" s="651" t="s">
        <v>323</v>
      </c>
      <c r="D227" s="652" t="s">
        <v>1719</v>
      </c>
      <c r="E227" s="653" t="s">
        <v>158</v>
      </c>
      <c r="F227" s="440">
        <v>6.094704000000001</v>
      </c>
      <c r="G227" s="653">
        <v>64.56</v>
      </c>
      <c r="H227" s="441">
        <f t="shared" si="25"/>
        <v>393.47409024000007</v>
      </c>
      <c r="I227" s="654">
        <v>78.911687999999998</v>
      </c>
      <c r="J227" s="441">
        <f t="shared" si="26"/>
        <v>480.94338050035208</v>
      </c>
      <c r="K227" s="467">
        <f t="shared" si="27"/>
        <v>1.1481570460017518E-4</v>
      </c>
      <c r="L227" s="655">
        <f t="shared" si="24"/>
        <v>0.99785514512168361</v>
      </c>
      <c r="N227" s="101"/>
    </row>
    <row r="228" spans="1:14" ht="40.15" customHeight="1" x14ac:dyDescent="0.25">
      <c r="A228" s="650" t="s">
        <v>2052</v>
      </c>
      <c r="B228" s="425">
        <v>94792</v>
      </c>
      <c r="C228" s="651" t="s">
        <v>321</v>
      </c>
      <c r="D228" s="652" t="s">
        <v>104</v>
      </c>
      <c r="E228" s="653" t="s">
        <v>1</v>
      </c>
      <c r="F228" s="440">
        <v>2</v>
      </c>
      <c r="G228" s="653">
        <v>182.76</v>
      </c>
      <c r="H228" s="441">
        <f t="shared" si="25"/>
        <v>365.52</v>
      </c>
      <c r="I228" s="654">
        <v>223.38754799999998</v>
      </c>
      <c r="J228" s="441">
        <f t="shared" si="26"/>
        <v>446.77509599999996</v>
      </c>
      <c r="K228" s="467">
        <f t="shared" si="27"/>
        <v>1.0665870354985238E-4</v>
      </c>
      <c r="L228" s="655">
        <f t="shared" si="24"/>
        <v>0.99796180382523347</v>
      </c>
      <c r="N228" s="101"/>
    </row>
    <row r="229" spans="1:14" ht="40.15" customHeight="1" x14ac:dyDescent="0.25">
      <c r="A229" s="650" t="s">
        <v>2053</v>
      </c>
      <c r="B229" s="425">
        <v>97644</v>
      </c>
      <c r="C229" s="651" t="s">
        <v>321</v>
      </c>
      <c r="D229" s="652" t="s">
        <v>134</v>
      </c>
      <c r="E229" s="653" t="s">
        <v>2</v>
      </c>
      <c r="F229" s="440">
        <v>35.300000000000004</v>
      </c>
      <c r="G229" s="653">
        <v>10.35</v>
      </c>
      <c r="H229" s="441">
        <f t="shared" si="25"/>
        <v>365.35500000000002</v>
      </c>
      <c r="I229" s="654">
        <v>12.650804999999998</v>
      </c>
      <c r="J229" s="441">
        <f t="shared" si="26"/>
        <v>446.57341650000001</v>
      </c>
      <c r="K229" s="467">
        <f t="shared" si="27"/>
        <v>1.0661055656450076E-4</v>
      </c>
      <c r="L229" s="655">
        <f t="shared" si="24"/>
        <v>0.99806841438179794</v>
      </c>
      <c r="N229" s="101"/>
    </row>
    <row r="230" spans="1:14" ht="25.15" customHeight="1" x14ac:dyDescent="0.25">
      <c r="A230" s="497" t="s">
        <v>2054</v>
      </c>
      <c r="B230" s="425">
        <v>112227</v>
      </c>
      <c r="C230" s="426" t="s">
        <v>448</v>
      </c>
      <c r="D230" s="438" t="s">
        <v>686</v>
      </c>
      <c r="E230" s="439" t="s">
        <v>540</v>
      </c>
      <c r="F230" s="440">
        <v>5.04</v>
      </c>
      <c r="G230" s="439">
        <v>70.63</v>
      </c>
      <c r="H230" s="441">
        <f t="shared" si="25"/>
        <v>355.97519999999997</v>
      </c>
      <c r="I230" s="441">
        <v>86.331048999999993</v>
      </c>
      <c r="J230" s="441">
        <f t="shared" si="26"/>
        <v>435.10848695999999</v>
      </c>
      <c r="K230" s="467">
        <f t="shared" si="27"/>
        <v>1.0387353175722098E-4</v>
      </c>
      <c r="L230" s="491">
        <f t="shared" si="24"/>
        <v>0.99817228791355517</v>
      </c>
    </row>
    <row r="231" spans="1:14" ht="40.15" customHeight="1" x14ac:dyDescent="0.25">
      <c r="A231" s="650" t="s">
        <v>2055</v>
      </c>
      <c r="B231" s="425">
        <v>97627</v>
      </c>
      <c r="C231" s="651" t="s">
        <v>321</v>
      </c>
      <c r="D231" s="652" t="s">
        <v>131</v>
      </c>
      <c r="E231" s="653" t="s">
        <v>3</v>
      </c>
      <c r="F231" s="440">
        <v>1.5228000000000004</v>
      </c>
      <c r="G231" s="653">
        <v>204.26</v>
      </c>
      <c r="H231" s="441">
        <f t="shared" si="25"/>
        <v>311.04712800000004</v>
      </c>
      <c r="I231" s="654">
        <v>249.66699799999998</v>
      </c>
      <c r="J231" s="441">
        <f t="shared" si="26"/>
        <v>380.19290455440006</v>
      </c>
      <c r="K231" s="467">
        <f t="shared" si="27"/>
        <v>9.0763524336246972E-5</v>
      </c>
      <c r="L231" s="655">
        <f t="shared" si="24"/>
        <v>0.9982630514378914</v>
      </c>
      <c r="N231" s="101"/>
    </row>
    <row r="232" spans="1:14" ht="40.15" customHeight="1" x14ac:dyDescent="0.25">
      <c r="A232" s="650" t="s">
        <v>2056</v>
      </c>
      <c r="B232" s="425">
        <v>103672</v>
      </c>
      <c r="C232" s="651" t="s">
        <v>321</v>
      </c>
      <c r="D232" s="652" t="s">
        <v>56</v>
      </c>
      <c r="E232" s="653" t="s">
        <v>3</v>
      </c>
      <c r="F232" s="440">
        <v>0.45</v>
      </c>
      <c r="G232" s="653">
        <v>683.38</v>
      </c>
      <c r="H232" s="441">
        <f t="shared" si="25"/>
        <v>307.52100000000002</v>
      </c>
      <c r="I232" s="654">
        <v>835.29537399999992</v>
      </c>
      <c r="J232" s="441">
        <f t="shared" si="26"/>
        <v>375.88291829999997</v>
      </c>
      <c r="K232" s="467">
        <f t="shared" si="27"/>
        <v>8.9734600498889673E-5</v>
      </c>
      <c r="L232" s="655">
        <f>K232+L231</f>
        <v>0.99835278603839028</v>
      </c>
      <c r="N232" s="101"/>
    </row>
    <row r="233" spans="1:14" ht="55.15" customHeight="1" x14ac:dyDescent="0.25">
      <c r="A233" s="650" t="s">
        <v>2057</v>
      </c>
      <c r="B233" s="425">
        <v>89731</v>
      </c>
      <c r="C233" s="651" t="s">
        <v>321</v>
      </c>
      <c r="D233" s="652" t="s">
        <v>86</v>
      </c>
      <c r="E233" s="653" t="s">
        <v>1</v>
      </c>
      <c r="F233" s="440">
        <v>20</v>
      </c>
      <c r="G233" s="653">
        <v>15.2</v>
      </c>
      <c r="H233" s="441">
        <f t="shared" si="25"/>
        <v>304</v>
      </c>
      <c r="I233" s="654">
        <v>18.578959999999999</v>
      </c>
      <c r="J233" s="441">
        <f t="shared" si="26"/>
        <v>371.57919999999996</v>
      </c>
      <c r="K233" s="467">
        <f t="shared" si="27"/>
        <v>8.8707173011477137E-5</v>
      </c>
      <c r="L233" s="491">
        <f t="shared" ref="L233:L278" si="28">K233+L232</f>
        <v>0.99844149321140174</v>
      </c>
    </row>
    <row r="234" spans="1:14" ht="55.15" customHeight="1" x14ac:dyDescent="0.25">
      <c r="A234" s="650" t="s">
        <v>2058</v>
      </c>
      <c r="B234" s="425">
        <v>11251</v>
      </c>
      <c r="C234" s="651" t="s">
        <v>321</v>
      </c>
      <c r="D234" s="652" t="s">
        <v>1758</v>
      </c>
      <c r="E234" s="653" t="s">
        <v>1</v>
      </c>
      <c r="F234" s="440">
        <v>2</v>
      </c>
      <c r="G234" s="653">
        <v>140.80000000000001</v>
      </c>
      <c r="H234" s="441">
        <f t="shared" si="25"/>
        <v>281.60000000000002</v>
      </c>
      <c r="I234" s="654">
        <v>172.09984</v>
      </c>
      <c r="J234" s="441">
        <f t="shared" si="26"/>
        <v>344.19968</v>
      </c>
      <c r="K234" s="467">
        <f t="shared" si="27"/>
        <v>8.2170855000105147E-5</v>
      </c>
      <c r="L234" s="491">
        <f t="shared" si="28"/>
        <v>0.99852366406640181</v>
      </c>
    </row>
    <row r="235" spans="1:14" ht="25.15" customHeight="1" x14ac:dyDescent="0.25">
      <c r="A235" s="497" t="s">
        <v>2059</v>
      </c>
      <c r="B235" s="425">
        <v>22378</v>
      </c>
      <c r="C235" s="426" t="s">
        <v>448</v>
      </c>
      <c r="D235" s="438" t="s">
        <v>528</v>
      </c>
      <c r="E235" s="439" t="s">
        <v>360</v>
      </c>
      <c r="F235" s="440">
        <v>2.4300000000000002</v>
      </c>
      <c r="G235" s="439">
        <v>114.75</v>
      </c>
      <c r="H235" s="441">
        <f t="shared" si="25"/>
        <v>278.84250000000003</v>
      </c>
      <c r="I235" s="441">
        <v>140.258925</v>
      </c>
      <c r="J235" s="441">
        <f t="shared" si="26"/>
        <v>340.82918775000002</v>
      </c>
      <c r="K235" s="467">
        <f t="shared" si="27"/>
        <v>8.1366216744910573E-5</v>
      </c>
      <c r="L235" s="491">
        <f t="shared" si="28"/>
        <v>0.99860503028314673</v>
      </c>
    </row>
    <row r="236" spans="1:14" ht="55.15" customHeight="1" x14ac:dyDescent="0.25">
      <c r="A236" s="650" t="s">
        <v>2060</v>
      </c>
      <c r="B236" s="425">
        <v>89748</v>
      </c>
      <c r="C236" s="651" t="s">
        <v>321</v>
      </c>
      <c r="D236" s="652" t="s">
        <v>89</v>
      </c>
      <c r="E236" s="653" t="s">
        <v>1</v>
      </c>
      <c r="F236" s="440">
        <v>6</v>
      </c>
      <c r="G236" s="653">
        <v>42.44</v>
      </c>
      <c r="H236" s="441">
        <f t="shared" si="25"/>
        <v>254.64</v>
      </c>
      <c r="I236" s="654">
        <v>51.874411999999992</v>
      </c>
      <c r="J236" s="441">
        <f t="shared" si="26"/>
        <v>311.24647199999993</v>
      </c>
      <c r="K236" s="467">
        <f t="shared" si="27"/>
        <v>7.4303929393560968E-5</v>
      </c>
      <c r="L236" s="491">
        <f t="shared" si="28"/>
        <v>0.99867933421254029</v>
      </c>
    </row>
    <row r="237" spans="1:14" ht="40.15" customHeight="1" x14ac:dyDescent="0.25">
      <c r="A237" s="650" t="s">
        <v>2061</v>
      </c>
      <c r="B237" s="425">
        <v>97610</v>
      </c>
      <c r="C237" s="651" t="s">
        <v>321</v>
      </c>
      <c r="D237" s="652" t="s">
        <v>1738</v>
      </c>
      <c r="E237" s="653" t="s">
        <v>1</v>
      </c>
      <c r="F237" s="440">
        <v>17</v>
      </c>
      <c r="G237" s="653">
        <v>14.35</v>
      </c>
      <c r="H237" s="441">
        <f t="shared" si="25"/>
        <v>243.95</v>
      </c>
      <c r="I237" s="654">
        <v>17.540004999999997</v>
      </c>
      <c r="J237" s="441">
        <f t="shared" si="26"/>
        <v>298.18008499999996</v>
      </c>
      <c r="K237" s="467">
        <f t="shared" si="27"/>
        <v>7.1184588342598179E-5</v>
      </c>
      <c r="L237" s="655">
        <f t="shared" si="28"/>
        <v>0.99875051880088284</v>
      </c>
      <c r="N237" s="101"/>
    </row>
    <row r="238" spans="1:14" ht="40.15" customHeight="1" x14ac:dyDescent="0.25">
      <c r="A238" s="650" t="s">
        <v>2062</v>
      </c>
      <c r="B238" s="425">
        <v>94498</v>
      </c>
      <c r="C238" s="651" t="s">
        <v>321</v>
      </c>
      <c r="D238" s="652" t="s">
        <v>102</v>
      </c>
      <c r="E238" s="653" t="s">
        <v>1</v>
      </c>
      <c r="F238" s="440">
        <v>1</v>
      </c>
      <c r="G238" s="653">
        <v>232.22</v>
      </c>
      <c r="H238" s="441">
        <f t="shared" si="25"/>
        <v>232.22</v>
      </c>
      <c r="I238" s="654">
        <v>283.84250599999996</v>
      </c>
      <c r="J238" s="441">
        <f t="shared" si="26"/>
        <v>283.84250599999996</v>
      </c>
      <c r="K238" s="467">
        <f t="shared" si="27"/>
        <v>6.7761775383964532E-5</v>
      </c>
      <c r="L238" s="655">
        <f t="shared" si="28"/>
        <v>0.99881828057626676</v>
      </c>
      <c r="N238" s="101"/>
    </row>
    <row r="239" spans="1:14" ht="40.15" customHeight="1" x14ac:dyDescent="0.25">
      <c r="A239" s="650" t="s">
        <v>2063</v>
      </c>
      <c r="B239" s="425" t="s">
        <v>244</v>
      </c>
      <c r="C239" s="651" t="s">
        <v>323</v>
      </c>
      <c r="D239" s="652" t="s">
        <v>1791</v>
      </c>
      <c r="E239" s="653" t="s">
        <v>157</v>
      </c>
      <c r="F239" s="440">
        <v>14</v>
      </c>
      <c r="G239" s="653">
        <v>16.38</v>
      </c>
      <c r="H239" s="441">
        <f t="shared" si="25"/>
        <v>229.32</v>
      </c>
      <c r="I239" s="654">
        <v>20.021273999999998</v>
      </c>
      <c r="J239" s="441">
        <f t="shared" si="26"/>
        <v>280.29783599999996</v>
      </c>
      <c r="K239" s="467">
        <f t="shared" si="27"/>
        <v>6.6915555641420833E-5</v>
      </c>
      <c r="L239" s="655">
        <f t="shared" si="28"/>
        <v>0.99888519613190818</v>
      </c>
      <c r="N239" s="101"/>
    </row>
    <row r="240" spans="1:14" ht="55.15" customHeight="1" x14ac:dyDescent="0.25">
      <c r="A240" s="650" t="s">
        <v>2064</v>
      </c>
      <c r="B240" s="425">
        <v>89707</v>
      </c>
      <c r="C240" s="651" t="s">
        <v>321</v>
      </c>
      <c r="D240" s="652" t="s">
        <v>96</v>
      </c>
      <c r="E240" s="653" t="s">
        <v>1</v>
      </c>
      <c r="F240" s="440">
        <v>5</v>
      </c>
      <c r="G240" s="653" t="s">
        <v>97</v>
      </c>
      <c r="H240" s="441">
        <f t="shared" si="25"/>
        <v>221.55</v>
      </c>
      <c r="I240" s="654">
        <v>54.160113000000003</v>
      </c>
      <c r="J240" s="441">
        <f t="shared" si="26"/>
        <v>270.80056500000001</v>
      </c>
      <c r="K240" s="467">
        <f t="shared" si="27"/>
        <v>6.464827033122619E-5</v>
      </c>
      <c r="L240" s="491">
        <f t="shared" si="28"/>
        <v>0.99894984440223944</v>
      </c>
    </row>
    <row r="241" spans="1:14" ht="55.15" customHeight="1" x14ac:dyDescent="0.25">
      <c r="A241" s="650" t="s">
        <v>2065</v>
      </c>
      <c r="B241" s="425" t="s">
        <v>227</v>
      </c>
      <c r="C241" s="651" t="s">
        <v>323</v>
      </c>
      <c r="D241" s="652" t="s">
        <v>228</v>
      </c>
      <c r="E241" s="653" t="s">
        <v>157</v>
      </c>
      <c r="F241" s="440">
        <v>1</v>
      </c>
      <c r="G241" s="653">
        <v>209.71</v>
      </c>
      <c r="H241" s="441">
        <f t="shared" si="25"/>
        <v>209.71</v>
      </c>
      <c r="I241" s="654">
        <v>256.32853299999999</v>
      </c>
      <c r="J241" s="441">
        <f t="shared" si="26"/>
        <v>256.32853299999999</v>
      </c>
      <c r="K241" s="467">
        <f t="shared" si="27"/>
        <v>6.1193359382358123E-5</v>
      </c>
      <c r="L241" s="491">
        <f t="shared" si="28"/>
        <v>0.99901103776162181</v>
      </c>
    </row>
    <row r="242" spans="1:14" ht="40.15" customHeight="1" x14ac:dyDescent="0.25">
      <c r="A242" s="650" t="s">
        <v>2066</v>
      </c>
      <c r="B242" s="425">
        <v>103673</v>
      </c>
      <c r="C242" s="651" t="s">
        <v>321</v>
      </c>
      <c r="D242" s="652" t="s">
        <v>57</v>
      </c>
      <c r="E242" s="653" t="s">
        <v>3</v>
      </c>
      <c r="F242" s="440">
        <v>4.6099999999999994</v>
      </c>
      <c r="G242" s="653">
        <v>44.52</v>
      </c>
      <c r="H242" s="441">
        <f t="shared" si="25"/>
        <v>205.2372</v>
      </c>
      <c r="I242" s="654">
        <v>54.416795999999998</v>
      </c>
      <c r="J242" s="441">
        <f t="shared" si="26"/>
        <v>250.86142955999995</v>
      </c>
      <c r="K242" s="467">
        <f t="shared" si="27"/>
        <v>5.9888196739444512E-5</v>
      </c>
      <c r="L242" s="655">
        <f t="shared" si="28"/>
        <v>0.99907092595836122</v>
      </c>
      <c r="N242" s="101"/>
    </row>
    <row r="243" spans="1:14" ht="55.15" customHeight="1" x14ac:dyDescent="0.25">
      <c r="A243" s="650" t="s">
        <v>2067</v>
      </c>
      <c r="B243" s="425">
        <v>90830</v>
      </c>
      <c r="C243" s="651" t="s">
        <v>321</v>
      </c>
      <c r="D243" s="652" t="s">
        <v>14</v>
      </c>
      <c r="E243" s="653" t="s">
        <v>1</v>
      </c>
      <c r="F243" s="440">
        <v>1</v>
      </c>
      <c r="G243" s="653">
        <v>184.62</v>
      </c>
      <c r="H243" s="441">
        <f t="shared" si="25"/>
        <v>184.62</v>
      </c>
      <c r="I243" s="654">
        <v>225.66102599999999</v>
      </c>
      <c r="J243" s="441">
        <f t="shared" si="26"/>
        <v>225.66102599999999</v>
      </c>
      <c r="K243" s="467">
        <f t="shared" si="27"/>
        <v>5.3872099609799042E-5</v>
      </c>
      <c r="L243" s="491">
        <f t="shared" si="28"/>
        <v>0.99912479805797105</v>
      </c>
    </row>
    <row r="244" spans="1:14" ht="40.15" customHeight="1" x14ac:dyDescent="0.25">
      <c r="A244" s="650" t="s">
        <v>2068</v>
      </c>
      <c r="B244" s="425">
        <v>104919</v>
      </c>
      <c r="C244" s="651" t="s">
        <v>321</v>
      </c>
      <c r="D244" s="652" t="s">
        <v>50</v>
      </c>
      <c r="E244" s="653" t="s">
        <v>10</v>
      </c>
      <c r="F244" s="440">
        <v>14</v>
      </c>
      <c r="G244" s="653">
        <v>12.88</v>
      </c>
      <c r="H244" s="441">
        <f t="shared" si="25"/>
        <v>180.32000000000002</v>
      </c>
      <c r="I244" s="654">
        <v>15.743224</v>
      </c>
      <c r="J244" s="441">
        <f t="shared" si="26"/>
        <v>220.405136</v>
      </c>
      <c r="K244" s="467">
        <f t="shared" si="27"/>
        <v>5.2617359991544598E-5</v>
      </c>
      <c r="L244" s="655">
        <f t="shared" si="28"/>
        <v>0.99917741541796257</v>
      </c>
      <c r="N244" s="101"/>
    </row>
    <row r="245" spans="1:14" ht="55.15" customHeight="1" x14ac:dyDescent="0.25">
      <c r="A245" s="650" t="s">
        <v>2069</v>
      </c>
      <c r="B245" s="425">
        <v>93024</v>
      </c>
      <c r="C245" s="651" t="s">
        <v>321</v>
      </c>
      <c r="D245" s="652" t="s">
        <v>67</v>
      </c>
      <c r="E245" s="653" t="s">
        <v>1</v>
      </c>
      <c r="F245" s="440">
        <v>3</v>
      </c>
      <c r="G245" s="653">
        <v>58.13</v>
      </c>
      <c r="H245" s="441">
        <f t="shared" si="25"/>
        <v>174.39000000000001</v>
      </c>
      <c r="I245" s="654">
        <v>71.052299000000005</v>
      </c>
      <c r="J245" s="441">
        <f t="shared" si="26"/>
        <v>213.15689700000001</v>
      </c>
      <c r="K245" s="467">
        <f t="shared" si="27"/>
        <v>5.0886986517998355E-5</v>
      </c>
      <c r="L245" s="491">
        <f t="shared" si="28"/>
        <v>0.99922830240448057</v>
      </c>
    </row>
    <row r="246" spans="1:14" ht="40.15" customHeight="1" x14ac:dyDescent="0.25">
      <c r="A246" s="650" t="s">
        <v>2070</v>
      </c>
      <c r="B246" s="425">
        <v>86882</v>
      </c>
      <c r="C246" s="651" t="s">
        <v>321</v>
      </c>
      <c r="D246" s="652" t="s">
        <v>1747</v>
      </c>
      <c r="E246" s="653" t="s">
        <v>1</v>
      </c>
      <c r="F246" s="440">
        <v>7</v>
      </c>
      <c r="G246" s="653">
        <v>24.86</v>
      </c>
      <c r="H246" s="441">
        <f t="shared" si="25"/>
        <v>174.01999999999998</v>
      </c>
      <c r="I246" s="654">
        <v>30.386377999999997</v>
      </c>
      <c r="J246" s="441">
        <f t="shared" si="26"/>
        <v>212.70464599999997</v>
      </c>
      <c r="K246" s="467">
        <f t="shared" si="27"/>
        <v>5.0779020550846218E-5</v>
      </c>
      <c r="L246" s="655">
        <f t="shared" si="28"/>
        <v>0.99927908142503141</v>
      </c>
      <c r="N246" s="101"/>
    </row>
    <row r="247" spans="1:14" ht="55.15" customHeight="1" x14ac:dyDescent="0.25">
      <c r="A247" s="650" t="s">
        <v>2071</v>
      </c>
      <c r="B247" s="425">
        <v>89834</v>
      </c>
      <c r="C247" s="651" t="s">
        <v>321</v>
      </c>
      <c r="D247" s="652" t="s">
        <v>94</v>
      </c>
      <c r="E247" s="653" t="s">
        <v>1</v>
      </c>
      <c r="F247" s="440">
        <v>3</v>
      </c>
      <c r="G247" s="653">
        <v>52.9</v>
      </c>
      <c r="H247" s="441">
        <f t="shared" si="25"/>
        <v>158.69999999999999</v>
      </c>
      <c r="I247" s="654">
        <v>64.659669999999991</v>
      </c>
      <c r="J247" s="441">
        <f t="shared" si="26"/>
        <v>193.97900999999996</v>
      </c>
      <c r="K247" s="467">
        <f t="shared" si="27"/>
        <v>4.6308645910925722E-5</v>
      </c>
      <c r="L247" s="491">
        <f t="shared" si="28"/>
        <v>0.99932539007094234</v>
      </c>
    </row>
    <row r="248" spans="1:14" ht="25.15" customHeight="1" x14ac:dyDescent="0.25">
      <c r="A248" s="497" t="s">
        <v>2072</v>
      </c>
      <c r="B248" s="425">
        <v>39390</v>
      </c>
      <c r="C248" s="426" t="s">
        <v>321</v>
      </c>
      <c r="D248" s="438" t="s">
        <v>1764</v>
      </c>
      <c r="E248" s="439" t="s">
        <v>1</v>
      </c>
      <c r="F248" s="440">
        <v>6</v>
      </c>
      <c r="G248" s="439">
        <v>26.13</v>
      </c>
      <c r="H248" s="441">
        <f t="shared" si="25"/>
        <v>156.78</v>
      </c>
      <c r="I248" s="441">
        <v>31.938698999999996</v>
      </c>
      <c r="J248" s="441">
        <f t="shared" si="26"/>
        <v>191.63219399999997</v>
      </c>
      <c r="K248" s="467">
        <f t="shared" si="27"/>
        <v>4.5748390081379554E-5</v>
      </c>
      <c r="L248" s="491">
        <f t="shared" si="28"/>
        <v>0.99937113846102377</v>
      </c>
    </row>
    <row r="249" spans="1:14" ht="70.150000000000006" customHeight="1" x14ac:dyDescent="0.25">
      <c r="A249" s="650" t="s">
        <v>2073</v>
      </c>
      <c r="B249" s="425">
        <v>103799</v>
      </c>
      <c r="C249" s="651" t="s">
        <v>321</v>
      </c>
      <c r="D249" s="652" t="s">
        <v>63</v>
      </c>
      <c r="E249" s="653" t="s">
        <v>3</v>
      </c>
      <c r="F249" s="440">
        <v>0.32400000000000001</v>
      </c>
      <c r="G249" s="653">
        <v>483.32</v>
      </c>
      <c r="H249" s="441">
        <f t="shared" si="25"/>
        <v>156.59568000000002</v>
      </c>
      <c r="I249" s="654">
        <v>590.76203599999997</v>
      </c>
      <c r="J249" s="441">
        <f t="shared" si="26"/>
        <v>191.40689966400001</v>
      </c>
      <c r="K249" s="467">
        <f t="shared" si="27"/>
        <v>4.5694605521743132E-5</v>
      </c>
      <c r="L249" s="491">
        <f t="shared" si="28"/>
        <v>0.9994168330665455</v>
      </c>
    </row>
    <row r="250" spans="1:14" ht="70.150000000000006" customHeight="1" x14ac:dyDescent="0.25">
      <c r="A250" s="650" t="s">
        <v>2074</v>
      </c>
      <c r="B250" s="425" t="s">
        <v>159</v>
      </c>
      <c r="C250" s="651" t="s">
        <v>323</v>
      </c>
      <c r="D250" s="652" t="s">
        <v>160</v>
      </c>
      <c r="E250" s="653" t="s">
        <v>157</v>
      </c>
      <c r="F250" s="440">
        <v>13</v>
      </c>
      <c r="G250" s="653">
        <v>11.98</v>
      </c>
      <c r="H250" s="441">
        <f t="shared" si="25"/>
        <v>155.74</v>
      </c>
      <c r="I250" s="654">
        <v>14.643153999999999</v>
      </c>
      <c r="J250" s="441">
        <f t="shared" si="26"/>
        <v>190.36100199999998</v>
      </c>
      <c r="K250" s="467">
        <f t="shared" si="27"/>
        <v>4.5444918173708716E-5</v>
      </c>
      <c r="L250" s="491">
        <f t="shared" si="28"/>
        <v>0.99946227798471921</v>
      </c>
    </row>
    <row r="251" spans="1:14" ht="40.15" customHeight="1" x14ac:dyDescent="0.25">
      <c r="A251" s="650" t="s">
        <v>2075</v>
      </c>
      <c r="B251" s="425">
        <v>86884</v>
      </c>
      <c r="C251" s="651" t="s">
        <v>321</v>
      </c>
      <c r="D251" s="652" t="s">
        <v>99</v>
      </c>
      <c r="E251" s="653" t="s">
        <v>1</v>
      </c>
      <c r="F251" s="440">
        <v>13</v>
      </c>
      <c r="G251" s="653">
        <v>11.97</v>
      </c>
      <c r="H251" s="441">
        <f t="shared" si="25"/>
        <v>155.61000000000001</v>
      </c>
      <c r="I251" s="654">
        <v>14.630931</v>
      </c>
      <c r="J251" s="441">
        <f t="shared" si="26"/>
        <v>190.20210299999999</v>
      </c>
      <c r="K251" s="467">
        <f t="shared" si="27"/>
        <v>4.5406984185249857E-5</v>
      </c>
      <c r="L251" s="655">
        <f t="shared" si="28"/>
        <v>0.99950768496890441</v>
      </c>
      <c r="N251" s="101"/>
    </row>
    <row r="252" spans="1:14" ht="55.15" customHeight="1" x14ac:dyDescent="0.25">
      <c r="A252" s="650" t="s">
        <v>2076</v>
      </c>
      <c r="B252" s="425">
        <v>89830</v>
      </c>
      <c r="C252" s="651" t="s">
        <v>321</v>
      </c>
      <c r="D252" s="652" t="s">
        <v>93</v>
      </c>
      <c r="E252" s="653" t="s">
        <v>1</v>
      </c>
      <c r="F252" s="440">
        <v>4</v>
      </c>
      <c r="G252" s="653">
        <v>37.85</v>
      </c>
      <c r="H252" s="441">
        <f t="shared" si="25"/>
        <v>151.4</v>
      </c>
      <c r="I252" s="654">
        <v>46.264054999999999</v>
      </c>
      <c r="J252" s="441">
        <f t="shared" si="26"/>
        <v>185.05622</v>
      </c>
      <c r="K252" s="467">
        <f t="shared" si="27"/>
        <v>4.4178506559005391E-5</v>
      </c>
      <c r="L252" s="491">
        <f t="shared" si="28"/>
        <v>0.99955186347546343</v>
      </c>
    </row>
    <row r="253" spans="1:14" ht="55.15" customHeight="1" x14ac:dyDescent="0.25">
      <c r="A253" s="650" t="s">
        <v>2077</v>
      </c>
      <c r="B253" s="425" t="s">
        <v>195</v>
      </c>
      <c r="C253" s="651" t="s">
        <v>323</v>
      </c>
      <c r="D253" s="652" t="s">
        <v>196</v>
      </c>
      <c r="E253" s="653" t="s">
        <v>161</v>
      </c>
      <c r="F253" s="440">
        <v>0.6</v>
      </c>
      <c r="G253" s="653">
        <v>251.88</v>
      </c>
      <c r="H253" s="441">
        <f t="shared" si="25"/>
        <v>151.12799999999999</v>
      </c>
      <c r="I253" s="654">
        <v>307.87292399999995</v>
      </c>
      <c r="J253" s="441">
        <f t="shared" si="26"/>
        <v>184.72375439999996</v>
      </c>
      <c r="K253" s="467">
        <f t="shared" si="27"/>
        <v>4.409913698315301E-5</v>
      </c>
      <c r="L253" s="491">
        <f t="shared" si="28"/>
        <v>0.99959596261244654</v>
      </c>
    </row>
    <row r="254" spans="1:14" ht="40.15" customHeight="1" x14ac:dyDescent="0.25">
      <c r="A254" s="650" t="s">
        <v>2078</v>
      </c>
      <c r="B254" s="425">
        <v>97663</v>
      </c>
      <c r="C254" s="651" t="s">
        <v>321</v>
      </c>
      <c r="D254" s="652" t="s">
        <v>136</v>
      </c>
      <c r="E254" s="653" t="s">
        <v>1</v>
      </c>
      <c r="F254" s="440">
        <v>10</v>
      </c>
      <c r="G254" s="653">
        <v>13.68</v>
      </c>
      <c r="H254" s="441">
        <f t="shared" ref="H254:H278" si="29">F254*G254</f>
        <v>136.80000000000001</v>
      </c>
      <c r="I254" s="654">
        <v>16.721063999999998</v>
      </c>
      <c r="J254" s="441">
        <f t="shared" ref="J254:J278" si="30">F254*I254</f>
        <v>167.21063999999998</v>
      </c>
      <c r="K254" s="467">
        <f t="shared" ref="K254:K278" si="31">J254/$K$283</f>
        <v>3.9918227855164708E-5</v>
      </c>
      <c r="L254" s="655">
        <f t="shared" si="28"/>
        <v>0.99963588084030175</v>
      </c>
      <c r="N254" s="101"/>
    </row>
    <row r="255" spans="1:14" ht="55.15" customHeight="1" x14ac:dyDescent="0.25">
      <c r="A255" s="650" t="s">
        <v>2079</v>
      </c>
      <c r="B255" s="425">
        <v>89728</v>
      </c>
      <c r="C255" s="651" t="s">
        <v>321</v>
      </c>
      <c r="D255" s="652" t="s">
        <v>85</v>
      </c>
      <c r="E255" s="653" t="s">
        <v>1</v>
      </c>
      <c r="F255" s="440">
        <v>9</v>
      </c>
      <c r="G255" s="653">
        <v>13.64</v>
      </c>
      <c r="H255" s="441">
        <f t="shared" si="29"/>
        <v>122.76</v>
      </c>
      <c r="I255" s="654">
        <v>16.672172</v>
      </c>
      <c r="J255" s="441">
        <f t="shared" si="30"/>
        <v>150.04954799999999</v>
      </c>
      <c r="K255" s="467">
        <f t="shared" si="31"/>
        <v>3.5821357101608329E-5</v>
      </c>
      <c r="L255" s="491">
        <f t="shared" si="28"/>
        <v>0.99967170219740331</v>
      </c>
    </row>
    <row r="256" spans="1:14" ht="40.15" customHeight="1" x14ac:dyDescent="0.25">
      <c r="A256" s="650" t="s">
        <v>2080</v>
      </c>
      <c r="B256" s="425">
        <v>3532</v>
      </c>
      <c r="C256" s="651" t="s">
        <v>321</v>
      </c>
      <c r="D256" s="652" t="s">
        <v>1763</v>
      </c>
      <c r="E256" s="653" t="s">
        <v>1</v>
      </c>
      <c r="F256" s="440">
        <v>6</v>
      </c>
      <c r="G256" s="653">
        <v>17.940000000000001</v>
      </c>
      <c r="H256" s="441">
        <f t="shared" si="29"/>
        <v>107.64000000000001</v>
      </c>
      <c r="I256" s="654">
        <v>20.851662000000005</v>
      </c>
      <c r="J256" s="441">
        <f t="shared" si="30"/>
        <v>125.10997200000003</v>
      </c>
      <c r="K256" s="467">
        <f t="shared" si="31"/>
        <v>2.9867527384915687E-5</v>
      </c>
      <c r="L256" s="655">
        <f t="shared" si="28"/>
        <v>0.99970156972478819</v>
      </c>
      <c r="N256" s="101"/>
    </row>
    <row r="257" spans="1:14" ht="25.15" customHeight="1" x14ac:dyDescent="0.25">
      <c r="A257" s="497" t="s">
        <v>2081</v>
      </c>
      <c r="B257" s="425">
        <v>92799</v>
      </c>
      <c r="C257" s="426" t="s">
        <v>321</v>
      </c>
      <c r="D257" s="438" t="s">
        <v>35</v>
      </c>
      <c r="E257" s="439" t="s">
        <v>10</v>
      </c>
      <c r="F257" s="440">
        <v>8.8000000000000007</v>
      </c>
      <c r="G257" s="439">
        <v>11.22</v>
      </c>
      <c r="H257" s="441">
        <f t="shared" si="29"/>
        <v>98.736000000000018</v>
      </c>
      <c r="I257" s="441">
        <v>13.714206000000001</v>
      </c>
      <c r="J257" s="441">
        <f t="shared" si="30"/>
        <v>120.68501280000001</v>
      </c>
      <c r="K257" s="467">
        <f t="shared" si="31"/>
        <v>2.8811156034411868E-5</v>
      </c>
      <c r="L257" s="491">
        <f t="shared" si="28"/>
        <v>0.99973038088082256</v>
      </c>
    </row>
    <row r="258" spans="1:14" ht="55.15" customHeight="1" x14ac:dyDescent="0.25">
      <c r="A258" s="650" t="s">
        <v>2082</v>
      </c>
      <c r="B258" s="425">
        <v>89827</v>
      </c>
      <c r="C258" s="651" t="s">
        <v>321</v>
      </c>
      <c r="D258" s="652" t="s">
        <v>92</v>
      </c>
      <c r="E258" s="653" t="s">
        <v>1</v>
      </c>
      <c r="F258" s="440">
        <v>5</v>
      </c>
      <c r="G258" s="653">
        <v>19.14</v>
      </c>
      <c r="H258" s="441">
        <f t="shared" si="29"/>
        <v>95.7</v>
      </c>
      <c r="I258" s="654">
        <v>23.394822000000001</v>
      </c>
      <c r="J258" s="441">
        <f t="shared" si="30"/>
        <v>116.97411000000001</v>
      </c>
      <c r="K258" s="467">
        <f t="shared" si="31"/>
        <v>2.7925251503941985E-5</v>
      </c>
      <c r="L258" s="491">
        <f t="shared" si="28"/>
        <v>0.99975830613232652</v>
      </c>
    </row>
    <row r="259" spans="1:14" ht="40.15" customHeight="1" x14ac:dyDescent="0.25">
      <c r="A259" s="650" t="s">
        <v>2083</v>
      </c>
      <c r="B259" s="425">
        <v>97666</v>
      </c>
      <c r="C259" s="651" t="s">
        <v>321</v>
      </c>
      <c r="D259" s="652" t="s">
        <v>137</v>
      </c>
      <c r="E259" s="653" t="s">
        <v>1</v>
      </c>
      <c r="F259" s="440">
        <v>8</v>
      </c>
      <c r="G259" s="653">
        <v>9.9700000000000006</v>
      </c>
      <c r="H259" s="441">
        <f t="shared" si="29"/>
        <v>79.760000000000005</v>
      </c>
      <c r="I259" s="654">
        <v>12.186331000000001</v>
      </c>
      <c r="J259" s="441">
        <f t="shared" si="30"/>
        <v>97.490648000000007</v>
      </c>
      <c r="K259" s="467">
        <f t="shared" si="31"/>
        <v>2.3273960919063872E-5</v>
      </c>
      <c r="L259" s="655">
        <f t="shared" si="28"/>
        <v>0.99978158009324558</v>
      </c>
      <c r="N259" s="101"/>
    </row>
    <row r="260" spans="1:14" ht="40.15" customHeight="1" x14ac:dyDescent="0.25">
      <c r="A260" s="650" t="s">
        <v>2084</v>
      </c>
      <c r="B260" s="425">
        <v>94797</v>
      </c>
      <c r="C260" s="651" t="s">
        <v>321</v>
      </c>
      <c r="D260" s="652" t="s">
        <v>105</v>
      </c>
      <c r="E260" s="653" t="s">
        <v>1</v>
      </c>
      <c r="F260" s="440">
        <v>1</v>
      </c>
      <c r="G260" s="653">
        <v>74.260000000000005</v>
      </c>
      <c r="H260" s="441">
        <f t="shared" si="29"/>
        <v>74.260000000000005</v>
      </c>
      <c r="I260" s="654">
        <v>90.767998000000006</v>
      </c>
      <c r="J260" s="441">
        <f t="shared" si="30"/>
        <v>90.767998000000006</v>
      </c>
      <c r="K260" s="467">
        <f t="shared" si="31"/>
        <v>2.166906140734307E-5</v>
      </c>
      <c r="L260" s="655">
        <f t="shared" si="28"/>
        <v>0.99980324915465291</v>
      </c>
      <c r="N260" s="101"/>
    </row>
    <row r="261" spans="1:14" ht="40.15" customHeight="1" x14ac:dyDescent="0.25">
      <c r="A261" s="650" t="s">
        <v>2085</v>
      </c>
      <c r="B261" s="425">
        <v>97625</v>
      </c>
      <c r="C261" s="651" t="s">
        <v>321</v>
      </c>
      <c r="D261" s="652" t="s">
        <v>130</v>
      </c>
      <c r="E261" s="653" t="s">
        <v>3</v>
      </c>
      <c r="F261" s="440">
        <v>1.334025</v>
      </c>
      <c r="G261" s="653">
        <v>55.55</v>
      </c>
      <c r="H261" s="441">
        <f t="shared" si="29"/>
        <v>74.105088749999993</v>
      </c>
      <c r="I261" s="654">
        <v>67.898764999999997</v>
      </c>
      <c r="J261" s="441">
        <f t="shared" si="30"/>
        <v>90.578649979125004</v>
      </c>
      <c r="K261" s="467">
        <f t="shared" si="31"/>
        <v>2.1623858318345786E-5</v>
      </c>
      <c r="L261" s="655">
        <f t="shared" si="28"/>
        <v>0.99982487301297129</v>
      </c>
      <c r="N261" s="101"/>
    </row>
    <row r="262" spans="1:14" ht="55.15" customHeight="1" x14ac:dyDescent="0.25">
      <c r="A262" s="650" t="s">
        <v>2086</v>
      </c>
      <c r="B262" s="425">
        <v>89737</v>
      </c>
      <c r="C262" s="651" t="s">
        <v>321</v>
      </c>
      <c r="D262" s="652" t="s">
        <v>88</v>
      </c>
      <c r="E262" s="653" t="s">
        <v>1</v>
      </c>
      <c r="F262" s="440">
        <v>3</v>
      </c>
      <c r="G262" s="653">
        <v>22.76</v>
      </c>
      <c r="H262" s="441">
        <f t="shared" si="29"/>
        <v>68.28</v>
      </c>
      <c r="I262" s="654">
        <v>27.819548000000001</v>
      </c>
      <c r="J262" s="441">
        <f t="shared" si="30"/>
        <v>83.458644000000007</v>
      </c>
      <c r="K262" s="467">
        <f t="shared" si="31"/>
        <v>1.9924097938235722E-5</v>
      </c>
      <c r="L262" s="491">
        <f t="shared" si="28"/>
        <v>0.99984479711090957</v>
      </c>
    </row>
    <row r="263" spans="1:14" ht="25.5" x14ac:dyDescent="0.25">
      <c r="A263" s="650" t="s">
        <v>2087</v>
      </c>
      <c r="B263" s="425">
        <v>7091</v>
      </c>
      <c r="C263" s="651" t="s">
        <v>321</v>
      </c>
      <c r="D263" s="652" t="s">
        <v>1766</v>
      </c>
      <c r="E263" s="653" t="s">
        <v>1</v>
      </c>
      <c r="F263" s="440">
        <v>4</v>
      </c>
      <c r="G263" s="653">
        <v>15.74</v>
      </c>
      <c r="H263" s="441">
        <f t="shared" si="29"/>
        <v>62.96</v>
      </c>
      <c r="I263" s="654">
        <v>19.239001999999999</v>
      </c>
      <c r="J263" s="441">
        <f t="shared" si="30"/>
        <v>76.956007999999997</v>
      </c>
      <c r="K263" s="467">
        <f t="shared" si="31"/>
        <v>1.837172241053487E-5</v>
      </c>
      <c r="L263" s="655">
        <f t="shared" si="28"/>
        <v>0.99986316883332005</v>
      </c>
    </row>
    <row r="264" spans="1:14" ht="55.15" customHeight="1" x14ac:dyDescent="0.25">
      <c r="A264" s="650" t="s">
        <v>2088</v>
      </c>
      <c r="B264" s="425">
        <v>89802</v>
      </c>
      <c r="C264" s="651" t="s">
        <v>321</v>
      </c>
      <c r="D264" s="652" t="s">
        <v>91</v>
      </c>
      <c r="E264" s="653" t="s">
        <v>1</v>
      </c>
      <c r="F264" s="440">
        <v>6</v>
      </c>
      <c r="G264" s="653">
        <v>10.220000000000001</v>
      </c>
      <c r="H264" s="441">
        <f t="shared" si="29"/>
        <v>61.320000000000007</v>
      </c>
      <c r="I264" s="654">
        <v>12.491906</v>
      </c>
      <c r="J264" s="441">
        <f t="shared" si="30"/>
        <v>74.951436000000001</v>
      </c>
      <c r="K264" s="467">
        <f t="shared" si="31"/>
        <v>1.789317055613085E-5</v>
      </c>
      <c r="L264" s="491">
        <f t="shared" si="28"/>
        <v>0.99988106200387616</v>
      </c>
    </row>
    <row r="265" spans="1:14" ht="25.15" customHeight="1" x14ac:dyDescent="0.25">
      <c r="A265" s="497" t="s">
        <v>2089</v>
      </c>
      <c r="B265" s="425">
        <v>22525</v>
      </c>
      <c r="C265" s="426" t="s">
        <v>448</v>
      </c>
      <c r="D265" s="438" t="s">
        <v>549</v>
      </c>
      <c r="E265" s="439" t="s">
        <v>0</v>
      </c>
      <c r="F265" s="440">
        <v>1.6</v>
      </c>
      <c r="G265" s="439">
        <v>37.78</v>
      </c>
      <c r="H265" s="441">
        <f t="shared" si="29"/>
        <v>60.448000000000008</v>
      </c>
      <c r="I265" s="441">
        <v>46.178494000000001</v>
      </c>
      <c r="J265" s="441">
        <f t="shared" si="30"/>
        <v>73.885590399999998</v>
      </c>
      <c r="K265" s="467">
        <f t="shared" si="31"/>
        <v>1.7638721033545295E-5</v>
      </c>
      <c r="L265" s="491">
        <f t="shared" si="28"/>
        <v>0.99989870072490972</v>
      </c>
    </row>
    <row r="266" spans="1:14" ht="40.15" customHeight="1" x14ac:dyDescent="0.25">
      <c r="A266" s="650" t="s">
        <v>2090</v>
      </c>
      <c r="B266" s="425">
        <v>3515</v>
      </c>
      <c r="C266" s="651" t="s">
        <v>321</v>
      </c>
      <c r="D266" s="652" t="s">
        <v>1761</v>
      </c>
      <c r="E266" s="653" t="s">
        <v>1</v>
      </c>
      <c r="F266" s="440">
        <v>9</v>
      </c>
      <c r="G266" s="653">
        <v>6.27</v>
      </c>
      <c r="H266" s="441">
        <f t="shared" si="29"/>
        <v>56.429999999999993</v>
      </c>
      <c r="I266" s="654">
        <v>7.2876210000000006</v>
      </c>
      <c r="J266" s="441">
        <f t="shared" si="30"/>
        <v>65.588588999999999</v>
      </c>
      <c r="K266" s="467">
        <f t="shared" si="31"/>
        <v>1.5657976312995092E-5</v>
      </c>
      <c r="L266" s="655">
        <f t="shared" si="28"/>
        <v>0.99991435870122269</v>
      </c>
      <c r="N266" s="101"/>
    </row>
    <row r="267" spans="1:14" ht="55.15" customHeight="1" x14ac:dyDescent="0.25">
      <c r="A267" s="650" t="s">
        <v>2091</v>
      </c>
      <c r="B267" s="425">
        <v>89733</v>
      </c>
      <c r="C267" s="651" t="s">
        <v>321</v>
      </c>
      <c r="D267" s="652" t="s">
        <v>87</v>
      </c>
      <c r="E267" s="653" t="s">
        <v>1</v>
      </c>
      <c r="F267" s="440">
        <v>2</v>
      </c>
      <c r="G267" s="653">
        <v>23.51</v>
      </c>
      <c r="H267" s="441">
        <f t="shared" si="29"/>
        <v>47.02</v>
      </c>
      <c r="I267" s="654">
        <v>28.736273000000001</v>
      </c>
      <c r="J267" s="441">
        <f t="shared" si="30"/>
        <v>57.472546000000001</v>
      </c>
      <c r="K267" s="467">
        <f t="shared" si="31"/>
        <v>1.3720431825656761E-5</v>
      </c>
      <c r="L267" s="491">
        <f t="shared" si="28"/>
        <v>0.99992807913304838</v>
      </c>
    </row>
    <row r="268" spans="1:14" ht="40.15" customHeight="1" x14ac:dyDescent="0.25">
      <c r="A268" s="650" t="s">
        <v>2092</v>
      </c>
      <c r="B268" s="425" t="s">
        <v>189</v>
      </c>
      <c r="C268" s="651" t="s">
        <v>323</v>
      </c>
      <c r="D268" s="652" t="s">
        <v>190</v>
      </c>
      <c r="E268" s="653" t="s">
        <v>157</v>
      </c>
      <c r="F268" s="440">
        <v>1</v>
      </c>
      <c r="G268" s="653">
        <v>40.18</v>
      </c>
      <c r="H268" s="441">
        <f t="shared" si="29"/>
        <v>40.18</v>
      </c>
      <c r="I268" s="654">
        <v>49.112013999999995</v>
      </c>
      <c r="J268" s="441">
        <f t="shared" si="30"/>
        <v>49.112013999999995</v>
      </c>
      <c r="K268" s="467">
        <f t="shared" si="31"/>
        <v>1.1724520432898523E-5</v>
      </c>
      <c r="L268" s="655">
        <f t="shared" si="28"/>
        <v>0.99993980365348123</v>
      </c>
      <c r="N268" s="101"/>
    </row>
    <row r="269" spans="1:14" ht="25.15" customHeight="1" x14ac:dyDescent="0.25">
      <c r="A269" s="497" t="s">
        <v>2093</v>
      </c>
      <c r="B269" s="425">
        <v>7097</v>
      </c>
      <c r="C269" s="426" t="s">
        <v>321</v>
      </c>
      <c r="D269" s="438" t="s">
        <v>1767</v>
      </c>
      <c r="E269" s="439" t="s">
        <v>1</v>
      </c>
      <c r="F269" s="440">
        <v>5</v>
      </c>
      <c r="G269" s="439">
        <v>7.39</v>
      </c>
      <c r="H269" s="441">
        <f t="shared" si="29"/>
        <v>36.949999999999996</v>
      </c>
      <c r="I269" s="441">
        <v>9.0327969999999986</v>
      </c>
      <c r="J269" s="441">
        <f t="shared" si="30"/>
        <v>45.163984999999997</v>
      </c>
      <c r="K269" s="467">
        <f t="shared" si="31"/>
        <v>1.078200671965158E-5</v>
      </c>
      <c r="L269" s="491">
        <f t="shared" si="28"/>
        <v>0.9999505856602009</v>
      </c>
    </row>
    <row r="270" spans="1:14" ht="40.15" customHeight="1" x14ac:dyDescent="0.25">
      <c r="A270" s="650" t="s">
        <v>2094</v>
      </c>
      <c r="B270" s="425">
        <v>103964</v>
      </c>
      <c r="C270" s="651" t="s">
        <v>321</v>
      </c>
      <c r="D270" s="652" t="s">
        <v>95</v>
      </c>
      <c r="E270" s="653" t="s">
        <v>1</v>
      </c>
      <c r="F270" s="440">
        <v>4</v>
      </c>
      <c r="G270" s="653">
        <v>8.1300000000000008</v>
      </c>
      <c r="H270" s="441">
        <f t="shared" si="29"/>
        <v>32.520000000000003</v>
      </c>
      <c r="I270" s="654">
        <v>9.9372990000000012</v>
      </c>
      <c r="J270" s="441">
        <f t="shared" si="30"/>
        <v>39.749196000000005</v>
      </c>
      <c r="K270" s="467">
        <f t="shared" si="31"/>
        <v>9.4893331129382802E-6</v>
      </c>
      <c r="L270" s="655">
        <f t="shared" si="28"/>
        <v>0.99996007499331385</v>
      </c>
      <c r="N270" s="101"/>
    </row>
    <row r="271" spans="1:14" ht="55.15" customHeight="1" x14ac:dyDescent="0.25">
      <c r="A271" s="650" t="s">
        <v>2095</v>
      </c>
      <c r="B271" s="425">
        <v>89783</v>
      </c>
      <c r="C271" s="651" t="s">
        <v>321</v>
      </c>
      <c r="D271" s="652" t="s">
        <v>90</v>
      </c>
      <c r="E271" s="653" t="s">
        <v>1</v>
      </c>
      <c r="F271" s="440">
        <v>2</v>
      </c>
      <c r="G271" s="653">
        <v>15.62</v>
      </c>
      <c r="H271" s="441">
        <f t="shared" si="29"/>
        <v>31.24</v>
      </c>
      <c r="I271" s="654">
        <v>19.092326</v>
      </c>
      <c r="J271" s="441">
        <f t="shared" si="30"/>
        <v>38.184652</v>
      </c>
      <c r="K271" s="467">
        <f t="shared" si="31"/>
        <v>9.1158292265741638E-6</v>
      </c>
      <c r="L271" s="491">
        <f t="shared" si="28"/>
        <v>0.99996919082254043</v>
      </c>
    </row>
    <row r="272" spans="1:14" ht="40.15" customHeight="1" x14ac:dyDescent="0.25">
      <c r="A272" s="650" t="s">
        <v>2096</v>
      </c>
      <c r="B272" s="425">
        <v>20147</v>
      </c>
      <c r="C272" s="651" t="s">
        <v>321</v>
      </c>
      <c r="D272" s="652" t="s">
        <v>1762</v>
      </c>
      <c r="E272" s="653" t="s">
        <v>1</v>
      </c>
      <c r="F272" s="440">
        <v>6</v>
      </c>
      <c r="G272" s="653">
        <v>5.16</v>
      </c>
      <c r="H272" s="441">
        <f t="shared" si="29"/>
        <v>30.96</v>
      </c>
      <c r="I272" s="654">
        <v>5.9974680000000005</v>
      </c>
      <c r="J272" s="441">
        <f t="shared" si="30"/>
        <v>35.984808000000001</v>
      </c>
      <c r="K272" s="467">
        <f t="shared" si="31"/>
        <v>8.5906600505108645E-6</v>
      </c>
      <c r="L272" s="655">
        <f t="shared" si="28"/>
        <v>0.99997778148259098</v>
      </c>
      <c r="N272" s="101"/>
    </row>
    <row r="273" spans="1:14" ht="55.15" customHeight="1" x14ac:dyDescent="0.25">
      <c r="A273" s="650" t="s">
        <v>2097</v>
      </c>
      <c r="B273" s="425">
        <v>89726</v>
      </c>
      <c r="C273" s="651" t="s">
        <v>321</v>
      </c>
      <c r="D273" s="652" t="s">
        <v>84</v>
      </c>
      <c r="E273" s="653" t="s">
        <v>1</v>
      </c>
      <c r="F273" s="440">
        <v>2</v>
      </c>
      <c r="G273" s="653">
        <v>11</v>
      </c>
      <c r="H273" s="441">
        <f t="shared" si="29"/>
        <v>22</v>
      </c>
      <c r="I273" s="654">
        <v>13.4453</v>
      </c>
      <c r="J273" s="441">
        <f t="shared" si="30"/>
        <v>26.890599999999999</v>
      </c>
      <c r="K273" s="467">
        <f t="shared" si="31"/>
        <v>6.4195980468832142E-6</v>
      </c>
      <c r="L273" s="491">
        <f t="shared" si="28"/>
        <v>0.9999842010806379</v>
      </c>
    </row>
    <row r="274" spans="1:14" ht="40.15" customHeight="1" x14ac:dyDescent="0.25">
      <c r="A274" s="650" t="s">
        <v>2098</v>
      </c>
      <c r="B274" s="425">
        <v>113</v>
      </c>
      <c r="C274" s="651" t="s">
        <v>321</v>
      </c>
      <c r="D274" s="652" t="s">
        <v>1754</v>
      </c>
      <c r="E274" s="653" t="s">
        <v>1</v>
      </c>
      <c r="F274" s="440">
        <v>2</v>
      </c>
      <c r="G274" s="653">
        <v>10.76</v>
      </c>
      <c r="H274" s="441">
        <f t="shared" si="29"/>
        <v>21.52</v>
      </c>
      <c r="I274" s="654">
        <v>12.506348000000001</v>
      </c>
      <c r="J274" s="441">
        <f t="shared" si="30"/>
        <v>25.012696000000002</v>
      </c>
      <c r="K274" s="467">
        <f t="shared" si="31"/>
        <v>5.9712856681845549E-6</v>
      </c>
      <c r="L274" s="655">
        <f t="shared" si="28"/>
        <v>0.99999017236630605</v>
      </c>
      <c r="N274" s="101"/>
    </row>
    <row r="275" spans="1:14" ht="40.15" customHeight="1" x14ac:dyDescent="0.25">
      <c r="A275" s="650" t="s">
        <v>2099</v>
      </c>
      <c r="B275" s="425">
        <v>101548</v>
      </c>
      <c r="C275" s="651" t="s">
        <v>321</v>
      </c>
      <c r="D275" s="652" t="s">
        <v>76</v>
      </c>
      <c r="E275" s="653" t="s">
        <v>1</v>
      </c>
      <c r="F275" s="440">
        <v>2</v>
      </c>
      <c r="G275" s="653">
        <v>8.0399999999999991</v>
      </c>
      <c r="H275" s="441">
        <f t="shared" si="29"/>
        <v>16.079999999999998</v>
      </c>
      <c r="I275" s="654">
        <v>9.8272919999999981</v>
      </c>
      <c r="J275" s="441">
        <f t="shared" si="30"/>
        <v>19.654583999999996</v>
      </c>
      <c r="K275" s="467">
        <f t="shared" si="31"/>
        <v>4.6921425724491843E-6</v>
      </c>
      <c r="L275" s="655">
        <f t="shared" si="28"/>
        <v>0.99999486450887853</v>
      </c>
      <c r="N275" s="101"/>
    </row>
    <row r="276" spans="1:14" ht="40.15" customHeight="1" x14ac:dyDescent="0.25">
      <c r="A276" s="650" t="s">
        <v>2100</v>
      </c>
      <c r="B276" s="425">
        <v>112</v>
      </c>
      <c r="C276" s="651" t="s">
        <v>321</v>
      </c>
      <c r="D276" s="652" t="s">
        <v>1753</v>
      </c>
      <c r="E276" s="653" t="s">
        <v>1</v>
      </c>
      <c r="F276" s="440">
        <v>2</v>
      </c>
      <c r="G276" s="653">
        <v>4.3</v>
      </c>
      <c r="H276" s="441">
        <f t="shared" si="29"/>
        <v>8.6</v>
      </c>
      <c r="I276" s="654">
        <v>4.9978899999999999</v>
      </c>
      <c r="J276" s="441">
        <f t="shared" si="30"/>
        <v>9.9957799999999999</v>
      </c>
      <c r="K276" s="467">
        <f t="shared" si="31"/>
        <v>2.3862944584752401E-6</v>
      </c>
      <c r="L276" s="655">
        <f t="shared" si="28"/>
        <v>0.99999725080333701</v>
      </c>
      <c r="N276" s="101"/>
    </row>
    <row r="277" spans="1:14" ht="40.15" customHeight="1" x14ac:dyDescent="0.25">
      <c r="A277" s="650" t="s">
        <v>2101</v>
      </c>
      <c r="B277" s="425">
        <v>101616</v>
      </c>
      <c r="C277" s="651" t="s">
        <v>321</v>
      </c>
      <c r="D277" s="652" t="s">
        <v>111</v>
      </c>
      <c r="E277" s="653" t="s">
        <v>2</v>
      </c>
      <c r="F277" s="440">
        <v>0.88749999999999996</v>
      </c>
      <c r="G277" s="653">
        <v>6.93</v>
      </c>
      <c r="H277" s="441">
        <f t="shared" si="29"/>
        <v>6.1503749999999995</v>
      </c>
      <c r="I277" s="654">
        <v>8.4705389999999987</v>
      </c>
      <c r="J277" s="441">
        <f t="shared" si="30"/>
        <v>7.5176033624999983</v>
      </c>
      <c r="K277" s="467">
        <f t="shared" si="31"/>
        <v>1.794678878981788E-6</v>
      </c>
      <c r="L277" s="655">
        <f t="shared" si="28"/>
        <v>0.99999904548221596</v>
      </c>
      <c r="N277" s="101"/>
    </row>
    <row r="278" spans="1:14" ht="40.15" customHeight="1" thickBot="1" x14ac:dyDescent="0.3">
      <c r="A278" s="498" t="s">
        <v>2102</v>
      </c>
      <c r="B278" s="499">
        <v>65</v>
      </c>
      <c r="C278" s="500" t="s">
        <v>321</v>
      </c>
      <c r="D278" s="501" t="s">
        <v>1752</v>
      </c>
      <c r="E278" s="502" t="s">
        <v>1</v>
      </c>
      <c r="F278" s="503">
        <v>4</v>
      </c>
      <c r="G278" s="502">
        <v>0.86</v>
      </c>
      <c r="H278" s="504">
        <f t="shared" si="29"/>
        <v>3.44</v>
      </c>
      <c r="I278" s="504">
        <v>0.99957800000000008</v>
      </c>
      <c r="J278" s="504">
        <f t="shared" si="30"/>
        <v>3.9983120000000003</v>
      </c>
      <c r="K278" s="504">
        <f t="shared" si="31"/>
        <v>9.5451778339009611E-7</v>
      </c>
      <c r="L278" s="505">
        <f t="shared" si="28"/>
        <v>0.99999999999999933</v>
      </c>
    </row>
    <row r="279" spans="1:14" x14ac:dyDescent="0.25">
      <c r="A279" s="235"/>
      <c r="B279" s="236"/>
      <c r="C279" s="235"/>
      <c r="D279" s="235"/>
      <c r="E279" s="234"/>
      <c r="F279" s="236"/>
      <c r="G279" s="223"/>
      <c r="H279" s="223"/>
      <c r="I279" s="223"/>
      <c r="J279" s="223"/>
      <c r="K279" s="236"/>
      <c r="L279" s="237"/>
    </row>
    <row r="280" spans="1:14" x14ac:dyDescent="0.25">
      <c r="A280" s="235"/>
      <c r="B280" s="236"/>
      <c r="C280" s="235"/>
      <c r="D280" s="235"/>
      <c r="E280" s="234"/>
      <c r="F280" s="236"/>
      <c r="G280" s="223"/>
      <c r="H280" s="223"/>
      <c r="I280" s="223"/>
      <c r="J280" s="223"/>
      <c r="K280" s="236"/>
      <c r="L280" s="237"/>
    </row>
    <row r="281" spans="1:14" ht="14.45" customHeight="1" x14ac:dyDescent="0.25">
      <c r="A281" s="577"/>
      <c r="B281" s="65"/>
      <c r="C281" s="65"/>
      <c r="D281" s="65"/>
      <c r="E281" s="65"/>
      <c r="F281" s="65"/>
      <c r="G281" s="65"/>
      <c r="H281" s="65"/>
      <c r="I281" s="671" t="s">
        <v>306</v>
      </c>
      <c r="J281" s="671"/>
      <c r="K281" s="553">
        <f>SUM(H18:H278)</f>
        <v>3427813.3051133887</v>
      </c>
      <c r="L281" s="109">
        <f>K281/K283</f>
        <v>0.81832252157208119</v>
      </c>
      <c r="M281" s="100"/>
    </row>
    <row r="282" spans="1:14" x14ac:dyDescent="0.25">
      <c r="A282" s="577"/>
      <c r="B282" s="65"/>
      <c r="C282" s="65"/>
      <c r="D282" s="65"/>
      <c r="E282" s="65"/>
      <c r="F282" s="65"/>
      <c r="G282" s="65"/>
      <c r="H282" s="65"/>
      <c r="I282" s="671" t="s">
        <v>307</v>
      </c>
      <c r="J282" s="671"/>
      <c r="K282" s="553">
        <f>SUM(J18:J278)-K281</f>
        <v>761015.93366670655</v>
      </c>
      <c r="L282" s="109">
        <f>K282/K283</f>
        <v>0.18167747842791887</v>
      </c>
    </row>
    <row r="283" spans="1:14" x14ac:dyDescent="0.25">
      <c r="A283" s="577"/>
      <c r="B283" s="65"/>
      <c r="C283" s="65"/>
      <c r="D283" s="65"/>
      <c r="E283" s="65"/>
      <c r="F283" s="65"/>
      <c r="G283" s="65"/>
      <c r="H283" s="65"/>
      <c r="I283" s="671" t="s">
        <v>308</v>
      </c>
      <c r="J283" s="671"/>
      <c r="K283" s="553">
        <f>K281+K282</f>
        <v>4188829.2387800952</v>
      </c>
      <c r="L283" s="110">
        <f>SUM(L281:L282)</f>
        <v>1</v>
      </c>
      <c r="M283" s="197">
        <f>K283-RESUMO!H37</f>
        <v>0</v>
      </c>
    </row>
    <row r="284" spans="1:14" x14ac:dyDescent="0.25">
      <c r="A284" s="577"/>
      <c r="B284" s="65"/>
      <c r="C284" s="65"/>
      <c r="D284" s="65"/>
      <c r="E284" s="65"/>
      <c r="F284" s="65"/>
      <c r="G284" s="65"/>
      <c r="H284" s="65"/>
      <c r="I284" s="65"/>
      <c r="J284" s="65"/>
      <c r="K284" s="466"/>
      <c r="L284" s="65"/>
    </row>
    <row r="285" spans="1:14" x14ac:dyDescent="0.25">
      <c r="A285" s="577"/>
      <c r="B285" s="65"/>
      <c r="C285" s="65"/>
      <c r="D285" s="65"/>
      <c r="E285" s="65"/>
      <c r="F285" s="65"/>
      <c r="G285" s="65"/>
      <c r="H285" s="65"/>
      <c r="I285" s="65"/>
      <c r="J285" s="65"/>
      <c r="K285" s="466"/>
      <c r="L285" s="65"/>
    </row>
    <row r="286" spans="1:14" x14ac:dyDescent="0.25">
      <c r="A286" s="577"/>
      <c r="B286" s="114" t="s">
        <v>1818</v>
      </c>
      <c r="C286" s="65"/>
      <c r="D286" s="65"/>
      <c r="E286" s="65"/>
      <c r="F286" s="65"/>
      <c r="G286" s="65"/>
      <c r="H286" s="65"/>
      <c r="I286" s="65"/>
      <c r="J286" s="65"/>
      <c r="K286" s="466"/>
      <c r="L286" s="65"/>
    </row>
    <row r="287" spans="1:14" x14ac:dyDescent="0.25">
      <c r="A287" s="577"/>
      <c r="B287" s="115" t="s">
        <v>1819</v>
      </c>
      <c r="C287" s="65"/>
      <c r="D287" s="65"/>
      <c r="E287" s="65"/>
      <c r="F287" s="65"/>
      <c r="G287" s="65"/>
      <c r="H287" s="65"/>
      <c r="I287" s="65"/>
      <c r="J287" s="65"/>
      <c r="K287" s="466"/>
      <c r="L287" s="65"/>
    </row>
    <row r="288" spans="1:14" x14ac:dyDescent="0.25">
      <c r="A288" s="577"/>
      <c r="B288" s="116" t="s">
        <v>1820</v>
      </c>
      <c r="C288" s="65"/>
      <c r="D288" s="65"/>
      <c r="E288" s="65"/>
      <c r="F288" s="65"/>
      <c r="G288" s="65"/>
      <c r="H288" s="65"/>
      <c r="I288" s="65"/>
      <c r="J288" s="65"/>
      <c r="K288" s="65"/>
      <c r="L288" s="65"/>
    </row>
    <row r="289" spans="1:12" x14ac:dyDescent="0.25">
      <c r="A289" s="577"/>
      <c r="B289" s="644" t="s">
        <v>1821</v>
      </c>
      <c r="C289" s="65"/>
      <c r="D289" s="65"/>
      <c r="E289" s="65"/>
      <c r="F289" s="65"/>
      <c r="G289" s="65"/>
      <c r="H289" s="65"/>
      <c r="I289" s="65"/>
      <c r="J289" s="65"/>
      <c r="K289" s="65"/>
      <c r="L289" s="65"/>
    </row>
    <row r="290" spans="1:12" x14ac:dyDescent="0.25">
      <c r="A290" s="577"/>
      <c r="B290" s="65"/>
      <c r="C290" s="65"/>
      <c r="D290" s="65"/>
      <c r="E290" s="65"/>
      <c r="F290" s="65"/>
      <c r="G290" s="65"/>
      <c r="H290" s="65"/>
      <c r="I290" s="65"/>
      <c r="J290" s="65"/>
      <c r="K290" s="65"/>
      <c r="L290" s="65"/>
    </row>
    <row r="291" spans="1:12" x14ac:dyDescent="0.25">
      <c r="A291" s="577"/>
      <c r="B291" s="65"/>
      <c r="C291" s="65"/>
      <c r="D291" s="65"/>
      <c r="E291" s="65"/>
      <c r="F291" s="65"/>
      <c r="G291" s="65"/>
      <c r="H291" s="65"/>
      <c r="I291" s="65"/>
      <c r="J291" s="65"/>
      <c r="K291" s="65"/>
      <c r="L291" s="65"/>
    </row>
  </sheetData>
  <protectedRanges>
    <protectedRange sqref="B11:D11 B125:D125" name="Intervalo1_10_3_2"/>
    <protectedRange sqref="E11 E125" name="Intervalo1_10_4_2"/>
    <protectedRange sqref="G10 G59" name="Intervalo1_1_4_1"/>
    <protectedRange sqref="F10 F59" name="Intervalo1_15"/>
    <protectedRange sqref="C10 C59" name="Intervalo1_4_1"/>
    <protectedRange sqref="B10 B59" name="Intervalo1_14_3"/>
  </protectedRanges>
  <mergeCells count="14">
    <mergeCell ref="A14:L15"/>
    <mergeCell ref="I281:J281"/>
    <mergeCell ref="I282:J282"/>
    <mergeCell ref="I283:J283"/>
    <mergeCell ref="A10:L10"/>
    <mergeCell ref="A11:L11"/>
    <mergeCell ref="A17:L17"/>
    <mergeCell ref="A59:L59"/>
    <mergeCell ref="A125:L125"/>
    <mergeCell ref="E1:G1"/>
    <mergeCell ref="K1:L1"/>
    <mergeCell ref="B2:D7"/>
    <mergeCell ref="E2:G8"/>
    <mergeCell ref="A9:L9"/>
  </mergeCells>
  <phoneticPr fontId="10" type="noConversion"/>
  <hyperlinks>
    <hyperlink ref="G144" r:id="rId1" display="http://orse.cehop.se.gov.br/composicao.asp?font_sg_fonte=ORSE&amp;serv_nr_codigo=4538&amp;peri_nr_ano=2025&amp;peri_nr_mes=7&amp;peri_nr_ordem=1" xr:uid="{ECD2BB76-3D97-4202-B248-457AA8E7BD18}"/>
  </hyperlinks>
  <pageMargins left="0.511811024" right="0.511811024" top="0.78740157499999996" bottom="0.78740157499999996" header="0.31496062000000002" footer="0.31496062000000002"/>
  <pageSetup paperSize="9" scale="66" fitToHeight="0" orientation="landscape" horizontalDpi="4294967293"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FE84C-EE4B-416A-AF45-F214DABFE181}">
  <sheetPr>
    <tabColor theme="9" tint="0.59999389629810485"/>
    <pageSetUpPr fitToPage="1"/>
  </sheetPr>
  <dimension ref="B1:X50"/>
  <sheetViews>
    <sheetView view="pageBreakPreview" zoomScale="90" zoomScaleNormal="90" zoomScaleSheetLayoutView="90" workbookViewId="0">
      <selection activeCell="AA28" sqref="AA28"/>
    </sheetView>
  </sheetViews>
  <sheetFormatPr defaultColWidth="9.140625" defaultRowHeight="15" x14ac:dyDescent="0.25"/>
  <cols>
    <col min="1" max="1" width="3.28515625" customWidth="1"/>
    <col min="2" max="2" width="5.85546875" hidden="1" customWidth="1"/>
    <col min="3" max="3" width="12.5703125" hidden="1" customWidth="1"/>
    <col min="4" max="4" width="15.7109375" hidden="1" customWidth="1"/>
    <col min="5" max="5" width="14.140625" hidden="1" customWidth="1"/>
    <col min="6" max="6" width="3.28515625" hidden="1" customWidth="1"/>
    <col min="7" max="7" width="3.28515625" customWidth="1"/>
    <col min="8" max="8" width="15.85546875" customWidth="1"/>
    <col min="9" max="9" width="19.42578125" customWidth="1"/>
    <col min="10" max="10" width="9.7109375" customWidth="1"/>
    <col min="24" max="24" width="10.28515625" customWidth="1"/>
  </cols>
  <sheetData>
    <row r="1" spans="2:24" x14ac:dyDescent="0.25">
      <c r="G1" s="65"/>
      <c r="H1" s="18" t="s">
        <v>272</v>
      </c>
      <c r="I1" s="65"/>
      <c r="J1" s="65"/>
      <c r="K1" s="65"/>
      <c r="L1" s="65"/>
      <c r="M1" s="65"/>
      <c r="N1" s="65"/>
      <c r="O1" s="65"/>
      <c r="P1" s="65"/>
      <c r="Q1" s="65"/>
      <c r="R1" s="928" t="s">
        <v>1830</v>
      </c>
      <c r="S1" s="928"/>
      <c r="T1" s="65"/>
      <c r="U1" s="65"/>
      <c r="V1" s="65"/>
      <c r="W1" s="65"/>
      <c r="X1" s="65"/>
    </row>
    <row r="2" spans="2:24" ht="14.45" customHeight="1" x14ac:dyDescent="0.25">
      <c r="G2" s="65"/>
      <c r="H2" s="929" t="s">
        <v>983</v>
      </c>
      <c r="I2" s="929"/>
      <c r="J2" s="929"/>
      <c r="K2" s="929"/>
      <c r="L2" s="929"/>
      <c r="M2" s="929"/>
      <c r="N2" s="929"/>
      <c r="O2" s="929"/>
      <c r="P2" s="929"/>
      <c r="Q2" s="929"/>
      <c r="R2" s="65" t="s">
        <v>1831</v>
      </c>
      <c r="S2" s="65"/>
      <c r="T2" s="65"/>
      <c r="U2" s="65"/>
      <c r="V2" s="65"/>
      <c r="W2" s="65"/>
      <c r="X2" s="65"/>
    </row>
    <row r="3" spans="2:24" x14ac:dyDescent="0.25">
      <c r="G3" s="65"/>
      <c r="H3" s="929"/>
      <c r="I3" s="929"/>
      <c r="J3" s="929"/>
      <c r="K3" s="929"/>
      <c r="L3" s="929"/>
      <c r="M3" s="929"/>
      <c r="N3" s="929"/>
      <c r="O3" s="929"/>
      <c r="P3" s="929"/>
      <c r="Q3" s="929"/>
      <c r="R3" s="65"/>
      <c r="S3" s="65"/>
      <c r="T3" s="65"/>
      <c r="U3" s="65"/>
      <c r="V3" s="65"/>
      <c r="W3" s="65"/>
      <c r="X3" s="65"/>
    </row>
    <row r="4" spans="2:24" x14ac:dyDescent="0.25">
      <c r="G4" s="65"/>
      <c r="H4" s="929"/>
      <c r="I4" s="929"/>
      <c r="J4" s="929"/>
      <c r="K4" s="929"/>
      <c r="L4" s="929"/>
      <c r="M4" s="929"/>
      <c r="N4" s="929"/>
      <c r="O4" s="929"/>
      <c r="P4" s="929"/>
      <c r="Q4" s="929"/>
      <c r="R4" s="65"/>
      <c r="S4" s="65"/>
      <c r="T4" s="65"/>
      <c r="U4" s="65"/>
      <c r="V4" s="65"/>
      <c r="W4" s="65"/>
      <c r="X4" s="65"/>
    </row>
    <row r="5" spans="2:24" x14ac:dyDescent="0.25">
      <c r="G5" s="65"/>
      <c r="H5" s="930"/>
      <c r="I5" s="930"/>
      <c r="J5" s="930"/>
      <c r="K5" s="930"/>
      <c r="L5" s="930"/>
      <c r="M5" s="930"/>
      <c r="N5" s="930"/>
      <c r="O5" s="930"/>
      <c r="P5" s="930"/>
      <c r="Q5" s="930"/>
      <c r="R5" s="65"/>
      <c r="S5" s="65"/>
      <c r="T5" s="65"/>
      <c r="U5" s="65"/>
      <c r="V5" s="65"/>
      <c r="W5" s="65"/>
      <c r="X5" s="65"/>
    </row>
    <row r="6" spans="2:24" x14ac:dyDescent="0.25">
      <c r="G6" s="931" t="s">
        <v>984</v>
      </c>
      <c r="H6" s="932"/>
      <c r="I6" s="932"/>
      <c r="J6" s="932"/>
      <c r="K6" s="932"/>
      <c r="L6" s="932"/>
      <c r="M6" s="932"/>
      <c r="N6" s="932"/>
      <c r="O6" s="932"/>
      <c r="P6" s="932"/>
      <c r="Q6" s="932"/>
      <c r="R6" s="932"/>
      <c r="S6" s="932"/>
      <c r="T6" s="932"/>
      <c r="U6" s="932"/>
      <c r="V6" s="932"/>
      <c r="W6" s="932"/>
      <c r="X6" s="933"/>
    </row>
    <row r="7" spans="2:24" x14ac:dyDescent="0.25">
      <c r="G7" s="934"/>
      <c r="H7" s="935"/>
      <c r="I7" s="935"/>
      <c r="J7" s="935"/>
      <c r="K7" s="935"/>
      <c r="L7" s="935"/>
      <c r="M7" s="935"/>
      <c r="N7" s="935"/>
      <c r="O7" s="935"/>
      <c r="P7" s="935"/>
      <c r="Q7" s="935"/>
      <c r="R7" s="935"/>
      <c r="S7" s="935"/>
      <c r="T7" s="935"/>
      <c r="U7" s="935"/>
      <c r="V7" s="935"/>
      <c r="W7" s="935"/>
      <c r="X7" s="936"/>
    </row>
    <row r="8" spans="2:24" x14ac:dyDescent="0.25">
      <c r="G8" s="624"/>
      <c r="H8" s="625"/>
      <c r="I8" s="625"/>
      <c r="J8" s="625"/>
      <c r="K8" s="625"/>
      <c r="L8" s="625"/>
      <c r="M8" s="626"/>
      <c r="N8" s="626"/>
      <c r="O8" s="626"/>
      <c r="P8" s="626"/>
      <c r="Q8" s="626"/>
      <c r="R8" s="626"/>
      <c r="S8" s="626"/>
      <c r="T8" s="626"/>
      <c r="U8" s="626"/>
      <c r="V8" s="626"/>
      <c r="W8" s="626"/>
      <c r="X8" s="627"/>
    </row>
    <row r="9" spans="2:24" x14ac:dyDescent="0.25">
      <c r="G9" s="628"/>
      <c r="H9" s="629"/>
      <c r="I9" s="629"/>
      <c r="J9" s="629"/>
      <c r="K9" s="629"/>
      <c r="L9" s="629"/>
      <c r="M9" s="65"/>
      <c r="N9" s="65"/>
      <c r="O9" s="65"/>
      <c r="P9" s="65"/>
      <c r="Q9" s="65"/>
      <c r="R9" s="65"/>
      <c r="S9" s="65"/>
      <c r="T9" s="65"/>
      <c r="U9" s="65"/>
      <c r="V9" s="65"/>
      <c r="W9" s="65"/>
      <c r="X9" s="630"/>
    </row>
    <row r="10" spans="2:24" ht="15.75" thickBot="1" x14ac:dyDescent="0.3">
      <c r="G10" s="628"/>
      <c r="H10" s="629"/>
      <c r="I10" s="629"/>
      <c r="J10" s="629"/>
      <c r="K10" s="629"/>
      <c r="L10" s="629"/>
      <c r="M10" s="65"/>
      <c r="N10" s="65"/>
      <c r="O10" s="65"/>
      <c r="P10" s="65"/>
      <c r="Q10" s="65"/>
      <c r="R10" s="65"/>
      <c r="S10" s="65"/>
      <c r="T10" s="65"/>
      <c r="U10" s="65"/>
      <c r="V10" s="65"/>
      <c r="W10" s="65"/>
      <c r="X10" s="630"/>
    </row>
    <row r="11" spans="2:24" ht="30" x14ac:dyDescent="0.25">
      <c r="B11" s="119" t="s">
        <v>272</v>
      </c>
      <c r="C11" s="59"/>
      <c r="D11" s="59"/>
      <c r="E11" s="61"/>
      <c r="G11" s="628"/>
      <c r="H11" s="119" t="s">
        <v>272</v>
      </c>
      <c r="I11" s="59"/>
      <c r="J11" s="61"/>
      <c r="K11" s="65"/>
      <c r="L11" s="65"/>
      <c r="M11" s="65"/>
      <c r="N11" s="65"/>
      <c r="O11" s="65"/>
      <c r="P11" s="65"/>
      <c r="Q11" s="65"/>
      <c r="R11" s="65"/>
      <c r="S11" s="65"/>
      <c r="T11" s="65"/>
      <c r="U11" s="65"/>
      <c r="V11" s="65"/>
      <c r="W11" s="65"/>
      <c r="X11" s="630"/>
    </row>
    <row r="12" spans="2:24" ht="14.45" customHeight="1" x14ac:dyDescent="0.25">
      <c r="B12" s="597"/>
      <c r="C12" s="65"/>
      <c r="D12" s="65"/>
      <c r="E12" s="68"/>
      <c r="G12" s="628"/>
      <c r="H12" s="937" t="s">
        <v>1832</v>
      </c>
      <c r="I12" s="938"/>
      <c r="J12" s="939"/>
      <c r="K12" s="65"/>
      <c r="L12" s="65"/>
      <c r="M12" s="65"/>
      <c r="N12" s="65"/>
      <c r="O12" s="65"/>
      <c r="P12" s="65"/>
      <c r="Q12" s="65"/>
      <c r="R12" s="65"/>
      <c r="S12" s="65"/>
      <c r="T12" s="65"/>
      <c r="U12" s="65"/>
      <c r="V12" s="65"/>
      <c r="W12" s="65"/>
      <c r="X12" s="630"/>
    </row>
    <row r="13" spans="2:24" x14ac:dyDescent="0.25">
      <c r="B13" s="597"/>
      <c r="C13" s="65"/>
      <c r="D13" s="65"/>
      <c r="E13" s="68"/>
      <c r="G13" s="628"/>
      <c r="H13" s="937"/>
      <c r="I13" s="938"/>
      <c r="J13" s="939"/>
      <c r="K13" s="65"/>
      <c r="L13" s="65"/>
      <c r="M13" s="65"/>
      <c r="N13" s="65"/>
      <c r="O13" s="65"/>
      <c r="P13" s="65"/>
      <c r="Q13" s="65"/>
      <c r="R13" s="65"/>
      <c r="S13" s="65"/>
      <c r="T13" s="65"/>
      <c r="U13" s="65"/>
      <c r="V13" s="65"/>
      <c r="W13" s="65"/>
      <c r="X13" s="630"/>
    </row>
    <row r="14" spans="2:24" x14ac:dyDescent="0.25">
      <c r="B14" s="597"/>
      <c r="C14" s="65"/>
      <c r="D14" s="65"/>
      <c r="E14" s="68"/>
      <c r="G14" s="628"/>
      <c r="H14" s="937"/>
      <c r="I14" s="938"/>
      <c r="J14" s="939"/>
      <c r="K14" s="65"/>
      <c r="L14" s="65"/>
      <c r="M14" s="65"/>
      <c r="N14" s="65"/>
      <c r="O14" s="65"/>
      <c r="P14" s="65"/>
      <c r="Q14" s="65"/>
      <c r="R14" s="65"/>
      <c r="S14" s="65"/>
      <c r="T14" s="65"/>
      <c r="U14" s="65"/>
      <c r="V14" s="65"/>
      <c r="W14" s="65"/>
      <c r="X14" s="630"/>
    </row>
    <row r="15" spans="2:24" ht="15.75" thickBot="1" x14ac:dyDescent="0.3">
      <c r="B15" s="940"/>
      <c r="C15" s="941"/>
      <c r="D15" s="941"/>
      <c r="E15" s="942"/>
      <c r="G15" s="628"/>
      <c r="H15" s="937"/>
      <c r="I15" s="938"/>
      <c r="J15" s="939"/>
      <c r="K15" s="65"/>
      <c r="L15" s="65"/>
      <c r="M15" s="65"/>
      <c r="N15" s="65"/>
      <c r="O15" s="65"/>
      <c r="P15" s="65"/>
      <c r="Q15" s="65"/>
      <c r="R15" s="65"/>
      <c r="S15" s="65"/>
      <c r="T15" s="65"/>
      <c r="U15" s="65"/>
      <c r="V15" s="65"/>
      <c r="W15" s="65"/>
      <c r="X15" s="630"/>
    </row>
    <row r="16" spans="2:24" ht="31.15" customHeight="1" thickBot="1" x14ac:dyDescent="0.3">
      <c r="B16" s="943" t="s">
        <v>984</v>
      </c>
      <c r="C16" s="944"/>
      <c r="D16" s="944"/>
      <c r="E16" s="945"/>
      <c r="G16" s="628"/>
      <c r="H16" s="631" t="s">
        <v>984</v>
      </c>
      <c r="I16" s="632"/>
      <c r="J16" s="633"/>
      <c r="K16" s="65"/>
      <c r="L16" s="65"/>
      <c r="M16" s="65"/>
      <c r="N16" s="65"/>
      <c r="O16" s="65"/>
      <c r="P16" s="65"/>
      <c r="Q16" s="65"/>
      <c r="R16" s="65"/>
      <c r="S16" s="65"/>
      <c r="T16" s="65"/>
      <c r="U16" s="65"/>
      <c r="V16" s="65"/>
      <c r="W16" s="65"/>
      <c r="X16" s="630"/>
    </row>
    <row r="17" spans="2:24" x14ac:dyDescent="0.25">
      <c r="B17" s="922" t="s">
        <v>985</v>
      </c>
      <c r="C17" s="923" t="s">
        <v>986</v>
      </c>
      <c r="D17" s="923"/>
      <c r="E17" s="924"/>
      <c r="G17" s="628"/>
      <c r="H17" s="634" t="s">
        <v>985</v>
      </c>
      <c r="I17" s="635" t="s">
        <v>986</v>
      </c>
      <c r="J17" s="636"/>
      <c r="K17" s="65"/>
      <c r="L17" s="65"/>
      <c r="M17" s="65"/>
      <c r="N17" s="65"/>
      <c r="O17" s="65"/>
      <c r="P17" s="65"/>
      <c r="Q17" s="65"/>
      <c r="R17" s="65"/>
      <c r="S17" s="65"/>
      <c r="T17" s="65"/>
      <c r="U17" s="65"/>
      <c r="V17" s="65"/>
      <c r="W17" s="65"/>
      <c r="X17" s="630"/>
    </row>
    <row r="18" spans="2:24" x14ac:dyDescent="0.25">
      <c r="B18" s="922"/>
      <c r="C18" s="925" t="s">
        <v>987</v>
      </c>
      <c r="D18" s="926"/>
      <c r="E18" s="927"/>
      <c r="G18" s="628"/>
      <c r="H18" s="637"/>
      <c r="I18" s="120" t="s">
        <v>987</v>
      </c>
      <c r="J18" s="121" t="s">
        <v>988</v>
      </c>
      <c r="K18" s="65"/>
      <c r="L18" s="65"/>
      <c r="M18" s="65"/>
      <c r="N18" s="65"/>
      <c r="O18" s="65"/>
      <c r="P18" s="65"/>
      <c r="Q18" s="65"/>
      <c r="R18" s="65"/>
      <c r="S18" s="65"/>
      <c r="T18" s="65"/>
      <c r="U18" s="65"/>
      <c r="V18" s="65"/>
      <c r="W18" s="65"/>
      <c r="X18" s="630"/>
    </row>
    <row r="19" spans="2:24" x14ac:dyDescent="0.25">
      <c r="B19" s="922"/>
      <c r="C19" s="122" t="s">
        <v>989</v>
      </c>
      <c r="D19" s="122" t="s">
        <v>990</v>
      </c>
      <c r="E19" s="123" t="s">
        <v>979</v>
      </c>
      <c r="G19" s="628"/>
      <c r="H19" s="637"/>
      <c r="I19" s="124" t="s">
        <v>990</v>
      </c>
      <c r="J19" s="121" t="s">
        <v>990</v>
      </c>
      <c r="K19" s="65"/>
      <c r="L19" s="65"/>
      <c r="M19" s="65"/>
      <c r="N19" s="65"/>
      <c r="O19" s="65"/>
      <c r="P19" s="65"/>
      <c r="Q19" s="65"/>
      <c r="R19" s="65"/>
      <c r="S19" s="65"/>
      <c r="T19" s="65"/>
      <c r="U19" s="65"/>
      <c r="V19" s="65"/>
      <c r="W19" s="65"/>
      <c r="X19" s="630"/>
    </row>
    <row r="20" spans="2:24" ht="18" customHeight="1" x14ac:dyDescent="0.25">
      <c r="B20" s="125">
        <v>1</v>
      </c>
      <c r="C20" s="13">
        <f>Cronograma!D52</f>
        <v>65563.417933548553</v>
      </c>
      <c r="D20" s="127">
        <f>C20/$C$36</f>
        <v>1.5651967220696474E-2</v>
      </c>
      <c r="E20" s="128">
        <f>D20</f>
        <v>1.5651967220696474E-2</v>
      </c>
      <c r="G20" s="628"/>
      <c r="H20" s="125">
        <v>1</v>
      </c>
      <c r="I20" s="127">
        <f>D20</f>
        <v>1.5651967220696474E-2</v>
      </c>
      <c r="J20" s="128">
        <f>I20</f>
        <v>1.5651967220696474E-2</v>
      </c>
      <c r="K20" s="65"/>
      <c r="L20" s="65"/>
      <c r="M20" s="65"/>
      <c r="N20" s="65"/>
      <c r="O20" s="65"/>
      <c r="P20" s="65"/>
      <c r="Q20" s="65"/>
      <c r="R20" s="65"/>
      <c r="S20" s="65"/>
      <c r="T20" s="65"/>
      <c r="U20" s="65"/>
      <c r="V20" s="65"/>
      <c r="W20" s="65"/>
      <c r="X20" s="630"/>
    </row>
    <row r="21" spans="2:24" ht="18" customHeight="1" x14ac:dyDescent="0.25">
      <c r="B21" s="125">
        <v>2</v>
      </c>
      <c r="C21" s="13">
        <f>Cronograma!E52</f>
        <v>704503.5017923878</v>
      </c>
      <c r="D21" s="127">
        <f>C21/$C$36</f>
        <v>0.16818625484254884</v>
      </c>
      <c r="E21" s="128">
        <f>E20+D21</f>
        <v>0.18383822206324532</v>
      </c>
      <c r="G21" s="628"/>
      <c r="H21" s="125">
        <v>2</v>
      </c>
      <c r="I21" s="127">
        <f>D21</f>
        <v>0.16818625484254884</v>
      </c>
      <c r="J21" s="128">
        <f>J20+I21</f>
        <v>0.18383822206324532</v>
      </c>
      <c r="K21" s="65"/>
      <c r="L21" s="65"/>
      <c r="M21" s="65"/>
      <c r="N21" s="65"/>
      <c r="O21" s="65"/>
      <c r="P21" s="65"/>
      <c r="Q21" s="65"/>
      <c r="R21" s="65"/>
      <c r="S21" s="65"/>
      <c r="T21" s="65"/>
      <c r="U21" s="65"/>
      <c r="V21" s="65"/>
      <c r="W21" s="65"/>
      <c r="X21" s="630"/>
    </row>
    <row r="22" spans="2:24" ht="18" customHeight="1" x14ac:dyDescent="0.25">
      <c r="B22" s="125">
        <v>3</v>
      </c>
      <c r="C22" s="13">
        <f>Cronograma!F52</f>
        <v>934437.31051774509</v>
      </c>
      <c r="D22" s="127">
        <f>C22/$C$36</f>
        <v>0.22307839668827822</v>
      </c>
      <c r="E22" s="128">
        <f t="shared" ref="E22:E34" si="0">E21+D22</f>
        <v>0.40691661875152352</v>
      </c>
      <c r="G22" s="628"/>
      <c r="H22" s="125">
        <v>3</v>
      </c>
      <c r="I22" s="127">
        <f t="shared" ref="I22:I27" si="1">D22</f>
        <v>0.22307839668827822</v>
      </c>
      <c r="J22" s="128">
        <f t="shared" ref="J22:J27" si="2">J21+I22</f>
        <v>0.40691661875152352</v>
      </c>
      <c r="K22" s="65"/>
      <c r="L22" s="65"/>
      <c r="M22" s="65"/>
      <c r="N22" s="65"/>
      <c r="O22" s="65"/>
      <c r="P22" s="65"/>
      <c r="Q22" s="65"/>
      <c r="R22" s="65"/>
      <c r="S22" s="65"/>
      <c r="T22" s="65"/>
      <c r="U22" s="65"/>
      <c r="V22" s="65"/>
      <c r="W22" s="65"/>
      <c r="X22" s="630"/>
    </row>
    <row r="23" spans="2:24" ht="18" customHeight="1" x14ac:dyDescent="0.25">
      <c r="B23" s="125">
        <v>4</v>
      </c>
      <c r="C23" s="13">
        <f>Cronograma!G52</f>
        <v>748986.53909915523</v>
      </c>
      <c r="D23" s="127">
        <f t="shared" ref="D23:D34" si="3">C23/$C$36</f>
        <v>0.17880569879082223</v>
      </c>
      <c r="E23" s="128">
        <f t="shared" si="0"/>
        <v>0.58572231754234572</v>
      </c>
      <c r="G23" s="628"/>
      <c r="H23" s="125">
        <v>4</v>
      </c>
      <c r="I23" s="127">
        <f t="shared" si="1"/>
        <v>0.17880569879082223</v>
      </c>
      <c r="J23" s="128">
        <f t="shared" si="2"/>
        <v>0.58572231754234572</v>
      </c>
      <c r="K23" s="65"/>
      <c r="L23" s="65"/>
      <c r="M23" s="65"/>
      <c r="N23" s="65"/>
      <c r="O23" s="65"/>
      <c r="P23" s="65"/>
      <c r="Q23" s="65"/>
      <c r="R23" s="65"/>
      <c r="S23" s="65"/>
      <c r="T23" s="65"/>
      <c r="U23" s="65"/>
      <c r="V23" s="65"/>
      <c r="W23" s="65"/>
      <c r="X23" s="630"/>
    </row>
    <row r="24" spans="2:24" ht="18" customHeight="1" x14ac:dyDescent="0.25">
      <c r="B24" s="125">
        <v>5</v>
      </c>
      <c r="C24" s="13">
        <f>Cronograma!H52</f>
        <v>174874.84329967259</v>
      </c>
      <c r="D24" s="127">
        <f t="shared" si="3"/>
        <v>4.1747904568140669E-2</v>
      </c>
      <c r="E24" s="128">
        <f t="shared" si="0"/>
        <v>0.62747022211048642</v>
      </c>
      <c r="G24" s="628"/>
      <c r="H24" s="125">
        <v>5</v>
      </c>
      <c r="I24" s="127">
        <f t="shared" si="1"/>
        <v>4.1747904568140669E-2</v>
      </c>
      <c r="J24" s="128">
        <f t="shared" si="2"/>
        <v>0.62747022211048642</v>
      </c>
      <c r="K24" s="65"/>
      <c r="L24" s="65"/>
      <c r="M24" s="65"/>
      <c r="N24" s="65"/>
      <c r="O24" s="65"/>
      <c r="P24" s="65"/>
      <c r="Q24" s="65"/>
      <c r="R24" s="65"/>
      <c r="S24" s="65"/>
      <c r="T24" s="65"/>
      <c r="U24" s="65"/>
      <c r="V24" s="65"/>
      <c r="W24" s="65"/>
      <c r="X24" s="630"/>
    </row>
    <row r="25" spans="2:24" ht="18" customHeight="1" x14ac:dyDescent="0.25">
      <c r="B25" s="125">
        <v>6</v>
      </c>
      <c r="C25" s="13">
        <f>Cronograma!I52</f>
        <v>204752.36901516933</v>
      </c>
      <c r="D25" s="127">
        <f t="shared" si="3"/>
        <v>4.8880571959100172E-2</v>
      </c>
      <c r="E25" s="128">
        <f t="shared" si="0"/>
        <v>0.67635079406958654</v>
      </c>
      <c r="G25" s="628"/>
      <c r="H25" s="125">
        <v>6</v>
      </c>
      <c r="I25" s="127">
        <f t="shared" si="1"/>
        <v>4.8880571959100172E-2</v>
      </c>
      <c r="J25" s="128">
        <f t="shared" si="2"/>
        <v>0.67635079406958654</v>
      </c>
      <c r="K25" s="65"/>
      <c r="L25" s="65"/>
      <c r="M25" s="65"/>
      <c r="N25" s="65"/>
      <c r="O25" s="65"/>
      <c r="P25" s="65"/>
      <c r="Q25" s="65"/>
      <c r="R25" s="65"/>
      <c r="S25" s="65"/>
      <c r="T25" s="65"/>
      <c r="U25" s="65"/>
      <c r="V25" s="65"/>
      <c r="W25" s="65"/>
      <c r="X25" s="630"/>
    </row>
    <row r="26" spans="2:24" ht="18" customHeight="1" x14ac:dyDescent="0.25">
      <c r="B26" s="125">
        <v>7</v>
      </c>
      <c r="C26" s="13">
        <f>Cronograma!J52</f>
        <v>208643.81458391322</v>
      </c>
      <c r="D26" s="127">
        <f t="shared" si="3"/>
        <v>4.9809577499123077E-2</v>
      </c>
      <c r="E26" s="128">
        <f t="shared" si="0"/>
        <v>0.72616037156870961</v>
      </c>
      <c r="G26" s="628"/>
      <c r="H26" s="125">
        <v>7</v>
      </c>
      <c r="I26" s="127">
        <f t="shared" si="1"/>
        <v>4.9809577499123077E-2</v>
      </c>
      <c r="J26" s="128">
        <f t="shared" si="2"/>
        <v>0.72616037156870961</v>
      </c>
      <c r="K26" s="65"/>
      <c r="L26" s="65"/>
      <c r="M26" s="65"/>
      <c r="N26" s="65"/>
      <c r="O26" s="65"/>
      <c r="P26" s="65"/>
      <c r="Q26" s="65"/>
      <c r="R26" s="65"/>
      <c r="S26" s="65"/>
      <c r="T26" s="65"/>
      <c r="U26" s="65"/>
      <c r="V26" s="65"/>
      <c r="W26" s="65"/>
      <c r="X26" s="630"/>
    </row>
    <row r="27" spans="2:24" ht="18" customHeight="1" x14ac:dyDescent="0.25">
      <c r="B27" s="125">
        <v>8</v>
      </c>
      <c r="C27" s="13">
        <f>Cronograma!K52</f>
        <v>218940.53513367279</v>
      </c>
      <c r="D27" s="127">
        <f t="shared" si="3"/>
        <v>5.2267715552402352E-2</v>
      </c>
      <c r="E27" s="128">
        <f t="shared" si="0"/>
        <v>0.778428087121112</v>
      </c>
      <c r="G27" s="628"/>
      <c r="H27" s="125">
        <v>8</v>
      </c>
      <c r="I27" s="127">
        <f t="shared" si="1"/>
        <v>5.2267715552402352E-2</v>
      </c>
      <c r="J27" s="128">
        <f t="shared" si="2"/>
        <v>0.778428087121112</v>
      </c>
      <c r="K27" s="65"/>
      <c r="L27" s="65"/>
      <c r="M27" s="65"/>
      <c r="N27" s="65"/>
      <c r="O27" s="65"/>
      <c r="P27" s="65"/>
      <c r="Q27" s="65"/>
      <c r="R27" s="65"/>
      <c r="S27" s="65"/>
      <c r="T27" s="65"/>
      <c r="U27" s="65"/>
      <c r="V27" s="65"/>
      <c r="W27" s="65"/>
      <c r="X27" s="630"/>
    </row>
    <row r="28" spans="2:24" ht="18" customHeight="1" x14ac:dyDescent="0.25">
      <c r="B28" s="125">
        <v>9</v>
      </c>
      <c r="C28" s="13">
        <f>Cronograma!L52</f>
        <v>269450.17009977665</v>
      </c>
      <c r="D28" s="127">
        <f t="shared" si="3"/>
        <v>6.4325890304976804E-2</v>
      </c>
      <c r="E28" s="128">
        <f t="shared" si="0"/>
        <v>0.84275397742608882</v>
      </c>
      <c r="G28" s="628"/>
      <c r="H28" s="125">
        <v>9</v>
      </c>
      <c r="I28" s="127">
        <f t="shared" ref="I28:I30" si="4">D28</f>
        <v>6.4325890304976804E-2</v>
      </c>
      <c r="J28" s="128">
        <f t="shared" ref="J28:J30" si="5">J27+I28</f>
        <v>0.84275397742608882</v>
      </c>
      <c r="K28" s="65"/>
      <c r="L28" s="65"/>
      <c r="M28" s="65"/>
      <c r="N28" s="65"/>
      <c r="O28" s="65"/>
      <c r="P28" s="65"/>
      <c r="Q28" s="65"/>
      <c r="R28" s="65"/>
      <c r="S28" s="65"/>
      <c r="T28" s="65"/>
      <c r="U28" s="65"/>
      <c r="V28" s="65"/>
      <c r="W28" s="65"/>
      <c r="X28" s="630"/>
    </row>
    <row r="29" spans="2:24" ht="18" customHeight="1" x14ac:dyDescent="0.25">
      <c r="B29" s="125">
        <v>10</v>
      </c>
      <c r="C29" s="13">
        <f>Cronograma!M52</f>
        <v>233685.45602548771</v>
      </c>
      <c r="D29" s="127">
        <f t="shared" si="3"/>
        <v>5.5787773318523741E-2</v>
      </c>
      <c r="E29" s="128">
        <f t="shared" si="0"/>
        <v>0.89854175074461251</v>
      </c>
      <c r="G29" s="628"/>
      <c r="H29" s="125">
        <v>10</v>
      </c>
      <c r="I29" s="127">
        <f t="shared" si="4"/>
        <v>5.5787773318523741E-2</v>
      </c>
      <c r="J29" s="128">
        <f t="shared" si="5"/>
        <v>0.89854175074461251</v>
      </c>
      <c r="K29" s="65"/>
      <c r="L29" s="65"/>
      <c r="M29" s="65"/>
      <c r="N29" s="65"/>
      <c r="O29" s="65"/>
      <c r="P29" s="65"/>
      <c r="Q29" s="65"/>
      <c r="R29" s="65"/>
      <c r="S29" s="65"/>
      <c r="T29" s="65"/>
      <c r="U29" s="65"/>
      <c r="V29" s="65"/>
      <c r="W29" s="65"/>
      <c r="X29" s="630"/>
    </row>
    <row r="30" spans="2:24" ht="18" customHeight="1" x14ac:dyDescent="0.25">
      <c r="B30" s="125">
        <v>11</v>
      </c>
      <c r="C30" s="13">
        <f>Cronograma!N52</f>
        <v>170942.3554867832</v>
      </c>
      <c r="D30" s="127">
        <f t="shared" si="3"/>
        <v>4.0809101005374653E-2</v>
      </c>
      <c r="E30" s="128">
        <f t="shared" si="0"/>
        <v>0.93935085174998711</v>
      </c>
      <c r="G30" s="628"/>
      <c r="H30" s="125">
        <v>11</v>
      </c>
      <c r="I30" s="127">
        <f t="shared" si="4"/>
        <v>4.0809101005374653E-2</v>
      </c>
      <c r="J30" s="128">
        <f t="shared" si="5"/>
        <v>0.93935085174998711</v>
      </c>
      <c r="K30" s="65"/>
      <c r="L30" s="65"/>
      <c r="M30" s="65"/>
      <c r="N30" s="65"/>
      <c r="O30" s="65"/>
      <c r="P30" s="65"/>
      <c r="Q30" s="65"/>
      <c r="R30" s="65"/>
      <c r="S30" s="65"/>
      <c r="T30" s="65"/>
      <c r="U30" s="65"/>
      <c r="V30" s="65"/>
      <c r="W30" s="65"/>
      <c r="X30" s="630"/>
    </row>
    <row r="31" spans="2:24" ht="18" customHeight="1" x14ac:dyDescent="0.25">
      <c r="B31" s="125">
        <v>12</v>
      </c>
      <c r="C31" s="13">
        <f>Cronograma!O52</f>
        <v>61273.998895553712</v>
      </c>
      <c r="D31" s="127">
        <f t="shared" si="3"/>
        <v>1.4627953398742075E-2</v>
      </c>
      <c r="E31" s="128">
        <f t="shared" si="0"/>
        <v>0.95397880514872924</v>
      </c>
      <c r="G31" s="628"/>
      <c r="H31" s="125">
        <v>12</v>
      </c>
      <c r="I31" s="127">
        <f t="shared" ref="I31:I33" si="6">D31</f>
        <v>1.4627953398742075E-2</v>
      </c>
      <c r="J31" s="128">
        <f t="shared" ref="J31:J33" si="7">J30+I31</f>
        <v>0.95397880514872924</v>
      </c>
      <c r="K31" s="65"/>
      <c r="L31" s="65"/>
      <c r="M31" s="65"/>
      <c r="N31" s="65"/>
      <c r="O31" s="65"/>
      <c r="P31" s="65"/>
      <c r="Q31" s="65"/>
      <c r="R31" s="65"/>
      <c r="S31" s="65"/>
      <c r="T31" s="65"/>
      <c r="U31" s="65"/>
      <c r="V31" s="65"/>
      <c r="W31" s="65"/>
      <c r="X31" s="630"/>
    </row>
    <row r="32" spans="2:24" ht="18" customHeight="1" x14ac:dyDescent="0.25">
      <c r="B32" s="125">
        <v>13</v>
      </c>
      <c r="C32" s="13">
        <f>Cronograma!P52</f>
        <v>92348.398443161655</v>
      </c>
      <c r="D32" s="127">
        <f t="shared" si="3"/>
        <v>2.2046350707054282E-2</v>
      </c>
      <c r="E32" s="128">
        <f t="shared" si="0"/>
        <v>0.97602515585578353</v>
      </c>
      <c r="G32" s="628"/>
      <c r="H32" s="125">
        <v>13</v>
      </c>
      <c r="I32" s="127">
        <f t="shared" si="6"/>
        <v>2.2046350707054282E-2</v>
      </c>
      <c r="J32" s="128">
        <f t="shared" si="7"/>
        <v>0.97602515585578353</v>
      </c>
      <c r="K32" s="65"/>
      <c r="L32" s="65"/>
      <c r="M32" s="65"/>
      <c r="N32" s="65"/>
      <c r="O32" s="65"/>
      <c r="P32" s="65"/>
      <c r="Q32" s="65"/>
      <c r="R32" s="65"/>
      <c r="S32" s="65"/>
      <c r="T32" s="65"/>
      <c r="U32" s="65"/>
      <c r="V32" s="65"/>
      <c r="W32" s="65"/>
      <c r="X32" s="630"/>
    </row>
    <row r="33" spans="2:24" ht="18" customHeight="1" x14ac:dyDescent="0.25">
      <c r="B33" s="125">
        <v>14</v>
      </c>
      <c r="C33" s="13">
        <f>Cronograma!Q52</f>
        <v>73001.09229115484</v>
      </c>
      <c r="D33" s="127">
        <f t="shared" si="3"/>
        <v>1.742756463328804E-2</v>
      </c>
      <c r="E33" s="128">
        <f t="shared" si="0"/>
        <v>0.99345272048907152</v>
      </c>
      <c r="G33" s="628"/>
      <c r="H33" s="125">
        <v>14</v>
      </c>
      <c r="I33" s="127">
        <f t="shared" si="6"/>
        <v>1.742756463328804E-2</v>
      </c>
      <c r="J33" s="128">
        <f t="shared" si="7"/>
        <v>0.99345272048907152</v>
      </c>
      <c r="K33" s="65"/>
      <c r="L33" s="65"/>
      <c r="M33" s="65"/>
      <c r="N33" s="65"/>
      <c r="O33" s="65"/>
      <c r="P33" s="65"/>
      <c r="Q33" s="65"/>
      <c r="R33" s="65"/>
      <c r="S33" s="65"/>
      <c r="T33" s="65"/>
      <c r="U33" s="65"/>
      <c r="V33" s="65"/>
      <c r="W33" s="65"/>
      <c r="X33" s="630"/>
    </row>
    <row r="34" spans="2:24" ht="18" customHeight="1" thickBot="1" x14ac:dyDescent="0.3">
      <c r="B34" s="240">
        <v>15</v>
      </c>
      <c r="C34" s="645">
        <f>Cronograma!R52</f>
        <v>27425.435847778754</v>
      </c>
      <c r="D34" s="242">
        <f t="shared" si="3"/>
        <v>6.5472795109282325E-3</v>
      </c>
      <c r="E34" s="243">
        <f t="shared" si="0"/>
        <v>0.99999999999999978</v>
      </c>
      <c r="G34" s="638"/>
      <c r="H34" s="240">
        <v>15</v>
      </c>
      <c r="I34" s="242">
        <f>D34</f>
        <v>6.5472795109282325E-3</v>
      </c>
      <c r="J34" s="243">
        <f>J33+I34</f>
        <v>0.99999999999999978</v>
      </c>
      <c r="K34" s="65"/>
      <c r="L34" s="65"/>
      <c r="M34" s="65"/>
      <c r="N34" s="65"/>
      <c r="O34" s="65"/>
      <c r="P34" s="65"/>
      <c r="Q34" s="65"/>
      <c r="R34" s="65"/>
      <c r="S34" s="65"/>
      <c r="T34" s="65"/>
      <c r="U34" s="65"/>
      <c r="V34" s="65"/>
      <c r="W34" s="65"/>
      <c r="X34" s="630"/>
    </row>
    <row r="35" spans="2:24" ht="15.75" thickBot="1" x14ac:dyDescent="0.3">
      <c r="G35" s="628"/>
      <c r="H35" s="65"/>
      <c r="I35" s="65"/>
      <c r="J35" s="65"/>
      <c r="K35" s="65"/>
      <c r="L35" s="65"/>
      <c r="M35" s="65"/>
      <c r="N35" s="65"/>
      <c r="O35" s="65"/>
      <c r="P35" s="65"/>
      <c r="Q35" s="65"/>
      <c r="R35" s="65"/>
      <c r="S35" s="65"/>
      <c r="T35" s="65"/>
      <c r="U35" s="65"/>
      <c r="V35" s="65"/>
      <c r="W35" s="65"/>
      <c r="X35" s="630"/>
    </row>
    <row r="36" spans="2:24" ht="15.75" thickBot="1" x14ac:dyDescent="0.3">
      <c r="C36" s="129">
        <f>SUM(C20:C34)</f>
        <v>4188829.2384649618</v>
      </c>
      <c r="D36" s="130">
        <f>SUM(D20:D34)</f>
        <v>0.99999999999999978</v>
      </c>
      <c r="E36" s="131"/>
      <c r="G36" s="628"/>
      <c r="H36" s="65"/>
      <c r="I36" s="65"/>
      <c r="J36" s="65"/>
      <c r="K36" s="65"/>
      <c r="L36" s="65"/>
      <c r="M36" s="65"/>
      <c r="N36" s="65"/>
      <c r="O36" s="65"/>
      <c r="P36" s="65"/>
      <c r="Q36" s="65"/>
      <c r="R36" s="65"/>
      <c r="S36" s="65"/>
      <c r="T36" s="65"/>
      <c r="U36" s="65"/>
      <c r="V36" s="65"/>
      <c r="W36" s="65"/>
      <c r="X36" s="630"/>
    </row>
    <row r="37" spans="2:24" x14ac:dyDescent="0.25">
      <c r="C37" s="13"/>
      <c r="D37" s="131"/>
      <c r="E37" s="131"/>
      <c r="G37" s="628"/>
      <c r="H37" s="65"/>
      <c r="I37" s="65"/>
      <c r="J37" s="65"/>
      <c r="K37" s="65"/>
      <c r="L37" s="65"/>
      <c r="M37" s="65"/>
      <c r="N37" s="65"/>
      <c r="O37" s="65"/>
      <c r="P37" s="65"/>
      <c r="Q37" s="65"/>
      <c r="R37" s="65"/>
      <c r="S37" s="65"/>
      <c r="T37" s="65"/>
      <c r="U37" s="65"/>
      <c r="V37" s="65"/>
      <c r="W37" s="65"/>
      <c r="X37" s="630"/>
    </row>
    <row r="38" spans="2:24" x14ac:dyDescent="0.25">
      <c r="G38" s="639"/>
      <c r="H38" s="640"/>
      <c r="I38" s="640"/>
      <c r="J38" s="640"/>
      <c r="K38" s="640"/>
      <c r="L38" s="640"/>
      <c r="M38" s="640"/>
      <c r="N38" s="640"/>
      <c r="O38" s="640"/>
      <c r="P38" s="640"/>
      <c r="Q38" s="640"/>
      <c r="R38" s="640"/>
      <c r="S38" s="640"/>
      <c r="T38" s="640"/>
      <c r="U38" s="640"/>
      <c r="V38" s="640"/>
      <c r="W38" s="640"/>
      <c r="X38" s="641"/>
    </row>
    <row r="39" spans="2:24" x14ac:dyDescent="0.25">
      <c r="G39" s="65"/>
      <c r="H39" s="65"/>
      <c r="I39" s="65"/>
      <c r="J39" s="65"/>
      <c r="K39" s="65"/>
      <c r="L39" s="65"/>
      <c r="M39" s="65"/>
      <c r="N39" s="65"/>
      <c r="O39" s="65"/>
      <c r="P39" s="65"/>
      <c r="Q39" s="65"/>
      <c r="R39" s="65"/>
      <c r="S39" s="65"/>
      <c r="T39" s="65"/>
      <c r="U39" s="65"/>
      <c r="V39" s="65"/>
      <c r="W39" s="65"/>
      <c r="X39" s="65"/>
    </row>
    <row r="40" spans="2:24" x14ac:dyDescent="0.25">
      <c r="G40" s="65"/>
      <c r="H40" s="65"/>
      <c r="I40" s="65"/>
      <c r="J40" s="65"/>
      <c r="K40" s="65"/>
      <c r="L40" s="65"/>
      <c r="M40" s="65"/>
      <c r="N40" s="65"/>
      <c r="O40" s="65"/>
      <c r="P40" s="65"/>
      <c r="Q40" s="65"/>
      <c r="R40" s="65"/>
      <c r="S40" s="65"/>
      <c r="T40" s="65"/>
      <c r="U40" s="65"/>
      <c r="V40" s="65"/>
      <c r="W40" s="65"/>
      <c r="X40" s="65"/>
    </row>
    <row r="41" spans="2:24" x14ac:dyDescent="0.25">
      <c r="G41" s="65"/>
      <c r="H41" s="65"/>
      <c r="I41" s="65"/>
      <c r="J41" s="65"/>
      <c r="K41" s="65"/>
      <c r="L41" s="65"/>
      <c r="M41" s="65"/>
      <c r="N41" s="65"/>
      <c r="O41" s="65"/>
      <c r="P41" s="65"/>
      <c r="Q41" s="65"/>
      <c r="R41" s="65"/>
      <c r="S41" s="65"/>
      <c r="T41" s="65"/>
      <c r="U41" s="65"/>
      <c r="V41" s="65"/>
      <c r="W41" s="65"/>
      <c r="X41" s="65"/>
    </row>
    <row r="42" spans="2:24" x14ac:dyDescent="0.25">
      <c r="G42" s="65"/>
      <c r="H42" s="65"/>
      <c r="I42" s="65"/>
      <c r="J42" s="65"/>
      <c r="K42" s="65"/>
      <c r="L42" s="65"/>
      <c r="M42" s="65"/>
      <c r="N42" s="65"/>
      <c r="O42" s="65"/>
      <c r="P42" s="65"/>
      <c r="Q42" s="65"/>
      <c r="R42" s="65"/>
      <c r="S42" s="65"/>
      <c r="T42" s="65"/>
      <c r="U42" s="65"/>
      <c r="V42" s="65"/>
      <c r="W42" s="65"/>
      <c r="X42" s="65"/>
    </row>
    <row r="43" spans="2:24" x14ac:dyDescent="0.25">
      <c r="G43" s="65"/>
      <c r="H43" s="65"/>
      <c r="I43" s="65"/>
      <c r="J43" s="65"/>
      <c r="K43" s="65"/>
      <c r="L43" s="65"/>
      <c r="M43" s="65"/>
      <c r="N43" s="65"/>
      <c r="O43" s="65"/>
      <c r="P43" s="65"/>
      <c r="Q43" s="65"/>
      <c r="R43" s="65"/>
      <c r="S43" s="65"/>
      <c r="T43" s="65"/>
      <c r="U43" s="65"/>
      <c r="V43" s="65"/>
      <c r="W43" s="65"/>
      <c r="X43" s="65"/>
    </row>
    <row r="44" spans="2:24" x14ac:dyDescent="0.25">
      <c r="G44" s="65"/>
      <c r="H44" s="65"/>
      <c r="I44" s="65"/>
      <c r="J44" s="65"/>
      <c r="K44" s="65"/>
      <c r="L44" s="65"/>
      <c r="M44" s="65"/>
      <c r="N44" s="65"/>
      <c r="O44" s="65"/>
      <c r="P44" s="65"/>
      <c r="Q44" s="65"/>
      <c r="R44" s="65"/>
      <c r="S44" s="65"/>
      <c r="T44" s="65"/>
      <c r="U44" s="65"/>
      <c r="V44" s="65"/>
      <c r="W44" s="65"/>
      <c r="X44" s="65"/>
    </row>
    <row r="45" spans="2:24" x14ac:dyDescent="0.25">
      <c r="G45" s="114"/>
      <c r="H45" s="114" t="s">
        <v>1818</v>
      </c>
      <c r="I45" s="642"/>
      <c r="J45" s="116"/>
      <c r="K45" s="65"/>
      <c r="L45" s="466"/>
      <c r="M45" s="116"/>
      <c r="N45" s="643"/>
      <c r="O45" s="114"/>
      <c r="P45" s="65"/>
      <c r="Q45" s="108"/>
      <c r="R45" s="108"/>
      <c r="S45" s="114"/>
      <c r="T45" s="65"/>
      <c r="U45" s="65"/>
      <c r="V45" s="65"/>
      <c r="W45" s="65"/>
      <c r="X45" s="65"/>
    </row>
    <row r="46" spans="2:24" x14ac:dyDescent="0.25">
      <c r="G46" s="115"/>
      <c r="H46" s="115" t="s">
        <v>1833</v>
      </c>
      <c r="I46" s="642"/>
      <c r="J46" s="115"/>
      <c r="K46" s="65"/>
      <c r="L46" s="466"/>
      <c r="M46" s="115"/>
      <c r="N46" s="643"/>
      <c r="O46" s="115"/>
      <c r="P46" s="65"/>
      <c r="Q46" s="108"/>
      <c r="R46" s="108"/>
      <c r="S46" s="115"/>
      <c r="T46" s="65"/>
      <c r="U46" s="65"/>
      <c r="V46" s="65"/>
      <c r="W46" s="65"/>
      <c r="X46" s="65"/>
    </row>
    <row r="47" spans="2:24" x14ac:dyDescent="0.25">
      <c r="G47" s="116"/>
      <c r="H47" s="116" t="s">
        <v>1834</v>
      </c>
      <c r="I47" s="644"/>
      <c r="J47" s="644"/>
      <c r="K47" s="644"/>
      <c r="L47" s="644"/>
      <c r="M47" s="644"/>
      <c r="N47" s="644"/>
      <c r="O47" s="116"/>
      <c r="P47" s="65"/>
      <c r="Q47" s="108"/>
      <c r="R47" s="108"/>
      <c r="S47" s="116"/>
      <c r="T47" s="65"/>
      <c r="U47" s="108"/>
      <c r="V47" s="65"/>
      <c r="W47" s="65"/>
      <c r="X47" s="65"/>
    </row>
    <row r="48" spans="2:24" x14ac:dyDescent="0.25">
      <c r="G48" s="644"/>
      <c r="H48" s="644" t="s">
        <v>1835</v>
      </c>
      <c r="I48" s="644"/>
      <c r="J48" s="644"/>
      <c r="K48" s="644"/>
      <c r="L48" s="644"/>
      <c r="M48" s="644"/>
      <c r="N48" s="644"/>
      <c r="O48" s="115"/>
      <c r="P48" s="65"/>
      <c r="Q48" s="108"/>
      <c r="R48" s="108"/>
      <c r="S48" s="115"/>
      <c r="T48" s="65"/>
      <c r="U48" s="108"/>
      <c r="V48" s="65"/>
      <c r="W48" s="65"/>
      <c r="X48" s="65"/>
    </row>
    <row r="49" spans="7:24" x14ac:dyDescent="0.25">
      <c r="G49" s="65"/>
      <c r="H49" s="112"/>
      <c r="I49" s="111"/>
      <c r="J49" s="113"/>
      <c r="K49" s="108"/>
      <c r="L49" s="112"/>
      <c r="M49" s="111"/>
      <c r="N49" s="113"/>
      <c r="O49" s="108"/>
      <c r="P49" s="108"/>
      <c r="Q49" s="108"/>
      <c r="R49" s="108"/>
      <c r="S49" s="65"/>
      <c r="T49" s="65"/>
      <c r="U49" s="599"/>
      <c r="V49" s="65"/>
      <c r="W49" s="65"/>
      <c r="X49" s="65"/>
    </row>
    <row r="50" spans="7:24" x14ac:dyDescent="0.25">
      <c r="U50" s="599"/>
    </row>
  </sheetData>
  <mergeCells count="9">
    <mergeCell ref="B17:B19"/>
    <mergeCell ref="C17:E17"/>
    <mergeCell ref="C18:E18"/>
    <mergeCell ref="R1:S1"/>
    <mergeCell ref="H2:Q5"/>
    <mergeCell ref="G6:X7"/>
    <mergeCell ref="H12:J15"/>
    <mergeCell ref="B15:E15"/>
    <mergeCell ref="B16:E16"/>
  </mergeCells>
  <printOptions horizontalCentered="1"/>
  <pageMargins left="1.299212598425197" right="0.51181102362204722" top="0.78740157480314965" bottom="0.78740157480314965" header="0.31496062992125984" footer="0.31496062992125984"/>
  <pageSetup paperSize="9" scale="62"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CB62D5-330C-499D-A248-31B47461039A}">
  <sheetPr>
    <tabColor theme="9" tint="0.59999389629810485"/>
    <pageSetUpPr fitToPage="1"/>
  </sheetPr>
  <dimension ref="B1:X36"/>
  <sheetViews>
    <sheetView view="pageBreakPreview" zoomScale="70" zoomScaleNormal="90" zoomScaleSheetLayoutView="70" workbookViewId="0">
      <selection activeCell="C10" sqref="C10"/>
    </sheetView>
  </sheetViews>
  <sheetFormatPr defaultColWidth="9.140625" defaultRowHeight="15" x14ac:dyDescent="0.25"/>
  <cols>
    <col min="1" max="1" width="2.7109375" customWidth="1"/>
    <col min="2" max="2" width="15.7109375" customWidth="1"/>
    <col min="3" max="5" width="15.5703125" customWidth="1"/>
    <col min="6" max="6" width="6.7109375" customWidth="1"/>
    <col min="7" max="7" width="14.7109375" customWidth="1"/>
    <col min="8" max="9" width="20.7109375" customWidth="1"/>
    <col min="10" max="10" width="9.7109375" customWidth="1"/>
    <col min="24" max="24" width="10.28515625" customWidth="1"/>
  </cols>
  <sheetData>
    <row r="1" spans="2:24" x14ac:dyDescent="0.25">
      <c r="B1" s="958" t="s">
        <v>272</v>
      </c>
      <c r="C1" s="959"/>
      <c r="D1" s="959"/>
      <c r="E1" s="960"/>
      <c r="G1" s="119" t="s">
        <v>272</v>
      </c>
      <c r="H1" s="59"/>
      <c r="I1" s="61"/>
      <c r="J1" s="65"/>
      <c r="K1" s="65"/>
      <c r="L1" s="65"/>
      <c r="M1" s="65"/>
      <c r="N1" s="65"/>
      <c r="O1" s="65"/>
      <c r="P1" s="65"/>
      <c r="Q1" s="65"/>
      <c r="R1" s="65"/>
      <c r="S1" s="65"/>
      <c r="T1" s="65"/>
      <c r="U1" s="65"/>
      <c r="V1" s="65"/>
      <c r="W1" s="65"/>
      <c r="X1" s="65"/>
    </row>
    <row r="2" spans="2:24" x14ac:dyDescent="0.25">
      <c r="B2" s="961"/>
      <c r="C2" s="928"/>
      <c r="D2" s="928"/>
      <c r="E2" s="962"/>
      <c r="G2" s="937" t="s">
        <v>983</v>
      </c>
      <c r="H2" s="938"/>
      <c r="I2" s="939"/>
      <c r="J2" s="65"/>
      <c r="K2" s="65"/>
      <c r="L2" s="65"/>
      <c r="M2" s="65"/>
      <c r="N2" s="65"/>
      <c r="O2" s="65"/>
      <c r="P2" s="65"/>
      <c r="Q2" s="65"/>
      <c r="R2" s="65"/>
      <c r="S2" s="65"/>
      <c r="T2" s="65"/>
      <c r="U2" s="65"/>
      <c r="V2" s="65"/>
      <c r="W2" s="65"/>
      <c r="X2" s="65"/>
    </row>
    <row r="3" spans="2:24" x14ac:dyDescent="0.25">
      <c r="B3" s="961"/>
      <c r="C3" s="928"/>
      <c r="D3" s="928"/>
      <c r="E3" s="962"/>
      <c r="G3" s="937"/>
      <c r="H3" s="938"/>
      <c r="I3" s="939"/>
      <c r="J3" s="65"/>
      <c r="K3" s="65"/>
      <c r="L3" s="65"/>
      <c r="M3" s="65"/>
      <c r="N3" s="65"/>
      <c r="O3" s="65"/>
      <c r="P3" s="65"/>
      <c r="Q3" s="65"/>
      <c r="R3" s="65"/>
      <c r="S3" s="65"/>
      <c r="T3" s="65"/>
      <c r="U3" s="65"/>
      <c r="V3" s="65"/>
      <c r="W3" s="65"/>
      <c r="X3" s="65"/>
    </row>
    <row r="4" spans="2:24" x14ac:dyDescent="0.25">
      <c r="B4" s="961"/>
      <c r="C4" s="928"/>
      <c r="D4" s="928"/>
      <c r="E4" s="962"/>
      <c r="G4" s="937"/>
      <c r="H4" s="938"/>
      <c r="I4" s="939"/>
      <c r="J4" s="65"/>
      <c r="K4" s="65"/>
      <c r="L4" s="65"/>
      <c r="M4" s="65"/>
      <c r="N4" s="65"/>
      <c r="O4" s="65"/>
      <c r="P4" s="65"/>
      <c r="Q4" s="65"/>
      <c r="R4" s="65"/>
      <c r="S4" s="65"/>
      <c r="T4" s="65"/>
      <c r="U4" s="65"/>
      <c r="V4" s="65"/>
      <c r="W4" s="65"/>
      <c r="X4" s="65"/>
    </row>
    <row r="5" spans="2:24" x14ac:dyDescent="0.25">
      <c r="B5" s="963"/>
      <c r="C5" s="964"/>
      <c r="D5" s="964"/>
      <c r="E5" s="965"/>
      <c r="G5" s="937"/>
      <c r="H5" s="938"/>
      <c r="I5" s="939"/>
      <c r="J5" s="65"/>
      <c r="K5" s="65"/>
      <c r="L5" s="65"/>
      <c r="M5" s="65"/>
      <c r="N5" s="65"/>
      <c r="O5" s="65"/>
      <c r="P5" s="65"/>
      <c r="Q5" s="65"/>
      <c r="R5" s="65"/>
      <c r="S5" s="65"/>
      <c r="T5" s="65"/>
      <c r="U5" s="65"/>
      <c r="V5" s="65"/>
      <c r="W5" s="65"/>
      <c r="X5" s="65"/>
    </row>
    <row r="6" spans="2:24" ht="31.15" customHeight="1" thickBot="1" x14ac:dyDescent="0.3">
      <c r="B6" s="946" t="s">
        <v>984</v>
      </c>
      <c r="C6" s="947"/>
      <c r="D6" s="947"/>
      <c r="E6" s="948"/>
      <c r="G6" s="949" t="s">
        <v>984</v>
      </c>
      <c r="H6" s="950"/>
      <c r="I6" s="951"/>
      <c r="J6" s="65"/>
      <c r="K6" s="65"/>
      <c r="L6" s="65"/>
      <c r="M6" s="65"/>
      <c r="N6" s="65"/>
      <c r="O6" s="65"/>
      <c r="P6" s="65"/>
      <c r="Q6" s="65"/>
      <c r="R6" s="65"/>
      <c r="S6" s="65"/>
      <c r="T6" s="65"/>
      <c r="U6" s="65"/>
      <c r="V6" s="65"/>
      <c r="W6" s="65"/>
      <c r="X6" s="65"/>
    </row>
    <row r="7" spans="2:24" x14ac:dyDescent="0.25">
      <c r="B7" s="922" t="s">
        <v>985</v>
      </c>
      <c r="C7" s="923" t="s">
        <v>986</v>
      </c>
      <c r="D7" s="923"/>
      <c r="E7" s="924"/>
      <c r="G7" s="952" t="s">
        <v>985</v>
      </c>
      <c r="H7" s="954" t="s">
        <v>986</v>
      </c>
      <c r="I7" s="955"/>
      <c r="J7" s="65"/>
      <c r="K7" s="65"/>
      <c r="L7" s="65"/>
      <c r="M7" s="65"/>
      <c r="N7" s="65"/>
      <c r="O7" s="65"/>
      <c r="P7" s="65"/>
      <c r="Q7" s="65"/>
      <c r="R7" s="65"/>
      <c r="S7" s="65"/>
      <c r="T7" s="65"/>
      <c r="U7" s="65"/>
      <c r="V7" s="65"/>
      <c r="W7" s="65"/>
      <c r="X7" s="65"/>
    </row>
    <row r="8" spans="2:24" x14ac:dyDescent="0.25">
      <c r="B8" s="922"/>
      <c r="C8" s="956" t="s">
        <v>987</v>
      </c>
      <c r="D8" s="956"/>
      <c r="E8" s="957"/>
      <c r="G8" s="953"/>
      <c r="H8" s="120" t="s">
        <v>987</v>
      </c>
      <c r="I8" s="121" t="s">
        <v>988</v>
      </c>
      <c r="J8" s="65"/>
      <c r="K8" s="65"/>
      <c r="L8" s="65"/>
      <c r="M8" s="65"/>
      <c r="N8" s="65"/>
      <c r="O8" s="65"/>
      <c r="P8" s="65"/>
      <c r="Q8" s="65"/>
      <c r="R8" s="65"/>
      <c r="S8" s="65"/>
      <c r="T8" s="65"/>
      <c r="U8" s="65"/>
      <c r="V8" s="65"/>
      <c r="W8" s="65"/>
      <c r="X8" s="65"/>
    </row>
    <row r="9" spans="2:24" x14ac:dyDescent="0.25">
      <c r="B9" s="922"/>
      <c r="C9" s="122" t="s">
        <v>989</v>
      </c>
      <c r="D9" s="122" t="s">
        <v>990</v>
      </c>
      <c r="E9" s="123" t="s">
        <v>979</v>
      </c>
      <c r="G9" s="953"/>
      <c r="H9" s="124" t="s">
        <v>990</v>
      </c>
      <c r="I9" s="121" t="s">
        <v>990</v>
      </c>
      <c r="J9" s="65"/>
      <c r="K9" s="65"/>
      <c r="L9" s="65"/>
      <c r="M9" s="65"/>
      <c r="N9" s="65"/>
      <c r="O9" s="65"/>
      <c r="P9" s="65"/>
      <c r="Q9" s="65"/>
      <c r="R9" s="65"/>
      <c r="S9" s="65"/>
      <c r="T9" s="65"/>
      <c r="U9" s="65"/>
      <c r="V9" s="65"/>
      <c r="W9" s="65"/>
      <c r="X9" s="65"/>
    </row>
    <row r="10" spans="2:24" ht="18" customHeight="1" x14ac:dyDescent="0.25">
      <c r="B10" s="125">
        <v>1</v>
      </c>
      <c r="C10" s="126">
        <f>Cronograma!D52</f>
        <v>65563.417933548553</v>
      </c>
      <c r="D10" s="127">
        <f>C10/$C$26</f>
        <v>1.5651967220696474E-2</v>
      </c>
      <c r="E10" s="128">
        <f>D10</f>
        <v>1.5651967220696474E-2</v>
      </c>
      <c r="G10" s="125">
        <v>1</v>
      </c>
      <c r="H10" s="127">
        <f>E10</f>
        <v>1.5651967220696474E-2</v>
      </c>
      <c r="I10" s="128"/>
      <c r="J10" s="65"/>
      <c r="K10" s="65"/>
      <c r="L10" s="65"/>
      <c r="M10" s="65"/>
      <c r="N10" s="65"/>
      <c r="O10" s="65"/>
      <c r="P10" s="65"/>
      <c r="Q10" s="65"/>
      <c r="R10" s="65"/>
      <c r="S10" s="65"/>
      <c r="T10" s="65"/>
      <c r="U10" s="65"/>
      <c r="V10" s="65"/>
      <c r="W10" s="65"/>
      <c r="X10" s="65"/>
    </row>
    <row r="11" spans="2:24" ht="18" customHeight="1" x14ac:dyDescent="0.25">
      <c r="B11" s="125">
        <v>2</v>
      </c>
      <c r="C11" s="126">
        <f>Cronograma!E52</f>
        <v>704503.5017923878</v>
      </c>
      <c r="D11" s="127">
        <f>C11/$C$26</f>
        <v>0.16818625484254884</v>
      </c>
      <c r="E11" s="128">
        <f>E10+D11</f>
        <v>0.18383822206324532</v>
      </c>
      <c r="G11" s="125">
        <v>2</v>
      </c>
      <c r="H11" s="127">
        <f>E11</f>
        <v>0.18383822206324532</v>
      </c>
      <c r="I11" s="128"/>
      <c r="J11" s="65"/>
      <c r="K11" s="65"/>
      <c r="L11" s="65"/>
      <c r="M11" s="65"/>
      <c r="N11" s="65"/>
      <c r="O11" s="65"/>
      <c r="P11" s="65"/>
      <c r="Q11" s="65"/>
      <c r="R11" s="65"/>
      <c r="S11" s="65"/>
      <c r="T11" s="65"/>
      <c r="U11" s="65"/>
      <c r="V11" s="65"/>
      <c r="W11" s="65"/>
      <c r="X11" s="65"/>
    </row>
    <row r="12" spans="2:24" ht="18" customHeight="1" x14ac:dyDescent="0.25">
      <c r="B12" s="125">
        <v>3</v>
      </c>
      <c r="C12" s="126">
        <f>Cronograma!F52</f>
        <v>934437.31051774509</v>
      </c>
      <c r="D12" s="127">
        <f t="shared" ref="D12:D24" si="0">C12/$C$26</f>
        <v>0.22307839668827822</v>
      </c>
      <c r="E12" s="128">
        <f t="shared" ref="E12:E24" si="1">E11+D12</f>
        <v>0.40691661875152352</v>
      </c>
      <c r="G12" s="125">
        <v>3</v>
      </c>
      <c r="H12" s="127">
        <f t="shared" ref="H12:H24" si="2">E12</f>
        <v>0.40691661875152352</v>
      </c>
      <c r="I12" s="128"/>
      <c r="J12" s="65"/>
      <c r="K12" s="65"/>
      <c r="L12" s="65"/>
      <c r="M12" s="65"/>
      <c r="N12" s="65"/>
      <c r="O12" s="65"/>
      <c r="P12" s="65"/>
      <c r="Q12" s="65"/>
      <c r="R12" s="65"/>
      <c r="S12" s="65"/>
      <c r="T12" s="65"/>
      <c r="U12" s="65"/>
      <c r="V12" s="65"/>
      <c r="W12" s="65"/>
      <c r="X12" s="65"/>
    </row>
    <row r="13" spans="2:24" ht="18" customHeight="1" x14ac:dyDescent="0.25">
      <c r="B13" s="125">
        <v>4</v>
      </c>
      <c r="C13" s="126">
        <f>Cronograma!G52</f>
        <v>748986.53909915523</v>
      </c>
      <c r="D13" s="127">
        <f t="shared" si="0"/>
        <v>0.17880569879082223</v>
      </c>
      <c r="E13" s="128">
        <f t="shared" si="1"/>
        <v>0.58572231754234572</v>
      </c>
      <c r="G13" s="125">
        <v>4</v>
      </c>
      <c r="H13" s="127">
        <f t="shared" si="2"/>
        <v>0.58572231754234572</v>
      </c>
      <c r="I13" s="128"/>
      <c r="J13" s="65"/>
      <c r="K13" s="65"/>
      <c r="L13" s="65"/>
      <c r="M13" s="65"/>
      <c r="N13" s="65"/>
      <c r="O13" s="65"/>
      <c r="P13" s="65"/>
      <c r="Q13" s="65"/>
      <c r="R13" s="65"/>
      <c r="S13" s="65"/>
      <c r="T13" s="65"/>
      <c r="U13" s="65"/>
      <c r="V13" s="65"/>
      <c r="W13" s="65"/>
      <c r="X13" s="65"/>
    </row>
    <row r="14" spans="2:24" ht="18" customHeight="1" x14ac:dyDescent="0.25">
      <c r="B14" s="125">
        <v>5</v>
      </c>
      <c r="C14" s="126">
        <f>Cronograma!H52</f>
        <v>174874.84329967259</v>
      </c>
      <c r="D14" s="127">
        <f t="shared" si="0"/>
        <v>4.1747904568140669E-2</v>
      </c>
      <c r="E14" s="128">
        <f t="shared" si="1"/>
        <v>0.62747022211048642</v>
      </c>
      <c r="G14" s="125">
        <v>5</v>
      </c>
      <c r="H14" s="127">
        <f t="shared" si="2"/>
        <v>0.62747022211048642</v>
      </c>
      <c r="I14" s="128"/>
      <c r="J14" s="65"/>
      <c r="K14" s="65"/>
      <c r="L14" s="65"/>
      <c r="M14" s="65"/>
      <c r="N14" s="65"/>
      <c r="O14" s="65"/>
      <c r="P14" s="65"/>
      <c r="Q14" s="65"/>
      <c r="R14" s="65"/>
      <c r="S14" s="65"/>
      <c r="T14" s="65"/>
      <c r="U14" s="65"/>
      <c r="V14" s="65"/>
      <c r="W14" s="65"/>
      <c r="X14" s="65"/>
    </row>
    <row r="15" spans="2:24" ht="18" customHeight="1" x14ac:dyDescent="0.25">
      <c r="B15" s="125">
        <v>6</v>
      </c>
      <c r="C15" s="126">
        <f>Cronograma!I52</f>
        <v>204752.36901516933</v>
      </c>
      <c r="D15" s="127">
        <f t="shared" si="0"/>
        <v>4.8880571959100172E-2</v>
      </c>
      <c r="E15" s="128">
        <f t="shared" si="1"/>
        <v>0.67635079406958654</v>
      </c>
      <c r="G15" s="125">
        <v>6</v>
      </c>
      <c r="H15" s="127">
        <f t="shared" si="2"/>
        <v>0.67635079406958654</v>
      </c>
      <c r="I15" s="128"/>
      <c r="J15" s="65"/>
      <c r="K15" s="65"/>
      <c r="L15" s="65"/>
      <c r="M15" s="65"/>
      <c r="N15" s="65"/>
      <c r="O15" s="65"/>
      <c r="P15" s="65"/>
      <c r="Q15" s="65"/>
      <c r="R15" s="65"/>
      <c r="S15" s="65"/>
      <c r="T15" s="65"/>
      <c r="U15" s="65"/>
      <c r="V15" s="65"/>
      <c r="W15" s="65"/>
      <c r="X15" s="65"/>
    </row>
    <row r="16" spans="2:24" ht="18" customHeight="1" x14ac:dyDescent="0.25">
      <c r="B16" s="125">
        <v>7</v>
      </c>
      <c r="C16" s="126">
        <f>Cronograma!J52</f>
        <v>208643.81458391322</v>
      </c>
      <c r="D16" s="127">
        <f t="shared" si="0"/>
        <v>4.9809577499123077E-2</v>
      </c>
      <c r="E16" s="128">
        <f t="shared" si="1"/>
        <v>0.72616037156870961</v>
      </c>
      <c r="G16" s="125">
        <v>7</v>
      </c>
      <c r="H16" s="127">
        <f t="shared" si="2"/>
        <v>0.72616037156870961</v>
      </c>
      <c r="I16" s="128"/>
      <c r="J16" s="65"/>
      <c r="K16" s="65"/>
      <c r="L16" s="65"/>
      <c r="M16" s="65"/>
      <c r="N16" s="65"/>
      <c r="O16" s="65"/>
      <c r="P16" s="65"/>
      <c r="Q16" s="65"/>
      <c r="R16" s="65"/>
      <c r="S16" s="65"/>
      <c r="T16" s="65"/>
      <c r="U16" s="65"/>
      <c r="V16" s="65"/>
      <c r="W16" s="65"/>
      <c r="X16" s="65"/>
    </row>
    <row r="17" spans="2:24" ht="18" customHeight="1" x14ac:dyDescent="0.25">
      <c r="B17" s="125">
        <v>8</v>
      </c>
      <c r="C17" s="126">
        <f>Cronograma!K52</f>
        <v>218940.53513367279</v>
      </c>
      <c r="D17" s="127">
        <f t="shared" si="0"/>
        <v>5.2267715552402352E-2</v>
      </c>
      <c r="E17" s="128">
        <f t="shared" si="1"/>
        <v>0.778428087121112</v>
      </c>
      <c r="G17" s="125">
        <v>8</v>
      </c>
      <c r="H17" s="127">
        <f t="shared" si="2"/>
        <v>0.778428087121112</v>
      </c>
      <c r="I17" s="128"/>
      <c r="J17" s="65"/>
      <c r="K17" s="65"/>
      <c r="L17" s="65"/>
      <c r="M17" s="65"/>
      <c r="N17" s="65"/>
      <c r="O17" s="65"/>
      <c r="P17" s="65"/>
      <c r="Q17" s="65"/>
      <c r="R17" s="65"/>
      <c r="S17" s="65"/>
      <c r="T17" s="65"/>
      <c r="U17" s="65"/>
      <c r="V17" s="65"/>
      <c r="W17" s="65"/>
      <c r="X17" s="65"/>
    </row>
    <row r="18" spans="2:24" ht="18" customHeight="1" x14ac:dyDescent="0.25">
      <c r="B18" s="125">
        <v>9</v>
      </c>
      <c r="C18" s="126">
        <f>Cronograma!L52</f>
        <v>269450.17009977665</v>
      </c>
      <c r="D18" s="127">
        <f t="shared" si="0"/>
        <v>6.4325890304976804E-2</v>
      </c>
      <c r="E18" s="128">
        <f t="shared" si="1"/>
        <v>0.84275397742608882</v>
      </c>
      <c r="G18" s="125">
        <v>9</v>
      </c>
      <c r="H18" s="127">
        <f t="shared" si="2"/>
        <v>0.84275397742608882</v>
      </c>
      <c r="I18" s="128"/>
      <c r="J18" s="65"/>
      <c r="K18" s="65"/>
      <c r="L18" s="65"/>
      <c r="M18" s="65"/>
      <c r="N18" s="65"/>
      <c r="O18" s="65"/>
      <c r="P18" s="65"/>
      <c r="Q18" s="65"/>
      <c r="R18" s="65"/>
      <c r="S18" s="65"/>
      <c r="T18" s="65"/>
      <c r="U18" s="65"/>
      <c r="V18" s="65"/>
      <c r="W18" s="65"/>
      <c r="X18" s="65"/>
    </row>
    <row r="19" spans="2:24" ht="18" customHeight="1" x14ac:dyDescent="0.25">
      <c r="B19" s="125">
        <v>10</v>
      </c>
      <c r="C19" s="126">
        <f>Cronograma!M52</f>
        <v>233685.45602548771</v>
      </c>
      <c r="D19" s="127">
        <f t="shared" si="0"/>
        <v>5.5787773318523741E-2</v>
      </c>
      <c r="E19" s="128">
        <f t="shared" si="1"/>
        <v>0.89854175074461251</v>
      </c>
      <c r="G19" s="125">
        <v>10</v>
      </c>
      <c r="H19" s="127">
        <f t="shared" si="2"/>
        <v>0.89854175074461251</v>
      </c>
      <c r="I19" s="128"/>
      <c r="J19" s="65"/>
      <c r="K19" s="65"/>
      <c r="L19" s="65"/>
      <c r="M19" s="65"/>
      <c r="N19" s="65"/>
      <c r="O19" s="65"/>
      <c r="P19" s="65"/>
      <c r="Q19" s="65"/>
      <c r="R19" s="65"/>
      <c r="S19" s="65"/>
      <c r="T19" s="65"/>
      <c r="U19" s="65"/>
      <c r="V19" s="65"/>
      <c r="W19" s="65"/>
      <c r="X19" s="65"/>
    </row>
    <row r="20" spans="2:24" ht="18" customHeight="1" x14ac:dyDescent="0.25">
      <c r="B20" s="125">
        <v>11</v>
      </c>
      <c r="C20" s="126">
        <f>Cronograma!N52</f>
        <v>170942.3554867832</v>
      </c>
      <c r="D20" s="127">
        <f t="shared" si="0"/>
        <v>4.0809101005374653E-2</v>
      </c>
      <c r="E20" s="128">
        <f t="shared" si="1"/>
        <v>0.93935085174998711</v>
      </c>
      <c r="G20" s="125">
        <v>11</v>
      </c>
      <c r="H20" s="127">
        <f t="shared" si="2"/>
        <v>0.93935085174998711</v>
      </c>
      <c r="I20" s="128"/>
      <c r="J20" s="65"/>
      <c r="K20" s="65"/>
      <c r="L20" s="65"/>
      <c r="M20" s="65"/>
      <c r="N20" s="65"/>
      <c r="O20" s="65"/>
      <c r="P20" s="65"/>
      <c r="Q20" s="65"/>
      <c r="R20" s="65"/>
      <c r="S20" s="65"/>
      <c r="T20" s="65"/>
      <c r="U20" s="65"/>
      <c r="V20" s="65"/>
      <c r="W20" s="65"/>
      <c r="X20" s="65"/>
    </row>
    <row r="21" spans="2:24" ht="18" customHeight="1" x14ac:dyDescent="0.25">
      <c r="B21" s="125">
        <v>12</v>
      </c>
      <c r="C21" s="126">
        <f>Cronograma!O52</f>
        <v>61273.998895553712</v>
      </c>
      <c r="D21" s="127">
        <f t="shared" si="0"/>
        <v>1.4627953398742075E-2</v>
      </c>
      <c r="E21" s="128">
        <f t="shared" si="1"/>
        <v>0.95397880514872924</v>
      </c>
      <c r="G21" s="125">
        <v>12</v>
      </c>
      <c r="H21" s="127">
        <f t="shared" si="2"/>
        <v>0.95397880514872924</v>
      </c>
      <c r="I21" s="128"/>
      <c r="J21" s="65"/>
      <c r="K21" s="65"/>
      <c r="L21" s="65"/>
      <c r="M21" s="65"/>
      <c r="N21" s="65"/>
      <c r="O21" s="65"/>
      <c r="P21" s="65"/>
      <c r="Q21" s="65"/>
      <c r="R21" s="65"/>
      <c r="S21" s="65"/>
      <c r="T21" s="65"/>
      <c r="U21" s="65"/>
      <c r="V21" s="65"/>
      <c r="W21" s="65"/>
      <c r="X21" s="65"/>
    </row>
    <row r="22" spans="2:24" ht="18" customHeight="1" x14ac:dyDescent="0.25">
      <c r="B22" s="125">
        <v>13</v>
      </c>
      <c r="C22" s="126">
        <f>Cronograma!P52</f>
        <v>92348.398443161655</v>
      </c>
      <c r="D22" s="127">
        <f t="shared" si="0"/>
        <v>2.2046350707054282E-2</v>
      </c>
      <c r="E22" s="128">
        <f t="shared" si="1"/>
        <v>0.97602515585578353</v>
      </c>
      <c r="G22" s="125">
        <v>13</v>
      </c>
      <c r="H22" s="127">
        <f t="shared" si="2"/>
        <v>0.97602515585578353</v>
      </c>
      <c r="I22" s="128"/>
      <c r="J22" s="65"/>
      <c r="K22" s="65"/>
      <c r="L22" s="65"/>
      <c r="M22" s="65"/>
      <c r="N22" s="65"/>
      <c r="O22" s="65"/>
      <c r="P22" s="65"/>
      <c r="Q22" s="65"/>
      <c r="R22" s="65"/>
      <c r="S22" s="65"/>
      <c r="T22" s="65"/>
      <c r="U22" s="65"/>
      <c r="V22" s="65"/>
      <c r="W22" s="65"/>
      <c r="X22" s="65"/>
    </row>
    <row r="23" spans="2:24" ht="18" customHeight="1" x14ac:dyDescent="0.25">
      <c r="B23" s="125">
        <v>14</v>
      </c>
      <c r="C23" s="126">
        <f>Cronograma!Q52</f>
        <v>73001.09229115484</v>
      </c>
      <c r="D23" s="127">
        <f t="shared" si="0"/>
        <v>1.742756463328804E-2</v>
      </c>
      <c r="E23" s="128">
        <f t="shared" si="1"/>
        <v>0.99345272048907152</v>
      </c>
      <c r="G23" s="125">
        <v>14</v>
      </c>
      <c r="H23" s="127">
        <f t="shared" si="2"/>
        <v>0.99345272048907152</v>
      </c>
      <c r="I23" s="128"/>
      <c r="J23" s="65"/>
      <c r="K23" s="65"/>
      <c r="L23" s="65"/>
      <c r="M23" s="65"/>
      <c r="N23" s="65"/>
      <c r="O23" s="65"/>
      <c r="P23" s="65"/>
      <c r="Q23" s="65"/>
      <c r="R23" s="65"/>
      <c r="S23" s="65"/>
      <c r="T23" s="65"/>
      <c r="U23" s="65"/>
      <c r="V23" s="65"/>
      <c r="W23" s="65"/>
      <c r="X23" s="65"/>
    </row>
    <row r="24" spans="2:24" ht="18" customHeight="1" thickBot="1" x14ac:dyDescent="0.3">
      <c r="B24" s="240">
        <v>15</v>
      </c>
      <c r="C24" s="241">
        <f>Cronograma!R52</f>
        <v>27425.435847778754</v>
      </c>
      <c r="D24" s="242">
        <f t="shared" si="0"/>
        <v>6.5472795109282325E-3</v>
      </c>
      <c r="E24" s="243">
        <f t="shared" si="1"/>
        <v>0.99999999999999978</v>
      </c>
      <c r="G24" s="240">
        <v>15</v>
      </c>
      <c r="H24" s="242">
        <f t="shared" si="2"/>
        <v>0.99999999999999978</v>
      </c>
      <c r="I24" s="243"/>
      <c r="J24" s="65"/>
      <c r="K24" s="65"/>
      <c r="L24" s="65"/>
      <c r="M24" s="65"/>
      <c r="N24" s="65"/>
      <c r="O24" s="65"/>
      <c r="P24" s="65"/>
      <c r="Q24" s="65"/>
      <c r="R24" s="65"/>
      <c r="S24" s="65"/>
      <c r="T24" s="65"/>
      <c r="U24" s="65"/>
      <c r="V24" s="65"/>
      <c r="W24" s="65"/>
      <c r="X24" s="65"/>
    </row>
    <row r="25" spans="2:24" ht="15.75" thickBot="1" x14ac:dyDescent="0.3">
      <c r="G25" s="65"/>
      <c r="H25" s="65"/>
      <c r="I25" s="65"/>
      <c r="J25" s="65"/>
      <c r="K25" s="65"/>
      <c r="L25" s="65"/>
      <c r="M25" s="65"/>
      <c r="N25" s="65"/>
      <c r="O25" s="65"/>
      <c r="P25" s="65"/>
      <c r="Q25" s="65"/>
      <c r="R25" s="65"/>
      <c r="S25" s="65"/>
      <c r="T25" s="65"/>
      <c r="U25" s="65"/>
      <c r="V25" s="65"/>
      <c r="W25" s="65"/>
      <c r="X25" s="65"/>
    </row>
    <row r="26" spans="2:24" ht="15.75" thickBot="1" x14ac:dyDescent="0.3">
      <c r="C26" s="129">
        <f>SUM(C10:C24)</f>
        <v>4188829.2384649618</v>
      </c>
      <c r="D26" s="130">
        <f>SUM(D10:D11)</f>
        <v>0.18383822206324532</v>
      </c>
      <c r="E26" s="131"/>
      <c r="G26" s="65"/>
      <c r="H26" s="65"/>
      <c r="I26" s="65"/>
      <c r="J26" s="65"/>
      <c r="K26" s="65"/>
      <c r="L26" s="65"/>
      <c r="M26" s="65"/>
      <c r="N26" s="65"/>
      <c r="O26" s="65"/>
      <c r="P26" s="65"/>
      <c r="Q26" s="65"/>
      <c r="R26" s="65"/>
      <c r="S26" s="65"/>
      <c r="T26" s="65"/>
      <c r="U26" s="65"/>
      <c r="V26" s="65"/>
      <c r="W26" s="65"/>
      <c r="X26" s="65"/>
    </row>
    <row r="27" spans="2:24" x14ac:dyDescent="0.25">
      <c r="G27" s="65"/>
      <c r="H27" s="65"/>
      <c r="I27" s="65"/>
      <c r="J27" s="65"/>
      <c r="K27" s="65"/>
      <c r="L27" s="65"/>
      <c r="M27" s="65"/>
      <c r="N27" s="65"/>
      <c r="O27" s="65"/>
      <c r="P27" s="65"/>
      <c r="Q27" s="65"/>
      <c r="R27" s="65"/>
      <c r="S27" s="65"/>
      <c r="T27" s="65"/>
      <c r="U27" s="65"/>
      <c r="V27" s="65"/>
      <c r="W27" s="65"/>
      <c r="X27" s="65"/>
    </row>
    <row r="28" spans="2:24" x14ac:dyDescent="0.25">
      <c r="C28" s="569">
        <f>C26-RESUMO!H37</f>
        <v>-3.1513581052422523E-4</v>
      </c>
      <c r="G28" s="65"/>
      <c r="H28" s="65"/>
      <c r="I28" s="65"/>
      <c r="J28" s="65"/>
      <c r="K28" s="65"/>
      <c r="L28" s="65"/>
      <c r="M28" s="65"/>
      <c r="N28" s="65"/>
      <c r="O28" s="65"/>
      <c r="P28" s="65"/>
      <c r="Q28" s="65"/>
      <c r="R28" s="65"/>
      <c r="S28" s="65"/>
      <c r="T28" s="65"/>
      <c r="U28" s="65"/>
      <c r="V28" s="65"/>
      <c r="W28" s="65"/>
      <c r="X28" s="65"/>
    </row>
    <row r="29" spans="2:24" ht="50.45" customHeight="1" x14ac:dyDescent="0.25">
      <c r="G29" s="65"/>
      <c r="H29" s="65"/>
      <c r="I29" s="65"/>
      <c r="J29" s="65"/>
      <c r="K29" s="65"/>
      <c r="L29" s="65"/>
      <c r="M29" s="65"/>
      <c r="N29" s="65"/>
      <c r="O29" s="65"/>
      <c r="P29" s="65"/>
      <c r="Q29" s="65"/>
      <c r="R29" s="65"/>
      <c r="S29" s="65"/>
      <c r="T29" s="65"/>
      <c r="U29" s="65"/>
      <c r="V29" s="65"/>
      <c r="W29" s="65"/>
      <c r="X29" s="65"/>
    </row>
    <row r="30" spans="2:24" x14ac:dyDescent="0.25">
      <c r="G30" s="65"/>
      <c r="H30" s="65"/>
      <c r="I30" s="65"/>
      <c r="J30" s="65"/>
      <c r="K30" s="65"/>
      <c r="L30" s="65"/>
      <c r="M30" s="65"/>
      <c r="N30" s="65"/>
      <c r="O30" s="65"/>
      <c r="P30" s="65"/>
      <c r="Q30" s="65"/>
      <c r="R30" s="65"/>
      <c r="S30" s="65"/>
      <c r="T30" s="65"/>
      <c r="U30" s="65"/>
      <c r="V30" s="65"/>
      <c r="W30" s="65"/>
      <c r="X30" s="65"/>
    </row>
    <row r="31" spans="2:24" x14ac:dyDescent="0.25">
      <c r="G31" s="65"/>
      <c r="H31" s="65"/>
      <c r="I31" s="65"/>
      <c r="J31" s="65"/>
      <c r="K31" s="65"/>
      <c r="L31" s="65"/>
      <c r="M31" s="65"/>
      <c r="N31" s="65"/>
      <c r="O31" s="65"/>
      <c r="P31" s="65"/>
      <c r="Q31" s="65"/>
      <c r="R31" s="65"/>
      <c r="S31" s="65"/>
      <c r="T31" s="65"/>
      <c r="U31" s="65"/>
      <c r="V31" s="65"/>
      <c r="W31" s="65"/>
      <c r="X31" s="65"/>
    </row>
    <row r="32" spans="2:24" x14ac:dyDescent="0.25">
      <c r="G32" s="65"/>
      <c r="H32" s="114"/>
      <c r="I32" s="114"/>
      <c r="J32" s="65"/>
      <c r="K32" s="114"/>
      <c r="L32" s="65"/>
      <c r="M32" s="65"/>
      <c r="N32" s="65"/>
      <c r="O32" s="114"/>
      <c r="P32" s="65"/>
      <c r="Q32" s="108"/>
      <c r="R32" s="108"/>
      <c r="S32" s="114"/>
      <c r="T32" s="65"/>
      <c r="U32" s="65"/>
      <c r="V32" s="65"/>
      <c r="W32" s="65"/>
      <c r="X32" s="65"/>
    </row>
    <row r="33" spans="7:24" x14ac:dyDescent="0.25">
      <c r="G33" s="65"/>
      <c r="H33" s="115"/>
      <c r="I33" s="115"/>
      <c r="J33" s="65"/>
      <c r="K33" s="115"/>
      <c r="L33" s="65"/>
      <c r="M33" s="65"/>
      <c r="N33" s="65"/>
      <c r="O33" s="115"/>
      <c r="P33" s="65"/>
      <c r="Q33" s="108"/>
      <c r="R33" s="108"/>
      <c r="S33" s="115"/>
      <c r="T33" s="65"/>
      <c r="U33" s="65"/>
      <c r="V33" s="65"/>
      <c r="W33" s="65"/>
      <c r="X33" s="65"/>
    </row>
    <row r="34" spans="7:24" x14ac:dyDescent="0.25">
      <c r="G34" s="65"/>
      <c r="H34" s="116"/>
      <c r="I34" s="116"/>
      <c r="J34" s="65"/>
      <c r="K34" s="116"/>
      <c r="L34" s="65"/>
      <c r="M34" s="65"/>
      <c r="N34" s="65"/>
      <c r="O34" s="116"/>
      <c r="P34" s="65"/>
      <c r="Q34" s="108"/>
      <c r="R34" s="108"/>
      <c r="S34" s="116"/>
      <c r="T34" s="65"/>
      <c r="U34" s="65"/>
      <c r="V34" s="65"/>
      <c r="W34" s="65"/>
      <c r="X34" s="65"/>
    </row>
    <row r="35" spans="7:24" x14ac:dyDescent="0.25">
      <c r="G35" s="65"/>
      <c r="H35" s="115"/>
      <c r="I35" s="115"/>
      <c r="J35" s="65"/>
      <c r="K35" s="115"/>
      <c r="L35" s="65"/>
      <c r="M35" s="65"/>
      <c r="N35" s="65"/>
      <c r="O35" s="115"/>
      <c r="P35" s="65"/>
      <c r="Q35" s="108"/>
      <c r="R35" s="108"/>
      <c r="S35" s="115"/>
      <c r="T35" s="65"/>
      <c r="U35" s="65"/>
      <c r="V35" s="65"/>
      <c r="W35" s="65"/>
      <c r="X35" s="65"/>
    </row>
    <row r="36" spans="7:24" x14ac:dyDescent="0.25">
      <c r="G36" s="65"/>
      <c r="H36" s="112"/>
      <c r="I36" s="111"/>
      <c r="J36" s="113"/>
      <c r="K36" s="108"/>
      <c r="L36" s="112"/>
      <c r="M36" s="111"/>
      <c r="N36" s="113"/>
      <c r="O36" s="108"/>
      <c r="P36" s="108"/>
      <c r="Q36" s="108"/>
      <c r="R36" s="108"/>
      <c r="S36" s="65"/>
      <c r="T36" s="65"/>
      <c r="U36" s="65"/>
      <c r="V36" s="65"/>
      <c r="W36" s="65"/>
      <c r="X36" s="65"/>
    </row>
  </sheetData>
  <mergeCells count="9">
    <mergeCell ref="G2:I5"/>
    <mergeCell ref="B6:E6"/>
    <mergeCell ref="G6:I6"/>
    <mergeCell ref="B7:B9"/>
    <mergeCell ref="C7:E7"/>
    <mergeCell ref="G7:G9"/>
    <mergeCell ref="H7:I7"/>
    <mergeCell ref="C8:E8"/>
    <mergeCell ref="B1:E5"/>
  </mergeCells>
  <printOptions horizontalCentered="1"/>
  <pageMargins left="1.299212598425197" right="0.51181102362204722" top="0.78740157480314965" bottom="0.78740157480314965" header="0.31496062992125984" footer="0.31496062992125984"/>
  <pageSetup paperSize="9" scale="64" fitToHeight="0" orientation="landscape" horizontalDpi="4294967293" r:id="rId1"/>
  <headerFooter>
    <oddFooter>&amp;CPágina &amp;P de &amp;N&amp;R&amp;A</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EEC87-439F-4BC1-B9D7-CEF3B88E56EF}">
  <sheetPr>
    <tabColor theme="1" tint="0.34998626667073579"/>
  </sheetPr>
  <dimension ref="A1:E185"/>
  <sheetViews>
    <sheetView view="pageBreakPreview" topLeftCell="A24" zoomScale="90" zoomScaleNormal="100" zoomScaleSheetLayoutView="90" workbookViewId="0">
      <selection activeCell="L23" sqref="L23"/>
    </sheetView>
  </sheetViews>
  <sheetFormatPr defaultRowHeight="15" x14ac:dyDescent="0.25"/>
  <cols>
    <col min="1" max="1" width="31.42578125" customWidth="1"/>
    <col min="2" max="2" width="20.42578125" bestFit="1" customWidth="1"/>
    <col min="3" max="3" width="18.710937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992</v>
      </c>
      <c r="B3" s="987"/>
      <c r="C3" s="988"/>
      <c r="D3" s="989"/>
      <c r="E3" s="228" t="s">
        <v>993</v>
      </c>
    </row>
    <row r="4" spans="1:5" ht="15" customHeight="1" x14ac:dyDescent="0.25">
      <c r="A4" s="992" t="s">
        <v>994</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996</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79"/>
      <c r="B27" s="979"/>
      <c r="C27" s="979"/>
      <c r="D27" s="979"/>
      <c r="E27" s="979"/>
    </row>
    <row r="28" spans="1:5" x14ac:dyDescent="0.25">
      <c r="A28" s="979"/>
      <c r="B28" s="979"/>
      <c r="C28" s="979"/>
      <c r="D28" s="979"/>
      <c r="E28" s="979"/>
    </row>
    <row r="29" spans="1:5" x14ac:dyDescent="0.25">
      <c r="A29" s="979"/>
      <c r="B29" s="979"/>
      <c r="C29" s="979"/>
      <c r="D29" s="979"/>
      <c r="E29" s="979"/>
    </row>
    <row r="30" spans="1:5" x14ac:dyDescent="0.25">
      <c r="A30" s="979"/>
      <c r="B30" s="979"/>
      <c r="C30" s="979"/>
      <c r="D30" s="979"/>
      <c r="E30" s="979"/>
    </row>
    <row r="31" spans="1:5" x14ac:dyDescent="0.25">
      <c r="A31" s="979"/>
      <c r="B31" s="979"/>
      <c r="C31" s="979"/>
      <c r="D31" s="979"/>
      <c r="E31" s="979"/>
    </row>
    <row r="32" spans="1:5" x14ac:dyDescent="0.25">
      <c r="A32" s="979"/>
      <c r="B32" s="979"/>
      <c r="C32" s="979"/>
      <c r="D32" s="979"/>
      <c r="E32" s="979"/>
    </row>
    <row r="33" spans="1:5" x14ac:dyDescent="0.25">
      <c r="A33" s="966" t="s">
        <v>996</v>
      </c>
      <c r="B33" s="966"/>
      <c r="C33" s="966"/>
      <c r="D33" s="966"/>
      <c r="E33" s="966"/>
    </row>
    <row r="34" spans="1:5" x14ac:dyDescent="0.25">
      <c r="A34" s="229"/>
      <c r="B34" s="239"/>
      <c r="C34" s="967" t="s">
        <v>998</v>
      </c>
      <c r="D34" s="968"/>
      <c r="E34" s="229" t="s">
        <v>158</v>
      </c>
    </row>
    <row r="35" spans="1:5" ht="30.75" customHeight="1" x14ac:dyDescent="0.25">
      <c r="A35" s="230" t="s">
        <v>999</v>
      </c>
      <c r="B35" s="231"/>
      <c r="C35" s="969" t="s">
        <v>1000</v>
      </c>
      <c r="D35" s="970"/>
      <c r="E35" s="232">
        <f>2.01+2.893+1.622+2.433+5.505</f>
        <v>14.462999999999997</v>
      </c>
    </row>
    <row r="36" spans="1:5" ht="15" customHeight="1" x14ac:dyDescent="0.25">
      <c r="A36" s="971" t="s">
        <v>1001</v>
      </c>
      <c r="B36" s="972"/>
      <c r="C36" s="972"/>
      <c r="D36" s="973"/>
      <c r="E36" s="238">
        <f>E35</f>
        <v>14.462999999999997</v>
      </c>
    </row>
    <row r="37" spans="1:5" x14ac:dyDescent="0.25">
      <c r="A37" s="974" t="s">
        <v>1002</v>
      </c>
      <c r="B37" s="975"/>
      <c r="C37" s="975"/>
      <c r="D37" s="976"/>
      <c r="E37" s="977"/>
    </row>
    <row r="38" spans="1:5" x14ac:dyDescent="0.25">
      <c r="A38" s="978" t="s">
        <v>997</v>
      </c>
      <c r="B38" s="978"/>
      <c r="C38" s="978"/>
      <c r="D38" s="978"/>
      <c r="E38" s="978"/>
    </row>
    <row r="39" spans="1:5" x14ac:dyDescent="0.25">
      <c r="A39" s="979"/>
      <c r="B39" s="979"/>
      <c r="C39" s="979"/>
      <c r="D39" s="979"/>
      <c r="E39" s="979"/>
    </row>
    <row r="40" spans="1:5" x14ac:dyDescent="0.25">
      <c r="A40" s="979"/>
      <c r="B40" s="979"/>
      <c r="C40" s="979"/>
      <c r="D40" s="979"/>
      <c r="E40" s="979"/>
    </row>
    <row r="41" spans="1:5" x14ac:dyDescent="0.25">
      <c r="A41" s="979"/>
      <c r="B41" s="979"/>
      <c r="C41" s="979"/>
      <c r="D41" s="979"/>
      <c r="E41" s="979"/>
    </row>
    <row r="42" spans="1:5" x14ac:dyDescent="0.25">
      <c r="A42" s="979"/>
      <c r="B42" s="979"/>
      <c r="C42" s="979"/>
      <c r="D42" s="979"/>
      <c r="E42" s="979"/>
    </row>
    <row r="43" spans="1:5" x14ac:dyDescent="0.25">
      <c r="A43" s="979"/>
      <c r="B43" s="979"/>
      <c r="C43" s="979"/>
      <c r="D43" s="979"/>
      <c r="E43" s="979"/>
    </row>
    <row r="44" spans="1:5" x14ac:dyDescent="0.25">
      <c r="A44" s="979"/>
      <c r="B44" s="979"/>
      <c r="C44" s="979"/>
      <c r="D44" s="979"/>
      <c r="E44" s="979"/>
    </row>
    <row r="45" spans="1:5" x14ac:dyDescent="0.25">
      <c r="A45" s="979"/>
      <c r="B45" s="979"/>
      <c r="C45" s="979"/>
      <c r="D45" s="979"/>
      <c r="E45" s="979"/>
    </row>
    <row r="46" spans="1:5" x14ac:dyDescent="0.25">
      <c r="A46" s="979"/>
      <c r="B46" s="979"/>
      <c r="C46" s="979"/>
      <c r="D46" s="979"/>
      <c r="E46" s="979"/>
    </row>
    <row r="47" spans="1:5" x14ac:dyDescent="0.25">
      <c r="A47" s="979"/>
      <c r="B47" s="979"/>
      <c r="C47" s="979"/>
      <c r="D47" s="979"/>
      <c r="E47" s="979"/>
    </row>
    <row r="48" spans="1:5" x14ac:dyDescent="0.25">
      <c r="A48" s="979"/>
      <c r="B48" s="979"/>
      <c r="C48" s="979"/>
      <c r="D48" s="979"/>
      <c r="E48" s="979"/>
    </row>
    <row r="49" spans="1:5" x14ac:dyDescent="0.25">
      <c r="A49" s="979"/>
      <c r="B49" s="979"/>
      <c r="C49" s="979"/>
      <c r="D49" s="979"/>
      <c r="E49" s="979"/>
    </row>
    <row r="50" spans="1:5" x14ac:dyDescent="0.25">
      <c r="A50" s="979"/>
      <c r="B50" s="979"/>
      <c r="C50" s="979"/>
      <c r="D50" s="979"/>
      <c r="E50" s="979"/>
    </row>
    <row r="51" spans="1:5" x14ac:dyDescent="0.25">
      <c r="A51" s="979"/>
      <c r="B51" s="979"/>
      <c r="C51" s="979"/>
      <c r="D51" s="979"/>
      <c r="E51" s="979"/>
    </row>
    <row r="52" spans="1:5" x14ac:dyDescent="0.25">
      <c r="A52" s="979"/>
      <c r="B52" s="979"/>
      <c r="C52" s="979"/>
      <c r="D52" s="979"/>
      <c r="E52" s="979"/>
    </row>
    <row r="53" spans="1:5" x14ac:dyDescent="0.25">
      <c r="A53" s="979"/>
      <c r="B53" s="979"/>
      <c r="C53" s="979"/>
      <c r="D53" s="979"/>
      <c r="E53" s="979"/>
    </row>
    <row r="54" spans="1:5" x14ac:dyDescent="0.25">
      <c r="A54" s="979"/>
      <c r="B54" s="979"/>
      <c r="C54" s="979"/>
      <c r="D54" s="979"/>
      <c r="E54" s="979"/>
    </row>
    <row r="55" spans="1:5" x14ac:dyDescent="0.25">
      <c r="A55" s="979"/>
      <c r="B55" s="979"/>
      <c r="C55" s="979"/>
      <c r="D55" s="979"/>
      <c r="E55" s="979"/>
    </row>
    <row r="56" spans="1:5" x14ac:dyDescent="0.25">
      <c r="A56" s="979"/>
      <c r="B56" s="979"/>
      <c r="C56" s="979"/>
      <c r="D56" s="979"/>
      <c r="E56" s="979"/>
    </row>
    <row r="57" spans="1:5" x14ac:dyDescent="0.25">
      <c r="A57" s="979"/>
      <c r="B57" s="979"/>
      <c r="C57" s="979"/>
      <c r="D57" s="979"/>
      <c r="E57" s="979"/>
    </row>
    <row r="58" spans="1:5" x14ac:dyDescent="0.25">
      <c r="A58" s="979"/>
      <c r="B58" s="979"/>
      <c r="C58" s="979"/>
      <c r="D58" s="979"/>
      <c r="E58" s="979"/>
    </row>
    <row r="59" spans="1:5" x14ac:dyDescent="0.25">
      <c r="A59" s="979"/>
      <c r="B59" s="979"/>
      <c r="C59" s="979"/>
      <c r="D59" s="979"/>
      <c r="E59" s="979"/>
    </row>
    <row r="60" spans="1:5" x14ac:dyDescent="0.25">
      <c r="A60" s="979"/>
      <c r="B60" s="979"/>
      <c r="C60" s="979"/>
      <c r="D60" s="979"/>
      <c r="E60" s="979"/>
    </row>
    <row r="61" spans="1:5" x14ac:dyDescent="0.25">
      <c r="A61" s="966" t="s">
        <v>1002</v>
      </c>
      <c r="B61" s="966"/>
      <c r="C61" s="966"/>
      <c r="D61" s="966"/>
      <c r="E61" s="966"/>
    </row>
    <row r="62" spans="1:5" x14ac:dyDescent="0.25">
      <c r="A62" s="229"/>
      <c r="B62" s="239"/>
      <c r="C62" s="967" t="s">
        <v>998</v>
      </c>
      <c r="D62" s="968"/>
      <c r="E62" s="229" t="s">
        <v>1003</v>
      </c>
    </row>
    <row r="63" spans="1:5" x14ac:dyDescent="0.25">
      <c r="A63" s="230" t="s">
        <v>999</v>
      </c>
      <c r="B63" s="231"/>
      <c r="C63" s="969">
        <v>37.44</v>
      </c>
      <c r="D63" s="970"/>
      <c r="E63" s="232">
        <v>37.44</v>
      </c>
    </row>
    <row r="64" spans="1:5" x14ac:dyDescent="0.25">
      <c r="A64" s="971" t="s">
        <v>1001</v>
      </c>
      <c r="B64" s="972"/>
      <c r="C64" s="972"/>
      <c r="D64" s="973"/>
      <c r="E64" s="238">
        <f>E63</f>
        <v>37.44</v>
      </c>
    </row>
    <row r="65" spans="1:5" x14ac:dyDescent="0.25">
      <c r="A65" s="995" t="s">
        <v>285</v>
      </c>
      <c r="B65" s="996"/>
      <c r="C65" s="996"/>
      <c r="D65" s="997"/>
      <c r="E65" s="342">
        <f>E64</f>
        <v>37.44</v>
      </c>
    </row>
    <row r="66" spans="1:5" x14ac:dyDescent="0.25">
      <c r="A66" s="974" t="s">
        <v>1004</v>
      </c>
      <c r="B66" s="975"/>
      <c r="C66" s="975"/>
      <c r="D66" s="976"/>
      <c r="E66" s="977"/>
    </row>
    <row r="67" spans="1:5" x14ac:dyDescent="0.25">
      <c r="A67" s="978" t="s">
        <v>997</v>
      </c>
      <c r="B67" s="978"/>
      <c r="C67" s="978"/>
      <c r="D67" s="978"/>
      <c r="E67" s="978"/>
    </row>
    <row r="68" spans="1:5" x14ac:dyDescent="0.25">
      <c r="A68" s="979"/>
      <c r="B68" s="979"/>
      <c r="C68" s="979"/>
      <c r="D68" s="979"/>
      <c r="E68" s="979"/>
    </row>
    <row r="69" spans="1:5" x14ac:dyDescent="0.25">
      <c r="A69" s="979"/>
      <c r="B69" s="979"/>
      <c r="C69" s="979"/>
      <c r="D69" s="979"/>
      <c r="E69" s="979"/>
    </row>
    <row r="70" spans="1:5" x14ac:dyDescent="0.25">
      <c r="A70" s="979"/>
      <c r="B70" s="979"/>
      <c r="C70" s="979"/>
      <c r="D70" s="979"/>
      <c r="E70" s="979"/>
    </row>
    <row r="71" spans="1:5" x14ac:dyDescent="0.25">
      <c r="A71" s="979"/>
      <c r="B71" s="979"/>
      <c r="C71" s="979"/>
      <c r="D71" s="979"/>
      <c r="E71" s="979"/>
    </row>
    <row r="72" spans="1:5" x14ac:dyDescent="0.25">
      <c r="A72" s="979"/>
      <c r="B72" s="979"/>
      <c r="C72" s="979"/>
      <c r="D72" s="979"/>
      <c r="E72" s="979"/>
    </row>
    <row r="73" spans="1:5" x14ac:dyDescent="0.25">
      <c r="A73" s="979"/>
      <c r="B73" s="979"/>
      <c r="C73" s="979"/>
      <c r="D73" s="979"/>
      <c r="E73" s="979"/>
    </row>
    <row r="74" spans="1:5" x14ac:dyDescent="0.25">
      <c r="A74" s="979"/>
      <c r="B74" s="979"/>
      <c r="C74" s="979"/>
      <c r="D74" s="979"/>
      <c r="E74" s="979"/>
    </row>
    <row r="75" spans="1:5" x14ac:dyDescent="0.25">
      <c r="A75" s="979"/>
      <c r="B75" s="979"/>
      <c r="C75" s="979"/>
      <c r="D75" s="979"/>
      <c r="E75" s="979"/>
    </row>
    <row r="76" spans="1:5" x14ac:dyDescent="0.25">
      <c r="A76" s="979"/>
      <c r="B76" s="979"/>
      <c r="C76" s="979"/>
      <c r="D76" s="979"/>
      <c r="E76" s="979"/>
    </row>
    <row r="77" spans="1:5" x14ac:dyDescent="0.25">
      <c r="A77" s="979"/>
      <c r="B77" s="979"/>
      <c r="C77" s="979"/>
      <c r="D77" s="979"/>
      <c r="E77" s="979"/>
    </row>
    <row r="78" spans="1:5" x14ac:dyDescent="0.25">
      <c r="A78" s="979"/>
      <c r="B78" s="979"/>
      <c r="C78" s="979"/>
      <c r="D78" s="979"/>
      <c r="E78" s="979"/>
    </row>
    <row r="79" spans="1:5" x14ac:dyDescent="0.25">
      <c r="A79" s="979"/>
      <c r="B79" s="979"/>
      <c r="C79" s="979"/>
      <c r="D79" s="979"/>
      <c r="E79" s="979"/>
    </row>
    <row r="80" spans="1:5" x14ac:dyDescent="0.25">
      <c r="A80" s="979"/>
      <c r="B80" s="979"/>
      <c r="C80" s="979"/>
      <c r="D80" s="979"/>
      <c r="E80" s="979"/>
    </row>
    <row r="81" spans="1:5" x14ac:dyDescent="0.25">
      <c r="A81" s="979"/>
      <c r="B81" s="979"/>
      <c r="C81" s="979"/>
      <c r="D81" s="979"/>
      <c r="E81" s="979"/>
    </row>
    <row r="82" spans="1:5" x14ac:dyDescent="0.25">
      <c r="A82" s="979"/>
      <c r="B82" s="979"/>
      <c r="C82" s="979"/>
      <c r="D82" s="979"/>
      <c r="E82" s="979"/>
    </row>
    <row r="83" spans="1:5" x14ac:dyDescent="0.25">
      <c r="A83" s="979"/>
      <c r="B83" s="979"/>
      <c r="C83" s="979"/>
      <c r="D83" s="979"/>
      <c r="E83" s="979"/>
    </row>
    <row r="84" spans="1:5" x14ac:dyDescent="0.25">
      <c r="A84" s="979"/>
      <c r="B84" s="979"/>
      <c r="C84" s="979"/>
      <c r="D84" s="979"/>
      <c r="E84" s="979"/>
    </row>
    <row r="85" spans="1:5" x14ac:dyDescent="0.25">
      <c r="A85" s="979"/>
      <c r="B85" s="979"/>
      <c r="C85" s="979"/>
      <c r="D85" s="979"/>
      <c r="E85" s="979"/>
    </row>
    <row r="86" spans="1:5" x14ac:dyDescent="0.25">
      <c r="A86" s="979"/>
      <c r="B86" s="979"/>
      <c r="C86" s="979"/>
      <c r="D86" s="979"/>
      <c r="E86" s="979"/>
    </row>
    <row r="87" spans="1:5" x14ac:dyDescent="0.25">
      <c r="A87" s="979"/>
      <c r="B87" s="979"/>
      <c r="C87" s="979"/>
      <c r="D87" s="979"/>
      <c r="E87" s="979"/>
    </row>
    <row r="88" spans="1:5" x14ac:dyDescent="0.25">
      <c r="A88" s="979"/>
      <c r="B88" s="979"/>
      <c r="C88" s="979"/>
      <c r="D88" s="979"/>
      <c r="E88" s="979"/>
    </row>
    <row r="89" spans="1:5" x14ac:dyDescent="0.25">
      <c r="A89" s="979"/>
      <c r="B89" s="979"/>
      <c r="C89" s="979"/>
      <c r="D89" s="979"/>
      <c r="E89" s="979"/>
    </row>
    <row r="90" spans="1:5" x14ac:dyDescent="0.25">
      <c r="A90" s="966" t="s">
        <v>1004</v>
      </c>
      <c r="B90" s="966"/>
      <c r="C90" s="966"/>
      <c r="D90" s="966"/>
      <c r="E90" s="966"/>
    </row>
    <row r="91" spans="1:5" x14ac:dyDescent="0.25">
      <c r="A91" s="229" t="s">
        <v>1005</v>
      </c>
      <c r="B91" s="239" t="s">
        <v>1006</v>
      </c>
      <c r="C91" s="967" t="s">
        <v>1007</v>
      </c>
      <c r="D91" s="968"/>
      <c r="E91" s="229" t="s">
        <v>1008</v>
      </c>
    </row>
    <row r="92" spans="1:5" x14ac:dyDescent="0.25">
      <c r="A92" s="331" t="s">
        <v>1009</v>
      </c>
      <c r="B92" s="411" t="s">
        <v>1010</v>
      </c>
      <c r="C92" s="1001" t="s">
        <v>1011</v>
      </c>
      <c r="D92" s="1002"/>
      <c r="E92" s="410">
        <v>6</v>
      </c>
    </row>
    <row r="93" spans="1:5" x14ac:dyDescent="0.25">
      <c r="A93" s="331" t="s">
        <v>1012</v>
      </c>
      <c r="B93" s="411" t="s">
        <v>1013</v>
      </c>
      <c r="C93" s="1001" t="s">
        <v>1014</v>
      </c>
      <c r="D93" s="1002"/>
      <c r="E93" s="410">
        <v>6</v>
      </c>
    </row>
    <row r="94" spans="1:5" x14ac:dyDescent="0.25">
      <c r="A94" s="331" t="s">
        <v>1015</v>
      </c>
      <c r="B94" s="411" t="s">
        <v>1016</v>
      </c>
      <c r="C94" s="1001" t="s">
        <v>1014</v>
      </c>
      <c r="D94" s="1002"/>
      <c r="E94" s="410">
        <v>5</v>
      </c>
    </row>
    <row r="95" spans="1:5" x14ac:dyDescent="0.25">
      <c r="A95" s="331" t="s">
        <v>1017</v>
      </c>
      <c r="B95" s="411" t="s">
        <v>1010</v>
      </c>
      <c r="C95" s="1001" t="s">
        <v>1011</v>
      </c>
      <c r="D95" s="1002"/>
      <c r="E95" s="410">
        <v>13</v>
      </c>
    </row>
    <row r="96" spans="1:5" x14ac:dyDescent="0.25">
      <c r="A96" s="331" t="s">
        <v>1018</v>
      </c>
      <c r="B96" s="411" t="s">
        <v>1019</v>
      </c>
      <c r="C96" s="1001" t="s">
        <v>1011</v>
      </c>
      <c r="D96" s="1002"/>
      <c r="E96" s="410">
        <f>16+11</f>
        <v>27</v>
      </c>
    </row>
    <row r="97" spans="1:5" x14ac:dyDescent="0.25">
      <c r="A97" s="331" t="s">
        <v>1020</v>
      </c>
      <c r="B97" s="411" t="s">
        <v>1021</v>
      </c>
      <c r="C97" s="1001" t="s">
        <v>1022</v>
      </c>
      <c r="D97" s="1002"/>
      <c r="E97" s="410">
        <v>3</v>
      </c>
    </row>
    <row r="98" spans="1:5" x14ac:dyDescent="0.25">
      <c r="A98" s="331" t="s">
        <v>1023</v>
      </c>
      <c r="B98" s="411" t="s">
        <v>1024</v>
      </c>
      <c r="C98" s="1001" t="s">
        <v>822</v>
      </c>
      <c r="D98" s="1002"/>
      <c r="E98" s="410">
        <v>13</v>
      </c>
    </row>
    <row r="99" spans="1:5" x14ac:dyDescent="0.25">
      <c r="A99" s="331" t="s">
        <v>1025</v>
      </c>
      <c r="B99" s="411" t="s">
        <v>1026</v>
      </c>
      <c r="C99" s="1001" t="s">
        <v>822</v>
      </c>
      <c r="D99" s="1002"/>
      <c r="E99" s="410">
        <v>12</v>
      </c>
    </row>
    <row r="100" spans="1:5" x14ac:dyDescent="0.25">
      <c r="A100" s="331" t="s">
        <v>1027</v>
      </c>
      <c r="B100" s="412" t="s">
        <v>1028</v>
      </c>
      <c r="C100" s="1003" t="s">
        <v>822</v>
      </c>
      <c r="D100" s="1004"/>
      <c r="E100" s="413">
        <v>9</v>
      </c>
    </row>
    <row r="101" spans="1:5" x14ac:dyDescent="0.25">
      <c r="A101" s="331" t="s">
        <v>1029</v>
      </c>
      <c r="B101" s="412" t="s">
        <v>1030</v>
      </c>
      <c r="C101" s="1003" t="s">
        <v>1031</v>
      </c>
      <c r="D101" s="1004"/>
      <c r="E101" s="413">
        <v>1</v>
      </c>
    </row>
    <row r="102" spans="1:5" x14ac:dyDescent="0.25">
      <c r="A102" s="331" t="s">
        <v>1032</v>
      </c>
      <c r="B102" s="412" t="s">
        <v>1033</v>
      </c>
      <c r="C102" s="1003" t="s">
        <v>1034</v>
      </c>
      <c r="D102" s="1004"/>
      <c r="E102" s="413">
        <v>3</v>
      </c>
    </row>
    <row r="103" spans="1:5" x14ac:dyDescent="0.25">
      <c r="A103" s="331" t="s">
        <v>1035</v>
      </c>
      <c r="B103" s="412" t="s">
        <v>1036</v>
      </c>
      <c r="C103" s="1003" t="s">
        <v>1037</v>
      </c>
      <c r="D103" s="1004"/>
      <c r="E103" s="413">
        <v>3</v>
      </c>
    </row>
    <row r="104" spans="1:5" x14ac:dyDescent="0.25">
      <c r="A104" s="331" t="s">
        <v>1038</v>
      </c>
      <c r="B104" s="412" t="s">
        <v>1039</v>
      </c>
      <c r="C104" s="1003" t="s">
        <v>1040</v>
      </c>
      <c r="D104" s="1004"/>
      <c r="E104" s="413">
        <v>2</v>
      </c>
    </row>
    <row r="105" spans="1:5" x14ac:dyDescent="0.25">
      <c r="A105" s="331" t="s">
        <v>1041</v>
      </c>
      <c r="B105" s="412" t="s">
        <v>1042</v>
      </c>
      <c r="C105" s="1003" t="s">
        <v>1043</v>
      </c>
      <c r="D105" s="1004"/>
      <c r="E105" s="413">
        <v>2</v>
      </c>
    </row>
    <row r="106" spans="1:5" x14ac:dyDescent="0.25">
      <c r="A106" s="331" t="s">
        <v>1044</v>
      </c>
      <c r="B106" s="412" t="s">
        <v>1045</v>
      </c>
      <c r="C106" s="1003" t="s">
        <v>1046</v>
      </c>
      <c r="D106" s="1004"/>
      <c r="E106" s="413">
        <v>2</v>
      </c>
    </row>
    <row r="107" spans="1:5" x14ac:dyDescent="0.25">
      <c r="A107" s="331" t="s">
        <v>1047</v>
      </c>
      <c r="B107" s="412" t="s">
        <v>1048</v>
      </c>
      <c r="C107" s="1003" t="s">
        <v>1037</v>
      </c>
      <c r="D107" s="1004"/>
      <c r="E107" s="413">
        <v>1</v>
      </c>
    </row>
    <row r="108" spans="1:5" x14ac:dyDescent="0.25">
      <c r="A108" s="1005" t="s">
        <v>1049</v>
      </c>
      <c r="B108" s="1006"/>
      <c r="C108" s="1006"/>
      <c r="D108" s="1007"/>
      <c r="E108" s="256">
        <f>SUM(E92:E99)</f>
        <v>85</v>
      </c>
    </row>
    <row r="109" spans="1:5" x14ac:dyDescent="0.25">
      <c r="A109" s="998" t="s">
        <v>1050</v>
      </c>
      <c r="B109" s="999"/>
      <c r="C109" s="999"/>
      <c r="D109" s="1000"/>
      <c r="E109" s="258">
        <f>SUM(E100:E107)</f>
        <v>23</v>
      </c>
    </row>
    <row r="110" spans="1:5" x14ac:dyDescent="0.25">
      <c r="A110" s="995" t="s">
        <v>285</v>
      </c>
      <c r="B110" s="996"/>
      <c r="C110" s="996"/>
      <c r="D110" s="997"/>
      <c r="E110" s="342">
        <f>SUM(E92:E107)</f>
        <v>108</v>
      </c>
    </row>
    <row r="111" spans="1:5" x14ac:dyDescent="0.25">
      <c r="A111" s="974" t="s">
        <v>1051</v>
      </c>
      <c r="B111" s="975"/>
      <c r="C111" s="975"/>
      <c r="D111" s="976"/>
      <c r="E111" s="977"/>
    </row>
    <row r="112" spans="1:5" x14ac:dyDescent="0.25">
      <c r="A112" s="978" t="s">
        <v>997</v>
      </c>
      <c r="B112" s="978"/>
      <c r="C112" s="978"/>
      <c r="D112" s="978"/>
      <c r="E112" s="978"/>
    </row>
    <row r="113" spans="1:5" x14ac:dyDescent="0.25">
      <c r="A113" s="979"/>
      <c r="B113" s="979"/>
      <c r="C113" s="979"/>
      <c r="D113" s="979"/>
      <c r="E113" s="979"/>
    </row>
    <row r="114" spans="1:5" x14ac:dyDescent="0.25">
      <c r="A114" s="979"/>
      <c r="B114" s="979"/>
      <c r="C114" s="979"/>
      <c r="D114" s="979"/>
      <c r="E114" s="979"/>
    </row>
    <row r="115" spans="1:5" x14ac:dyDescent="0.25">
      <c r="A115" s="979"/>
      <c r="B115" s="979"/>
      <c r="C115" s="979"/>
      <c r="D115" s="979"/>
      <c r="E115" s="979"/>
    </row>
    <row r="116" spans="1:5" x14ac:dyDescent="0.25">
      <c r="A116" s="979"/>
      <c r="B116" s="979"/>
      <c r="C116" s="979"/>
      <c r="D116" s="979"/>
      <c r="E116" s="979"/>
    </row>
    <row r="117" spans="1:5" x14ac:dyDescent="0.25">
      <c r="A117" s="979"/>
      <c r="B117" s="979"/>
      <c r="C117" s="979"/>
      <c r="D117" s="979"/>
      <c r="E117" s="979"/>
    </row>
    <row r="118" spans="1:5" x14ac:dyDescent="0.25">
      <c r="A118" s="979"/>
      <c r="B118" s="979"/>
      <c r="C118" s="979"/>
      <c r="D118" s="979"/>
      <c r="E118" s="979"/>
    </row>
    <row r="119" spans="1:5" x14ac:dyDescent="0.25">
      <c r="A119" s="979"/>
      <c r="B119" s="979"/>
      <c r="C119" s="979"/>
      <c r="D119" s="979"/>
      <c r="E119" s="979"/>
    </row>
    <row r="120" spans="1:5" x14ac:dyDescent="0.25">
      <c r="A120" s="979"/>
      <c r="B120" s="979"/>
      <c r="C120" s="979"/>
      <c r="D120" s="979"/>
      <c r="E120" s="979"/>
    </row>
    <row r="121" spans="1:5" x14ac:dyDescent="0.25">
      <c r="A121" s="979"/>
      <c r="B121" s="979"/>
      <c r="C121" s="979"/>
      <c r="D121" s="979"/>
      <c r="E121" s="979"/>
    </row>
    <row r="122" spans="1:5" x14ac:dyDescent="0.25">
      <c r="A122" s="979"/>
      <c r="B122" s="979"/>
      <c r="C122" s="979"/>
      <c r="D122" s="979"/>
      <c r="E122" s="979"/>
    </row>
    <row r="123" spans="1:5" x14ac:dyDescent="0.25">
      <c r="A123" s="979"/>
      <c r="B123" s="979"/>
      <c r="C123" s="979"/>
      <c r="D123" s="979"/>
      <c r="E123" s="979"/>
    </row>
    <row r="124" spans="1:5" x14ac:dyDescent="0.25">
      <c r="A124" s="979"/>
      <c r="B124" s="979"/>
      <c r="C124" s="979"/>
      <c r="D124" s="979"/>
      <c r="E124" s="979"/>
    </row>
    <row r="125" spans="1:5" x14ac:dyDescent="0.25">
      <c r="A125" s="979"/>
      <c r="B125" s="979"/>
      <c r="C125" s="979"/>
      <c r="D125" s="979"/>
      <c r="E125" s="979"/>
    </row>
    <row r="126" spans="1:5" x14ac:dyDescent="0.25">
      <c r="A126" s="979"/>
      <c r="B126" s="979"/>
      <c r="C126" s="979"/>
      <c r="D126" s="979"/>
      <c r="E126" s="979"/>
    </row>
    <row r="127" spans="1:5" x14ac:dyDescent="0.25">
      <c r="A127" s="979"/>
      <c r="B127" s="979"/>
      <c r="C127" s="979"/>
      <c r="D127" s="979"/>
      <c r="E127" s="979"/>
    </row>
    <row r="128" spans="1:5" x14ac:dyDescent="0.25">
      <c r="A128" s="979"/>
      <c r="B128" s="979"/>
      <c r="C128" s="979"/>
      <c r="D128" s="979"/>
      <c r="E128" s="979"/>
    </row>
    <row r="129" spans="1:5" x14ac:dyDescent="0.25">
      <c r="A129" s="979"/>
      <c r="B129" s="979"/>
      <c r="C129" s="979"/>
      <c r="D129" s="979"/>
      <c r="E129" s="979"/>
    </row>
    <row r="130" spans="1:5" x14ac:dyDescent="0.25">
      <c r="A130" s="979"/>
      <c r="B130" s="979"/>
      <c r="C130" s="979"/>
      <c r="D130" s="979"/>
      <c r="E130" s="979"/>
    </row>
    <row r="131" spans="1:5" x14ac:dyDescent="0.25">
      <c r="A131" s="979"/>
      <c r="B131" s="979"/>
      <c r="C131" s="979"/>
      <c r="D131" s="979"/>
      <c r="E131" s="979"/>
    </row>
    <row r="132" spans="1:5" x14ac:dyDescent="0.25">
      <c r="A132" s="979"/>
      <c r="B132" s="979"/>
      <c r="C132" s="979"/>
      <c r="D132" s="979"/>
      <c r="E132" s="979"/>
    </row>
    <row r="133" spans="1:5" x14ac:dyDescent="0.25">
      <c r="A133" s="979"/>
      <c r="B133" s="979"/>
      <c r="C133" s="979"/>
      <c r="D133" s="979"/>
      <c r="E133" s="979"/>
    </row>
    <row r="134" spans="1:5" x14ac:dyDescent="0.25">
      <c r="A134" s="979"/>
      <c r="B134" s="979"/>
      <c r="C134" s="979"/>
      <c r="D134" s="979"/>
      <c r="E134" s="979"/>
    </row>
    <row r="135" spans="1:5" x14ac:dyDescent="0.25">
      <c r="A135" s="966" t="s">
        <v>1052</v>
      </c>
      <c r="B135" s="966"/>
      <c r="C135" s="966"/>
      <c r="D135" s="966"/>
      <c r="E135" s="966"/>
    </row>
    <row r="136" spans="1:5" x14ac:dyDescent="0.25">
      <c r="A136" s="229"/>
      <c r="B136" s="239"/>
      <c r="C136" s="967" t="s">
        <v>998</v>
      </c>
      <c r="D136" s="968"/>
      <c r="E136" s="229" t="s">
        <v>1003</v>
      </c>
    </row>
    <row r="137" spans="1:5" x14ac:dyDescent="0.25">
      <c r="A137" s="331"/>
      <c r="B137" s="409"/>
      <c r="C137" s="1008">
        <v>26</v>
      </c>
      <c r="D137" s="1009"/>
      <c r="E137" s="331">
        <v>26</v>
      </c>
    </row>
    <row r="138" spans="1:5" x14ac:dyDescent="0.25">
      <c r="A138" s="331"/>
      <c r="B138" s="409"/>
      <c r="C138" s="1008" t="s">
        <v>1053</v>
      </c>
      <c r="D138" s="1009"/>
      <c r="E138" s="331">
        <f>0.55*5.26</f>
        <v>2.8930000000000002</v>
      </c>
    </row>
    <row r="139" spans="1:5" x14ac:dyDescent="0.25">
      <c r="A139" s="331"/>
      <c r="B139" s="409"/>
      <c r="C139" s="1008" t="s">
        <v>1054</v>
      </c>
      <c r="D139" s="1009"/>
      <c r="E139" s="331">
        <f>21.61*4.6</f>
        <v>99.405999999999992</v>
      </c>
    </row>
    <row r="140" spans="1:5" x14ac:dyDescent="0.25">
      <c r="A140" s="230"/>
      <c r="B140" s="231"/>
      <c r="C140" s="1008" t="s">
        <v>1055</v>
      </c>
      <c r="D140" s="1009"/>
      <c r="E140" s="232">
        <f>19.6*2.01</f>
        <v>39.396000000000001</v>
      </c>
    </row>
    <row r="141" spans="1:5" x14ac:dyDescent="0.25">
      <c r="A141" s="971" t="s">
        <v>1001</v>
      </c>
      <c r="B141" s="972"/>
      <c r="C141" s="972"/>
      <c r="D141" s="973"/>
      <c r="E141" s="238">
        <f>SUM(E137:E140)</f>
        <v>167.69499999999999</v>
      </c>
    </row>
    <row r="142" spans="1:5" x14ac:dyDescent="0.25">
      <c r="A142" s="995" t="s">
        <v>285</v>
      </c>
      <c r="B142" s="996"/>
      <c r="C142" s="996"/>
      <c r="D142" s="997"/>
      <c r="E142" s="342">
        <f>E141</f>
        <v>167.69499999999999</v>
      </c>
    </row>
    <row r="143" spans="1:5" x14ac:dyDescent="0.25">
      <c r="A143" s="974" t="s">
        <v>1052</v>
      </c>
      <c r="B143" s="975"/>
      <c r="C143" s="975"/>
      <c r="D143" s="976"/>
      <c r="E143" s="977"/>
    </row>
    <row r="144" spans="1:5" x14ac:dyDescent="0.25">
      <c r="A144" s="978" t="s">
        <v>997</v>
      </c>
      <c r="B144" s="978"/>
      <c r="C144" s="978"/>
      <c r="D144" s="978"/>
      <c r="E144" s="978"/>
    </row>
    <row r="145" spans="1:5" x14ac:dyDescent="0.25">
      <c r="A145" s="979"/>
      <c r="B145" s="979"/>
      <c r="C145" s="979"/>
      <c r="D145" s="979"/>
      <c r="E145" s="979"/>
    </row>
    <row r="146" spans="1:5" x14ac:dyDescent="0.25">
      <c r="A146" s="979"/>
      <c r="B146" s="979"/>
      <c r="C146" s="979"/>
      <c r="D146" s="979"/>
      <c r="E146" s="979"/>
    </row>
    <row r="147" spans="1:5" x14ac:dyDescent="0.25">
      <c r="A147" s="979"/>
      <c r="B147" s="979"/>
      <c r="C147" s="979"/>
      <c r="D147" s="979"/>
      <c r="E147" s="979"/>
    </row>
    <row r="148" spans="1:5" x14ac:dyDescent="0.25">
      <c r="A148" s="979"/>
      <c r="B148" s="979"/>
      <c r="C148" s="979"/>
      <c r="D148" s="979"/>
      <c r="E148" s="979"/>
    </row>
    <row r="149" spans="1:5" x14ac:dyDescent="0.25">
      <c r="A149" s="979"/>
      <c r="B149" s="979"/>
      <c r="C149" s="979"/>
      <c r="D149" s="979"/>
      <c r="E149" s="979"/>
    </row>
    <row r="150" spans="1:5" x14ac:dyDescent="0.25">
      <c r="A150" s="979"/>
      <c r="B150" s="979"/>
      <c r="C150" s="979"/>
      <c r="D150" s="979"/>
      <c r="E150" s="979"/>
    </row>
    <row r="151" spans="1:5" x14ac:dyDescent="0.25">
      <c r="A151" s="979"/>
      <c r="B151" s="979"/>
      <c r="C151" s="979"/>
      <c r="D151" s="979"/>
      <c r="E151" s="979"/>
    </row>
    <row r="152" spans="1:5" x14ac:dyDescent="0.25">
      <c r="A152" s="979"/>
      <c r="B152" s="979"/>
      <c r="C152" s="979"/>
      <c r="D152" s="979"/>
      <c r="E152" s="979"/>
    </row>
    <row r="153" spans="1:5" x14ac:dyDescent="0.25">
      <c r="A153" s="979"/>
      <c r="B153" s="979"/>
      <c r="C153" s="979"/>
      <c r="D153" s="979"/>
      <c r="E153" s="979"/>
    </row>
    <row r="154" spans="1:5" x14ac:dyDescent="0.25">
      <c r="A154" s="979"/>
      <c r="B154" s="979"/>
      <c r="C154" s="979"/>
      <c r="D154" s="979"/>
      <c r="E154" s="979"/>
    </row>
    <row r="155" spans="1:5" x14ac:dyDescent="0.25">
      <c r="A155" s="979"/>
      <c r="B155" s="979"/>
      <c r="C155" s="979"/>
      <c r="D155" s="979"/>
      <c r="E155" s="979"/>
    </row>
    <row r="156" spans="1:5" x14ac:dyDescent="0.25">
      <c r="A156" s="979"/>
      <c r="B156" s="979"/>
      <c r="C156" s="979"/>
      <c r="D156" s="979"/>
      <c r="E156" s="979"/>
    </row>
    <row r="157" spans="1:5" x14ac:dyDescent="0.25">
      <c r="A157" s="979"/>
      <c r="B157" s="979"/>
      <c r="C157" s="979"/>
      <c r="D157" s="979"/>
      <c r="E157" s="979"/>
    </row>
    <row r="158" spans="1:5" x14ac:dyDescent="0.25">
      <c r="A158" s="979"/>
      <c r="B158" s="979"/>
      <c r="C158" s="979"/>
      <c r="D158" s="979"/>
      <c r="E158" s="979"/>
    </row>
    <row r="159" spans="1:5" x14ac:dyDescent="0.25">
      <c r="A159" s="979"/>
      <c r="B159" s="979"/>
      <c r="C159" s="979"/>
      <c r="D159" s="979"/>
      <c r="E159" s="979"/>
    </row>
    <row r="160" spans="1:5" x14ac:dyDescent="0.25">
      <c r="A160" s="979"/>
      <c r="B160" s="979"/>
      <c r="C160" s="979"/>
      <c r="D160" s="979"/>
      <c r="E160" s="979"/>
    </row>
    <row r="161" spans="1:5" x14ac:dyDescent="0.25">
      <c r="A161" s="979"/>
      <c r="B161" s="979"/>
      <c r="C161" s="979"/>
      <c r="D161" s="979"/>
      <c r="E161" s="979"/>
    </row>
    <row r="162" spans="1:5" x14ac:dyDescent="0.25">
      <c r="A162" s="979"/>
      <c r="B162" s="979"/>
      <c r="C162" s="979"/>
      <c r="D162" s="979"/>
      <c r="E162" s="979"/>
    </row>
    <row r="163" spans="1:5" x14ac:dyDescent="0.25">
      <c r="A163" s="979"/>
      <c r="B163" s="979"/>
      <c r="C163" s="979"/>
      <c r="D163" s="979"/>
      <c r="E163" s="979"/>
    </row>
    <row r="164" spans="1:5" x14ac:dyDescent="0.25">
      <c r="A164" s="979"/>
      <c r="B164" s="979"/>
      <c r="C164" s="979"/>
      <c r="D164" s="979"/>
      <c r="E164" s="979"/>
    </row>
    <row r="165" spans="1:5" x14ac:dyDescent="0.25">
      <c r="A165" s="979"/>
      <c r="B165" s="979"/>
      <c r="C165" s="979"/>
      <c r="D165" s="979"/>
      <c r="E165" s="979"/>
    </row>
    <row r="166" spans="1:5" x14ac:dyDescent="0.25">
      <c r="A166" s="979"/>
      <c r="B166" s="979"/>
      <c r="C166" s="979"/>
      <c r="D166" s="979"/>
      <c r="E166" s="979"/>
    </row>
    <row r="167" spans="1:5" x14ac:dyDescent="0.25">
      <c r="A167" s="966" t="s">
        <v>1052</v>
      </c>
      <c r="B167" s="966"/>
      <c r="C167" s="966"/>
      <c r="D167" s="966"/>
      <c r="E167" s="966"/>
    </row>
    <row r="168" spans="1:5" x14ac:dyDescent="0.25">
      <c r="A168" s="229"/>
      <c r="B168" s="239"/>
      <c r="C168" s="967" t="s">
        <v>998</v>
      </c>
      <c r="D168" s="968"/>
      <c r="E168" s="229" t="s">
        <v>1003</v>
      </c>
    </row>
    <row r="169" spans="1:5" x14ac:dyDescent="0.25">
      <c r="A169" s="331"/>
      <c r="B169" s="409"/>
      <c r="C169" s="1008">
        <v>26</v>
      </c>
      <c r="D169" s="1009"/>
      <c r="E169" s="331">
        <v>26</v>
      </c>
    </row>
    <row r="170" spans="1:5" x14ac:dyDescent="0.25">
      <c r="A170" s="331"/>
      <c r="B170" s="409"/>
      <c r="C170" s="1008" t="s">
        <v>1053</v>
      </c>
      <c r="D170" s="1009"/>
      <c r="E170" s="331">
        <f>0.55*5.26</f>
        <v>2.8930000000000002</v>
      </c>
    </row>
    <row r="171" spans="1:5" x14ac:dyDescent="0.25">
      <c r="A171" s="331"/>
      <c r="B171" s="409"/>
      <c r="C171" s="1008" t="s">
        <v>1054</v>
      </c>
      <c r="D171" s="1009"/>
      <c r="E171" s="331">
        <f>21.61*4.6</f>
        <v>99.405999999999992</v>
      </c>
    </row>
    <row r="172" spans="1:5" x14ac:dyDescent="0.25">
      <c r="A172" s="230"/>
      <c r="B172" s="231"/>
      <c r="C172" s="1008" t="s">
        <v>1055</v>
      </c>
      <c r="D172" s="1009"/>
      <c r="E172" s="232">
        <f>19.6*2.01</f>
        <v>39.396000000000001</v>
      </c>
    </row>
    <row r="173" spans="1:5" x14ac:dyDescent="0.25">
      <c r="A173" s="971" t="s">
        <v>1001</v>
      </c>
      <c r="B173" s="972"/>
      <c r="C173" s="972"/>
      <c r="D173" s="973"/>
      <c r="E173" s="238">
        <f>E172</f>
        <v>39.396000000000001</v>
      </c>
    </row>
    <row r="174" spans="1:5" x14ac:dyDescent="0.25">
      <c r="A174" s="995" t="s">
        <v>285</v>
      </c>
      <c r="B174" s="996"/>
      <c r="C174" s="996"/>
      <c r="D174" s="997"/>
      <c r="E174" s="342">
        <f>E173</f>
        <v>39.396000000000001</v>
      </c>
    </row>
    <row r="175" spans="1:5" x14ac:dyDescent="0.25">
      <c r="A175" s="1010"/>
      <c r="B175" s="1011"/>
      <c r="C175" s="1011"/>
      <c r="D175" s="1011"/>
      <c r="E175" s="1012"/>
    </row>
    <row r="176" spans="1:5" x14ac:dyDescent="0.25">
      <c r="A176" s="1013"/>
      <c r="B176" s="1014"/>
      <c r="C176" s="1014"/>
      <c r="D176" s="1014"/>
      <c r="E176" s="1015"/>
    </row>
    <row r="177" spans="1:5" x14ac:dyDescent="0.25">
      <c r="A177" s="1013"/>
      <c r="B177" s="1014"/>
      <c r="C177" s="1014"/>
      <c r="D177" s="1014"/>
      <c r="E177" s="1015"/>
    </row>
    <row r="178" spans="1:5" x14ac:dyDescent="0.25">
      <c r="A178" s="1013"/>
      <c r="B178" s="1014"/>
      <c r="C178" s="1014"/>
      <c r="D178" s="1014"/>
      <c r="E178" s="1015"/>
    </row>
    <row r="179" spans="1:5" x14ac:dyDescent="0.25">
      <c r="A179" s="1013"/>
      <c r="B179" s="1014"/>
      <c r="C179" s="1014"/>
      <c r="D179" s="1014"/>
      <c r="E179" s="1015"/>
    </row>
    <row r="180" spans="1:5" x14ac:dyDescent="0.25">
      <c r="A180" s="1013"/>
      <c r="B180" s="1014"/>
      <c r="C180" s="1014"/>
      <c r="D180" s="1014"/>
      <c r="E180" s="1015"/>
    </row>
    <row r="181" spans="1:5" x14ac:dyDescent="0.25">
      <c r="A181" s="1013"/>
      <c r="B181" s="1014"/>
      <c r="C181" s="1014"/>
      <c r="D181" s="1014"/>
      <c r="E181" s="1015"/>
    </row>
    <row r="182" spans="1:5" x14ac:dyDescent="0.25">
      <c r="A182" s="1013"/>
      <c r="B182" s="1014"/>
      <c r="C182" s="1014"/>
      <c r="D182" s="1014"/>
      <c r="E182" s="1015"/>
    </row>
    <row r="183" spans="1:5" x14ac:dyDescent="0.25">
      <c r="A183" s="1013"/>
      <c r="B183" s="1014"/>
      <c r="C183" s="1014"/>
      <c r="D183" s="1014"/>
      <c r="E183" s="1015"/>
    </row>
    <row r="184" spans="1:5" x14ac:dyDescent="0.25">
      <c r="A184" s="1013"/>
      <c r="B184" s="1014"/>
      <c r="C184" s="1014"/>
      <c r="D184" s="1014"/>
      <c r="E184" s="1015"/>
    </row>
    <row r="185" spans="1:5" x14ac:dyDescent="0.25">
      <c r="A185" s="1016"/>
      <c r="B185" s="1017"/>
      <c r="C185" s="1017"/>
      <c r="D185" s="1017"/>
      <c r="E185" s="1018"/>
    </row>
  </sheetData>
  <mergeCells count="68">
    <mergeCell ref="A175:E185"/>
    <mergeCell ref="C170:D170"/>
    <mergeCell ref="C171:D171"/>
    <mergeCell ref="C172:D172"/>
    <mergeCell ref="A173:D173"/>
    <mergeCell ref="A174:D174"/>
    <mergeCell ref="A144:E144"/>
    <mergeCell ref="A145:E166"/>
    <mergeCell ref="A167:E167"/>
    <mergeCell ref="C168:D168"/>
    <mergeCell ref="C169:D169"/>
    <mergeCell ref="A142:D142"/>
    <mergeCell ref="C137:D137"/>
    <mergeCell ref="C138:D138"/>
    <mergeCell ref="C139:D139"/>
    <mergeCell ref="A143:E143"/>
    <mergeCell ref="A113:E134"/>
    <mergeCell ref="A135:E135"/>
    <mergeCell ref="C136:D136"/>
    <mergeCell ref="C140:D140"/>
    <mergeCell ref="A141:D141"/>
    <mergeCell ref="A111:E111"/>
    <mergeCell ref="A112:E112"/>
    <mergeCell ref="C103:D103"/>
    <mergeCell ref="C104:D104"/>
    <mergeCell ref="C105:D105"/>
    <mergeCell ref="C106:D106"/>
    <mergeCell ref="C107:D107"/>
    <mergeCell ref="C91:D91"/>
    <mergeCell ref="A109:D109"/>
    <mergeCell ref="A110:D110"/>
    <mergeCell ref="C92:D92"/>
    <mergeCell ref="C93:D93"/>
    <mergeCell ref="C94:D94"/>
    <mergeCell ref="C95:D95"/>
    <mergeCell ref="C96:D96"/>
    <mergeCell ref="C97:D97"/>
    <mergeCell ref="C98:D98"/>
    <mergeCell ref="C99:D99"/>
    <mergeCell ref="C100:D100"/>
    <mergeCell ref="C101:D101"/>
    <mergeCell ref="C102:D102"/>
    <mergeCell ref="A108:D108"/>
    <mergeCell ref="A65:D65"/>
    <mergeCell ref="A66:E66"/>
    <mergeCell ref="A67:E67"/>
    <mergeCell ref="A68:E89"/>
    <mergeCell ref="A90:E90"/>
    <mergeCell ref="C35:D35"/>
    <mergeCell ref="A1:E2"/>
    <mergeCell ref="A3:C3"/>
    <mergeCell ref="D3:D8"/>
    <mergeCell ref="A4:C8"/>
    <mergeCell ref="E4:E5"/>
    <mergeCell ref="E7:E8"/>
    <mergeCell ref="A9:E9"/>
    <mergeCell ref="A10:E10"/>
    <mergeCell ref="A11:E32"/>
    <mergeCell ref="A33:E33"/>
    <mergeCell ref="C34:D34"/>
    <mergeCell ref="A61:E61"/>
    <mergeCell ref="C62:D62"/>
    <mergeCell ref="C63:D63"/>
    <mergeCell ref="A64:D64"/>
    <mergeCell ref="A36:D36"/>
    <mergeCell ref="A37:E37"/>
    <mergeCell ref="A38:E38"/>
    <mergeCell ref="A39:E60"/>
  </mergeCells>
  <pageMargins left="0.7" right="0.7" top="0.75" bottom="0.75" header="0.3" footer="0.3"/>
  <pageSetup paperSize="9" scale="68" orientation="portrait" horizontalDpi="4294967293"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0CB08-B382-4ACD-9B8B-29DF47911167}">
  <sheetPr>
    <tabColor theme="1" tint="0.34998626667073579"/>
    <pageSetUpPr fitToPage="1"/>
  </sheetPr>
  <dimension ref="A1:G133"/>
  <sheetViews>
    <sheetView view="pageBreakPreview" topLeftCell="A102" zoomScaleNormal="85" zoomScaleSheetLayoutView="100" workbookViewId="0">
      <selection activeCell="E110" sqref="E110"/>
    </sheetView>
  </sheetViews>
  <sheetFormatPr defaultRowHeight="15" x14ac:dyDescent="0.25"/>
  <cols>
    <col min="1" max="1" width="31.42578125" customWidth="1"/>
    <col min="2" max="2" width="18" customWidth="1"/>
    <col min="3" max="3" width="18.7109375" customWidth="1"/>
    <col min="4" max="4" width="29.5703125" customWidth="1"/>
    <col min="5" max="5" width="27.7109375" customWidth="1"/>
    <col min="7" max="7" width="8.85546875" style="138"/>
  </cols>
  <sheetData>
    <row r="1" spans="1:5" ht="15" customHeight="1" x14ac:dyDescent="0.25">
      <c r="A1" s="980" t="s">
        <v>991</v>
      </c>
      <c r="B1" s="981"/>
      <c r="C1" s="981"/>
      <c r="D1" s="981"/>
      <c r="E1" s="982"/>
    </row>
    <row r="2" spans="1:5" x14ac:dyDescent="0.25">
      <c r="A2" s="983"/>
      <c r="B2" s="984"/>
      <c r="C2" s="984"/>
      <c r="D2" s="984"/>
      <c r="E2" s="985"/>
    </row>
    <row r="3" spans="1:5" x14ac:dyDescent="0.25">
      <c r="A3" s="986" t="s">
        <v>1056</v>
      </c>
      <c r="B3" s="987"/>
      <c r="C3" s="988"/>
      <c r="D3" s="989"/>
      <c r="E3" s="228" t="s">
        <v>993</v>
      </c>
    </row>
    <row r="4" spans="1:5" ht="15" customHeight="1" x14ac:dyDescent="0.25">
      <c r="A4" s="992" t="s">
        <v>994</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52.5" customHeight="1" x14ac:dyDescent="0.25">
      <c r="A9" s="966" t="s">
        <v>1057</v>
      </c>
      <c r="B9" s="966"/>
      <c r="C9" s="966"/>
      <c r="D9" s="966"/>
      <c r="E9" s="966"/>
    </row>
    <row r="10" spans="1:5" ht="24" customHeight="1" x14ac:dyDescent="0.25">
      <c r="A10" s="967" t="s">
        <v>998</v>
      </c>
      <c r="B10" s="1019"/>
      <c r="C10" s="1019"/>
      <c r="D10" s="968"/>
      <c r="E10" s="229" t="s">
        <v>523</v>
      </c>
    </row>
    <row r="11" spans="1:5" ht="24" customHeight="1" x14ac:dyDescent="0.25">
      <c r="A11" s="967" t="s">
        <v>1806</v>
      </c>
      <c r="B11" s="1019"/>
      <c r="C11" s="1019" t="s">
        <v>1776</v>
      </c>
      <c r="D11" s="968"/>
      <c r="E11" s="229">
        <f>110*8.58*0.2</f>
        <v>188.76</v>
      </c>
    </row>
    <row r="12" spans="1:5" ht="24" customHeight="1" x14ac:dyDescent="0.25">
      <c r="A12" s="967" t="s">
        <v>1777</v>
      </c>
      <c r="B12" s="1019"/>
      <c r="C12" s="1019" t="s">
        <v>1058</v>
      </c>
      <c r="D12" s="968"/>
      <c r="E12" s="229">
        <f>116*9.38*0.2</f>
        <v>217.61600000000004</v>
      </c>
    </row>
    <row r="13" spans="1:5" ht="24" customHeight="1" x14ac:dyDescent="0.25">
      <c r="A13" s="971" t="s">
        <v>285</v>
      </c>
      <c r="B13" s="972"/>
      <c r="C13" s="972"/>
      <c r="D13" s="973"/>
      <c r="E13" s="238">
        <f>SUM(E11:E12)</f>
        <v>406.37600000000003</v>
      </c>
    </row>
    <row r="14" spans="1:5" ht="52.5" customHeight="1" x14ac:dyDescent="0.25">
      <c r="A14" s="1024" t="s">
        <v>108</v>
      </c>
      <c r="B14" s="1022"/>
      <c r="C14" s="1022"/>
      <c r="D14" s="1022"/>
      <c r="E14" s="1023"/>
    </row>
    <row r="15" spans="1:5" ht="24" customHeight="1" x14ac:dyDescent="0.25">
      <c r="A15" s="967" t="s">
        <v>998</v>
      </c>
      <c r="B15" s="1019"/>
      <c r="C15" s="1019"/>
      <c r="D15" s="968"/>
      <c r="E15" s="229" t="s">
        <v>523</v>
      </c>
    </row>
    <row r="16" spans="1:5" ht="24" customHeight="1" x14ac:dyDescent="0.25">
      <c r="A16" s="967" t="s">
        <v>1847</v>
      </c>
      <c r="B16" s="1019"/>
      <c r="C16" s="1019" t="s">
        <v>1058</v>
      </c>
      <c r="D16" s="968"/>
      <c r="E16" s="229">
        <f>399*1.4*2</f>
        <v>1117.1999999999998</v>
      </c>
    </row>
    <row r="17" spans="1:5" ht="24" customHeight="1" x14ac:dyDescent="0.25">
      <c r="A17" s="971" t="s">
        <v>285</v>
      </c>
      <c r="B17" s="972"/>
      <c r="C17" s="972"/>
      <c r="D17" s="973"/>
      <c r="E17" s="238">
        <f>SUM(E16:E16)</f>
        <v>1117.1999999999998</v>
      </c>
    </row>
    <row r="18" spans="1:5" ht="52.5" customHeight="1" x14ac:dyDescent="0.25">
      <c r="A18" s="1020" t="s">
        <v>1059</v>
      </c>
      <c r="B18" s="1021"/>
      <c r="C18" s="1021"/>
      <c r="D18" s="1022"/>
      <c r="E18" s="1023"/>
    </row>
    <row r="19" spans="1:5" ht="24" customHeight="1" x14ac:dyDescent="0.25">
      <c r="A19" s="967" t="s">
        <v>998</v>
      </c>
      <c r="B19" s="1019"/>
      <c r="C19" s="1019"/>
      <c r="D19" s="968"/>
      <c r="E19" s="229" t="s">
        <v>523</v>
      </c>
    </row>
    <row r="20" spans="1:5" ht="24" customHeight="1" x14ac:dyDescent="0.25">
      <c r="A20" s="967" t="s">
        <v>1060</v>
      </c>
      <c r="B20" s="1019"/>
      <c r="C20" s="1019" t="s">
        <v>1058</v>
      </c>
      <c r="D20" s="968"/>
      <c r="E20" s="229">
        <f>4.5*2.6*0.3</f>
        <v>3.5100000000000002</v>
      </c>
    </row>
    <row r="21" spans="1:5" ht="24" customHeight="1" x14ac:dyDescent="0.25">
      <c r="A21" s="971" t="s">
        <v>285</v>
      </c>
      <c r="B21" s="972"/>
      <c r="C21" s="972"/>
      <c r="D21" s="973"/>
      <c r="E21" s="238">
        <f>SUM(E20:E20)</f>
        <v>3.5100000000000002</v>
      </c>
    </row>
    <row r="22" spans="1:5" ht="52.5" customHeight="1" x14ac:dyDescent="0.25">
      <c r="A22" s="1020" t="s">
        <v>253</v>
      </c>
      <c r="B22" s="1021"/>
      <c r="C22" s="1021"/>
      <c r="D22" s="1022"/>
      <c r="E22" s="1023"/>
    </row>
    <row r="23" spans="1:5" ht="24" customHeight="1" x14ac:dyDescent="0.25">
      <c r="A23" s="967" t="s">
        <v>998</v>
      </c>
      <c r="B23" s="1019"/>
      <c r="C23" s="1019"/>
      <c r="D23" s="968"/>
      <c r="E23" s="229" t="s">
        <v>523</v>
      </c>
    </row>
    <row r="24" spans="1:5" ht="24" customHeight="1" x14ac:dyDescent="0.25">
      <c r="A24" s="967" t="s">
        <v>1778</v>
      </c>
      <c r="B24" s="1019"/>
      <c r="C24" s="1019" t="s">
        <v>1776</v>
      </c>
      <c r="D24" s="968"/>
      <c r="E24" s="583">
        <f>E13</f>
        <v>406.37600000000003</v>
      </c>
    </row>
    <row r="25" spans="1:5" ht="24" customHeight="1" x14ac:dyDescent="0.25">
      <c r="A25" s="971" t="s">
        <v>285</v>
      </c>
      <c r="B25" s="972"/>
      <c r="C25" s="972"/>
      <c r="D25" s="973"/>
      <c r="E25" s="238">
        <f>SUM(E24:E24)</f>
        <v>406.37600000000003</v>
      </c>
    </row>
    <row r="26" spans="1:5" ht="52.5" customHeight="1" x14ac:dyDescent="0.25">
      <c r="A26" s="1020" t="s">
        <v>1061</v>
      </c>
      <c r="B26" s="1021"/>
      <c r="C26" s="1021"/>
      <c r="D26" s="1022"/>
      <c r="E26" s="1023"/>
    </row>
    <row r="27" spans="1:5" ht="24" customHeight="1" x14ac:dyDescent="0.25">
      <c r="A27" s="967" t="s">
        <v>998</v>
      </c>
      <c r="B27" s="1019"/>
      <c r="C27" s="1019"/>
      <c r="D27" s="968"/>
      <c r="E27" s="229" t="s">
        <v>523</v>
      </c>
    </row>
    <row r="28" spans="1:5" ht="24" customHeight="1" x14ac:dyDescent="0.25">
      <c r="A28" s="967">
        <v>54.46</v>
      </c>
      <c r="B28" s="1019"/>
      <c r="C28" s="1019"/>
      <c r="D28" s="968"/>
      <c r="E28" s="229">
        <v>54.46</v>
      </c>
    </row>
    <row r="29" spans="1:5" ht="24" customHeight="1" x14ac:dyDescent="0.25">
      <c r="A29" s="971" t="s">
        <v>285</v>
      </c>
      <c r="B29" s="972"/>
      <c r="C29" s="972"/>
      <c r="D29" s="973"/>
      <c r="E29" s="238">
        <f>SUM(E28:E28)</f>
        <v>54.46</v>
      </c>
    </row>
    <row r="30" spans="1:5" ht="52.5" customHeight="1" x14ac:dyDescent="0.25">
      <c r="A30" s="1020" t="s">
        <v>1062</v>
      </c>
      <c r="B30" s="1021"/>
      <c r="C30" s="1021"/>
      <c r="D30" s="1022"/>
      <c r="E30" s="1023"/>
    </row>
    <row r="31" spans="1:5" ht="24" customHeight="1" x14ac:dyDescent="0.25">
      <c r="A31" s="967" t="s">
        <v>998</v>
      </c>
      <c r="B31" s="1019"/>
      <c r="C31" s="1019"/>
      <c r="D31" s="968"/>
      <c r="E31" s="229" t="s">
        <v>1063</v>
      </c>
    </row>
    <row r="32" spans="1:5" ht="24" customHeight="1" x14ac:dyDescent="0.25">
      <c r="A32" s="967" t="s">
        <v>1807</v>
      </c>
      <c r="B32" s="1019"/>
      <c r="C32" s="1019"/>
      <c r="D32" s="968"/>
      <c r="E32" s="229">
        <f>E25*6</f>
        <v>2438.2560000000003</v>
      </c>
    </row>
    <row r="33" spans="1:5" ht="24" customHeight="1" x14ac:dyDescent="0.25">
      <c r="A33" s="967" t="s">
        <v>1815</v>
      </c>
      <c r="B33" s="1019"/>
      <c r="C33" s="1019"/>
      <c r="D33" s="968"/>
      <c r="E33" s="229">
        <f>(116*9.38*0.2)*6</f>
        <v>1305.6960000000004</v>
      </c>
    </row>
    <row r="34" spans="1:5" ht="24" customHeight="1" x14ac:dyDescent="0.25">
      <c r="A34" s="971" t="s">
        <v>285</v>
      </c>
      <c r="B34" s="972"/>
      <c r="C34" s="972"/>
      <c r="D34" s="973"/>
      <c r="E34" s="238">
        <f>SUM(E32:E33)</f>
        <v>3743.9520000000007</v>
      </c>
    </row>
    <row r="35" spans="1:5" ht="52.5" customHeight="1" x14ac:dyDescent="0.25">
      <c r="A35" s="1020" t="s">
        <v>1064</v>
      </c>
      <c r="B35" s="1021"/>
      <c r="C35" s="1021"/>
      <c r="D35" s="1022"/>
      <c r="E35" s="1023"/>
    </row>
    <row r="36" spans="1:5" ht="24" customHeight="1" x14ac:dyDescent="0.25">
      <c r="A36" s="967" t="s">
        <v>998</v>
      </c>
      <c r="B36" s="1019"/>
      <c r="C36" s="1019"/>
      <c r="D36" s="968"/>
      <c r="E36" s="229" t="s">
        <v>680</v>
      </c>
    </row>
    <row r="37" spans="1:5" ht="24" customHeight="1" x14ac:dyDescent="0.25">
      <c r="A37" s="967" t="s">
        <v>1845</v>
      </c>
      <c r="B37" s="1019"/>
      <c r="C37" s="1019"/>
      <c r="D37" s="968"/>
      <c r="E37" s="229">
        <f>399*1.4</f>
        <v>558.59999999999991</v>
      </c>
    </row>
    <row r="38" spans="1:5" ht="24" customHeight="1" x14ac:dyDescent="0.25">
      <c r="A38" s="971" t="s">
        <v>285</v>
      </c>
      <c r="B38" s="972"/>
      <c r="C38" s="972"/>
      <c r="D38" s="973"/>
      <c r="E38" s="238">
        <f>SUM(E37:E37)</f>
        <v>558.59999999999991</v>
      </c>
    </row>
    <row r="39" spans="1:5" ht="52.5" customHeight="1" x14ac:dyDescent="0.25">
      <c r="A39" s="1020" t="s">
        <v>1065</v>
      </c>
      <c r="B39" s="1021"/>
      <c r="C39" s="1021"/>
      <c r="D39" s="1022"/>
      <c r="E39" s="1023"/>
    </row>
    <row r="40" spans="1:5" ht="24" customHeight="1" x14ac:dyDescent="0.25">
      <c r="A40" s="967" t="s">
        <v>998</v>
      </c>
      <c r="B40" s="1019"/>
      <c r="C40" s="1019"/>
      <c r="D40" s="968"/>
      <c r="E40" s="229" t="s">
        <v>523</v>
      </c>
    </row>
    <row r="41" spans="1:5" ht="24" customHeight="1" x14ac:dyDescent="0.25">
      <c r="A41" s="967" t="s">
        <v>1846</v>
      </c>
      <c r="B41" s="1019"/>
      <c r="C41" s="1019"/>
      <c r="D41" s="968"/>
      <c r="E41" s="229">
        <f>399*1.4*1</f>
        <v>558.59999999999991</v>
      </c>
    </row>
    <row r="42" spans="1:5" ht="24" customHeight="1" x14ac:dyDescent="0.25">
      <c r="A42" s="971" t="s">
        <v>285</v>
      </c>
      <c r="B42" s="972"/>
      <c r="C42" s="972"/>
      <c r="D42" s="973"/>
      <c r="E42" s="238">
        <f>SUM(E41:E41)</f>
        <v>558.59999999999991</v>
      </c>
    </row>
    <row r="43" spans="1:5" ht="52.5" customHeight="1" x14ac:dyDescent="0.25">
      <c r="A43" s="1020" t="s">
        <v>1066</v>
      </c>
      <c r="B43" s="1021"/>
      <c r="C43" s="1021"/>
      <c r="D43" s="1022"/>
      <c r="E43" s="1023"/>
    </row>
    <row r="44" spans="1:5" ht="24" customHeight="1" x14ac:dyDescent="0.25">
      <c r="A44" s="967" t="s">
        <v>998</v>
      </c>
      <c r="B44" s="1019"/>
      <c r="C44" s="1019"/>
      <c r="D44" s="968"/>
      <c r="E44" s="229" t="s">
        <v>158</v>
      </c>
    </row>
    <row r="45" spans="1:5" ht="24" customHeight="1" x14ac:dyDescent="0.25">
      <c r="A45" s="967">
        <v>53</v>
      </c>
      <c r="B45" s="1019"/>
      <c r="C45" s="1019"/>
      <c r="D45" s="968"/>
      <c r="E45" s="229">
        <v>53</v>
      </c>
    </row>
    <row r="46" spans="1:5" ht="24" customHeight="1" x14ac:dyDescent="0.25">
      <c r="A46" s="971" t="s">
        <v>285</v>
      </c>
      <c r="B46" s="972"/>
      <c r="C46" s="972"/>
      <c r="D46" s="973"/>
      <c r="E46" s="238">
        <f>SUM(E45:E45)</f>
        <v>53</v>
      </c>
    </row>
    <row r="47" spans="1:5" ht="52.5" customHeight="1" x14ac:dyDescent="0.25">
      <c r="A47" s="1020" t="s">
        <v>1779</v>
      </c>
      <c r="B47" s="1021"/>
      <c r="C47" s="1021"/>
      <c r="D47" s="1022"/>
      <c r="E47" s="1023"/>
    </row>
    <row r="48" spans="1:5" ht="24" customHeight="1" x14ac:dyDescent="0.25">
      <c r="A48" s="967" t="s">
        <v>998</v>
      </c>
      <c r="B48" s="1019"/>
      <c r="C48" s="1019"/>
      <c r="D48" s="968"/>
      <c r="E48" s="229" t="s">
        <v>158</v>
      </c>
    </row>
    <row r="49" spans="1:5" ht="24" customHeight="1" x14ac:dyDescent="0.25">
      <c r="A49" s="967">
        <v>60</v>
      </c>
      <c r="B49" s="1019"/>
      <c r="C49" s="1019"/>
      <c r="D49" s="968"/>
      <c r="E49" s="229">
        <v>60</v>
      </c>
    </row>
    <row r="50" spans="1:5" ht="24" customHeight="1" x14ac:dyDescent="0.25">
      <c r="A50" s="971" t="s">
        <v>285</v>
      </c>
      <c r="B50" s="972"/>
      <c r="C50" s="972"/>
      <c r="D50" s="973"/>
      <c r="E50" s="238">
        <f>SUM(E49:E49)</f>
        <v>60</v>
      </c>
    </row>
    <row r="51" spans="1:5" ht="52.5" customHeight="1" x14ac:dyDescent="0.25">
      <c r="A51" s="1020" t="s">
        <v>1067</v>
      </c>
      <c r="B51" s="1021"/>
      <c r="C51" s="1021"/>
      <c r="D51" s="1022"/>
      <c r="E51" s="1023"/>
    </row>
    <row r="52" spans="1:5" ht="24" customHeight="1" x14ac:dyDescent="0.25">
      <c r="A52" s="967" t="s">
        <v>998</v>
      </c>
      <c r="B52" s="1019"/>
      <c r="C52" s="1019"/>
      <c r="D52" s="968"/>
      <c r="E52" s="229" t="s">
        <v>158</v>
      </c>
    </row>
    <row r="53" spans="1:5" ht="24" customHeight="1" x14ac:dyDescent="0.25">
      <c r="A53" s="967" t="s">
        <v>1808</v>
      </c>
      <c r="B53" s="1019"/>
      <c r="C53" s="1019"/>
      <c r="D53" s="968"/>
      <c r="E53" s="229">
        <f>30+38+40+36+20+20+20+30+20+22+10</f>
        <v>286</v>
      </c>
    </row>
    <row r="54" spans="1:5" ht="24" customHeight="1" x14ac:dyDescent="0.25">
      <c r="A54" s="971" t="s">
        <v>285</v>
      </c>
      <c r="B54" s="972"/>
      <c r="C54" s="972"/>
      <c r="D54" s="973"/>
      <c r="E54" s="238">
        <f>SUM(E53:E53)</f>
        <v>286</v>
      </c>
    </row>
    <row r="55" spans="1:5" ht="52.5" customHeight="1" x14ac:dyDescent="0.25">
      <c r="A55" s="1020" t="s">
        <v>1068</v>
      </c>
      <c r="B55" s="1021"/>
      <c r="C55" s="1021"/>
      <c r="D55" s="1022"/>
      <c r="E55" s="1023"/>
    </row>
    <row r="56" spans="1:5" ht="24" customHeight="1" x14ac:dyDescent="0.25">
      <c r="A56" s="967" t="s">
        <v>998</v>
      </c>
      <c r="B56" s="1019"/>
      <c r="C56" s="1019"/>
      <c r="D56" s="968"/>
      <c r="E56" s="229" t="s">
        <v>157</v>
      </c>
    </row>
    <row r="57" spans="1:5" ht="24" customHeight="1" x14ac:dyDescent="0.25">
      <c r="A57" s="967">
        <v>12</v>
      </c>
      <c r="B57" s="1019"/>
      <c r="C57" s="1019"/>
      <c r="D57" s="968"/>
      <c r="E57" s="229">
        <v>12</v>
      </c>
    </row>
    <row r="58" spans="1:5" ht="24" customHeight="1" x14ac:dyDescent="0.25">
      <c r="A58" s="971" t="s">
        <v>285</v>
      </c>
      <c r="B58" s="972"/>
      <c r="C58" s="972"/>
      <c r="D58" s="973"/>
      <c r="E58" s="238">
        <f>SUM(E57:E57)</f>
        <v>12</v>
      </c>
    </row>
    <row r="59" spans="1:5" ht="52.5" customHeight="1" x14ac:dyDescent="0.25">
      <c r="A59" s="1020" t="s">
        <v>1069</v>
      </c>
      <c r="B59" s="1021"/>
      <c r="C59" s="1021"/>
      <c r="D59" s="1022"/>
      <c r="E59" s="1023"/>
    </row>
    <row r="60" spans="1:5" ht="24" customHeight="1" x14ac:dyDescent="0.25">
      <c r="A60" s="967" t="s">
        <v>998</v>
      </c>
      <c r="B60" s="1019"/>
      <c r="C60" s="1019"/>
      <c r="D60" s="968"/>
      <c r="E60" s="229" t="s">
        <v>157</v>
      </c>
    </row>
    <row r="61" spans="1:5" ht="24" customHeight="1" x14ac:dyDescent="0.25">
      <c r="A61" s="967">
        <v>20</v>
      </c>
      <c r="B61" s="1019"/>
      <c r="C61" s="1019"/>
      <c r="D61" s="968"/>
      <c r="E61" s="229">
        <v>20</v>
      </c>
    </row>
    <row r="62" spans="1:5" ht="24" customHeight="1" x14ac:dyDescent="0.25">
      <c r="A62" s="971" t="s">
        <v>285</v>
      </c>
      <c r="B62" s="972"/>
      <c r="C62" s="972"/>
      <c r="D62" s="973"/>
      <c r="E62" s="238">
        <f>SUM(E61:E61)</f>
        <v>20</v>
      </c>
    </row>
    <row r="63" spans="1:5" ht="52.5" customHeight="1" x14ac:dyDescent="0.25">
      <c r="A63" s="1020" t="s">
        <v>1070</v>
      </c>
      <c r="B63" s="1021"/>
      <c r="C63" s="1021"/>
      <c r="D63" s="1022"/>
      <c r="E63" s="1023"/>
    </row>
    <row r="64" spans="1:5" ht="24" customHeight="1" x14ac:dyDescent="0.25">
      <c r="A64" s="967" t="s">
        <v>998</v>
      </c>
      <c r="B64" s="1019"/>
      <c r="C64" s="1019"/>
      <c r="D64" s="968"/>
      <c r="E64" s="229" t="s">
        <v>157</v>
      </c>
    </row>
    <row r="65" spans="1:5" ht="24" customHeight="1" x14ac:dyDescent="0.25">
      <c r="A65" s="967">
        <v>20</v>
      </c>
      <c r="B65" s="1019"/>
      <c r="C65" s="1019"/>
      <c r="D65" s="968"/>
      <c r="E65" s="229">
        <v>20</v>
      </c>
    </row>
    <row r="66" spans="1:5" ht="24" customHeight="1" x14ac:dyDescent="0.25">
      <c r="A66" s="971" t="s">
        <v>285</v>
      </c>
      <c r="B66" s="972"/>
      <c r="C66" s="972"/>
      <c r="D66" s="973"/>
      <c r="E66" s="238">
        <f>SUM(E65:E65)</f>
        <v>20</v>
      </c>
    </row>
    <row r="67" spans="1:5" ht="52.5" customHeight="1" x14ac:dyDescent="0.25">
      <c r="A67" s="1020" t="s">
        <v>1071</v>
      </c>
      <c r="B67" s="1021"/>
      <c r="C67" s="1021"/>
      <c r="D67" s="1022"/>
      <c r="E67" s="1023"/>
    </row>
    <row r="68" spans="1:5" ht="24" customHeight="1" x14ac:dyDescent="0.25">
      <c r="A68" s="967" t="s">
        <v>998</v>
      </c>
      <c r="B68" s="1019"/>
      <c r="C68" s="1019"/>
      <c r="D68" s="968"/>
      <c r="E68" s="229" t="s">
        <v>680</v>
      </c>
    </row>
    <row r="69" spans="1:5" ht="24" customHeight="1" x14ac:dyDescent="0.25">
      <c r="A69" s="967" t="s">
        <v>1072</v>
      </c>
      <c r="B69" s="1019"/>
      <c r="C69" s="1019"/>
      <c r="D69" s="968"/>
      <c r="E69" s="229">
        <f>13.55*2.2</f>
        <v>29.810000000000002</v>
      </c>
    </row>
    <row r="70" spans="1:5" ht="24" customHeight="1" x14ac:dyDescent="0.25">
      <c r="A70" s="971" t="s">
        <v>285</v>
      </c>
      <c r="B70" s="972"/>
      <c r="C70" s="972"/>
      <c r="D70" s="973"/>
      <c r="E70" s="238">
        <f>SUM(E69:E69)</f>
        <v>29.810000000000002</v>
      </c>
    </row>
    <row r="71" spans="1:5" ht="52.5" customHeight="1" x14ac:dyDescent="0.25">
      <c r="A71" s="1020" t="s">
        <v>1073</v>
      </c>
      <c r="B71" s="1021"/>
      <c r="C71" s="1021"/>
      <c r="D71" s="1022"/>
      <c r="E71" s="1023"/>
    </row>
    <row r="72" spans="1:5" ht="24" customHeight="1" x14ac:dyDescent="0.25">
      <c r="A72" s="967" t="s">
        <v>998</v>
      </c>
      <c r="B72" s="1019"/>
      <c r="C72" s="1019"/>
      <c r="D72" s="968"/>
      <c r="E72" s="229" t="s">
        <v>360</v>
      </c>
    </row>
    <row r="73" spans="1:5" ht="24" customHeight="1" x14ac:dyDescent="0.25">
      <c r="A73" s="967" t="s">
        <v>1074</v>
      </c>
      <c r="B73" s="1019"/>
      <c r="C73" s="1019"/>
      <c r="D73" s="968"/>
      <c r="E73" s="229">
        <f>3.68*2</f>
        <v>7.36</v>
      </c>
    </row>
    <row r="74" spans="1:5" ht="24" customHeight="1" x14ac:dyDescent="0.25">
      <c r="A74" s="971" t="s">
        <v>285</v>
      </c>
      <c r="B74" s="972"/>
      <c r="C74" s="972"/>
      <c r="D74" s="973"/>
      <c r="E74" s="238">
        <f>SUM(E73:E73)</f>
        <v>7.36</v>
      </c>
    </row>
    <row r="75" spans="1:5" ht="52.5" customHeight="1" x14ac:dyDescent="0.25">
      <c r="A75" s="1020" t="s">
        <v>1075</v>
      </c>
      <c r="B75" s="1021"/>
      <c r="C75" s="1021"/>
      <c r="D75" s="1022"/>
      <c r="E75" s="1023"/>
    </row>
    <row r="76" spans="1:5" ht="24" customHeight="1" x14ac:dyDescent="0.25">
      <c r="A76" s="967" t="s">
        <v>998</v>
      </c>
      <c r="B76" s="1019"/>
      <c r="C76" s="1019"/>
      <c r="D76" s="968"/>
      <c r="E76" s="229" t="s">
        <v>157</v>
      </c>
    </row>
    <row r="77" spans="1:5" ht="24" customHeight="1" x14ac:dyDescent="0.25">
      <c r="A77" s="967">
        <v>1</v>
      </c>
      <c r="B77" s="1019"/>
      <c r="C77" s="1019"/>
      <c r="D77" s="968"/>
      <c r="E77" s="229">
        <v>1</v>
      </c>
    </row>
    <row r="78" spans="1:5" ht="24" customHeight="1" x14ac:dyDescent="0.25">
      <c r="A78" s="971" t="s">
        <v>285</v>
      </c>
      <c r="B78" s="972"/>
      <c r="C78" s="972"/>
      <c r="D78" s="973"/>
      <c r="E78" s="238">
        <f>SUM(E77:E77)</f>
        <v>1</v>
      </c>
    </row>
    <row r="79" spans="1:5" ht="52.5" customHeight="1" x14ac:dyDescent="0.25">
      <c r="A79" s="1020" t="s">
        <v>1076</v>
      </c>
      <c r="B79" s="1021"/>
      <c r="C79" s="1021"/>
      <c r="D79" s="1022"/>
      <c r="E79" s="1023"/>
    </row>
    <row r="80" spans="1:5" ht="24" customHeight="1" x14ac:dyDescent="0.25">
      <c r="A80" s="967" t="s">
        <v>998</v>
      </c>
      <c r="B80" s="1019"/>
      <c r="C80" s="1019"/>
      <c r="D80" s="968"/>
      <c r="E80" s="229" t="s">
        <v>360</v>
      </c>
    </row>
    <row r="81" spans="1:5" ht="24" customHeight="1" x14ac:dyDescent="0.25">
      <c r="A81" s="967" t="s">
        <v>1780</v>
      </c>
      <c r="B81" s="1019"/>
      <c r="C81" s="1019"/>
      <c r="D81" s="968"/>
      <c r="E81" s="229">
        <f>2.4*2.4*0.2+5*5*0.5</f>
        <v>13.651999999999999</v>
      </c>
    </row>
    <row r="82" spans="1:5" ht="24" customHeight="1" x14ac:dyDescent="0.25">
      <c r="A82" s="971" t="s">
        <v>285</v>
      </c>
      <c r="B82" s="972"/>
      <c r="C82" s="972"/>
      <c r="D82" s="973"/>
      <c r="E82" s="238">
        <f>SUM(E81:E81)</f>
        <v>13.651999999999999</v>
      </c>
    </row>
    <row r="83" spans="1:5" ht="52.5" customHeight="1" x14ac:dyDescent="0.25">
      <c r="A83" s="1020" t="s">
        <v>1077</v>
      </c>
      <c r="B83" s="1021"/>
      <c r="C83" s="1021"/>
      <c r="D83" s="1022"/>
      <c r="E83" s="1023"/>
    </row>
    <row r="84" spans="1:5" ht="24" customHeight="1" x14ac:dyDescent="0.25">
      <c r="A84" s="967" t="s">
        <v>998</v>
      </c>
      <c r="B84" s="1019"/>
      <c r="C84" s="1019"/>
      <c r="D84" s="968"/>
      <c r="E84" s="229" t="s">
        <v>10</v>
      </c>
    </row>
    <row r="85" spans="1:5" ht="24" customHeight="1" x14ac:dyDescent="0.25">
      <c r="A85" s="967">
        <v>140.4</v>
      </c>
      <c r="B85" s="1019"/>
      <c r="C85" s="1019"/>
      <c r="D85" s="968"/>
      <c r="E85" s="229">
        <v>140.4</v>
      </c>
    </row>
    <row r="86" spans="1:5" ht="24" customHeight="1" x14ac:dyDescent="0.25">
      <c r="A86" s="971" t="s">
        <v>285</v>
      </c>
      <c r="B86" s="972"/>
      <c r="C86" s="972"/>
      <c r="D86" s="973"/>
      <c r="E86" s="238">
        <f>SUM(E85:E85)</f>
        <v>140.4</v>
      </c>
    </row>
    <row r="87" spans="1:5" ht="52.5" customHeight="1" x14ac:dyDescent="0.25">
      <c r="A87" s="1020" t="s">
        <v>1078</v>
      </c>
      <c r="B87" s="1021"/>
      <c r="C87" s="1021"/>
      <c r="D87" s="1022"/>
      <c r="E87" s="1023"/>
    </row>
    <row r="88" spans="1:5" ht="24" customHeight="1" x14ac:dyDescent="0.25">
      <c r="A88" s="967" t="s">
        <v>998</v>
      </c>
      <c r="B88" s="1019"/>
      <c r="C88" s="1019"/>
      <c r="D88" s="968"/>
      <c r="E88" s="229" t="s">
        <v>10</v>
      </c>
    </row>
    <row r="89" spans="1:5" ht="24" customHeight="1" x14ac:dyDescent="0.25">
      <c r="A89" s="967">
        <v>44.1</v>
      </c>
      <c r="B89" s="1019"/>
      <c r="C89" s="1019"/>
      <c r="D89" s="968"/>
      <c r="E89" s="229">
        <v>44.1</v>
      </c>
    </row>
    <row r="90" spans="1:5" ht="24" customHeight="1" x14ac:dyDescent="0.25">
      <c r="A90" s="971" t="s">
        <v>285</v>
      </c>
      <c r="B90" s="972"/>
      <c r="C90" s="972"/>
      <c r="D90" s="973"/>
      <c r="E90" s="238">
        <f>SUM(E89:E89)</f>
        <v>44.1</v>
      </c>
    </row>
    <row r="91" spans="1:5" ht="52.5" customHeight="1" x14ac:dyDescent="0.25">
      <c r="A91" s="1020" t="s">
        <v>1079</v>
      </c>
      <c r="B91" s="1021"/>
      <c r="C91" s="1021"/>
      <c r="D91" s="1022"/>
      <c r="E91" s="1023"/>
    </row>
    <row r="92" spans="1:5" ht="24" customHeight="1" x14ac:dyDescent="0.25">
      <c r="A92" s="967" t="s">
        <v>998</v>
      </c>
      <c r="B92" s="1019"/>
      <c r="C92" s="1019"/>
      <c r="D92" s="968"/>
      <c r="E92" s="229" t="s">
        <v>540</v>
      </c>
    </row>
    <row r="93" spans="1:5" ht="24" customHeight="1" x14ac:dyDescent="0.25">
      <c r="A93" s="967">
        <v>70.16</v>
      </c>
      <c r="B93" s="1019"/>
      <c r="C93" s="1019"/>
      <c r="D93" s="968"/>
      <c r="E93" s="229">
        <v>70.16</v>
      </c>
    </row>
    <row r="94" spans="1:5" ht="24" customHeight="1" x14ac:dyDescent="0.25">
      <c r="A94" s="971" t="s">
        <v>285</v>
      </c>
      <c r="B94" s="972"/>
      <c r="C94" s="972"/>
      <c r="D94" s="973"/>
      <c r="E94" s="238">
        <f>SUM(E93:E93)</f>
        <v>70.16</v>
      </c>
    </row>
    <row r="95" spans="1:5" ht="52.5" customHeight="1" x14ac:dyDescent="0.25">
      <c r="A95" s="1020" t="s">
        <v>1080</v>
      </c>
      <c r="B95" s="1021"/>
      <c r="C95" s="1021"/>
      <c r="D95" s="1022"/>
      <c r="E95" s="1023"/>
    </row>
    <row r="96" spans="1:5" ht="24" customHeight="1" x14ac:dyDescent="0.25">
      <c r="A96" s="967" t="s">
        <v>998</v>
      </c>
      <c r="B96" s="1019"/>
      <c r="C96" s="1019"/>
      <c r="D96" s="968"/>
      <c r="E96" s="229" t="s">
        <v>540</v>
      </c>
    </row>
    <row r="97" spans="1:5" ht="24" customHeight="1" x14ac:dyDescent="0.25">
      <c r="A97" s="967">
        <v>19.3</v>
      </c>
      <c r="B97" s="1019"/>
      <c r="C97" s="1019"/>
      <c r="D97" s="968"/>
      <c r="E97" s="229">
        <v>19.3</v>
      </c>
    </row>
    <row r="98" spans="1:5" ht="24" customHeight="1" x14ac:dyDescent="0.25">
      <c r="A98" s="971" t="s">
        <v>285</v>
      </c>
      <c r="B98" s="972"/>
      <c r="C98" s="972"/>
      <c r="D98" s="973"/>
      <c r="E98" s="238">
        <f>SUM(E97:E97)</f>
        <v>19.3</v>
      </c>
    </row>
    <row r="99" spans="1:5" ht="52.5" customHeight="1" x14ac:dyDescent="0.25">
      <c r="A99" s="1020" t="s">
        <v>1081</v>
      </c>
      <c r="B99" s="1021"/>
      <c r="C99" s="1021"/>
      <c r="D99" s="1022"/>
      <c r="E99" s="1023"/>
    </row>
    <row r="100" spans="1:5" ht="24" customHeight="1" x14ac:dyDescent="0.25">
      <c r="A100" s="967" t="s">
        <v>998</v>
      </c>
      <c r="B100" s="1019"/>
      <c r="C100" s="1019"/>
      <c r="D100" s="968"/>
      <c r="E100" s="229" t="s">
        <v>540</v>
      </c>
    </row>
    <row r="101" spans="1:5" ht="24" customHeight="1" x14ac:dyDescent="0.25">
      <c r="A101" s="967">
        <v>58.46</v>
      </c>
      <c r="B101" s="1019"/>
      <c r="C101" s="1019"/>
      <c r="D101" s="968"/>
      <c r="E101" s="229">
        <v>58.46</v>
      </c>
    </row>
    <row r="102" spans="1:5" ht="24" customHeight="1" x14ac:dyDescent="0.25">
      <c r="A102" s="971" t="s">
        <v>285</v>
      </c>
      <c r="B102" s="972"/>
      <c r="C102" s="972"/>
      <c r="D102" s="973"/>
      <c r="E102" s="238">
        <f>SUM(E101:E101)</f>
        <v>58.46</v>
      </c>
    </row>
    <row r="103" spans="1:5" ht="52.5" customHeight="1" x14ac:dyDescent="0.25">
      <c r="A103" s="1020" t="s">
        <v>1082</v>
      </c>
      <c r="B103" s="1021"/>
      <c r="C103" s="1021"/>
      <c r="D103" s="1022"/>
      <c r="E103" s="1023"/>
    </row>
    <row r="104" spans="1:5" ht="24" customHeight="1" x14ac:dyDescent="0.25">
      <c r="A104" s="967" t="s">
        <v>998</v>
      </c>
      <c r="B104" s="1019"/>
      <c r="C104" s="1019"/>
      <c r="D104" s="968"/>
      <c r="E104" s="229" t="s">
        <v>540</v>
      </c>
    </row>
    <row r="105" spans="1:5" ht="24" customHeight="1" x14ac:dyDescent="0.25">
      <c r="A105" s="967" t="s">
        <v>1781</v>
      </c>
      <c r="B105" s="1019"/>
      <c r="C105" s="1019"/>
      <c r="D105" s="968"/>
      <c r="E105" s="229">
        <f>110*8.58+116*9.38</f>
        <v>2031.88</v>
      </c>
    </row>
    <row r="106" spans="1:5" ht="24" customHeight="1" x14ac:dyDescent="0.25">
      <c r="A106" s="971" t="s">
        <v>285</v>
      </c>
      <c r="B106" s="972"/>
      <c r="C106" s="972"/>
      <c r="D106" s="973"/>
      <c r="E106" s="238">
        <f>SUM(E105:E105)</f>
        <v>2031.88</v>
      </c>
    </row>
    <row r="107" spans="1:5" ht="52.5" customHeight="1" x14ac:dyDescent="0.25">
      <c r="A107" s="1020" t="s">
        <v>1083</v>
      </c>
      <c r="B107" s="1021"/>
      <c r="C107" s="1021"/>
      <c r="D107" s="1022"/>
      <c r="E107" s="1023"/>
    </row>
    <row r="108" spans="1:5" ht="24" customHeight="1" x14ac:dyDescent="0.25">
      <c r="A108" s="967" t="s">
        <v>998</v>
      </c>
      <c r="B108" s="1019"/>
      <c r="C108" s="1019"/>
      <c r="D108" s="968"/>
      <c r="E108" s="229" t="s">
        <v>360</v>
      </c>
    </row>
    <row r="109" spans="1:5" ht="24" customHeight="1" x14ac:dyDescent="0.25">
      <c r="A109" s="967" t="s">
        <v>1782</v>
      </c>
      <c r="B109" s="1019"/>
      <c r="C109" s="1019"/>
      <c r="D109" s="968"/>
      <c r="E109" s="229">
        <f>110*8.58*0.2+116*9.38*0.2</f>
        <v>406.37600000000003</v>
      </c>
    </row>
    <row r="110" spans="1:5" ht="24" customHeight="1" x14ac:dyDescent="0.25">
      <c r="A110" s="971" t="s">
        <v>285</v>
      </c>
      <c r="B110" s="972"/>
      <c r="C110" s="972"/>
      <c r="D110" s="973"/>
      <c r="E110" s="238">
        <f>SUM(E109:E109)</f>
        <v>406.37600000000003</v>
      </c>
    </row>
    <row r="111" spans="1:5" ht="52.5" customHeight="1" x14ac:dyDescent="0.25">
      <c r="A111" s="1020" t="s">
        <v>1084</v>
      </c>
      <c r="B111" s="1021"/>
      <c r="C111" s="1021"/>
      <c r="D111" s="1022"/>
      <c r="E111" s="1023"/>
    </row>
    <row r="112" spans="1:5" ht="24" customHeight="1" x14ac:dyDescent="0.25">
      <c r="A112" s="967" t="s">
        <v>998</v>
      </c>
      <c r="B112" s="1019"/>
      <c r="C112" s="1019"/>
      <c r="D112" s="968"/>
      <c r="E112" s="229" t="s">
        <v>540</v>
      </c>
    </row>
    <row r="113" spans="1:5" ht="24" customHeight="1" x14ac:dyDescent="0.25">
      <c r="A113" s="967" t="s">
        <v>1783</v>
      </c>
      <c r="B113" s="1019"/>
      <c r="C113" s="1019"/>
      <c r="D113" s="968"/>
      <c r="E113" s="229">
        <f>110*8.58</f>
        <v>943.8</v>
      </c>
    </row>
    <row r="114" spans="1:5" ht="24" customHeight="1" x14ac:dyDescent="0.25">
      <c r="A114" s="971" t="s">
        <v>285</v>
      </c>
      <c r="B114" s="972"/>
      <c r="C114" s="972"/>
      <c r="D114" s="973"/>
      <c r="E114" s="238">
        <f>SUM(E113:E113)</f>
        <v>943.8</v>
      </c>
    </row>
    <row r="115" spans="1:5" ht="52.5" customHeight="1" x14ac:dyDescent="0.25">
      <c r="A115" s="1020" t="s">
        <v>1084</v>
      </c>
      <c r="B115" s="1021"/>
      <c r="C115" s="1021"/>
      <c r="D115" s="1022"/>
      <c r="E115" s="1023"/>
    </row>
    <row r="116" spans="1:5" ht="24" customHeight="1" x14ac:dyDescent="0.25">
      <c r="A116" s="967" t="s">
        <v>998</v>
      </c>
      <c r="B116" s="1019"/>
      <c r="C116" s="1019"/>
      <c r="D116" s="968"/>
      <c r="E116" s="229" t="s">
        <v>540</v>
      </c>
    </row>
    <row r="117" spans="1:5" ht="24" customHeight="1" x14ac:dyDescent="0.25">
      <c r="A117" s="967" t="s">
        <v>1784</v>
      </c>
      <c r="B117" s="1019"/>
      <c r="C117" s="1019"/>
      <c r="D117" s="968"/>
      <c r="E117" s="229">
        <f>116*9.38</f>
        <v>1088.0800000000002</v>
      </c>
    </row>
    <row r="118" spans="1:5" ht="24" customHeight="1" x14ac:dyDescent="0.25">
      <c r="A118" s="971" t="s">
        <v>285</v>
      </c>
      <c r="B118" s="972"/>
      <c r="C118" s="972"/>
      <c r="D118" s="973"/>
      <c r="E118" s="238">
        <f>SUM(E117:E117)</f>
        <v>1088.0800000000002</v>
      </c>
    </row>
    <row r="119" spans="1:5" ht="52.5" customHeight="1" x14ac:dyDescent="0.25">
      <c r="A119" s="1020" t="s">
        <v>1809</v>
      </c>
      <c r="B119" s="1021"/>
      <c r="C119" s="1021"/>
      <c r="D119" s="1022"/>
      <c r="E119" s="1023"/>
    </row>
    <row r="120" spans="1:5" ht="24" customHeight="1" x14ac:dyDescent="0.25">
      <c r="A120" s="967" t="s">
        <v>998</v>
      </c>
      <c r="B120" s="1019"/>
      <c r="C120" s="1019"/>
      <c r="D120" s="968"/>
      <c r="E120" s="229" t="s">
        <v>110</v>
      </c>
    </row>
    <row r="121" spans="1:5" ht="24" customHeight="1" x14ac:dyDescent="0.25">
      <c r="A121" s="967" t="s">
        <v>1810</v>
      </c>
      <c r="B121" s="1019"/>
      <c r="C121" s="1019"/>
      <c r="D121" s="968"/>
      <c r="E121" s="229">
        <f>110*8.58*0.12*1.7*310</f>
        <v>59685.911999999989</v>
      </c>
    </row>
    <row r="122" spans="1:5" ht="24" customHeight="1" x14ac:dyDescent="0.25">
      <c r="A122" s="971" t="s">
        <v>285</v>
      </c>
      <c r="B122" s="972"/>
      <c r="C122" s="972"/>
      <c r="D122" s="973"/>
      <c r="E122" s="238">
        <f>SUM(E121:E121)</f>
        <v>59685.911999999989</v>
      </c>
    </row>
    <row r="123" spans="1:5" x14ac:dyDescent="0.25">
      <c r="A123" s="1010"/>
      <c r="B123" s="1011"/>
      <c r="C123" s="1011"/>
      <c r="D123" s="1011"/>
      <c r="E123" s="1012"/>
    </row>
    <row r="124" spans="1:5" x14ac:dyDescent="0.25">
      <c r="A124" s="1013"/>
      <c r="B124" s="1014"/>
      <c r="C124" s="1014"/>
      <c r="D124" s="1014"/>
      <c r="E124" s="1015"/>
    </row>
    <row r="125" spans="1:5" x14ac:dyDescent="0.25">
      <c r="A125" s="1013"/>
      <c r="B125" s="1014"/>
      <c r="C125" s="1014"/>
      <c r="D125" s="1014"/>
      <c r="E125" s="1015"/>
    </row>
    <row r="126" spans="1:5" x14ac:dyDescent="0.25">
      <c r="A126" s="1013"/>
      <c r="B126" s="1014"/>
      <c r="C126" s="1014"/>
      <c r="D126" s="1014"/>
      <c r="E126" s="1015"/>
    </row>
    <row r="127" spans="1:5" x14ac:dyDescent="0.25">
      <c r="A127" s="1013"/>
      <c r="B127" s="1014"/>
      <c r="C127" s="1014"/>
      <c r="D127" s="1014"/>
      <c r="E127" s="1015"/>
    </row>
    <row r="128" spans="1:5" x14ac:dyDescent="0.25">
      <c r="A128" s="1013"/>
      <c r="B128" s="1014"/>
      <c r="C128" s="1014"/>
      <c r="D128" s="1014"/>
      <c r="E128" s="1015"/>
    </row>
    <row r="129" spans="1:5" x14ac:dyDescent="0.25">
      <c r="A129" s="1013"/>
      <c r="B129" s="1014"/>
      <c r="C129" s="1014"/>
      <c r="D129" s="1014"/>
      <c r="E129" s="1015"/>
    </row>
    <row r="130" spans="1:5" x14ac:dyDescent="0.25">
      <c r="A130" s="1013"/>
      <c r="B130" s="1014"/>
      <c r="C130" s="1014"/>
      <c r="D130" s="1014"/>
      <c r="E130" s="1015"/>
    </row>
    <row r="131" spans="1:5" x14ac:dyDescent="0.25">
      <c r="A131" s="1013"/>
      <c r="B131" s="1014"/>
      <c r="C131" s="1014"/>
      <c r="D131" s="1014"/>
      <c r="E131" s="1015"/>
    </row>
    <row r="132" spans="1:5" x14ac:dyDescent="0.25">
      <c r="A132" s="1013"/>
      <c r="B132" s="1014"/>
      <c r="C132" s="1014"/>
      <c r="D132" s="1014"/>
      <c r="E132" s="1015"/>
    </row>
    <row r="133" spans="1:5" x14ac:dyDescent="0.25">
      <c r="A133" s="1016"/>
      <c r="B133" s="1017"/>
      <c r="C133" s="1017"/>
      <c r="D133" s="1017"/>
      <c r="E133" s="1018"/>
    </row>
  </sheetData>
  <mergeCells count="121">
    <mergeCell ref="A119:E119"/>
    <mergeCell ref="A120:D120"/>
    <mergeCell ref="A121:D121"/>
    <mergeCell ref="A122:D122"/>
    <mergeCell ref="A116:D116"/>
    <mergeCell ref="A117:D117"/>
    <mergeCell ref="A118:D118"/>
    <mergeCell ref="A111:E111"/>
    <mergeCell ref="A112:D112"/>
    <mergeCell ref="A113:D113"/>
    <mergeCell ref="A114:D114"/>
    <mergeCell ref="A115:E115"/>
    <mergeCell ref="A106:D106"/>
    <mergeCell ref="A107:E107"/>
    <mergeCell ref="A108:D108"/>
    <mergeCell ref="A109:D109"/>
    <mergeCell ref="A110:D110"/>
    <mergeCell ref="A101:D101"/>
    <mergeCell ref="A102:D102"/>
    <mergeCell ref="A103:E103"/>
    <mergeCell ref="A104:D104"/>
    <mergeCell ref="A105:D105"/>
    <mergeCell ref="A96:D96"/>
    <mergeCell ref="A97:D97"/>
    <mergeCell ref="A98:D98"/>
    <mergeCell ref="A99:E99"/>
    <mergeCell ref="A100:D100"/>
    <mergeCell ref="A91:E91"/>
    <mergeCell ref="A92:D92"/>
    <mergeCell ref="A93:D93"/>
    <mergeCell ref="A94:D94"/>
    <mergeCell ref="A95:E95"/>
    <mergeCell ref="A86:D86"/>
    <mergeCell ref="A87:E87"/>
    <mergeCell ref="A88:D88"/>
    <mergeCell ref="A89:D89"/>
    <mergeCell ref="A90:D90"/>
    <mergeCell ref="A81:D81"/>
    <mergeCell ref="A82:D82"/>
    <mergeCell ref="A83:E83"/>
    <mergeCell ref="A84:D84"/>
    <mergeCell ref="A85:D85"/>
    <mergeCell ref="A123:E133"/>
    <mergeCell ref="A10:D10"/>
    <mergeCell ref="A12:D12"/>
    <mergeCell ref="A14:E14"/>
    <mergeCell ref="A15:D15"/>
    <mergeCell ref="A13:D13"/>
    <mergeCell ref="A71:E71"/>
    <mergeCell ref="A72:D72"/>
    <mergeCell ref="A73:D73"/>
    <mergeCell ref="A74:D74"/>
    <mergeCell ref="A75:E75"/>
    <mergeCell ref="A76:D76"/>
    <mergeCell ref="A77:D77"/>
    <mergeCell ref="A78:D78"/>
    <mergeCell ref="A79:E79"/>
    <mergeCell ref="A80:D80"/>
    <mergeCell ref="A21:D21"/>
    <mergeCell ref="A39:E39"/>
    <mergeCell ref="A40:D40"/>
    <mergeCell ref="A41:D41"/>
    <mergeCell ref="A22:E22"/>
    <mergeCell ref="A23:D23"/>
    <mergeCell ref="A24:D24"/>
    <mergeCell ref="A25:D25"/>
    <mergeCell ref="A1:E2"/>
    <mergeCell ref="A3:C3"/>
    <mergeCell ref="D3:D8"/>
    <mergeCell ref="A4:C8"/>
    <mergeCell ref="E4:E5"/>
    <mergeCell ref="E7:E8"/>
    <mergeCell ref="A18:E18"/>
    <mergeCell ref="A19:D19"/>
    <mergeCell ref="A20:D20"/>
    <mergeCell ref="A9:E9"/>
    <mergeCell ref="A16:D16"/>
    <mergeCell ref="A17:D17"/>
    <mergeCell ref="A11:D11"/>
    <mergeCell ref="A34:D34"/>
    <mergeCell ref="A35:E35"/>
    <mergeCell ref="A36:D36"/>
    <mergeCell ref="A37:D37"/>
    <mergeCell ref="A38:D38"/>
    <mergeCell ref="A30:E30"/>
    <mergeCell ref="A31:D31"/>
    <mergeCell ref="A32:D32"/>
    <mergeCell ref="A26:E26"/>
    <mergeCell ref="A27:D27"/>
    <mergeCell ref="A28:D28"/>
    <mergeCell ref="A29:D29"/>
    <mergeCell ref="A33:D33"/>
    <mergeCell ref="A42:D42"/>
    <mergeCell ref="A43:E43"/>
    <mergeCell ref="A44:D44"/>
    <mergeCell ref="A45:D45"/>
    <mergeCell ref="A46:D46"/>
    <mergeCell ref="A47:E47"/>
    <mergeCell ref="A48:D48"/>
    <mergeCell ref="A49:D49"/>
    <mergeCell ref="A50:D50"/>
    <mergeCell ref="A51:E51"/>
    <mergeCell ref="A52:D52"/>
    <mergeCell ref="A53:D53"/>
    <mergeCell ref="A54:D54"/>
    <mergeCell ref="A55:E55"/>
    <mergeCell ref="A56:D56"/>
    <mergeCell ref="A57:D57"/>
    <mergeCell ref="A58:D58"/>
    <mergeCell ref="A59:E59"/>
    <mergeCell ref="A60:D60"/>
    <mergeCell ref="A62:D62"/>
    <mergeCell ref="A61:D61"/>
    <mergeCell ref="A68:D68"/>
    <mergeCell ref="A69:D69"/>
    <mergeCell ref="A70:D70"/>
    <mergeCell ref="A63:E63"/>
    <mergeCell ref="A64:D64"/>
    <mergeCell ref="A65:D65"/>
    <mergeCell ref="A66:D66"/>
    <mergeCell ref="A67:E67"/>
  </mergeCells>
  <pageMargins left="0.7" right="0.7" top="0.75" bottom="0.75" header="0.3" footer="0.3"/>
  <pageSetup paperSize="9" scale="69" fitToHeight="0" orientation="portrait" horizontalDpi="4294967293"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5E9BA-7DF8-4208-9429-46155C8437C8}">
  <sheetPr>
    <tabColor theme="1" tint="0.34998626667073579"/>
  </sheetPr>
  <dimension ref="A1:N137"/>
  <sheetViews>
    <sheetView view="pageBreakPreview" topLeftCell="A97" zoomScale="60" zoomScaleNormal="85" workbookViewId="0">
      <selection activeCell="L140" sqref="L140"/>
    </sheetView>
  </sheetViews>
  <sheetFormatPr defaultRowHeight="15" x14ac:dyDescent="0.25"/>
  <cols>
    <col min="1" max="2" width="31.42578125" customWidth="1"/>
    <col min="3" max="3" width="18" customWidth="1"/>
    <col min="4" max="4" width="18.7109375" customWidth="1"/>
    <col min="5" max="6" width="29.5703125" customWidth="1"/>
    <col min="7" max="7" width="27.7109375" customWidth="1"/>
    <col min="8" max="9" width="14.7109375" bestFit="1" customWidth="1"/>
    <col min="11" max="11" width="11.140625" bestFit="1" customWidth="1"/>
    <col min="12" max="12" width="17.140625" bestFit="1" customWidth="1"/>
  </cols>
  <sheetData>
    <row r="1" spans="1:7" ht="15" customHeight="1" x14ac:dyDescent="0.25">
      <c r="A1" s="980" t="s">
        <v>991</v>
      </c>
      <c r="B1" s="981"/>
      <c r="C1" s="981"/>
      <c r="D1" s="981"/>
      <c r="E1" s="981"/>
      <c r="F1" s="981"/>
      <c r="G1" s="982"/>
    </row>
    <row r="2" spans="1:7" x14ac:dyDescent="0.25">
      <c r="A2" s="983"/>
      <c r="B2" s="984"/>
      <c r="C2" s="984"/>
      <c r="D2" s="984"/>
      <c r="E2" s="984"/>
      <c r="F2" s="984"/>
      <c r="G2" s="985"/>
    </row>
    <row r="3" spans="1:7" x14ac:dyDescent="0.25">
      <c r="A3" s="986" t="s">
        <v>1085</v>
      </c>
      <c r="B3" s="987"/>
      <c r="C3" s="987"/>
      <c r="D3" s="988"/>
      <c r="E3" s="1025"/>
      <c r="F3" s="1026"/>
      <c r="G3" s="228" t="s">
        <v>993</v>
      </c>
    </row>
    <row r="4" spans="1:7" ht="15" customHeight="1" x14ac:dyDescent="0.25">
      <c r="A4" s="992" t="s">
        <v>994</v>
      </c>
      <c r="B4" s="992"/>
      <c r="C4" s="992"/>
      <c r="D4" s="992"/>
      <c r="E4" s="1027"/>
      <c r="F4" s="990"/>
      <c r="G4" s="993"/>
    </row>
    <row r="5" spans="1:7" x14ac:dyDescent="0.25">
      <c r="A5" s="992"/>
      <c r="B5" s="992"/>
      <c r="C5" s="992"/>
      <c r="D5" s="992"/>
      <c r="E5" s="1027"/>
      <c r="F5" s="990"/>
      <c r="G5" s="993"/>
    </row>
    <row r="6" spans="1:7" x14ac:dyDescent="0.25">
      <c r="A6" s="992"/>
      <c r="B6" s="992"/>
      <c r="C6" s="992"/>
      <c r="D6" s="992"/>
      <c r="E6" s="1027"/>
      <c r="F6" s="990"/>
      <c r="G6" s="228" t="s">
        <v>995</v>
      </c>
    </row>
    <row r="7" spans="1:7" x14ac:dyDescent="0.25">
      <c r="A7" s="992"/>
      <c r="B7" s="992"/>
      <c r="C7" s="992"/>
      <c r="D7" s="992"/>
      <c r="E7" s="1027"/>
      <c r="F7" s="990"/>
      <c r="G7" s="994"/>
    </row>
    <row r="8" spans="1:7" x14ac:dyDescent="0.25">
      <c r="A8" s="992"/>
      <c r="B8" s="992"/>
      <c r="C8" s="992"/>
      <c r="D8" s="992"/>
      <c r="E8" s="1028"/>
      <c r="F8" s="991"/>
      <c r="G8" s="994"/>
    </row>
    <row r="9" spans="1:7" ht="15" customHeight="1" x14ac:dyDescent="0.25">
      <c r="A9" s="974" t="s">
        <v>1086</v>
      </c>
      <c r="B9" s="975"/>
      <c r="C9" s="975"/>
      <c r="D9" s="975"/>
      <c r="E9" s="976"/>
      <c r="F9" s="976"/>
      <c r="G9" s="977"/>
    </row>
    <row r="10" spans="1:7" x14ac:dyDescent="0.25">
      <c r="A10" s="978" t="s">
        <v>997</v>
      </c>
      <c r="B10" s="978"/>
      <c r="C10" s="978"/>
      <c r="D10" s="978"/>
      <c r="E10" s="978"/>
      <c r="F10" s="978"/>
      <c r="G10" s="978"/>
    </row>
    <row r="11" spans="1:7" x14ac:dyDescent="0.25">
      <c r="A11" s="979"/>
      <c r="B11" s="979"/>
      <c r="C11" s="979"/>
      <c r="D11" s="979"/>
      <c r="E11" s="979"/>
      <c r="F11" s="979"/>
      <c r="G11" s="979"/>
    </row>
    <row r="12" spans="1:7" x14ac:dyDescent="0.25">
      <c r="A12" s="979"/>
      <c r="B12" s="979"/>
      <c r="C12" s="979"/>
      <c r="D12" s="979"/>
      <c r="E12" s="979"/>
      <c r="F12" s="979"/>
      <c r="G12" s="979"/>
    </row>
    <row r="13" spans="1:7" x14ac:dyDescent="0.25">
      <c r="A13" s="979"/>
      <c r="B13" s="979"/>
      <c r="C13" s="979"/>
      <c r="D13" s="979"/>
      <c r="E13" s="979"/>
      <c r="F13" s="979"/>
      <c r="G13" s="979"/>
    </row>
    <row r="14" spans="1:7" x14ac:dyDescent="0.25">
      <c r="A14" s="979"/>
      <c r="B14" s="979"/>
      <c r="C14" s="979"/>
      <c r="D14" s="979"/>
      <c r="E14" s="979"/>
      <c r="F14" s="979"/>
      <c r="G14" s="979"/>
    </row>
    <row r="15" spans="1:7" x14ac:dyDescent="0.25">
      <c r="A15" s="979"/>
      <c r="B15" s="979"/>
      <c r="C15" s="979"/>
      <c r="D15" s="979"/>
      <c r="E15" s="979"/>
      <c r="F15" s="979"/>
      <c r="G15" s="979"/>
    </row>
    <row r="16" spans="1:7" x14ac:dyDescent="0.25">
      <c r="A16" s="979"/>
      <c r="B16" s="979"/>
      <c r="C16" s="979"/>
      <c r="D16" s="979"/>
      <c r="E16" s="979"/>
      <c r="F16" s="979"/>
      <c r="G16" s="979"/>
    </row>
    <row r="17" spans="1:7" x14ac:dyDescent="0.25">
      <c r="A17" s="979"/>
      <c r="B17" s="979"/>
      <c r="C17" s="979"/>
      <c r="D17" s="979"/>
      <c r="E17" s="979"/>
      <c r="F17" s="979"/>
      <c r="G17" s="979"/>
    </row>
    <row r="18" spans="1:7" x14ac:dyDescent="0.25">
      <c r="A18" s="979"/>
      <c r="B18" s="979"/>
      <c r="C18" s="979"/>
      <c r="D18" s="979"/>
      <c r="E18" s="979"/>
      <c r="F18" s="979"/>
      <c r="G18" s="979"/>
    </row>
    <row r="19" spans="1:7" x14ac:dyDescent="0.25">
      <c r="A19" s="979"/>
      <c r="B19" s="979"/>
      <c r="C19" s="979"/>
      <c r="D19" s="979"/>
      <c r="E19" s="979"/>
      <c r="F19" s="979"/>
      <c r="G19" s="979"/>
    </row>
    <row r="20" spans="1:7" x14ac:dyDescent="0.25">
      <c r="A20" s="979"/>
      <c r="B20" s="979"/>
      <c r="C20" s="979"/>
      <c r="D20" s="979"/>
      <c r="E20" s="979"/>
      <c r="F20" s="979"/>
      <c r="G20" s="979"/>
    </row>
    <row r="21" spans="1:7" x14ac:dyDescent="0.25">
      <c r="A21" s="979"/>
      <c r="B21" s="979"/>
      <c r="C21" s="979"/>
      <c r="D21" s="979"/>
      <c r="E21" s="979"/>
      <c r="F21" s="979"/>
      <c r="G21" s="979"/>
    </row>
    <row r="22" spans="1:7" x14ac:dyDescent="0.25">
      <c r="A22" s="979"/>
      <c r="B22" s="979"/>
      <c r="C22" s="979"/>
      <c r="D22" s="979"/>
      <c r="E22" s="979"/>
      <c r="F22" s="979"/>
      <c r="G22" s="979"/>
    </row>
    <row r="23" spans="1:7" x14ac:dyDescent="0.25">
      <c r="A23" s="979"/>
      <c r="B23" s="979"/>
      <c r="C23" s="979"/>
      <c r="D23" s="979"/>
      <c r="E23" s="979"/>
      <c r="F23" s="979"/>
      <c r="G23" s="979"/>
    </row>
    <row r="24" spans="1:7" x14ac:dyDescent="0.25">
      <c r="A24" s="979"/>
      <c r="B24" s="979"/>
      <c r="C24" s="979"/>
      <c r="D24" s="979"/>
      <c r="E24" s="979"/>
      <c r="F24" s="979"/>
      <c r="G24" s="979"/>
    </row>
    <row r="25" spans="1:7" x14ac:dyDescent="0.25">
      <c r="A25" s="979"/>
      <c r="B25" s="979"/>
      <c r="C25" s="979"/>
      <c r="D25" s="979"/>
      <c r="E25" s="979"/>
      <c r="F25" s="979"/>
      <c r="G25" s="979"/>
    </row>
    <row r="26" spans="1:7" x14ac:dyDescent="0.25">
      <c r="A26" s="979"/>
      <c r="B26" s="979"/>
      <c r="C26" s="979"/>
      <c r="D26" s="979"/>
      <c r="E26" s="979"/>
      <c r="F26" s="979"/>
      <c r="G26" s="979"/>
    </row>
    <row r="27" spans="1:7" x14ac:dyDescent="0.25">
      <c r="A27" s="979"/>
      <c r="B27" s="979"/>
      <c r="C27" s="979"/>
      <c r="D27" s="979"/>
      <c r="E27" s="979"/>
      <c r="F27" s="979"/>
      <c r="G27" s="979"/>
    </row>
    <row r="28" spans="1:7" x14ac:dyDescent="0.25">
      <c r="A28" s="979"/>
      <c r="B28" s="979"/>
      <c r="C28" s="979"/>
      <c r="D28" s="979"/>
      <c r="E28" s="979"/>
      <c r="F28" s="979"/>
      <c r="G28" s="979"/>
    </row>
    <row r="29" spans="1:7" x14ac:dyDescent="0.25">
      <c r="A29" s="979"/>
      <c r="B29" s="979"/>
      <c r="C29" s="979"/>
      <c r="D29" s="979"/>
      <c r="E29" s="979"/>
      <c r="F29" s="979"/>
      <c r="G29" s="979"/>
    </row>
    <row r="30" spans="1:7" x14ac:dyDescent="0.25">
      <c r="A30" s="979"/>
      <c r="B30" s="979"/>
      <c r="C30" s="979"/>
      <c r="D30" s="979"/>
      <c r="E30" s="979"/>
      <c r="F30" s="979"/>
      <c r="G30" s="979"/>
    </row>
    <row r="31" spans="1:7" x14ac:dyDescent="0.25">
      <c r="A31" s="979"/>
      <c r="B31" s="979"/>
      <c r="C31" s="979"/>
      <c r="D31" s="979"/>
      <c r="E31" s="979"/>
      <c r="F31" s="979"/>
      <c r="G31" s="979"/>
    </row>
    <row r="32" spans="1:7" x14ac:dyDescent="0.25">
      <c r="A32" s="979"/>
      <c r="B32" s="979"/>
      <c r="C32" s="979"/>
      <c r="D32" s="979"/>
      <c r="E32" s="979"/>
      <c r="F32" s="979"/>
      <c r="G32" s="979"/>
    </row>
    <row r="33" spans="1:7" x14ac:dyDescent="0.25">
      <c r="A33" s="966" t="s">
        <v>1086</v>
      </c>
      <c r="B33" s="966"/>
      <c r="C33" s="966"/>
      <c r="D33" s="966"/>
      <c r="E33" s="966"/>
      <c r="F33" s="966"/>
      <c r="G33" s="966"/>
    </row>
    <row r="34" spans="1:7" x14ac:dyDescent="0.25">
      <c r="A34" s="360" t="s">
        <v>1087</v>
      </c>
      <c r="B34" s="360" t="s">
        <v>310</v>
      </c>
      <c r="C34" s="359" t="s">
        <v>1088</v>
      </c>
      <c r="D34" s="359" t="s">
        <v>1089</v>
      </c>
      <c r="E34" s="359" t="s">
        <v>1090</v>
      </c>
      <c r="F34" s="359" t="s">
        <v>1091</v>
      </c>
      <c r="G34" s="358" t="s">
        <v>1003</v>
      </c>
    </row>
    <row r="35" spans="1:7" ht="30.75" customHeight="1" x14ac:dyDescent="0.25">
      <c r="A35" s="334" t="s">
        <v>1092</v>
      </c>
      <c r="B35" s="364" t="s">
        <v>1093</v>
      </c>
      <c r="C35" s="364">
        <v>3.14</v>
      </c>
      <c r="D35" s="365">
        <v>1.3</v>
      </c>
      <c r="E35" s="364">
        <v>2.25</v>
      </c>
      <c r="F35" s="364">
        <v>1</v>
      </c>
      <c r="G35" s="309">
        <f>C35*D35*F35</f>
        <v>4.0820000000000007</v>
      </c>
    </row>
    <row r="36" spans="1:7" ht="30.75" customHeight="1" x14ac:dyDescent="0.25">
      <c r="A36" s="334" t="s">
        <v>1094</v>
      </c>
      <c r="B36" s="362" t="s">
        <v>1095</v>
      </c>
      <c r="C36" s="362">
        <v>3.58</v>
      </c>
      <c r="D36" s="363">
        <v>1.29</v>
      </c>
      <c r="E36" s="362">
        <v>0.85</v>
      </c>
      <c r="F36" s="362">
        <v>1</v>
      </c>
      <c r="G36" s="250">
        <f t="shared" ref="G36:G48" si="0">C36*D36*F36</f>
        <v>4.6181999999999999</v>
      </c>
    </row>
    <row r="37" spans="1:7" ht="30.75" customHeight="1" x14ac:dyDescent="0.25">
      <c r="A37" s="334" t="s">
        <v>1094</v>
      </c>
      <c r="B37" s="364" t="s">
        <v>1096</v>
      </c>
      <c r="C37" s="364">
        <v>4.8250000000000002</v>
      </c>
      <c r="D37" s="365">
        <v>3.6</v>
      </c>
      <c r="E37" s="364">
        <v>2.25</v>
      </c>
      <c r="F37" s="364">
        <v>1</v>
      </c>
      <c r="G37" s="309">
        <f t="shared" si="0"/>
        <v>17.37</v>
      </c>
    </row>
    <row r="38" spans="1:7" ht="30.75" customHeight="1" x14ac:dyDescent="0.25">
      <c r="A38" s="334" t="s">
        <v>1097</v>
      </c>
      <c r="B38" s="364" t="s">
        <v>1096</v>
      </c>
      <c r="C38" s="364">
        <v>4.8250000000000002</v>
      </c>
      <c r="D38" s="365">
        <v>3.6</v>
      </c>
      <c r="E38" s="364">
        <v>2.25</v>
      </c>
      <c r="F38" s="364">
        <v>1</v>
      </c>
      <c r="G38" s="309">
        <f t="shared" si="0"/>
        <v>17.37</v>
      </c>
    </row>
    <row r="39" spans="1:7" ht="30.75" customHeight="1" x14ac:dyDescent="0.25">
      <c r="A39" s="334" t="s">
        <v>1098</v>
      </c>
      <c r="B39" s="362" t="s">
        <v>1099</v>
      </c>
      <c r="C39" s="362">
        <v>1.8</v>
      </c>
      <c r="D39" s="363">
        <v>1.29</v>
      </c>
      <c r="E39" s="362">
        <v>0.85</v>
      </c>
      <c r="F39" s="362">
        <v>1</v>
      </c>
      <c r="G39" s="250">
        <f t="shared" si="0"/>
        <v>2.3220000000000001</v>
      </c>
    </row>
    <row r="40" spans="1:7" ht="30.75" customHeight="1" x14ac:dyDescent="0.25">
      <c r="A40" s="334" t="s">
        <v>1100</v>
      </c>
      <c r="B40" s="362" t="s">
        <v>1099</v>
      </c>
      <c r="C40" s="362">
        <v>1.8</v>
      </c>
      <c r="D40" s="363">
        <v>1.29</v>
      </c>
      <c r="E40" s="362">
        <v>0.85</v>
      </c>
      <c r="F40" s="362">
        <v>1</v>
      </c>
      <c r="G40" s="250">
        <f t="shared" si="0"/>
        <v>2.3220000000000001</v>
      </c>
    </row>
    <row r="41" spans="1:7" ht="30.75" customHeight="1" x14ac:dyDescent="0.25">
      <c r="A41" s="334" t="s">
        <v>1100</v>
      </c>
      <c r="B41" s="364" t="s">
        <v>1093</v>
      </c>
      <c r="C41" s="364">
        <v>3.14</v>
      </c>
      <c r="D41" s="365">
        <v>1.3</v>
      </c>
      <c r="E41" s="364">
        <v>2.25</v>
      </c>
      <c r="F41" s="364">
        <v>1</v>
      </c>
      <c r="G41" s="309">
        <f t="shared" si="0"/>
        <v>4.0820000000000007</v>
      </c>
    </row>
    <row r="42" spans="1:7" ht="30.75" customHeight="1" x14ac:dyDescent="0.25">
      <c r="A42" s="334" t="s">
        <v>1101</v>
      </c>
      <c r="B42" s="364" t="s">
        <v>1102</v>
      </c>
      <c r="C42" s="364">
        <v>2.2000000000000002</v>
      </c>
      <c r="D42" s="365">
        <v>0.5</v>
      </c>
      <c r="E42" s="364">
        <v>1.7</v>
      </c>
      <c r="F42" s="364">
        <v>2</v>
      </c>
      <c r="G42" s="309">
        <f t="shared" si="0"/>
        <v>2.2000000000000002</v>
      </c>
    </row>
    <row r="43" spans="1:7" ht="30.75" customHeight="1" x14ac:dyDescent="0.25">
      <c r="A43" s="334" t="s">
        <v>1103</v>
      </c>
      <c r="B43" s="364" t="s">
        <v>1104</v>
      </c>
      <c r="C43" s="364">
        <v>0.7</v>
      </c>
      <c r="D43" s="365">
        <v>0.5</v>
      </c>
      <c r="E43" s="364">
        <v>1.7</v>
      </c>
      <c r="F43" s="364">
        <v>1</v>
      </c>
      <c r="G43" s="309">
        <f t="shared" si="0"/>
        <v>0.35</v>
      </c>
    </row>
    <row r="44" spans="1:7" ht="30.75" customHeight="1" x14ac:dyDescent="0.25">
      <c r="A44" s="334" t="s">
        <v>1105</v>
      </c>
      <c r="B44" s="364" t="s">
        <v>1106</v>
      </c>
      <c r="C44" s="364">
        <v>1.6</v>
      </c>
      <c r="D44" s="365">
        <v>0.5</v>
      </c>
      <c r="E44" s="364">
        <v>1.7</v>
      </c>
      <c r="F44" s="364">
        <v>1</v>
      </c>
      <c r="G44" s="309">
        <f t="shared" si="0"/>
        <v>0.8</v>
      </c>
    </row>
    <row r="45" spans="1:7" ht="30.75" customHeight="1" x14ac:dyDescent="0.25">
      <c r="A45" s="334" t="s">
        <v>1107</v>
      </c>
      <c r="B45" s="364" t="s">
        <v>1104</v>
      </c>
      <c r="C45" s="364">
        <v>0.7</v>
      </c>
      <c r="D45" s="365">
        <v>0.5</v>
      </c>
      <c r="E45" s="364">
        <v>1.7</v>
      </c>
      <c r="F45" s="364">
        <v>1</v>
      </c>
      <c r="G45" s="309">
        <f t="shared" si="0"/>
        <v>0.35</v>
      </c>
    </row>
    <row r="46" spans="1:7" ht="30.75" customHeight="1" x14ac:dyDescent="0.25">
      <c r="A46" s="334" t="s">
        <v>1108</v>
      </c>
      <c r="B46" s="364" t="s">
        <v>1104</v>
      </c>
      <c r="C46" s="364">
        <v>0.7</v>
      </c>
      <c r="D46" s="365">
        <v>0.5</v>
      </c>
      <c r="E46" s="364">
        <v>1.7</v>
      </c>
      <c r="F46" s="364">
        <v>1</v>
      </c>
      <c r="G46" s="309">
        <f t="shared" si="0"/>
        <v>0.35</v>
      </c>
    </row>
    <row r="47" spans="1:7" ht="30.75" customHeight="1" x14ac:dyDescent="0.25">
      <c r="A47" s="334" t="s">
        <v>1109</v>
      </c>
      <c r="B47" s="364" t="s">
        <v>1104</v>
      </c>
      <c r="C47" s="364">
        <v>0.7</v>
      </c>
      <c r="D47" s="365">
        <v>0.5</v>
      </c>
      <c r="E47" s="364">
        <v>1.7</v>
      </c>
      <c r="F47" s="364">
        <v>1</v>
      </c>
      <c r="G47" s="309">
        <f t="shared" si="0"/>
        <v>0.35</v>
      </c>
    </row>
    <row r="48" spans="1:7" ht="30.75" customHeight="1" x14ac:dyDescent="0.25">
      <c r="A48" s="334" t="s">
        <v>1110</v>
      </c>
      <c r="B48" s="364" t="s">
        <v>1102</v>
      </c>
      <c r="C48" s="364">
        <v>2.2000000000000002</v>
      </c>
      <c r="D48" s="365">
        <v>0.5</v>
      </c>
      <c r="E48" s="364">
        <v>1.7</v>
      </c>
      <c r="F48" s="364">
        <v>2</v>
      </c>
      <c r="G48" s="309">
        <f t="shared" si="0"/>
        <v>2.2000000000000002</v>
      </c>
    </row>
    <row r="49" spans="1:8" ht="30.75" customHeight="1" x14ac:dyDescent="0.25">
      <c r="A49" s="334" t="s">
        <v>1111</v>
      </c>
      <c r="B49" s="364" t="s">
        <v>1102</v>
      </c>
      <c r="C49" s="364">
        <v>2.2000000000000002</v>
      </c>
      <c r="D49" s="365">
        <v>0.5</v>
      </c>
      <c r="E49" s="364">
        <v>1.7</v>
      </c>
      <c r="F49" s="364">
        <v>1</v>
      </c>
      <c r="G49" s="309">
        <f>C49*D49*F49</f>
        <v>1.1000000000000001</v>
      </c>
    </row>
    <row r="50" spans="1:8" ht="15" customHeight="1" x14ac:dyDescent="0.25">
      <c r="A50" s="1032" t="s">
        <v>1112</v>
      </c>
      <c r="B50" s="1033"/>
      <c r="C50" s="1033"/>
      <c r="D50" s="1033"/>
      <c r="E50" s="1034"/>
      <c r="F50" s="361"/>
      <c r="G50" s="310">
        <f>SUM(G35+G37+G38+G41+G42+G43+G44+G45+G46+G47+G48+G49)</f>
        <v>50.604000000000013</v>
      </c>
    </row>
    <row r="51" spans="1:8" ht="15" customHeight="1" x14ac:dyDescent="0.25">
      <c r="A51" s="1029" t="s">
        <v>1113</v>
      </c>
      <c r="B51" s="1030"/>
      <c r="C51" s="1030"/>
      <c r="D51" s="1030"/>
      <c r="E51" s="1031"/>
      <c r="F51" s="339"/>
      <c r="G51" s="251">
        <f>SUM(G36+G39+G40)</f>
        <v>9.2622</v>
      </c>
    </row>
    <row r="52" spans="1:8" x14ac:dyDescent="0.25">
      <c r="A52" s="995" t="s">
        <v>285</v>
      </c>
      <c r="B52" s="996"/>
      <c r="C52" s="996"/>
      <c r="D52" s="996"/>
      <c r="E52" s="997"/>
      <c r="F52" s="384">
        <f>SUM(F35:F49)</f>
        <v>17</v>
      </c>
      <c r="G52" s="342">
        <f>SUM(G50:G51)</f>
        <v>59.866200000000013</v>
      </c>
      <c r="H52" s="290">
        <f>SUM(G35:G49)</f>
        <v>59.866200000000021</v>
      </c>
    </row>
    <row r="53" spans="1:8" x14ac:dyDescent="0.25">
      <c r="A53" s="974" t="s">
        <v>1114</v>
      </c>
      <c r="B53" s="975"/>
      <c r="C53" s="975"/>
      <c r="D53" s="975"/>
      <c r="E53" s="976"/>
      <c r="F53" s="976"/>
      <c r="G53" s="977"/>
    </row>
    <row r="54" spans="1:8" x14ac:dyDescent="0.25">
      <c r="A54" s="978" t="s">
        <v>997</v>
      </c>
      <c r="B54" s="978"/>
      <c r="C54" s="978"/>
      <c r="D54" s="978"/>
      <c r="E54" s="978"/>
      <c r="F54" s="978"/>
      <c r="G54" s="978"/>
    </row>
    <row r="55" spans="1:8" x14ac:dyDescent="0.25">
      <c r="A55" s="979"/>
      <c r="B55" s="979"/>
      <c r="C55" s="979"/>
      <c r="D55" s="979"/>
      <c r="E55" s="979"/>
      <c r="F55" s="979"/>
      <c r="G55" s="979"/>
    </row>
    <row r="56" spans="1:8" x14ac:dyDescent="0.25">
      <c r="A56" s="979"/>
      <c r="B56" s="979"/>
      <c r="C56" s="979"/>
      <c r="D56" s="979"/>
      <c r="E56" s="979"/>
      <c r="F56" s="979"/>
      <c r="G56" s="979"/>
    </row>
    <row r="57" spans="1:8" x14ac:dyDescent="0.25">
      <c r="A57" s="979"/>
      <c r="B57" s="979"/>
      <c r="C57" s="979"/>
      <c r="D57" s="979"/>
      <c r="E57" s="979"/>
      <c r="F57" s="979"/>
      <c r="G57" s="979"/>
    </row>
    <row r="58" spans="1:8" x14ac:dyDescent="0.25">
      <c r="A58" s="979"/>
      <c r="B58" s="979"/>
      <c r="C58" s="979"/>
      <c r="D58" s="979"/>
      <c r="E58" s="979"/>
      <c r="F58" s="979"/>
      <c r="G58" s="979"/>
    </row>
    <row r="59" spans="1:8" x14ac:dyDescent="0.25">
      <c r="A59" s="979"/>
      <c r="B59" s="979"/>
      <c r="C59" s="979"/>
      <c r="D59" s="979"/>
      <c r="E59" s="979"/>
      <c r="F59" s="979"/>
      <c r="G59" s="979"/>
    </row>
    <row r="60" spans="1:8" x14ac:dyDescent="0.25">
      <c r="A60" s="979"/>
      <c r="B60" s="979"/>
      <c r="C60" s="979"/>
      <c r="D60" s="979"/>
      <c r="E60" s="979"/>
      <c r="F60" s="979"/>
      <c r="G60" s="979"/>
    </row>
    <row r="61" spans="1:8" x14ac:dyDescent="0.25">
      <c r="A61" s="979"/>
      <c r="B61" s="979"/>
      <c r="C61" s="979"/>
      <c r="D61" s="979"/>
      <c r="E61" s="979"/>
      <c r="F61" s="979"/>
      <c r="G61" s="979"/>
    </row>
    <row r="62" spans="1:8" x14ac:dyDescent="0.25">
      <c r="A62" s="979"/>
      <c r="B62" s="979"/>
      <c r="C62" s="979"/>
      <c r="D62" s="979"/>
      <c r="E62" s="979"/>
      <c r="F62" s="979"/>
      <c r="G62" s="979"/>
    </row>
    <row r="63" spans="1:8" x14ac:dyDescent="0.25">
      <c r="A63" s="979"/>
      <c r="B63" s="979"/>
      <c r="C63" s="979"/>
      <c r="D63" s="979"/>
      <c r="E63" s="979"/>
      <c r="F63" s="979"/>
      <c r="G63" s="979"/>
    </row>
    <row r="64" spans="1:8" x14ac:dyDescent="0.25">
      <c r="A64" s="979"/>
      <c r="B64" s="979"/>
      <c r="C64" s="979"/>
      <c r="D64" s="979"/>
      <c r="E64" s="979"/>
      <c r="F64" s="979"/>
      <c r="G64" s="979"/>
    </row>
    <row r="65" spans="1:7" x14ac:dyDescent="0.25">
      <c r="A65" s="979"/>
      <c r="B65" s="979"/>
      <c r="C65" s="979"/>
      <c r="D65" s="979"/>
      <c r="E65" s="979"/>
      <c r="F65" s="979"/>
      <c r="G65" s="979"/>
    </row>
    <row r="66" spans="1:7" x14ac:dyDescent="0.25">
      <c r="A66" s="979"/>
      <c r="B66" s="979"/>
      <c r="C66" s="979"/>
      <c r="D66" s="979"/>
      <c r="E66" s="979"/>
      <c r="F66" s="979"/>
      <c r="G66" s="979"/>
    </row>
    <row r="67" spans="1:7" x14ac:dyDescent="0.25">
      <c r="A67" s="979"/>
      <c r="B67" s="979"/>
      <c r="C67" s="979"/>
      <c r="D67" s="979"/>
      <c r="E67" s="979"/>
      <c r="F67" s="979"/>
      <c r="G67" s="979"/>
    </row>
    <row r="68" spans="1:7" x14ac:dyDescent="0.25">
      <c r="A68" s="979"/>
      <c r="B68" s="979"/>
      <c r="C68" s="979"/>
      <c r="D68" s="979"/>
      <c r="E68" s="979"/>
      <c r="F68" s="979"/>
      <c r="G68" s="979"/>
    </row>
    <row r="69" spans="1:7" x14ac:dyDescent="0.25">
      <c r="A69" s="979"/>
      <c r="B69" s="979"/>
      <c r="C69" s="979"/>
      <c r="D69" s="979"/>
      <c r="E69" s="979"/>
      <c r="F69" s="979"/>
      <c r="G69" s="979"/>
    </row>
    <row r="70" spans="1:7" x14ac:dyDescent="0.25">
      <c r="A70" s="979"/>
      <c r="B70" s="979"/>
      <c r="C70" s="979"/>
      <c r="D70" s="979"/>
      <c r="E70" s="979"/>
      <c r="F70" s="979"/>
      <c r="G70" s="979"/>
    </row>
    <row r="71" spans="1:7" x14ac:dyDescent="0.25">
      <c r="A71" s="979"/>
      <c r="B71" s="979"/>
      <c r="C71" s="979"/>
      <c r="D71" s="979"/>
      <c r="E71" s="979"/>
      <c r="F71" s="979"/>
      <c r="G71" s="979"/>
    </row>
    <row r="72" spans="1:7" x14ac:dyDescent="0.25">
      <c r="A72" s="979"/>
      <c r="B72" s="979"/>
      <c r="C72" s="979"/>
      <c r="D72" s="979"/>
      <c r="E72" s="979"/>
      <c r="F72" s="979"/>
      <c r="G72" s="979"/>
    </row>
    <row r="73" spans="1:7" x14ac:dyDescent="0.25">
      <c r="A73" s="979"/>
      <c r="B73" s="979"/>
      <c r="C73" s="979"/>
      <c r="D73" s="979"/>
      <c r="E73" s="979"/>
      <c r="F73" s="979"/>
      <c r="G73" s="979"/>
    </row>
    <row r="74" spans="1:7" x14ac:dyDescent="0.25">
      <c r="A74" s="979"/>
      <c r="B74" s="979"/>
      <c r="C74" s="979"/>
      <c r="D74" s="979"/>
      <c r="E74" s="979"/>
      <c r="F74" s="979"/>
      <c r="G74" s="979"/>
    </row>
    <row r="75" spans="1:7" x14ac:dyDescent="0.25">
      <c r="A75" s="979"/>
      <c r="B75" s="979"/>
      <c r="C75" s="979"/>
      <c r="D75" s="979"/>
      <c r="E75" s="979"/>
      <c r="F75" s="979"/>
      <c r="G75" s="979"/>
    </row>
    <row r="76" spans="1:7" x14ac:dyDescent="0.25">
      <c r="A76" s="979"/>
      <c r="B76" s="979"/>
      <c r="C76" s="979"/>
      <c r="D76" s="979"/>
      <c r="E76" s="979"/>
      <c r="F76" s="979"/>
      <c r="G76" s="979"/>
    </row>
    <row r="77" spans="1:7" x14ac:dyDescent="0.25">
      <c r="A77" s="966" t="s">
        <v>1114</v>
      </c>
      <c r="B77" s="966"/>
      <c r="C77" s="966"/>
      <c r="D77" s="966"/>
      <c r="E77" s="966"/>
      <c r="F77" s="966"/>
      <c r="G77" s="966"/>
    </row>
    <row r="78" spans="1:7" ht="30.75" customHeight="1" x14ac:dyDescent="0.25">
      <c r="A78" s="360" t="s">
        <v>1087</v>
      </c>
      <c r="B78" s="360" t="s">
        <v>310</v>
      </c>
      <c r="C78" s="359" t="s">
        <v>1088</v>
      </c>
      <c r="D78" s="359" t="s">
        <v>1089</v>
      </c>
      <c r="E78" s="359" t="s">
        <v>1090</v>
      </c>
      <c r="F78" s="359" t="s">
        <v>1091</v>
      </c>
      <c r="G78" s="358" t="s">
        <v>1003</v>
      </c>
    </row>
    <row r="79" spans="1:7" ht="30.75" customHeight="1" x14ac:dyDescent="0.25">
      <c r="A79" s="334" t="s">
        <v>1092</v>
      </c>
      <c r="B79" s="387" t="s">
        <v>1115</v>
      </c>
      <c r="C79" s="387">
        <v>0.8</v>
      </c>
      <c r="D79" s="387">
        <v>2.1</v>
      </c>
      <c r="E79" s="388" t="s">
        <v>822</v>
      </c>
      <c r="F79" s="389">
        <v>1</v>
      </c>
      <c r="G79" s="390">
        <f>C79*D79*F79</f>
        <v>1.6800000000000002</v>
      </c>
    </row>
    <row r="80" spans="1:7" ht="30.75" customHeight="1" x14ac:dyDescent="0.25">
      <c r="A80" s="334" t="s">
        <v>1094</v>
      </c>
      <c r="B80" s="387" t="s">
        <v>1115</v>
      </c>
      <c r="C80" s="387">
        <v>0.8</v>
      </c>
      <c r="D80" s="387">
        <v>2.1</v>
      </c>
      <c r="E80" s="388" t="s">
        <v>822</v>
      </c>
      <c r="F80" s="389">
        <v>1</v>
      </c>
      <c r="G80" s="390">
        <f t="shared" ref="G80:G96" si="1">C80*D80*F80</f>
        <v>1.6800000000000002</v>
      </c>
    </row>
    <row r="81" spans="1:7" ht="30.75" customHeight="1" x14ac:dyDescent="0.25">
      <c r="A81" s="334" t="s">
        <v>1097</v>
      </c>
      <c r="B81" s="399" t="s">
        <v>1116</v>
      </c>
      <c r="C81" s="399">
        <v>1.6</v>
      </c>
      <c r="D81" s="399">
        <v>2.1</v>
      </c>
      <c r="E81" s="400" t="s">
        <v>822</v>
      </c>
      <c r="F81" s="401">
        <v>1</v>
      </c>
      <c r="G81" s="402">
        <f t="shared" si="1"/>
        <v>3.3600000000000003</v>
      </c>
    </row>
    <row r="82" spans="1:7" ht="30.75" customHeight="1" x14ac:dyDescent="0.25">
      <c r="A82" s="334" t="s">
        <v>1098</v>
      </c>
      <c r="B82" s="387" t="s">
        <v>1115</v>
      </c>
      <c r="C82" s="387">
        <v>0.8</v>
      </c>
      <c r="D82" s="387">
        <v>2.1</v>
      </c>
      <c r="E82" s="388" t="s">
        <v>822</v>
      </c>
      <c r="F82" s="389">
        <v>1</v>
      </c>
      <c r="G82" s="390">
        <f t="shared" si="1"/>
        <v>1.6800000000000002</v>
      </c>
    </row>
    <row r="83" spans="1:7" ht="30.75" customHeight="1" x14ac:dyDescent="0.25">
      <c r="A83" s="334" t="s">
        <v>1100</v>
      </c>
      <c r="B83" s="387" t="s">
        <v>1115</v>
      </c>
      <c r="C83" s="387">
        <v>0.8</v>
      </c>
      <c r="D83" s="387">
        <v>2.1</v>
      </c>
      <c r="E83" s="388" t="s">
        <v>822</v>
      </c>
      <c r="F83" s="389">
        <v>1</v>
      </c>
      <c r="G83" s="390">
        <f t="shared" si="1"/>
        <v>1.6800000000000002</v>
      </c>
    </row>
    <row r="84" spans="1:7" ht="30.75" customHeight="1" x14ac:dyDescent="0.25">
      <c r="A84" s="334" t="s">
        <v>1117</v>
      </c>
      <c r="B84" s="364" t="s">
        <v>1118</v>
      </c>
      <c r="C84" s="364">
        <v>0.8</v>
      </c>
      <c r="D84" s="364">
        <v>1.9</v>
      </c>
      <c r="E84" s="370" t="s">
        <v>822</v>
      </c>
      <c r="F84" s="371">
        <v>1</v>
      </c>
      <c r="G84" s="309">
        <f t="shared" si="1"/>
        <v>1.52</v>
      </c>
    </row>
    <row r="85" spans="1:7" ht="30.75" customHeight="1" x14ac:dyDescent="0.25">
      <c r="A85" s="334" t="s">
        <v>1101</v>
      </c>
      <c r="B85" s="393" t="s">
        <v>1119</v>
      </c>
      <c r="C85" s="393">
        <v>0.9</v>
      </c>
      <c r="D85" s="393">
        <v>2.1</v>
      </c>
      <c r="E85" s="394" t="s">
        <v>822</v>
      </c>
      <c r="F85" s="395">
        <v>1</v>
      </c>
      <c r="G85" s="396">
        <f t="shared" si="1"/>
        <v>1.8900000000000001</v>
      </c>
    </row>
    <row r="86" spans="1:7" ht="30.75" customHeight="1" x14ac:dyDescent="0.25">
      <c r="A86" s="334" t="s">
        <v>1103</v>
      </c>
      <c r="B86" s="387" t="s">
        <v>1115</v>
      </c>
      <c r="C86" s="387">
        <v>0.8</v>
      </c>
      <c r="D86" s="387">
        <v>2.1</v>
      </c>
      <c r="E86" s="388" t="s">
        <v>822</v>
      </c>
      <c r="F86" s="389">
        <v>1</v>
      </c>
      <c r="G86" s="390">
        <f t="shared" si="1"/>
        <v>1.6800000000000002</v>
      </c>
    </row>
    <row r="87" spans="1:7" ht="30.75" customHeight="1" x14ac:dyDescent="0.25">
      <c r="A87" s="334" t="s">
        <v>1120</v>
      </c>
      <c r="B87" s="372" t="s">
        <v>1121</v>
      </c>
      <c r="C87" s="372">
        <v>1.2</v>
      </c>
      <c r="D87" s="372">
        <v>2.1</v>
      </c>
      <c r="E87" s="373" t="s">
        <v>822</v>
      </c>
      <c r="F87" s="374">
        <v>2</v>
      </c>
      <c r="G87" s="305">
        <f t="shared" si="1"/>
        <v>5.04</v>
      </c>
    </row>
    <row r="88" spans="1:7" ht="30.75" customHeight="1" x14ac:dyDescent="0.25">
      <c r="A88" s="334" t="s">
        <v>1107</v>
      </c>
      <c r="B88" s="376" t="s">
        <v>1122</v>
      </c>
      <c r="C88" s="376">
        <v>0.7</v>
      </c>
      <c r="D88" s="376">
        <v>2.1</v>
      </c>
      <c r="E88" s="377" t="s">
        <v>822</v>
      </c>
      <c r="F88" s="378">
        <v>1</v>
      </c>
      <c r="G88" s="379">
        <f t="shared" si="1"/>
        <v>1.47</v>
      </c>
    </row>
    <row r="89" spans="1:7" ht="30.75" customHeight="1" x14ac:dyDescent="0.25">
      <c r="A89" s="334" t="s">
        <v>1123</v>
      </c>
      <c r="B89" s="376" t="s">
        <v>1122</v>
      </c>
      <c r="C89" s="376">
        <v>0.7</v>
      </c>
      <c r="D89" s="376">
        <v>2.1</v>
      </c>
      <c r="E89" s="377" t="s">
        <v>822</v>
      </c>
      <c r="F89" s="378">
        <v>1</v>
      </c>
      <c r="G89" s="379">
        <f t="shared" si="1"/>
        <v>1.47</v>
      </c>
    </row>
    <row r="90" spans="1:7" ht="30.75" customHeight="1" x14ac:dyDescent="0.25">
      <c r="A90" s="334" t="s">
        <v>1108</v>
      </c>
      <c r="B90" s="334" t="s">
        <v>1124</v>
      </c>
      <c r="C90" s="334">
        <v>0.9</v>
      </c>
      <c r="D90" s="334">
        <v>2.1</v>
      </c>
      <c r="E90" s="229" t="s">
        <v>822</v>
      </c>
      <c r="F90" s="319">
        <v>1</v>
      </c>
      <c r="G90" s="232">
        <f t="shared" si="1"/>
        <v>1.8900000000000001</v>
      </c>
    </row>
    <row r="91" spans="1:7" ht="30.75" customHeight="1" x14ac:dyDescent="0.25">
      <c r="A91" s="334" t="s">
        <v>1125</v>
      </c>
      <c r="B91" s="376" t="s">
        <v>1122</v>
      </c>
      <c r="C91" s="376">
        <v>0.7</v>
      </c>
      <c r="D91" s="376">
        <v>2.1</v>
      </c>
      <c r="E91" s="377" t="s">
        <v>822</v>
      </c>
      <c r="F91" s="378">
        <v>1</v>
      </c>
      <c r="G91" s="379">
        <f t="shared" si="1"/>
        <v>1.47</v>
      </c>
    </row>
    <row r="92" spans="1:7" ht="30.75" customHeight="1" x14ac:dyDescent="0.25">
      <c r="A92" s="334" t="s">
        <v>1109</v>
      </c>
      <c r="B92" s="387" t="s">
        <v>1115</v>
      </c>
      <c r="C92" s="387">
        <v>0.8</v>
      </c>
      <c r="D92" s="387">
        <v>2.1</v>
      </c>
      <c r="E92" s="388" t="s">
        <v>822</v>
      </c>
      <c r="F92" s="389">
        <v>1</v>
      </c>
      <c r="G92" s="390">
        <f>C92*D92*F92</f>
        <v>1.6800000000000002</v>
      </c>
    </row>
    <row r="93" spans="1:7" ht="30.75" customHeight="1" x14ac:dyDescent="0.25">
      <c r="A93" s="334" t="s">
        <v>1110</v>
      </c>
      <c r="B93" s="376" t="s">
        <v>1122</v>
      </c>
      <c r="C93" s="376">
        <v>0.7</v>
      </c>
      <c r="D93" s="376">
        <v>2.1</v>
      </c>
      <c r="E93" s="377" t="s">
        <v>822</v>
      </c>
      <c r="F93" s="378">
        <v>1</v>
      </c>
      <c r="G93" s="379">
        <f t="shared" si="1"/>
        <v>1.47</v>
      </c>
    </row>
    <row r="94" spans="1:7" ht="30.75" customHeight="1" x14ac:dyDescent="0.25">
      <c r="A94" s="334" t="s">
        <v>1110</v>
      </c>
      <c r="B94" s="366" t="s">
        <v>1126</v>
      </c>
      <c r="C94" s="366">
        <v>0.6</v>
      </c>
      <c r="D94" s="366">
        <v>1.6</v>
      </c>
      <c r="E94" s="367" t="s">
        <v>822</v>
      </c>
      <c r="F94" s="368">
        <v>3</v>
      </c>
      <c r="G94" s="369">
        <f t="shared" si="1"/>
        <v>2.88</v>
      </c>
    </row>
    <row r="95" spans="1:7" ht="30.75" customHeight="1" x14ac:dyDescent="0.25">
      <c r="A95" s="334" t="s">
        <v>1111</v>
      </c>
      <c r="B95" s="376" t="s">
        <v>1122</v>
      </c>
      <c r="C95" s="376">
        <v>0.7</v>
      </c>
      <c r="D95" s="376">
        <v>2.1</v>
      </c>
      <c r="E95" s="377" t="s">
        <v>822</v>
      </c>
      <c r="F95" s="378">
        <v>1</v>
      </c>
      <c r="G95" s="379">
        <f t="shared" si="1"/>
        <v>1.47</v>
      </c>
    </row>
    <row r="96" spans="1:7" ht="30.75" customHeight="1" x14ac:dyDescent="0.25">
      <c r="A96" s="334" t="s">
        <v>1111</v>
      </c>
      <c r="B96" s="366" t="s">
        <v>1126</v>
      </c>
      <c r="C96" s="366">
        <v>0.6</v>
      </c>
      <c r="D96" s="366">
        <v>1.6</v>
      </c>
      <c r="E96" s="367" t="s">
        <v>822</v>
      </c>
      <c r="F96" s="368">
        <v>2</v>
      </c>
      <c r="G96" s="369">
        <f t="shared" si="1"/>
        <v>1.92</v>
      </c>
    </row>
    <row r="97" spans="1:12" x14ac:dyDescent="0.25">
      <c r="A97" s="1051" t="s">
        <v>1127</v>
      </c>
      <c r="B97" s="1052"/>
      <c r="C97" s="1052"/>
      <c r="D97" s="1052"/>
      <c r="E97" s="1053"/>
      <c r="F97" s="403">
        <v>1</v>
      </c>
      <c r="G97" s="404">
        <f>G81</f>
        <v>3.3600000000000003</v>
      </c>
    </row>
    <row r="98" spans="1:12" x14ac:dyDescent="0.25">
      <c r="A98" s="995" t="s">
        <v>1128</v>
      </c>
      <c r="B98" s="996"/>
      <c r="C98" s="996"/>
      <c r="D98" s="996"/>
      <c r="E98" s="997"/>
      <c r="F98" s="397">
        <f>F90</f>
        <v>1</v>
      </c>
      <c r="G98" s="398">
        <f>G90</f>
        <v>1.8900000000000001</v>
      </c>
    </row>
    <row r="99" spans="1:12" x14ac:dyDescent="0.25">
      <c r="A99" s="1041" t="s">
        <v>1129</v>
      </c>
      <c r="B99" s="1042"/>
      <c r="C99" s="1042"/>
      <c r="D99" s="1042"/>
      <c r="E99" s="1043"/>
      <c r="F99" s="391">
        <f>F85</f>
        <v>1</v>
      </c>
      <c r="G99" s="392">
        <f>G85</f>
        <v>1.8900000000000001</v>
      </c>
    </row>
    <row r="100" spans="1:12" x14ac:dyDescent="0.25">
      <c r="A100" s="1038" t="s">
        <v>1130</v>
      </c>
      <c r="B100" s="1039"/>
      <c r="C100" s="1039"/>
      <c r="D100" s="1039"/>
      <c r="E100" s="1040"/>
      <c r="F100" s="385">
        <f>F79+F80+F82+F83+F86+F92</f>
        <v>6</v>
      </c>
      <c r="G100" s="386">
        <f>SUM(G79+G80+G82+G83+G86+G92)</f>
        <v>10.08</v>
      </c>
    </row>
    <row r="101" spans="1:12" x14ac:dyDescent="0.25">
      <c r="A101" s="1035" t="s">
        <v>1131</v>
      </c>
      <c r="B101" s="1036"/>
      <c r="C101" s="1036"/>
      <c r="D101" s="1036"/>
      <c r="E101" s="1037"/>
      <c r="F101" s="380">
        <f>F88+F89+F91+F93+F95</f>
        <v>5</v>
      </c>
      <c r="G101" s="375">
        <f>SUM(G88+G89+G91+G93+G95)</f>
        <v>7.35</v>
      </c>
      <c r="J101">
        <f>SUM(F97:F101)</f>
        <v>14</v>
      </c>
    </row>
    <row r="102" spans="1:12" x14ac:dyDescent="0.25">
      <c r="A102" s="998" t="s">
        <v>1132</v>
      </c>
      <c r="B102" s="999"/>
      <c r="C102" s="999"/>
      <c r="D102" s="999"/>
      <c r="E102" s="1000"/>
      <c r="F102" s="381">
        <f>F87</f>
        <v>2</v>
      </c>
      <c r="G102" s="258">
        <f>G87</f>
        <v>5.04</v>
      </c>
    </row>
    <row r="103" spans="1:12" x14ac:dyDescent="0.25">
      <c r="A103" s="1032" t="s">
        <v>1133</v>
      </c>
      <c r="B103" s="1033"/>
      <c r="C103" s="1033"/>
      <c r="D103" s="1033"/>
      <c r="E103" s="1034"/>
      <c r="F103" s="382">
        <f>F84</f>
        <v>1</v>
      </c>
      <c r="G103" s="310">
        <f>SUM(G93+G95)</f>
        <v>2.94</v>
      </c>
    </row>
    <row r="104" spans="1:12" x14ac:dyDescent="0.25">
      <c r="A104" s="971" t="s">
        <v>1134</v>
      </c>
      <c r="B104" s="972"/>
      <c r="C104" s="972"/>
      <c r="D104" s="972"/>
      <c r="E104" s="973"/>
      <c r="F104" s="383">
        <f>F94+F96</f>
        <v>5</v>
      </c>
      <c r="G104" s="238">
        <f>SUM(G94+G96)</f>
        <v>4.8</v>
      </c>
    </row>
    <row r="105" spans="1:12" x14ac:dyDescent="0.25">
      <c r="A105" s="995" t="s">
        <v>285</v>
      </c>
      <c r="B105" s="996"/>
      <c r="C105" s="996"/>
      <c r="D105" s="996"/>
      <c r="E105" s="997"/>
      <c r="F105" s="384">
        <f>SUM(F97:F104)</f>
        <v>22</v>
      </c>
      <c r="G105" s="342">
        <f>SUM(G97:G104)</f>
        <v>37.349999999999994</v>
      </c>
    </row>
    <row r="106" spans="1:12" x14ac:dyDescent="0.25">
      <c r="A106" s="1054" t="s">
        <v>1135</v>
      </c>
      <c r="B106" s="1044"/>
      <c r="C106" s="1044"/>
      <c r="D106" s="1044"/>
      <c r="E106" s="1055"/>
      <c r="F106" s="1055"/>
      <c r="G106" s="1056"/>
    </row>
    <row r="107" spans="1:12" x14ac:dyDescent="0.25">
      <c r="A107" s="319" t="s">
        <v>1136</v>
      </c>
      <c r="B107" s="368" t="s">
        <v>1137</v>
      </c>
      <c r="C107" s="366" t="s">
        <v>1138</v>
      </c>
      <c r="D107" s="368" t="s">
        <v>736</v>
      </c>
      <c r="E107" s="368" t="s">
        <v>1139</v>
      </c>
      <c r="F107" s="368" t="s">
        <v>1140</v>
      </c>
      <c r="G107" s="368" t="s">
        <v>1141</v>
      </c>
      <c r="H107" s="368" t="s">
        <v>1142</v>
      </c>
      <c r="I107" s="368" t="s">
        <v>1143</v>
      </c>
      <c r="K107" s="368" t="s">
        <v>1144</v>
      </c>
      <c r="L107" s="368" t="s">
        <v>1145</v>
      </c>
    </row>
    <row r="108" spans="1:12" x14ac:dyDescent="0.25">
      <c r="A108" s="334" t="s">
        <v>1146</v>
      </c>
      <c r="B108" s="405">
        <v>0.7</v>
      </c>
      <c r="C108" s="406" t="s">
        <v>1147</v>
      </c>
      <c r="D108" s="405">
        <v>4</v>
      </c>
      <c r="E108" s="405">
        <f>B108</f>
        <v>0.7</v>
      </c>
      <c r="F108" s="405">
        <f>IF(E108=0,0,IF(E108/10&lt;0.15,E108+0.3,(E108/10)*2+E108))</f>
        <v>1</v>
      </c>
      <c r="G108" s="405">
        <f>IF(C108="P",0,IF(E108=0,0,IF(E108/5&lt;0.3,E108+0.6,(E108/5)*2+E108)))</f>
        <v>1.2999999999999998</v>
      </c>
      <c r="H108" s="405">
        <f>(F108-E108)/2</f>
        <v>0.15000000000000002</v>
      </c>
      <c r="I108" s="405">
        <f>IF(G108=0,0,(G108-E108)/2)</f>
        <v>0.29999999999999993</v>
      </c>
      <c r="J108" s="322"/>
      <c r="K108" s="405">
        <f>D108*F108</f>
        <v>4</v>
      </c>
      <c r="L108" s="405">
        <f>D108*G108</f>
        <v>5.1999999999999993</v>
      </c>
    </row>
    <row r="109" spans="1:12" x14ac:dyDescent="0.25">
      <c r="A109" s="334" t="s">
        <v>1146</v>
      </c>
      <c r="B109" s="405">
        <v>1.6</v>
      </c>
      <c r="C109" s="406" t="s">
        <v>1147</v>
      </c>
      <c r="D109" s="405">
        <v>1</v>
      </c>
      <c r="E109" s="405">
        <v>1.6</v>
      </c>
      <c r="F109" s="405">
        <f t="shared" ref="F109:F120" si="2">IF(E109=0,0,IF(E109/10&lt;0.15,E109+0.3,(E109/10)*2+E109))</f>
        <v>1.9200000000000002</v>
      </c>
      <c r="G109" s="405">
        <f t="shared" ref="G109:G120" si="3">IF(C109="P",0,IF(E109=0,0,IF(E109/5&lt;0.3,E109+0.6,(E109/5)*2+E109)))</f>
        <v>2.2400000000000002</v>
      </c>
      <c r="H109" s="405">
        <f t="shared" ref="H109:H120" si="4">(F109-E109)/2</f>
        <v>0.16000000000000003</v>
      </c>
      <c r="I109" s="405">
        <f t="shared" ref="I109:I120" si="5">IF(G109=0,0,(G109-E109)/2)</f>
        <v>0.32000000000000006</v>
      </c>
      <c r="J109" s="322"/>
      <c r="K109" s="405">
        <f t="shared" ref="K109:K120" si="6">D109*F109</f>
        <v>1.9200000000000002</v>
      </c>
      <c r="L109" s="405">
        <f t="shared" ref="L109:L120" si="7">D109*G109</f>
        <v>2.2400000000000002</v>
      </c>
    </row>
    <row r="110" spans="1:12" x14ac:dyDescent="0.25">
      <c r="A110" s="334" t="s">
        <v>1146</v>
      </c>
      <c r="B110" s="405">
        <v>2.2000000000000002</v>
      </c>
      <c r="C110" s="406" t="s">
        <v>1147</v>
      </c>
      <c r="D110" s="405">
        <v>5</v>
      </c>
      <c r="E110" s="405">
        <v>2.2000000000000002</v>
      </c>
      <c r="F110" s="405">
        <f t="shared" si="2"/>
        <v>2.64</v>
      </c>
      <c r="G110" s="405">
        <f t="shared" si="3"/>
        <v>3.08</v>
      </c>
      <c r="H110" s="405">
        <f t="shared" si="4"/>
        <v>0.21999999999999997</v>
      </c>
      <c r="I110" s="405">
        <f t="shared" si="5"/>
        <v>0.43999999999999995</v>
      </c>
      <c r="J110" s="322"/>
      <c r="K110" s="405">
        <f t="shared" si="6"/>
        <v>13.200000000000001</v>
      </c>
      <c r="L110" s="405">
        <f t="shared" si="7"/>
        <v>15.4</v>
      </c>
    </row>
    <row r="111" spans="1:12" x14ac:dyDescent="0.25">
      <c r="A111" s="334" t="s">
        <v>1146</v>
      </c>
      <c r="B111" s="405">
        <v>3.14</v>
      </c>
      <c r="C111" s="406" t="s">
        <v>1147</v>
      </c>
      <c r="D111" s="405">
        <v>2</v>
      </c>
      <c r="E111" s="405">
        <v>3.14</v>
      </c>
      <c r="F111" s="405">
        <f t="shared" si="2"/>
        <v>3.7680000000000002</v>
      </c>
      <c r="G111" s="405">
        <f t="shared" si="3"/>
        <v>4.3959999999999999</v>
      </c>
      <c r="H111" s="405">
        <f t="shared" si="4"/>
        <v>0.31400000000000006</v>
      </c>
      <c r="I111" s="405">
        <f t="shared" si="5"/>
        <v>0.62799999999999989</v>
      </c>
      <c r="J111" s="322"/>
      <c r="K111" s="405">
        <f t="shared" si="6"/>
        <v>7.5360000000000005</v>
      </c>
      <c r="L111" s="405">
        <f t="shared" si="7"/>
        <v>8.7919999999999998</v>
      </c>
    </row>
    <row r="112" spans="1:12" x14ac:dyDescent="0.25">
      <c r="A112" s="334" t="s">
        <v>1146</v>
      </c>
      <c r="B112" s="405">
        <v>4.8250000000000002</v>
      </c>
      <c r="C112" s="406" t="s">
        <v>1147</v>
      </c>
      <c r="D112" s="405">
        <v>2</v>
      </c>
      <c r="E112" s="405">
        <f>B112</f>
        <v>4.8250000000000002</v>
      </c>
      <c r="F112" s="405">
        <f t="shared" si="2"/>
        <v>5.79</v>
      </c>
      <c r="G112" s="405">
        <f t="shared" si="3"/>
        <v>6.7550000000000008</v>
      </c>
      <c r="H112" s="405">
        <f t="shared" si="4"/>
        <v>0.48249999999999993</v>
      </c>
      <c r="I112" s="405">
        <f t="shared" si="5"/>
        <v>0.9650000000000003</v>
      </c>
      <c r="J112" s="322"/>
      <c r="K112" s="405">
        <f t="shared" si="6"/>
        <v>11.58</v>
      </c>
      <c r="L112" s="405">
        <f t="shared" si="7"/>
        <v>13.510000000000002</v>
      </c>
    </row>
    <row r="113" spans="1:12" x14ac:dyDescent="0.25">
      <c r="A113" s="334" t="s">
        <v>1146</v>
      </c>
      <c r="B113" s="405">
        <v>1.8</v>
      </c>
      <c r="C113" s="406" t="s">
        <v>1147</v>
      </c>
      <c r="D113" s="405">
        <v>2</v>
      </c>
      <c r="E113" s="405">
        <f>B113</f>
        <v>1.8</v>
      </c>
      <c r="F113" s="405">
        <f t="shared" si="2"/>
        <v>2.16</v>
      </c>
      <c r="G113" s="405">
        <f t="shared" si="3"/>
        <v>2.52</v>
      </c>
      <c r="H113" s="405">
        <f t="shared" si="4"/>
        <v>0.18000000000000005</v>
      </c>
      <c r="I113" s="405">
        <f t="shared" si="5"/>
        <v>0.36</v>
      </c>
      <c r="J113" s="322"/>
      <c r="K113" s="405">
        <f t="shared" si="6"/>
        <v>4.32</v>
      </c>
      <c r="L113" s="405">
        <f t="shared" si="7"/>
        <v>5.04</v>
      </c>
    </row>
    <row r="114" spans="1:12" x14ac:dyDescent="0.25">
      <c r="A114" s="334" t="s">
        <v>1146</v>
      </c>
      <c r="B114" s="405">
        <v>3.58</v>
      </c>
      <c r="C114" s="406" t="s">
        <v>1147</v>
      </c>
      <c r="D114" s="405">
        <v>1</v>
      </c>
      <c r="E114" s="405">
        <v>3.58</v>
      </c>
      <c r="F114" s="405">
        <f t="shared" si="2"/>
        <v>4.2960000000000003</v>
      </c>
      <c r="G114" s="405">
        <f t="shared" si="3"/>
        <v>5.0120000000000005</v>
      </c>
      <c r="H114" s="405">
        <f t="shared" si="4"/>
        <v>0.3580000000000001</v>
      </c>
      <c r="I114" s="405">
        <f t="shared" si="5"/>
        <v>0.71600000000000019</v>
      </c>
      <c r="J114" s="322"/>
      <c r="K114" s="405">
        <f t="shared" si="6"/>
        <v>4.2960000000000003</v>
      </c>
      <c r="L114" s="405">
        <f t="shared" si="7"/>
        <v>5.0120000000000005</v>
      </c>
    </row>
    <row r="115" spans="1:12" x14ac:dyDescent="0.25">
      <c r="A115" s="334" t="s">
        <v>1148</v>
      </c>
      <c r="B115" s="366">
        <v>1.2</v>
      </c>
      <c r="C115" s="407" t="s">
        <v>1149</v>
      </c>
      <c r="D115" s="366">
        <v>2</v>
      </c>
      <c r="E115" s="366">
        <v>1.2</v>
      </c>
      <c r="F115" s="366">
        <f t="shared" si="2"/>
        <v>1.5</v>
      </c>
      <c r="G115" s="366">
        <f t="shared" si="3"/>
        <v>0</v>
      </c>
      <c r="H115" s="366">
        <f t="shared" si="4"/>
        <v>0.15000000000000002</v>
      </c>
      <c r="I115" s="366">
        <f t="shared" si="5"/>
        <v>0</v>
      </c>
      <c r="J115" s="408"/>
      <c r="K115" s="366">
        <f t="shared" si="6"/>
        <v>3</v>
      </c>
      <c r="L115" s="366">
        <f t="shared" si="7"/>
        <v>0</v>
      </c>
    </row>
    <row r="116" spans="1:12" x14ac:dyDescent="0.25">
      <c r="A116" s="334" t="s">
        <v>1148</v>
      </c>
      <c r="B116" s="366">
        <v>0.7</v>
      </c>
      <c r="C116" s="407" t="s">
        <v>1149</v>
      </c>
      <c r="D116" s="366">
        <v>5</v>
      </c>
      <c r="E116" s="366">
        <v>0.7</v>
      </c>
      <c r="F116" s="366">
        <f t="shared" si="2"/>
        <v>1</v>
      </c>
      <c r="G116" s="366">
        <f t="shared" si="3"/>
        <v>0</v>
      </c>
      <c r="H116" s="366">
        <f t="shared" si="4"/>
        <v>0.15000000000000002</v>
      </c>
      <c r="I116" s="366">
        <f t="shared" si="5"/>
        <v>0</v>
      </c>
      <c r="J116" s="408"/>
      <c r="K116" s="366">
        <f t="shared" si="6"/>
        <v>5</v>
      </c>
      <c r="L116" s="366">
        <f t="shared" si="7"/>
        <v>0</v>
      </c>
    </row>
    <row r="117" spans="1:12" x14ac:dyDescent="0.25">
      <c r="A117" s="334" t="s">
        <v>1148</v>
      </c>
      <c r="B117" s="366">
        <v>0.8</v>
      </c>
      <c r="C117" s="407" t="s">
        <v>1149</v>
      </c>
      <c r="D117" s="366">
        <v>6</v>
      </c>
      <c r="E117" s="366">
        <v>0.8</v>
      </c>
      <c r="F117" s="366">
        <f t="shared" si="2"/>
        <v>1.1000000000000001</v>
      </c>
      <c r="G117" s="366">
        <f t="shared" si="3"/>
        <v>0</v>
      </c>
      <c r="H117" s="366">
        <f t="shared" si="4"/>
        <v>0.15000000000000002</v>
      </c>
      <c r="I117" s="366">
        <f t="shared" si="5"/>
        <v>0</v>
      </c>
      <c r="J117" s="408"/>
      <c r="K117" s="366">
        <f t="shared" si="6"/>
        <v>6.6000000000000005</v>
      </c>
      <c r="L117" s="366">
        <f t="shared" si="7"/>
        <v>0</v>
      </c>
    </row>
    <row r="118" spans="1:12" x14ac:dyDescent="0.25">
      <c r="A118" s="334" t="s">
        <v>1148</v>
      </c>
      <c r="B118" s="366">
        <v>0.9</v>
      </c>
      <c r="C118" s="407" t="s">
        <v>1149</v>
      </c>
      <c r="D118" s="366">
        <v>1</v>
      </c>
      <c r="E118" s="366">
        <v>0.9</v>
      </c>
      <c r="F118" s="366">
        <f t="shared" si="2"/>
        <v>1.2</v>
      </c>
      <c r="G118" s="366">
        <f t="shared" si="3"/>
        <v>0</v>
      </c>
      <c r="H118" s="366">
        <f t="shared" si="4"/>
        <v>0.14999999999999997</v>
      </c>
      <c r="I118" s="366">
        <f t="shared" si="5"/>
        <v>0</v>
      </c>
      <c r="J118" s="408"/>
      <c r="K118" s="366">
        <f t="shared" si="6"/>
        <v>1.2</v>
      </c>
      <c r="L118" s="366">
        <f t="shared" si="7"/>
        <v>0</v>
      </c>
    </row>
    <row r="119" spans="1:12" x14ac:dyDescent="0.25">
      <c r="A119" s="334" t="s">
        <v>1148</v>
      </c>
      <c r="B119" s="366">
        <v>0.9</v>
      </c>
      <c r="C119" s="407" t="s">
        <v>1149</v>
      </c>
      <c r="D119" s="366">
        <v>1</v>
      </c>
      <c r="E119" s="366">
        <v>0.9</v>
      </c>
      <c r="F119" s="366">
        <f t="shared" si="2"/>
        <v>1.2</v>
      </c>
      <c r="G119" s="366">
        <f t="shared" si="3"/>
        <v>0</v>
      </c>
      <c r="H119" s="366">
        <f t="shared" si="4"/>
        <v>0.14999999999999997</v>
      </c>
      <c r="I119" s="366">
        <f t="shared" si="5"/>
        <v>0</v>
      </c>
      <c r="J119" s="408"/>
      <c r="K119" s="366">
        <f t="shared" si="6"/>
        <v>1.2</v>
      </c>
      <c r="L119" s="366">
        <f t="shared" si="7"/>
        <v>0</v>
      </c>
    </row>
    <row r="120" spans="1:12" x14ac:dyDescent="0.25">
      <c r="A120" s="334" t="s">
        <v>1148</v>
      </c>
      <c r="B120" s="366">
        <v>1.6</v>
      </c>
      <c r="C120" s="407" t="s">
        <v>1149</v>
      </c>
      <c r="D120" s="366">
        <v>1</v>
      </c>
      <c r="E120" s="366">
        <v>1.6</v>
      </c>
      <c r="F120" s="366">
        <f t="shared" si="2"/>
        <v>1.9200000000000002</v>
      </c>
      <c r="G120" s="366">
        <f t="shared" si="3"/>
        <v>0</v>
      </c>
      <c r="H120" s="366">
        <f t="shared" si="4"/>
        <v>0.16000000000000003</v>
      </c>
      <c r="I120" s="366">
        <f t="shared" si="5"/>
        <v>0</v>
      </c>
      <c r="J120" s="408"/>
      <c r="K120" s="366">
        <f t="shared" si="6"/>
        <v>1.9200000000000002</v>
      </c>
      <c r="L120" s="366">
        <f t="shared" si="7"/>
        <v>0</v>
      </c>
    </row>
    <row r="121" spans="1:12" x14ac:dyDescent="0.25">
      <c r="A121" s="478"/>
      <c r="B121" s="479"/>
      <c r="C121" s="479"/>
      <c r="D121" s="479"/>
      <c r="E121" s="479"/>
      <c r="F121" s="479"/>
      <c r="G121" s="480"/>
    </row>
    <row r="122" spans="1:12" x14ac:dyDescent="0.25">
      <c r="A122" s="481"/>
      <c r="G122" s="482"/>
    </row>
    <row r="123" spans="1:12" x14ac:dyDescent="0.25">
      <c r="A123" s="481"/>
      <c r="B123" s="366" t="s">
        <v>1150</v>
      </c>
      <c r="C123" s="366">
        <f>SUM(K108:K120)</f>
        <v>65.772000000000006</v>
      </c>
      <c r="G123" s="482"/>
    </row>
    <row r="124" spans="1:12" x14ac:dyDescent="0.25">
      <c r="A124" s="481"/>
      <c r="B124" s="366" t="s">
        <v>1151</v>
      </c>
      <c r="C124" s="366">
        <f>SUM(L108:L120)</f>
        <v>55.193999999999996</v>
      </c>
      <c r="G124" s="482"/>
    </row>
    <row r="125" spans="1:12" x14ac:dyDescent="0.25">
      <c r="A125" s="481"/>
      <c r="B125" s="366" t="s">
        <v>1152</v>
      </c>
      <c r="C125" s="366">
        <f>SUM(C123:C124)</f>
        <v>120.96600000000001</v>
      </c>
      <c r="G125" s="482"/>
    </row>
    <row r="126" spans="1:12" x14ac:dyDescent="0.25">
      <c r="A126" s="1045"/>
      <c r="B126" s="1046"/>
      <c r="C126" s="1046"/>
      <c r="D126" s="1046"/>
      <c r="E126" s="1046"/>
      <c r="F126" s="1046"/>
      <c r="G126" s="1047"/>
    </row>
    <row r="127" spans="1:12" x14ac:dyDescent="0.25">
      <c r="A127" s="1045"/>
      <c r="B127" s="1046"/>
      <c r="C127" s="1046"/>
      <c r="D127" s="1046"/>
      <c r="E127" s="1046"/>
      <c r="F127" s="1046"/>
      <c r="G127" s="1047"/>
    </row>
    <row r="128" spans="1:12" x14ac:dyDescent="0.25">
      <c r="A128" s="1045"/>
      <c r="B128" s="1046"/>
      <c r="C128" s="1046"/>
      <c r="D128" s="1046"/>
      <c r="E128" s="1046"/>
      <c r="F128" s="1046"/>
      <c r="G128" s="1047"/>
    </row>
    <row r="129" spans="1:14" x14ac:dyDescent="0.25">
      <c r="A129" s="1045"/>
      <c r="B129" s="1046"/>
      <c r="C129" s="1046"/>
      <c r="D129" s="1046"/>
      <c r="E129" s="1046"/>
      <c r="F129" s="1046"/>
      <c r="G129" s="1047"/>
    </row>
    <row r="130" spans="1:14" x14ac:dyDescent="0.25">
      <c r="A130" s="1045"/>
      <c r="B130" s="1046"/>
      <c r="C130" s="1046"/>
      <c r="D130" s="1046"/>
      <c r="E130" s="1046"/>
      <c r="F130" s="1046"/>
      <c r="G130" s="1047"/>
    </row>
    <row r="131" spans="1:14" x14ac:dyDescent="0.25">
      <c r="A131" s="1045"/>
      <c r="B131" s="1046"/>
      <c r="C131" s="1046"/>
      <c r="D131" s="1046"/>
      <c r="E131" s="1046"/>
      <c r="F131" s="1046"/>
      <c r="G131" s="1047"/>
    </row>
    <row r="132" spans="1:14" x14ac:dyDescent="0.25">
      <c r="A132" s="1045"/>
      <c r="B132" s="1046"/>
      <c r="C132" s="1046"/>
      <c r="D132" s="1046"/>
      <c r="E132" s="1046"/>
      <c r="F132" s="1046"/>
      <c r="G132" s="1047"/>
    </row>
    <row r="133" spans="1:14" x14ac:dyDescent="0.25">
      <c r="A133" s="1045"/>
      <c r="B133" s="1046"/>
      <c r="C133" s="1046"/>
      <c r="D133" s="1046"/>
      <c r="E133" s="1046"/>
      <c r="F133" s="1046"/>
      <c r="G133" s="1047"/>
    </row>
    <row r="134" spans="1:14" x14ac:dyDescent="0.25">
      <c r="A134" s="1045"/>
      <c r="B134" s="1046"/>
      <c r="C134" s="1046"/>
      <c r="D134" s="1046"/>
      <c r="E134" s="1046"/>
      <c r="F134" s="1046"/>
      <c r="G134" s="1047"/>
    </row>
    <row r="135" spans="1:14" x14ac:dyDescent="0.25">
      <c r="A135" s="1045"/>
      <c r="B135" s="1046"/>
      <c r="C135" s="1046"/>
      <c r="D135" s="1046"/>
      <c r="E135" s="1046"/>
      <c r="F135" s="1046"/>
      <c r="G135" s="1047"/>
    </row>
    <row r="136" spans="1:14" x14ac:dyDescent="0.25">
      <c r="A136" s="1048"/>
      <c r="B136" s="1049"/>
      <c r="C136" s="1049"/>
      <c r="D136" s="1049"/>
      <c r="E136" s="1049"/>
      <c r="F136" s="1049"/>
      <c r="G136" s="1050"/>
    </row>
    <row r="137" spans="1:14" x14ac:dyDescent="0.25">
      <c r="A137" s="1044"/>
      <c r="B137" s="1044"/>
      <c r="C137" s="1044"/>
      <c r="D137" s="1044"/>
      <c r="E137" s="1044"/>
      <c r="F137" s="1044"/>
      <c r="G137" s="1044"/>
      <c r="H137" s="1044"/>
      <c r="I137" s="1044"/>
      <c r="J137" s="1044"/>
      <c r="K137" s="1044"/>
      <c r="L137" s="1044"/>
      <c r="M137" s="1044"/>
      <c r="N137" s="1044"/>
    </row>
  </sheetData>
  <mergeCells count="30">
    <mergeCell ref="A137:G137"/>
    <mergeCell ref="A126:G136"/>
    <mergeCell ref="H137:N137"/>
    <mergeCell ref="A1:G2"/>
    <mergeCell ref="A3:D3"/>
    <mergeCell ref="A4:D8"/>
    <mergeCell ref="G4:G5"/>
    <mergeCell ref="G7:G8"/>
    <mergeCell ref="A50:E50"/>
    <mergeCell ref="A52:E52"/>
    <mergeCell ref="A9:G9"/>
    <mergeCell ref="A10:G10"/>
    <mergeCell ref="A11:G32"/>
    <mergeCell ref="A33:G33"/>
    <mergeCell ref="A97:E97"/>
    <mergeCell ref="A106:G106"/>
    <mergeCell ref="A104:E104"/>
    <mergeCell ref="A105:E105"/>
    <mergeCell ref="E3:F8"/>
    <mergeCell ref="A51:E51"/>
    <mergeCell ref="A103:E103"/>
    <mergeCell ref="A102:E102"/>
    <mergeCell ref="A101:E101"/>
    <mergeCell ref="A100:E100"/>
    <mergeCell ref="A99:E99"/>
    <mergeCell ref="A98:E98"/>
    <mergeCell ref="A53:G53"/>
    <mergeCell ref="A54:G54"/>
    <mergeCell ref="A55:G76"/>
    <mergeCell ref="A77:G77"/>
  </mergeCells>
  <pageMargins left="0.7" right="0.7" top="0.75" bottom="0.75" header="0.3" footer="0.3"/>
  <pageSetup paperSize="9" scale="46" orientation="portrait" horizontalDpi="4294967293"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90877-1340-4119-B163-E6408B9A41AC}">
  <sheetPr>
    <tabColor theme="1" tint="0.34998626667073579"/>
  </sheetPr>
  <dimension ref="A1:E124"/>
  <sheetViews>
    <sheetView view="pageBreakPreview" topLeftCell="A96" zoomScaleNormal="115" zoomScaleSheetLayoutView="100" workbookViewId="0">
      <selection activeCell="E68" sqref="E68"/>
    </sheetView>
  </sheetViews>
  <sheetFormatPr defaultRowHeight="15" x14ac:dyDescent="0.25"/>
  <cols>
    <col min="1" max="1" width="31.42578125" customWidth="1"/>
    <col min="2" max="2" width="18" customWidth="1"/>
    <col min="3" max="3" width="18.710937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1153</v>
      </c>
      <c r="B3" s="987"/>
      <c r="C3" s="988"/>
      <c r="D3" s="989"/>
      <c r="E3" s="228" t="s">
        <v>993</v>
      </c>
    </row>
    <row r="4" spans="1:5" ht="15" customHeight="1" x14ac:dyDescent="0.25">
      <c r="A4" s="992" t="s">
        <v>983</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1154</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66" t="s">
        <v>1154</v>
      </c>
      <c r="B27" s="966"/>
      <c r="C27" s="966"/>
      <c r="D27" s="966"/>
      <c r="E27" s="966"/>
    </row>
    <row r="28" spans="1:5" x14ac:dyDescent="0.25">
      <c r="A28" s="967" t="s">
        <v>1087</v>
      </c>
      <c r="B28" s="968"/>
      <c r="C28" s="229" t="s">
        <v>1155</v>
      </c>
      <c r="D28" s="229" t="s">
        <v>1089</v>
      </c>
      <c r="E28" s="229" t="s">
        <v>1003</v>
      </c>
    </row>
    <row r="29" spans="1:5" ht="30.75" customHeight="1" x14ac:dyDescent="0.25">
      <c r="A29" s="1057" t="s">
        <v>1156</v>
      </c>
      <c r="B29" s="1058"/>
      <c r="C29" s="332">
        <f>12.19+12.19+20.06</f>
        <v>44.44</v>
      </c>
      <c r="D29" s="332">
        <v>4.7300000000000004</v>
      </c>
      <c r="E29" s="232">
        <f>C29*D29</f>
        <v>210.2012</v>
      </c>
    </row>
    <row r="30" spans="1:5" ht="30.75" customHeight="1" x14ac:dyDescent="0.25">
      <c r="A30" s="1057" t="s">
        <v>1157</v>
      </c>
      <c r="B30" s="1058"/>
      <c r="C30" s="332">
        <f>(3.65*2)+(2.94*2)</f>
        <v>13.18</v>
      </c>
      <c r="D30" s="332">
        <v>4.3499999999999996</v>
      </c>
      <c r="E30" s="232">
        <f t="shared" ref="E30:E41" si="0">C30*D30</f>
        <v>57.332999999999991</v>
      </c>
    </row>
    <row r="31" spans="1:5" ht="30.75" customHeight="1" x14ac:dyDescent="0.25">
      <c r="A31" s="1057" t="s">
        <v>1094</v>
      </c>
      <c r="B31" s="1058"/>
      <c r="C31" s="332">
        <f>(3.58*2)+(2.94*2)</f>
        <v>13.04</v>
      </c>
      <c r="D31" s="332">
        <v>4.3499999999999996</v>
      </c>
      <c r="E31" s="232">
        <f t="shared" si="0"/>
        <v>56.72399999999999</v>
      </c>
    </row>
    <row r="32" spans="1:5" ht="30.75" customHeight="1" x14ac:dyDescent="0.25">
      <c r="A32" s="1057" t="s">
        <v>1158</v>
      </c>
      <c r="B32" s="1058"/>
      <c r="C32" s="332">
        <f>(5.965*2)+(2.94*2)</f>
        <v>17.809999999999999</v>
      </c>
      <c r="D32" s="332">
        <v>4.3499999999999996</v>
      </c>
      <c r="E32" s="232">
        <f t="shared" si="0"/>
        <v>77.473499999999987</v>
      </c>
    </row>
    <row r="33" spans="1:5" ht="30.75" customHeight="1" x14ac:dyDescent="0.25">
      <c r="A33" s="1057" t="s">
        <v>1159</v>
      </c>
      <c r="B33" s="1058"/>
      <c r="C33" s="332">
        <f>(3*2)+(2.94*2)</f>
        <v>11.879999999999999</v>
      </c>
      <c r="D33" s="332">
        <v>4.3499999999999996</v>
      </c>
      <c r="E33" s="232">
        <f t="shared" si="0"/>
        <v>51.67799999999999</v>
      </c>
    </row>
    <row r="34" spans="1:5" ht="30.75" customHeight="1" x14ac:dyDescent="0.25">
      <c r="A34" s="1057" t="s">
        <v>1100</v>
      </c>
      <c r="B34" s="1058"/>
      <c r="C34" s="332">
        <f>(3.265*2)+(2.94*2)</f>
        <v>12.41</v>
      </c>
      <c r="D34" s="332">
        <v>4.3499999999999996</v>
      </c>
      <c r="E34" s="232">
        <f t="shared" si="0"/>
        <v>53.983499999999999</v>
      </c>
    </row>
    <row r="35" spans="1:5" ht="30.75" customHeight="1" x14ac:dyDescent="0.25">
      <c r="A35" s="1057" t="s">
        <v>1160</v>
      </c>
      <c r="B35" s="1058"/>
      <c r="C35" s="332">
        <f>(4*(0.35+0.035+0.06))+((0.2+0.2+0.45+0.45)*2)</f>
        <v>4.38</v>
      </c>
      <c r="D35" s="332">
        <v>4.8499999999999996</v>
      </c>
      <c r="E35" s="232">
        <f t="shared" si="0"/>
        <v>21.242999999999999</v>
      </c>
    </row>
    <row r="36" spans="1:5" ht="30.75" customHeight="1" x14ac:dyDescent="0.25">
      <c r="A36" s="1057" t="s">
        <v>1107</v>
      </c>
      <c r="B36" s="1058"/>
      <c r="C36" s="332">
        <f>(2.511*2)+(2.87*2)</f>
        <v>10.762</v>
      </c>
      <c r="D36" s="332">
        <v>2.82</v>
      </c>
      <c r="E36" s="232">
        <f t="shared" si="0"/>
        <v>30.348839999999999</v>
      </c>
    </row>
    <row r="37" spans="1:5" ht="30.75" customHeight="1" x14ac:dyDescent="0.25">
      <c r="A37" s="1057" t="s">
        <v>1123</v>
      </c>
      <c r="B37" s="1058"/>
      <c r="C37" s="332">
        <f>(2.681*2)+(1.88*2)+(0.35+0.35+0.6+0.6)</f>
        <v>11.022</v>
      </c>
      <c r="D37" s="332">
        <v>2.82</v>
      </c>
      <c r="E37" s="232">
        <f t="shared" si="0"/>
        <v>31.082039999999999</v>
      </c>
    </row>
    <row r="38" spans="1:5" ht="30.75" customHeight="1" x14ac:dyDescent="0.25">
      <c r="A38" s="1057" t="s">
        <v>1161</v>
      </c>
      <c r="B38" s="1058"/>
      <c r="C38" s="332">
        <f>(0.6*0.35*4)</f>
        <v>0.84</v>
      </c>
      <c r="D38" s="332">
        <v>2.8</v>
      </c>
      <c r="E38" s="232">
        <f t="shared" si="0"/>
        <v>2.3519999999999999</v>
      </c>
    </row>
    <row r="39" spans="1:5" ht="30.75" customHeight="1" x14ac:dyDescent="0.25">
      <c r="A39" s="1057" t="s">
        <v>1120</v>
      </c>
      <c r="B39" s="1058"/>
      <c r="C39" s="332">
        <f>9.9+9.87+8.712+4.205+1.6+1.6+2.32+2.32</f>
        <v>40.527000000000001</v>
      </c>
      <c r="D39" s="332">
        <v>2.8</v>
      </c>
      <c r="E39" s="232">
        <f t="shared" si="0"/>
        <v>113.4756</v>
      </c>
    </row>
    <row r="40" spans="1:5" ht="30.75" customHeight="1" x14ac:dyDescent="0.25">
      <c r="A40" s="1057" t="s">
        <v>1162</v>
      </c>
      <c r="B40" s="1058"/>
      <c r="C40" s="332">
        <f>(2.207*2)+(4.92*2)</f>
        <v>14.254</v>
      </c>
      <c r="D40" s="332">
        <v>2.8</v>
      </c>
      <c r="E40" s="232">
        <f t="shared" si="0"/>
        <v>39.911199999999994</v>
      </c>
    </row>
    <row r="41" spans="1:5" ht="30.75" customHeight="1" x14ac:dyDescent="0.25">
      <c r="A41" s="1057" t="s">
        <v>1163</v>
      </c>
      <c r="B41" s="1058"/>
      <c r="C41" s="332">
        <f>(0.35*2)+(0.6*2)</f>
        <v>1.9</v>
      </c>
      <c r="D41" s="332">
        <v>2.82</v>
      </c>
      <c r="E41" s="232">
        <f t="shared" si="0"/>
        <v>5.3579999999999997</v>
      </c>
    </row>
    <row r="42" spans="1:5" x14ac:dyDescent="0.25">
      <c r="A42" s="971" t="s">
        <v>1164</v>
      </c>
      <c r="B42" s="972"/>
      <c r="C42" s="972"/>
      <c r="D42" s="973"/>
      <c r="E42" s="317">
        <f>SUM(E29:E41)</f>
        <v>751.16387999999995</v>
      </c>
    </row>
    <row r="43" spans="1:5" x14ac:dyDescent="0.25">
      <c r="A43" s="1061" t="s">
        <v>1165</v>
      </c>
      <c r="B43" s="1061"/>
      <c r="C43" s="1061"/>
      <c r="D43" s="1061"/>
      <c r="E43" s="1061"/>
    </row>
    <row r="44" spans="1:5" x14ac:dyDescent="0.25">
      <c r="A44" s="319" t="s">
        <v>734</v>
      </c>
      <c r="B44" s="333" t="s">
        <v>1166</v>
      </c>
      <c r="C44" s="967" t="s">
        <v>1089</v>
      </c>
      <c r="D44" s="968" t="s">
        <v>1091</v>
      </c>
      <c r="E44" s="229" t="s">
        <v>1003</v>
      </c>
    </row>
    <row r="45" spans="1:5" x14ac:dyDescent="0.25">
      <c r="A45" s="336" t="s">
        <v>1093</v>
      </c>
      <c r="B45" s="331">
        <v>3.14</v>
      </c>
      <c r="C45" s="1059">
        <v>1.3</v>
      </c>
      <c r="D45" s="1060"/>
      <c r="E45" s="335">
        <f>IF(SUM(B45*C45)&gt;=2,B45*C45,0)</f>
        <v>4.0820000000000007</v>
      </c>
    </row>
    <row r="46" spans="1:5" x14ac:dyDescent="0.25">
      <c r="A46" s="336" t="s">
        <v>1115</v>
      </c>
      <c r="B46" s="331">
        <v>0.8</v>
      </c>
      <c r="C46" s="1059">
        <v>2.1</v>
      </c>
      <c r="D46" s="1060"/>
      <c r="E46" s="335">
        <f>IF(SUM(B46*C46)&gt;=2,B46*C46,0)</f>
        <v>0</v>
      </c>
    </row>
    <row r="47" spans="1:5" x14ac:dyDescent="0.25">
      <c r="A47" s="336" t="s">
        <v>1115</v>
      </c>
      <c r="B47" s="331">
        <v>0.8</v>
      </c>
      <c r="C47" s="1059">
        <v>2.1</v>
      </c>
      <c r="D47" s="1060"/>
      <c r="E47" s="335">
        <f>IF(SUM(B47*C47)&gt;=2,B47*C47,0)</f>
        <v>0</v>
      </c>
    </row>
    <row r="48" spans="1:5" x14ac:dyDescent="0.25">
      <c r="A48" s="336" t="s">
        <v>1095</v>
      </c>
      <c r="B48" s="331">
        <v>3.58</v>
      </c>
      <c r="C48" s="1059">
        <v>1.29</v>
      </c>
      <c r="D48" s="1060"/>
      <c r="E48" s="335">
        <f t="shared" ref="E48:E66" si="1">IF(SUM(B48*C48)&gt;=2,B48*C48,0)</f>
        <v>4.6181999999999999</v>
      </c>
    </row>
    <row r="49" spans="1:5" x14ac:dyDescent="0.25">
      <c r="A49" s="336" t="s">
        <v>1096</v>
      </c>
      <c r="B49" s="331">
        <v>4.8250000000000002</v>
      </c>
      <c r="C49" s="1059">
        <v>3.6</v>
      </c>
      <c r="D49" s="1060"/>
      <c r="E49" s="335">
        <f t="shared" si="1"/>
        <v>17.37</v>
      </c>
    </row>
    <row r="50" spans="1:5" x14ac:dyDescent="0.25">
      <c r="A50" s="336" t="s">
        <v>1096</v>
      </c>
      <c r="B50" s="331">
        <v>4.8250000000000002</v>
      </c>
      <c r="C50" s="1059">
        <v>3.6</v>
      </c>
      <c r="D50" s="1060"/>
      <c r="E50" s="335">
        <f t="shared" si="1"/>
        <v>17.37</v>
      </c>
    </row>
    <row r="51" spans="1:5" x14ac:dyDescent="0.25">
      <c r="A51" s="336" t="s">
        <v>1116</v>
      </c>
      <c r="B51" s="331">
        <v>1.6</v>
      </c>
      <c r="C51" s="1059">
        <v>2.1</v>
      </c>
      <c r="D51" s="1060"/>
      <c r="E51" s="335">
        <f t="shared" si="1"/>
        <v>3.3600000000000003</v>
      </c>
    </row>
    <row r="52" spans="1:5" x14ac:dyDescent="0.25">
      <c r="A52" s="336" t="s">
        <v>1099</v>
      </c>
      <c r="B52" s="331">
        <v>1.8</v>
      </c>
      <c r="C52" s="1059">
        <v>1.29</v>
      </c>
      <c r="D52" s="1060"/>
      <c r="E52" s="335">
        <f t="shared" si="1"/>
        <v>2.3220000000000001</v>
      </c>
    </row>
    <row r="53" spans="1:5" x14ac:dyDescent="0.25">
      <c r="A53" s="336" t="s">
        <v>1115</v>
      </c>
      <c r="B53" s="331">
        <v>0.8</v>
      </c>
      <c r="C53" s="1059">
        <v>2.1</v>
      </c>
      <c r="D53" s="1060"/>
      <c r="E53" s="335">
        <f t="shared" si="1"/>
        <v>0</v>
      </c>
    </row>
    <row r="54" spans="1:5" x14ac:dyDescent="0.25">
      <c r="A54" s="336" t="s">
        <v>1093</v>
      </c>
      <c r="B54" s="331">
        <v>3.14</v>
      </c>
      <c r="C54" s="1059">
        <v>1.3</v>
      </c>
      <c r="D54" s="1060"/>
      <c r="E54" s="335">
        <f t="shared" si="1"/>
        <v>4.0820000000000007</v>
      </c>
    </row>
    <row r="55" spans="1:5" x14ac:dyDescent="0.25">
      <c r="A55" s="336" t="s">
        <v>1115</v>
      </c>
      <c r="B55" s="331">
        <v>0.8</v>
      </c>
      <c r="C55" s="1059">
        <v>2.1</v>
      </c>
      <c r="D55" s="1060"/>
      <c r="E55" s="335">
        <f t="shared" si="1"/>
        <v>0</v>
      </c>
    </row>
    <row r="56" spans="1:5" x14ac:dyDescent="0.25">
      <c r="A56" s="336" t="s">
        <v>1099</v>
      </c>
      <c r="B56" s="331">
        <v>1.8</v>
      </c>
      <c r="C56" s="1059">
        <v>1.29</v>
      </c>
      <c r="D56" s="1060"/>
      <c r="E56" s="335">
        <f t="shared" si="1"/>
        <v>2.3220000000000001</v>
      </c>
    </row>
    <row r="57" spans="1:5" x14ac:dyDescent="0.25">
      <c r="A57" s="336" t="s">
        <v>1104</v>
      </c>
      <c r="B57" s="331">
        <v>0.7</v>
      </c>
      <c r="C57" s="1059">
        <v>0.5</v>
      </c>
      <c r="D57" s="1060"/>
      <c r="E57" s="335">
        <f t="shared" si="1"/>
        <v>0</v>
      </c>
    </row>
    <row r="58" spans="1:5" x14ac:dyDescent="0.25">
      <c r="A58" s="336" t="s">
        <v>1122</v>
      </c>
      <c r="B58" s="331">
        <v>0.7</v>
      </c>
      <c r="C58" s="1059">
        <v>2.1</v>
      </c>
      <c r="D58" s="1060"/>
      <c r="E58" s="335">
        <f t="shared" si="1"/>
        <v>0</v>
      </c>
    </row>
    <row r="59" spans="1:5" x14ac:dyDescent="0.25">
      <c r="A59" s="336" t="s">
        <v>1122</v>
      </c>
      <c r="B59" s="331">
        <v>0.7</v>
      </c>
      <c r="C59" s="1059">
        <v>2.1</v>
      </c>
      <c r="D59" s="1060"/>
      <c r="E59" s="335">
        <f t="shared" si="1"/>
        <v>0</v>
      </c>
    </row>
    <row r="60" spans="1:5" x14ac:dyDescent="0.25">
      <c r="A60" s="336" t="s">
        <v>1121</v>
      </c>
      <c r="B60" s="331">
        <v>1.2</v>
      </c>
      <c r="C60" s="1059">
        <v>2.1</v>
      </c>
      <c r="D60" s="1060"/>
      <c r="E60" s="335">
        <f t="shared" si="1"/>
        <v>2.52</v>
      </c>
    </row>
    <row r="61" spans="1:5" x14ac:dyDescent="0.25">
      <c r="A61" s="336" t="s">
        <v>1121</v>
      </c>
      <c r="B61" s="331">
        <v>1.2</v>
      </c>
      <c r="C61" s="1059">
        <v>2.1</v>
      </c>
      <c r="D61" s="1060"/>
      <c r="E61" s="335">
        <f t="shared" si="1"/>
        <v>2.52</v>
      </c>
    </row>
    <row r="62" spans="1:5" x14ac:dyDescent="0.25">
      <c r="A62" s="336" t="s">
        <v>1122</v>
      </c>
      <c r="B62" s="331">
        <v>0.7</v>
      </c>
      <c r="C62" s="1059">
        <v>2.1</v>
      </c>
      <c r="D62" s="1060"/>
      <c r="E62" s="335">
        <f t="shared" si="1"/>
        <v>0</v>
      </c>
    </row>
    <row r="63" spans="1:5" x14ac:dyDescent="0.25">
      <c r="A63" s="336" t="s">
        <v>1124</v>
      </c>
      <c r="B63" s="331">
        <v>0.9</v>
      </c>
      <c r="C63" s="1059">
        <v>2.1</v>
      </c>
      <c r="D63" s="1060"/>
      <c r="E63" s="335">
        <f t="shared" si="1"/>
        <v>0</v>
      </c>
    </row>
    <row r="64" spans="1:5" x14ac:dyDescent="0.25">
      <c r="A64" s="336" t="s">
        <v>1122</v>
      </c>
      <c r="B64" s="331">
        <v>0.7</v>
      </c>
      <c r="C64" s="1059">
        <v>2.1</v>
      </c>
      <c r="D64" s="1060"/>
      <c r="E64" s="335">
        <f t="shared" si="1"/>
        <v>0</v>
      </c>
    </row>
    <row r="65" spans="1:5" x14ac:dyDescent="0.25">
      <c r="A65" s="336" t="s">
        <v>1122</v>
      </c>
      <c r="B65" s="331">
        <v>0.7</v>
      </c>
      <c r="C65" s="1059">
        <v>2.1</v>
      </c>
      <c r="D65" s="1060"/>
      <c r="E65" s="335">
        <f t="shared" si="1"/>
        <v>0</v>
      </c>
    </row>
    <row r="66" spans="1:5" x14ac:dyDescent="0.25">
      <c r="A66" s="336" t="s">
        <v>1119</v>
      </c>
      <c r="B66" s="331">
        <v>0.9</v>
      </c>
      <c r="C66" s="1059">
        <v>2.1</v>
      </c>
      <c r="D66" s="1060"/>
      <c r="E66" s="335">
        <f t="shared" si="1"/>
        <v>0</v>
      </c>
    </row>
    <row r="67" spans="1:5" x14ac:dyDescent="0.25">
      <c r="A67" s="971" t="s">
        <v>1164</v>
      </c>
      <c r="B67" s="972"/>
      <c r="C67" s="972"/>
      <c r="D67" s="973"/>
      <c r="E67" s="317">
        <f>SUM(E45:E66)</f>
        <v>60.566200000000016</v>
      </c>
    </row>
    <row r="68" spans="1:5" x14ac:dyDescent="0.25">
      <c r="A68" s="995" t="s">
        <v>285</v>
      </c>
      <c r="B68" s="996"/>
      <c r="C68" s="996"/>
      <c r="D68" s="997"/>
      <c r="E68" s="233">
        <f>E42-E67</f>
        <v>690.59767999999997</v>
      </c>
    </row>
    <row r="69" spans="1:5" x14ac:dyDescent="0.25">
      <c r="A69" s="974" t="s">
        <v>1167</v>
      </c>
      <c r="B69" s="975"/>
      <c r="C69" s="975"/>
      <c r="D69" s="976"/>
      <c r="E69" s="977"/>
    </row>
    <row r="70" spans="1:5" x14ac:dyDescent="0.25">
      <c r="A70" s="978" t="s">
        <v>997</v>
      </c>
      <c r="B70" s="978"/>
      <c r="C70" s="978"/>
      <c r="D70" s="978"/>
      <c r="E70" s="978"/>
    </row>
    <row r="71" spans="1:5" x14ac:dyDescent="0.25">
      <c r="A71" s="979"/>
      <c r="B71" s="979"/>
      <c r="C71" s="979"/>
      <c r="D71" s="979"/>
      <c r="E71" s="979"/>
    </row>
    <row r="72" spans="1:5" x14ac:dyDescent="0.25">
      <c r="A72" s="979"/>
      <c r="B72" s="979"/>
      <c r="C72" s="979"/>
      <c r="D72" s="979"/>
      <c r="E72" s="979"/>
    </row>
    <row r="73" spans="1:5" x14ac:dyDescent="0.25">
      <c r="A73" s="979"/>
      <c r="B73" s="979"/>
      <c r="C73" s="979"/>
      <c r="D73" s="979"/>
      <c r="E73" s="979"/>
    </row>
    <row r="74" spans="1:5" x14ac:dyDescent="0.25">
      <c r="A74" s="979"/>
      <c r="B74" s="979"/>
      <c r="C74" s="979"/>
      <c r="D74" s="979"/>
      <c r="E74" s="979"/>
    </row>
    <row r="75" spans="1:5" x14ac:dyDescent="0.25">
      <c r="A75" s="979"/>
      <c r="B75" s="979"/>
      <c r="C75" s="979"/>
      <c r="D75" s="979"/>
      <c r="E75" s="979"/>
    </row>
    <row r="76" spans="1:5" x14ac:dyDescent="0.25">
      <c r="A76" s="979"/>
      <c r="B76" s="979"/>
      <c r="C76" s="979"/>
      <c r="D76" s="979"/>
      <c r="E76" s="979"/>
    </row>
    <row r="77" spans="1:5" x14ac:dyDescent="0.25">
      <c r="A77" s="979"/>
      <c r="B77" s="979"/>
      <c r="C77" s="979"/>
      <c r="D77" s="979"/>
      <c r="E77" s="979"/>
    </row>
    <row r="78" spans="1:5" x14ac:dyDescent="0.25">
      <c r="A78" s="979"/>
      <c r="B78" s="979"/>
      <c r="C78" s="979"/>
      <c r="D78" s="979"/>
      <c r="E78" s="979"/>
    </row>
    <row r="79" spans="1:5" x14ac:dyDescent="0.25">
      <c r="A79" s="979"/>
      <c r="B79" s="979"/>
      <c r="C79" s="979"/>
      <c r="D79" s="979"/>
      <c r="E79" s="979"/>
    </row>
    <row r="80" spans="1:5" x14ac:dyDescent="0.25">
      <c r="A80" s="979"/>
      <c r="B80" s="979"/>
      <c r="C80" s="979"/>
      <c r="D80" s="979"/>
      <c r="E80" s="979"/>
    </row>
    <row r="81" spans="1:5" x14ac:dyDescent="0.25">
      <c r="A81" s="979"/>
      <c r="B81" s="979"/>
      <c r="C81" s="979"/>
      <c r="D81" s="979"/>
      <c r="E81" s="979"/>
    </row>
    <row r="82" spans="1:5" x14ac:dyDescent="0.25">
      <c r="A82" s="979"/>
      <c r="B82" s="979"/>
      <c r="C82" s="979"/>
      <c r="D82" s="979"/>
      <c r="E82" s="979"/>
    </row>
    <row r="83" spans="1:5" x14ac:dyDescent="0.25">
      <c r="A83" s="979"/>
      <c r="B83" s="979"/>
      <c r="C83" s="979"/>
      <c r="D83" s="979"/>
      <c r="E83" s="979"/>
    </row>
    <row r="84" spans="1:5" x14ac:dyDescent="0.25">
      <c r="A84" s="979"/>
      <c r="B84" s="979"/>
      <c r="C84" s="979"/>
      <c r="D84" s="979"/>
      <c r="E84" s="979"/>
    </row>
    <row r="85" spans="1:5" x14ac:dyDescent="0.25">
      <c r="A85" s="979"/>
      <c r="B85" s="979"/>
      <c r="C85" s="979"/>
      <c r="D85" s="979"/>
      <c r="E85" s="979"/>
    </row>
    <row r="86" spans="1:5" x14ac:dyDescent="0.25">
      <c r="A86" s="979"/>
      <c r="B86" s="979"/>
      <c r="C86" s="979"/>
      <c r="D86" s="979"/>
      <c r="E86" s="979"/>
    </row>
    <row r="87" spans="1:5" x14ac:dyDescent="0.25">
      <c r="A87" s="966" t="s">
        <v>1154</v>
      </c>
      <c r="B87" s="966"/>
      <c r="C87" s="966"/>
      <c r="D87" s="966"/>
      <c r="E87" s="966"/>
    </row>
    <row r="88" spans="1:5" x14ac:dyDescent="0.25">
      <c r="A88" s="967" t="s">
        <v>1087</v>
      </c>
      <c r="B88" s="968"/>
      <c r="C88" s="229" t="s">
        <v>1155</v>
      </c>
      <c r="D88" s="229" t="s">
        <v>1089</v>
      </c>
      <c r="E88" s="229" t="s">
        <v>1003</v>
      </c>
    </row>
    <row r="89" spans="1:5" ht="30.75" customHeight="1" x14ac:dyDescent="0.25">
      <c r="A89" s="1057" t="s">
        <v>1168</v>
      </c>
      <c r="B89" s="1058"/>
      <c r="C89" s="332">
        <f>2.28+15.6+15.36+20.87+15.56+2.28</f>
        <v>71.95</v>
      </c>
      <c r="D89" s="332">
        <v>4.8499999999999996</v>
      </c>
      <c r="E89" s="232">
        <f t="shared" ref="E89:E91" si="2">C89*D89</f>
        <v>348.95749999999998</v>
      </c>
    </row>
    <row r="90" spans="1:5" ht="30.75" customHeight="1" x14ac:dyDescent="0.25">
      <c r="A90" s="1057" t="s">
        <v>1169</v>
      </c>
      <c r="B90" s="1058"/>
      <c r="C90" s="332">
        <f>9.45+20.79+9.47+9.47+2.515</f>
        <v>51.695</v>
      </c>
      <c r="D90" s="332">
        <v>3.12</v>
      </c>
      <c r="E90" s="232">
        <f t="shared" si="2"/>
        <v>161.2884</v>
      </c>
    </row>
    <row r="91" spans="1:5" ht="30.75" customHeight="1" x14ac:dyDescent="0.25">
      <c r="A91" s="1057" t="s">
        <v>1170</v>
      </c>
      <c r="B91" s="1058"/>
      <c r="C91" s="332">
        <f>16.37+19.8+24.21</f>
        <v>60.38</v>
      </c>
      <c r="D91" s="332">
        <v>2.6</v>
      </c>
      <c r="E91" s="232">
        <f t="shared" si="2"/>
        <v>156.988</v>
      </c>
    </row>
    <row r="92" spans="1:5" x14ac:dyDescent="0.25">
      <c r="A92" s="971" t="s">
        <v>1164</v>
      </c>
      <c r="B92" s="972"/>
      <c r="C92" s="972"/>
      <c r="D92" s="973"/>
      <c r="E92" s="317">
        <f>SUM(E89:E91)</f>
        <v>667.23389999999995</v>
      </c>
    </row>
    <row r="93" spans="1:5" x14ac:dyDescent="0.25">
      <c r="A93" s="1061" t="s">
        <v>1165</v>
      </c>
      <c r="B93" s="1061"/>
      <c r="C93" s="1061"/>
      <c r="D93" s="1061"/>
      <c r="E93" s="1061"/>
    </row>
    <row r="94" spans="1:5" x14ac:dyDescent="0.25">
      <c r="A94" s="319" t="s">
        <v>734</v>
      </c>
      <c r="B94" s="333" t="s">
        <v>1166</v>
      </c>
      <c r="C94" s="967" t="s">
        <v>1089</v>
      </c>
      <c r="D94" s="968" t="s">
        <v>1091</v>
      </c>
      <c r="E94" s="229" t="s">
        <v>1003</v>
      </c>
    </row>
    <row r="95" spans="1:5" x14ac:dyDescent="0.25">
      <c r="A95" s="334" t="s">
        <v>1118</v>
      </c>
      <c r="B95" s="414">
        <v>0.8</v>
      </c>
      <c r="C95" s="1059">
        <v>1.9</v>
      </c>
      <c r="D95" s="1060"/>
      <c r="E95" s="335">
        <f t="shared" ref="E95:E111" si="3">IF(SUM(B95*C95)&gt;=2,B95*C95,0)</f>
        <v>0</v>
      </c>
    </row>
    <row r="96" spans="1:5" x14ac:dyDescent="0.25">
      <c r="A96" s="334" t="s">
        <v>1093</v>
      </c>
      <c r="B96" s="331">
        <v>3.14</v>
      </c>
      <c r="C96" s="1059">
        <v>1.3</v>
      </c>
      <c r="D96" s="1060"/>
      <c r="E96" s="335">
        <f t="shared" si="3"/>
        <v>4.0820000000000007</v>
      </c>
    </row>
    <row r="97" spans="1:5" x14ac:dyDescent="0.25">
      <c r="A97" s="334" t="s">
        <v>1096</v>
      </c>
      <c r="B97" s="331">
        <v>4.8250000000000002</v>
      </c>
      <c r="C97" s="1059">
        <v>3.6</v>
      </c>
      <c r="D97" s="1060"/>
      <c r="E97" s="335">
        <f t="shared" si="3"/>
        <v>17.37</v>
      </c>
    </row>
    <row r="98" spans="1:5" x14ac:dyDescent="0.25">
      <c r="A98" s="334" t="s">
        <v>1096</v>
      </c>
      <c r="B98" s="331">
        <v>4.8250000000000002</v>
      </c>
      <c r="C98" s="1059">
        <v>3.6</v>
      </c>
      <c r="D98" s="1060"/>
      <c r="E98" s="335">
        <f t="shared" si="3"/>
        <v>17.37</v>
      </c>
    </row>
    <row r="99" spans="1:5" x14ac:dyDescent="0.25">
      <c r="A99" s="334" t="s">
        <v>1093</v>
      </c>
      <c r="B99" s="331">
        <v>3.14</v>
      </c>
      <c r="C99" s="1059">
        <v>1.3</v>
      </c>
      <c r="D99" s="1060"/>
      <c r="E99" s="335">
        <f t="shared" si="3"/>
        <v>4.0820000000000007</v>
      </c>
    </row>
    <row r="100" spans="1:5" x14ac:dyDescent="0.25">
      <c r="A100" s="334" t="s">
        <v>1104</v>
      </c>
      <c r="B100" s="331">
        <v>0.7</v>
      </c>
      <c r="C100" s="1059">
        <v>0.5</v>
      </c>
      <c r="D100" s="1060"/>
      <c r="E100" s="335">
        <f t="shared" si="3"/>
        <v>0</v>
      </c>
    </row>
    <row r="101" spans="1:5" x14ac:dyDescent="0.25">
      <c r="A101" s="334" t="s">
        <v>1119</v>
      </c>
      <c r="B101" s="331">
        <v>0.9</v>
      </c>
      <c r="C101" s="1059">
        <v>2.1</v>
      </c>
      <c r="D101" s="1060"/>
      <c r="E101" s="335">
        <f t="shared" si="3"/>
        <v>0</v>
      </c>
    </row>
    <row r="102" spans="1:5" x14ac:dyDescent="0.25">
      <c r="A102" s="334" t="s">
        <v>1102</v>
      </c>
      <c r="B102" s="414">
        <v>2.2000000000000002</v>
      </c>
      <c r="C102" s="1059">
        <v>0.5</v>
      </c>
      <c r="D102" s="1060"/>
      <c r="E102" s="335">
        <f t="shared" si="3"/>
        <v>0</v>
      </c>
    </row>
    <row r="103" spans="1:5" x14ac:dyDescent="0.25">
      <c r="A103" s="334" t="s">
        <v>1102</v>
      </c>
      <c r="B103" s="414">
        <v>2.2000000000000002</v>
      </c>
      <c r="C103" s="1059">
        <v>0.5</v>
      </c>
      <c r="D103" s="1060"/>
      <c r="E103" s="335">
        <f t="shared" si="3"/>
        <v>0</v>
      </c>
    </row>
    <row r="104" spans="1:5" x14ac:dyDescent="0.25">
      <c r="A104" s="334" t="s">
        <v>1104</v>
      </c>
      <c r="B104" s="331">
        <v>0.7</v>
      </c>
      <c r="C104" s="1059">
        <v>0.5</v>
      </c>
      <c r="D104" s="1060"/>
      <c r="E104" s="335">
        <f t="shared" si="3"/>
        <v>0</v>
      </c>
    </row>
    <row r="105" spans="1:5" x14ac:dyDescent="0.25">
      <c r="A105" s="334" t="s">
        <v>1121</v>
      </c>
      <c r="B105" s="331">
        <v>1.2</v>
      </c>
      <c r="C105" s="1059">
        <v>2.1</v>
      </c>
      <c r="D105" s="1060"/>
      <c r="E105" s="335">
        <f t="shared" si="3"/>
        <v>2.52</v>
      </c>
    </row>
    <row r="106" spans="1:5" x14ac:dyDescent="0.25">
      <c r="A106" s="336" t="s">
        <v>1121</v>
      </c>
      <c r="B106" s="331">
        <v>1.2</v>
      </c>
      <c r="C106" s="1059">
        <v>2.1</v>
      </c>
      <c r="D106" s="1060"/>
      <c r="E106" s="335">
        <f t="shared" si="3"/>
        <v>2.52</v>
      </c>
    </row>
    <row r="107" spans="1:5" x14ac:dyDescent="0.25">
      <c r="A107" s="336" t="s">
        <v>1104</v>
      </c>
      <c r="B107" s="331">
        <v>0.7</v>
      </c>
      <c r="C107" s="1059">
        <v>0.5</v>
      </c>
      <c r="D107" s="1060"/>
      <c r="E107" s="335">
        <f t="shared" si="3"/>
        <v>0</v>
      </c>
    </row>
    <row r="108" spans="1:5" x14ac:dyDescent="0.25">
      <c r="A108" s="336" t="s">
        <v>1102</v>
      </c>
      <c r="B108" s="414">
        <v>2.2000000000000002</v>
      </c>
      <c r="C108" s="1059">
        <v>0.5</v>
      </c>
      <c r="D108" s="1060"/>
      <c r="E108" s="335">
        <f t="shared" si="3"/>
        <v>0</v>
      </c>
    </row>
    <row r="109" spans="1:5" x14ac:dyDescent="0.25">
      <c r="A109" s="336" t="s">
        <v>1102</v>
      </c>
      <c r="B109" s="414">
        <v>2.2000000000000002</v>
      </c>
      <c r="C109" s="1059">
        <v>0.5</v>
      </c>
      <c r="D109" s="1060"/>
      <c r="E109" s="335">
        <f t="shared" si="3"/>
        <v>0</v>
      </c>
    </row>
    <row r="110" spans="1:5" x14ac:dyDescent="0.25">
      <c r="A110" s="336" t="s">
        <v>1102</v>
      </c>
      <c r="B110" s="414">
        <v>2.2000000000000002</v>
      </c>
      <c r="C110" s="1059">
        <v>0.5</v>
      </c>
      <c r="D110" s="1060"/>
      <c r="E110" s="335">
        <f t="shared" si="3"/>
        <v>0</v>
      </c>
    </row>
    <row r="111" spans="1:5" x14ac:dyDescent="0.25">
      <c r="A111" s="336" t="s">
        <v>1104</v>
      </c>
      <c r="B111" s="331">
        <v>0.7</v>
      </c>
      <c r="C111" s="1059">
        <v>0.5</v>
      </c>
      <c r="D111" s="1060"/>
      <c r="E111" s="335">
        <f t="shared" si="3"/>
        <v>0</v>
      </c>
    </row>
    <row r="112" spans="1:5" x14ac:dyDescent="0.25">
      <c r="A112" s="971" t="s">
        <v>1164</v>
      </c>
      <c r="B112" s="972"/>
      <c r="C112" s="972"/>
      <c r="D112" s="973"/>
      <c r="E112" s="317">
        <f>SUM(E95:E111)</f>
        <v>47.94400000000001</v>
      </c>
    </row>
    <row r="113" spans="1:5" x14ac:dyDescent="0.25">
      <c r="A113" s="995" t="s">
        <v>285</v>
      </c>
      <c r="B113" s="996"/>
      <c r="C113" s="996"/>
      <c r="D113" s="997"/>
      <c r="E113" s="233">
        <f>E92-E112</f>
        <v>619.28989999999999</v>
      </c>
    </row>
    <row r="114" spans="1:5" x14ac:dyDescent="0.25">
      <c r="A114" s="1014"/>
      <c r="B114" s="1014"/>
      <c r="C114" s="1014"/>
      <c r="D114" s="1014"/>
      <c r="E114" s="1014"/>
    </row>
    <row r="115" spans="1:5" x14ac:dyDescent="0.25">
      <c r="A115" s="1014"/>
      <c r="B115" s="1014"/>
      <c r="C115" s="1014"/>
      <c r="D115" s="1014"/>
      <c r="E115" s="1014"/>
    </row>
    <row r="116" spans="1:5" x14ac:dyDescent="0.25">
      <c r="A116" s="1014"/>
      <c r="B116" s="1014"/>
      <c r="C116" s="1014"/>
      <c r="D116" s="1014"/>
      <c r="E116" s="1014"/>
    </row>
    <row r="117" spans="1:5" x14ac:dyDescent="0.25">
      <c r="A117" s="1014"/>
      <c r="B117" s="1014"/>
      <c r="C117" s="1014"/>
      <c r="D117" s="1014"/>
      <c r="E117" s="1014"/>
    </row>
    <row r="118" spans="1:5" x14ac:dyDescent="0.25">
      <c r="A118" s="1014"/>
      <c r="B118" s="1014"/>
      <c r="C118" s="1014"/>
      <c r="D118" s="1014"/>
      <c r="E118" s="1014"/>
    </row>
    <row r="119" spans="1:5" x14ac:dyDescent="0.25">
      <c r="A119" s="1014"/>
      <c r="B119" s="1014"/>
      <c r="C119" s="1014"/>
      <c r="D119" s="1014"/>
      <c r="E119" s="1014"/>
    </row>
    <row r="120" spans="1:5" x14ac:dyDescent="0.25">
      <c r="A120" s="1014"/>
      <c r="B120" s="1014"/>
      <c r="C120" s="1014"/>
      <c r="D120" s="1014"/>
      <c r="E120" s="1014"/>
    </row>
    <row r="121" spans="1:5" x14ac:dyDescent="0.25">
      <c r="A121" s="1014"/>
      <c r="B121" s="1014"/>
      <c r="C121" s="1014"/>
      <c r="D121" s="1014"/>
      <c r="E121" s="1014"/>
    </row>
    <row r="122" spans="1:5" x14ac:dyDescent="0.25">
      <c r="A122" s="1014"/>
      <c r="B122" s="1014"/>
      <c r="C122" s="1014"/>
      <c r="D122" s="1014"/>
      <c r="E122" s="1014"/>
    </row>
    <row r="123" spans="1:5" x14ac:dyDescent="0.25">
      <c r="A123" s="1014"/>
      <c r="B123" s="1014"/>
      <c r="C123" s="1014"/>
      <c r="D123" s="1014"/>
      <c r="E123" s="1014"/>
    </row>
    <row r="124" spans="1:5" x14ac:dyDescent="0.25">
      <c r="A124" s="1014"/>
      <c r="B124" s="1014"/>
      <c r="C124" s="1014"/>
      <c r="D124" s="1014"/>
      <c r="E124" s="1014"/>
    </row>
  </sheetData>
  <mergeCells count="82">
    <mergeCell ref="A114:E124"/>
    <mergeCell ref="C102:D102"/>
    <mergeCell ref="C103:D103"/>
    <mergeCell ref="C104:D104"/>
    <mergeCell ref="C105:D105"/>
    <mergeCell ref="A93:E93"/>
    <mergeCell ref="C94:D94"/>
    <mergeCell ref="C95:D95"/>
    <mergeCell ref="C96:D96"/>
    <mergeCell ref="C97:D97"/>
    <mergeCell ref="C98:D98"/>
    <mergeCell ref="C99:D99"/>
    <mergeCell ref="C100:D100"/>
    <mergeCell ref="A113:D113"/>
    <mergeCell ref="C107:D107"/>
    <mergeCell ref="C108:D108"/>
    <mergeCell ref="C109:D109"/>
    <mergeCell ref="C110:D110"/>
    <mergeCell ref="A112:D112"/>
    <mergeCell ref="C106:D106"/>
    <mergeCell ref="C111:D111"/>
    <mergeCell ref="C101:D101"/>
    <mergeCell ref="C63:D63"/>
    <mergeCell ref="C64:D64"/>
    <mergeCell ref="C60:D60"/>
    <mergeCell ref="C44:D44"/>
    <mergeCell ref="C45:D45"/>
    <mergeCell ref="C46:D46"/>
    <mergeCell ref="C47:D47"/>
    <mergeCell ref="C48:D48"/>
    <mergeCell ref="C65:D65"/>
    <mergeCell ref="A43:E43"/>
    <mergeCell ref="A69:E69"/>
    <mergeCell ref="C55:D55"/>
    <mergeCell ref="A92:D92"/>
    <mergeCell ref="A87:E87"/>
    <mergeCell ref="A88:B88"/>
    <mergeCell ref="A89:B89"/>
    <mergeCell ref="A90:B90"/>
    <mergeCell ref="A91:B91"/>
    <mergeCell ref="C66:D66"/>
    <mergeCell ref="A67:D67"/>
    <mergeCell ref="A68:D68"/>
    <mergeCell ref="C57:D57"/>
    <mergeCell ref="C58:D58"/>
    <mergeCell ref="C59:D59"/>
    <mergeCell ref="A70:E70"/>
    <mergeCell ref="A71:E86"/>
    <mergeCell ref="A31:B31"/>
    <mergeCell ref="A32:B32"/>
    <mergeCell ref="A33:B33"/>
    <mergeCell ref="A34:B34"/>
    <mergeCell ref="A36:B36"/>
    <mergeCell ref="C49:D49"/>
    <mergeCell ref="C50:D50"/>
    <mergeCell ref="C51:D51"/>
    <mergeCell ref="C52:D52"/>
    <mergeCell ref="C53:D53"/>
    <mergeCell ref="C54:D54"/>
    <mergeCell ref="C56:D56"/>
    <mergeCell ref="C61:D61"/>
    <mergeCell ref="C62:D62"/>
    <mergeCell ref="A30:B30"/>
    <mergeCell ref="A35:B35"/>
    <mergeCell ref="A39:B39"/>
    <mergeCell ref="A42:D42"/>
    <mergeCell ref="A37:B37"/>
    <mergeCell ref="A38:B38"/>
    <mergeCell ref="A40:B40"/>
    <mergeCell ref="A41:B41"/>
    <mergeCell ref="A29:B29"/>
    <mergeCell ref="A1:E2"/>
    <mergeCell ref="A3:C3"/>
    <mergeCell ref="D3:D8"/>
    <mergeCell ref="A4:C8"/>
    <mergeCell ref="E4:E5"/>
    <mergeCell ref="E7:E8"/>
    <mergeCell ref="A9:E9"/>
    <mergeCell ref="A10:E10"/>
    <mergeCell ref="A11:E26"/>
    <mergeCell ref="A27:E27"/>
    <mergeCell ref="A28:B28"/>
  </mergeCells>
  <pageMargins left="0.7" right="0.7" top="0.75" bottom="0.75" header="0.3" footer="0.3"/>
  <pageSetup paperSize="9" scale="69" orientation="portrait" horizontalDpi="4294967293"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C9FBE-3481-4279-904E-E5961FD93EE1}">
  <sheetPr>
    <tabColor theme="1" tint="0.34998626667073579"/>
  </sheetPr>
  <dimension ref="A1:E73"/>
  <sheetViews>
    <sheetView view="pageBreakPreview" topLeftCell="A50" zoomScaleNormal="85" zoomScaleSheetLayoutView="100" workbookViewId="0">
      <selection activeCell="H29" sqref="H29"/>
    </sheetView>
  </sheetViews>
  <sheetFormatPr defaultRowHeight="15" x14ac:dyDescent="0.25"/>
  <cols>
    <col min="1" max="1" width="31.42578125" customWidth="1"/>
    <col min="2" max="2" width="18" customWidth="1"/>
    <col min="3" max="3" width="18.710937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1171</v>
      </c>
      <c r="B3" s="987"/>
      <c r="C3" s="988"/>
      <c r="D3" s="989"/>
      <c r="E3" s="228" t="s">
        <v>993</v>
      </c>
    </row>
    <row r="4" spans="1:5" ht="15" customHeight="1" x14ac:dyDescent="0.25">
      <c r="A4" s="992" t="s">
        <v>994</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1172</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79"/>
      <c r="B27" s="979"/>
      <c r="C27" s="979"/>
      <c r="D27" s="979"/>
      <c r="E27" s="979"/>
    </row>
    <row r="28" spans="1:5" x14ac:dyDescent="0.25">
      <c r="A28" s="979"/>
      <c r="B28" s="979"/>
      <c r="C28" s="979"/>
      <c r="D28" s="979"/>
      <c r="E28" s="979"/>
    </row>
    <row r="29" spans="1:5" x14ac:dyDescent="0.25">
      <c r="A29" s="966" t="s">
        <v>1172</v>
      </c>
      <c r="B29" s="966"/>
      <c r="C29" s="966"/>
      <c r="D29" s="966"/>
      <c r="E29" s="966"/>
    </row>
    <row r="30" spans="1:5" x14ac:dyDescent="0.25">
      <c r="A30" s="1062" t="s">
        <v>1087</v>
      </c>
      <c r="B30" s="1063"/>
      <c r="C30" s="967" t="s">
        <v>998</v>
      </c>
      <c r="D30" s="968"/>
      <c r="E30" s="229" t="s">
        <v>158</v>
      </c>
    </row>
    <row r="31" spans="1:5" ht="30.75" customHeight="1" x14ac:dyDescent="0.25">
      <c r="A31" s="1064" t="s">
        <v>1173</v>
      </c>
      <c r="B31" s="1065"/>
      <c r="C31" s="969" t="s">
        <v>1058</v>
      </c>
      <c r="D31" s="970"/>
      <c r="E31" s="232">
        <f>(2.03+1.2+2.9)*2*1.2</f>
        <v>14.711999999999996</v>
      </c>
    </row>
    <row r="32" spans="1:5" ht="30.75" customHeight="1" x14ac:dyDescent="0.25">
      <c r="A32" s="1064" t="s">
        <v>1174</v>
      </c>
      <c r="B32" s="1065"/>
      <c r="C32" s="969" t="s">
        <v>1175</v>
      </c>
      <c r="D32" s="970"/>
      <c r="E32" s="232">
        <f>(17*0.29)*2*1.2</f>
        <v>11.831999999999999</v>
      </c>
    </row>
    <row r="33" spans="1:5" ht="30.75" customHeight="1" x14ac:dyDescent="0.25">
      <c r="A33" s="1064" t="s">
        <v>1176</v>
      </c>
      <c r="B33" s="1065"/>
      <c r="C33" s="969" t="s">
        <v>1177</v>
      </c>
      <c r="D33" s="970"/>
      <c r="E33" s="232">
        <f>(17*0.285)*2*1.2</f>
        <v>11.627999999999998</v>
      </c>
    </row>
    <row r="34" spans="1:5" ht="30.75" customHeight="1" x14ac:dyDescent="0.25">
      <c r="A34" s="1064" t="s">
        <v>1178</v>
      </c>
      <c r="B34" s="1065"/>
      <c r="C34" s="969" t="s">
        <v>1179</v>
      </c>
      <c r="D34" s="970"/>
      <c r="E34" s="232">
        <f>((1.5)+(20*0.28))*2*1.2</f>
        <v>17.04</v>
      </c>
    </row>
    <row r="35" spans="1:5" ht="15" customHeight="1" x14ac:dyDescent="0.25">
      <c r="A35" s="971" t="s">
        <v>1001</v>
      </c>
      <c r="B35" s="972"/>
      <c r="C35" s="972"/>
      <c r="D35" s="973"/>
      <c r="E35" s="238">
        <f>SUM(E31:E34)</f>
        <v>55.211999999999996</v>
      </c>
    </row>
    <row r="36" spans="1:5" x14ac:dyDescent="0.25">
      <c r="A36" s="995" t="s">
        <v>285</v>
      </c>
      <c r="B36" s="996"/>
      <c r="C36" s="996"/>
      <c r="D36" s="997"/>
      <c r="E36" s="342">
        <f>E35</f>
        <v>55.211999999999996</v>
      </c>
    </row>
    <row r="37" spans="1:5" x14ac:dyDescent="0.25">
      <c r="A37" s="974" t="s">
        <v>1180</v>
      </c>
      <c r="B37" s="975"/>
      <c r="C37" s="975"/>
      <c r="D37" s="976"/>
      <c r="E37" s="977"/>
    </row>
    <row r="38" spans="1:5" x14ac:dyDescent="0.25">
      <c r="A38" s="978" t="s">
        <v>997</v>
      </c>
      <c r="B38" s="978"/>
      <c r="C38" s="978"/>
      <c r="D38" s="978"/>
      <c r="E38" s="978"/>
    </row>
    <row r="39" spans="1:5" x14ac:dyDescent="0.25">
      <c r="A39" s="979"/>
      <c r="B39" s="979"/>
      <c r="C39" s="979"/>
      <c r="D39" s="979"/>
      <c r="E39" s="979"/>
    </row>
    <row r="40" spans="1:5" x14ac:dyDescent="0.25">
      <c r="A40" s="979"/>
      <c r="B40" s="979"/>
      <c r="C40" s="979"/>
      <c r="D40" s="979"/>
      <c r="E40" s="979"/>
    </row>
    <row r="41" spans="1:5" x14ac:dyDescent="0.25">
      <c r="A41" s="979"/>
      <c r="B41" s="979"/>
      <c r="C41" s="979"/>
      <c r="D41" s="979"/>
      <c r="E41" s="979"/>
    </row>
    <row r="42" spans="1:5" x14ac:dyDescent="0.25">
      <c r="A42" s="979"/>
      <c r="B42" s="979"/>
      <c r="C42" s="979"/>
      <c r="D42" s="979"/>
      <c r="E42" s="979"/>
    </row>
    <row r="43" spans="1:5" x14ac:dyDescent="0.25">
      <c r="A43" s="979"/>
      <c r="B43" s="979"/>
      <c r="C43" s="979"/>
      <c r="D43" s="979"/>
      <c r="E43" s="979"/>
    </row>
    <row r="44" spans="1:5" x14ac:dyDescent="0.25">
      <c r="A44" s="979"/>
      <c r="B44" s="979"/>
      <c r="C44" s="979"/>
      <c r="D44" s="979"/>
      <c r="E44" s="979"/>
    </row>
    <row r="45" spans="1:5" x14ac:dyDescent="0.25">
      <c r="A45" s="979"/>
      <c r="B45" s="979"/>
      <c r="C45" s="979"/>
      <c r="D45" s="979"/>
      <c r="E45" s="979"/>
    </row>
    <row r="46" spans="1:5" x14ac:dyDescent="0.25">
      <c r="A46" s="979"/>
      <c r="B46" s="979"/>
      <c r="C46" s="979"/>
      <c r="D46" s="979"/>
      <c r="E46" s="979"/>
    </row>
    <row r="47" spans="1:5" x14ac:dyDescent="0.25">
      <c r="A47" s="979"/>
      <c r="B47" s="979"/>
      <c r="C47" s="979"/>
      <c r="D47" s="979"/>
      <c r="E47" s="979"/>
    </row>
    <row r="48" spans="1:5" x14ac:dyDescent="0.25">
      <c r="A48" s="979"/>
      <c r="B48" s="979"/>
      <c r="C48" s="979"/>
      <c r="D48" s="979"/>
      <c r="E48" s="979"/>
    </row>
    <row r="49" spans="1:5" x14ac:dyDescent="0.25">
      <c r="A49" s="979"/>
      <c r="B49" s="979"/>
      <c r="C49" s="979"/>
      <c r="D49" s="979"/>
      <c r="E49" s="979"/>
    </row>
    <row r="50" spans="1:5" x14ac:dyDescent="0.25">
      <c r="A50" s="979"/>
      <c r="B50" s="979"/>
      <c r="C50" s="979"/>
      <c r="D50" s="979"/>
      <c r="E50" s="979"/>
    </row>
    <row r="51" spans="1:5" x14ac:dyDescent="0.25">
      <c r="A51" s="979"/>
      <c r="B51" s="979"/>
      <c r="C51" s="979"/>
      <c r="D51" s="979"/>
      <c r="E51" s="979"/>
    </row>
    <row r="52" spans="1:5" x14ac:dyDescent="0.25">
      <c r="A52" s="979"/>
      <c r="B52" s="979"/>
      <c r="C52" s="979"/>
      <c r="D52" s="979"/>
      <c r="E52" s="979"/>
    </row>
    <row r="53" spans="1:5" x14ac:dyDescent="0.25">
      <c r="A53" s="979"/>
      <c r="B53" s="979"/>
      <c r="C53" s="979"/>
      <c r="D53" s="979"/>
      <c r="E53" s="979"/>
    </row>
    <row r="54" spans="1:5" x14ac:dyDescent="0.25">
      <c r="A54" s="979"/>
      <c r="B54" s="979"/>
      <c r="C54" s="979"/>
      <c r="D54" s="979"/>
      <c r="E54" s="979"/>
    </row>
    <row r="55" spans="1:5" x14ac:dyDescent="0.25">
      <c r="A55" s="979"/>
      <c r="B55" s="979"/>
      <c r="C55" s="979"/>
      <c r="D55" s="979"/>
      <c r="E55" s="979"/>
    </row>
    <row r="56" spans="1:5" x14ac:dyDescent="0.25">
      <c r="A56" s="979"/>
      <c r="B56" s="979"/>
      <c r="C56" s="979"/>
      <c r="D56" s="979"/>
      <c r="E56" s="979"/>
    </row>
    <row r="57" spans="1:5" x14ac:dyDescent="0.25">
      <c r="A57" s="979"/>
      <c r="B57" s="979"/>
      <c r="C57" s="979"/>
      <c r="D57" s="979"/>
      <c r="E57" s="979"/>
    </row>
    <row r="58" spans="1:5" x14ac:dyDescent="0.25">
      <c r="A58" s="966" t="s">
        <v>1180</v>
      </c>
      <c r="B58" s="966"/>
      <c r="C58" s="966"/>
      <c r="D58" s="966"/>
      <c r="E58" s="966"/>
    </row>
    <row r="59" spans="1:5" x14ac:dyDescent="0.25">
      <c r="A59" s="1062" t="s">
        <v>1087</v>
      </c>
      <c r="B59" s="1063"/>
      <c r="C59" s="967" t="s">
        <v>998</v>
      </c>
      <c r="D59" s="968"/>
      <c r="E59" s="229" t="s">
        <v>158</v>
      </c>
    </row>
    <row r="60" spans="1:5" x14ac:dyDescent="0.25">
      <c r="A60" s="1064" t="s">
        <v>1181</v>
      </c>
      <c r="B60" s="1065"/>
      <c r="C60" s="969">
        <v>16.558</v>
      </c>
      <c r="D60" s="970"/>
      <c r="E60" s="232">
        <f>C60</f>
        <v>16.558</v>
      </c>
    </row>
    <row r="61" spans="1:5" x14ac:dyDescent="0.25">
      <c r="A61" s="971" t="s">
        <v>1001</v>
      </c>
      <c r="B61" s="972"/>
      <c r="C61" s="972"/>
      <c r="D61" s="973"/>
      <c r="E61" s="238">
        <f>SUM(E60:E60)</f>
        <v>16.558</v>
      </c>
    </row>
    <row r="62" spans="1:5" x14ac:dyDescent="0.25">
      <c r="A62" s="995" t="s">
        <v>285</v>
      </c>
      <c r="B62" s="996"/>
      <c r="C62" s="996"/>
      <c r="D62" s="997"/>
      <c r="E62" s="342">
        <f>E61</f>
        <v>16.558</v>
      </c>
    </row>
    <row r="63" spans="1:5" x14ac:dyDescent="0.25">
      <c r="A63" s="1010"/>
      <c r="B63" s="1011"/>
      <c r="C63" s="1011"/>
      <c r="D63" s="1011"/>
      <c r="E63" s="1012"/>
    </row>
    <row r="64" spans="1:5" x14ac:dyDescent="0.25">
      <c r="A64" s="1013"/>
      <c r="B64" s="1014"/>
      <c r="C64" s="1014"/>
      <c r="D64" s="1014"/>
      <c r="E64" s="1015"/>
    </row>
    <row r="65" spans="1:5" x14ac:dyDescent="0.25">
      <c r="A65" s="1013"/>
      <c r="B65" s="1014"/>
      <c r="C65" s="1014"/>
      <c r="D65" s="1014"/>
      <c r="E65" s="1015"/>
    </row>
    <row r="66" spans="1:5" x14ac:dyDescent="0.25">
      <c r="A66" s="1013"/>
      <c r="B66" s="1014"/>
      <c r="C66" s="1014"/>
      <c r="D66" s="1014"/>
      <c r="E66" s="1015"/>
    </row>
    <row r="67" spans="1:5" x14ac:dyDescent="0.25">
      <c r="A67" s="1013"/>
      <c r="B67" s="1014"/>
      <c r="C67" s="1014"/>
      <c r="D67" s="1014"/>
      <c r="E67" s="1015"/>
    </row>
    <row r="68" spans="1:5" x14ac:dyDescent="0.25">
      <c r="A68" s="1013"/>
      <c r="B68" s="1014"/>
      <c r="C68" s="1014"/>
      <c r="D68" s="1014"/>
      <c r="E68" s="1015"/>
    </row>
    <row r="69" spans="1:5" x14ac:dyDescent="0.25">
      <c r="A69" s="1013"/>
      <c r="B69" s="1014"/>
      <c r="C69" s="1014"/>
      <c r="D69" s="1014"/>
      <c r="E69" s="1015"/>
    </row>
    <row r="70" spans="1:5" x14ac:dyDescent="0.25">
      <c r="A70" s="1013"/>
      <c r="B70" s="1014"/>
      <c r="C70" s="1014"/>
      <c r="D70" s="1014"/>
      <c r="E70" s="1015"/>
    </row>
    <row r="71" spans="1:5" x14ac:dyDescent="0.25">
      <c r="A71" s="1013"/>
      <c r="B71" s="1014"/>
      <c r="C71" s="1014"/>
      <c r="D71" s="1014"/>
      <c r="E71" s="1015"/>
    </row>
    <row r="72" spans="1:5" x14ac:dyDescent="0.25">
      <c r="A72" s="1013"/>
      <c r="B72" s="1014"/>
      <c r="C72" s="1014"/>
      <c r="D72" s="1014"/>
      <c r="E72" s="1015"/>
    </row>
    <row r="73" spans="1:5" x14ac:dyDescent="0.25">
      <c r="A73" s="1016"/>
      <c r="B73" s="1017"/>
      <c r="C73" s="1017"/>
      <c r="D73" s="1017"/>
      <c r="E73" s="1018"/>
    </row>
  </sheetData>
  <mergeCells count="33">
    <mergeCell ref="A63:E73"/>
    <mergeCell ref="A37:E37"/>
    <mergeCell ref="A38:E38"/>
    <mergeCell ref="A61:D61"/>
    <mergeCell ref="A62:D62"/>
    <mergeCell ref="A39:E57"/>
    <mergeCell ref="A58:E58"/>
    <mergeCell ref="A59:B59"/>
    <mergeCell ref="C59:D59"/>
    <mergeCell ref="A60:B60"/>
    <mergeCell ref="C60:D60"/>
    <mergeCell ref="A34:B34"/>
    <mergeCell ref="C34:D34"/>
    <mergeCell ref="A35:D35"/>
    <mergeCell ref="A36:D36"/>
    <mergeCell ref="A31:B31"/>
    <mergeCell ref="C31:D31"/>
    <mergeCell ref="A32:B32"/>
    <mergeCell ref="C32:D32"/>
    <mergeCell ref="A33:B33"/>
    <mergeCell ref="C33:D33"/>
    <mergeCell ref="A9:E9"/>
    <mergeCell ref="A10:E10"/>
    <mergeCell ref="A11:E28"/>
    <mergeCell ref="A29:E29"/>
    <mergeCell ref="A30:B30"/>
    <mergeCell ref="C30:D30"/>
    <mergeCell ref="A1:E2"/>
    <mergeCell ref="A3:C3"/>
    <mergeCell ref="D3:D8"/>
    <mergeCell ref="A4:C8"/>
    <mergeCell ref="E4:E5"/>
    <mergeCell ref="E7:E8"/>
  </mergeCells>
  <pageMargins left="0.7" right="0.7" top="0.75" bottom="0.75" header="0.3" footer="0.3"/>
  <pageSetup paperSize="9" scale="64" orientation="portrait" horizontalDpi="4294967293"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D536C-2993-4F7D-B15B-5B744F82978B}">
  <sheetPr>
    <tabColor theme="1" tint="0.34998626667073579"/>
  </sheetPr>
  <dimension ref="A1:E338"/>
  <sheetViews>
    <sheetView view="pageBreakPreview" topLeftCell="A305" zoomScaleNormal="90" zoomScaleSheetLayoutView="100" workbookViewId="0">
      <selection activeCell="K216" sqref="K216"/>
    </sheetView>
  </sheetViews>
  <sheetFormatPr defaultRowHeight="15" x14ac:dyDescent="0.25"/>
  <cols>
    <col min="1" max="1" width="31.42578125" customWidth="1"/>
    <col min="2" max="2" width="18" customWidth="1"/>
    <col min="3" max="3" width="18.710937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1182</v>
      </c>
      <c r="B3" s="987"/>
      <c r="C3" s="988"/>
      <c r="D3" s="989"/>
      <c r="E3" s="228" t="s">
        <v>993</v>
      </c>
    </row>
    <row r="4" spans="1:5" ht="15" customHeight="1" x14ac:dyDescent="0.25">
      <c r="A4" s="992" t="s">
        <v>994</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1183</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79"/>
      <c r="B27" s="979"/>
      <c r="C27" s="979"/>
      <c r="D27" s="979"/>
      <c r="E27" s="979"/>
    </row>
    <row r="28" spans="1:5" x14ac:dyDescent="0.25">
      <c r="A28" s="979"/>
      <c r="B28" s="979"/>
      <c r="C28" s="979"/>
      <c r="D28" s="979"/>
      <c r="E28" s="979"/>
    </row>
    <row r="29" spans="1:5" x14ac:dyDescent="0.25">
      <c r="A29" s="979"/>
      <c r="B29" s="979"/>
      <c r="C29" s="979"/>
      <c r="D29" s="979"/>
      <c r="E29" s="979"/>
    </row>
    <row r="30" spans="1:5" x14ac:dyDescent="0.25">
      <c r="A30" s="979"/>
      <c r="B30" s="979"/>
      <c r="C30" s="979"/>
      <c r="D30" s="979"/>
      <c r="E30" s="979"/>
    </row>
    <row r="31" spans="1:5" x14ac:dyDescent="0.25">
      <c r="A31" s="979"/>
      <c r="B31" s="979"/>
      <c r="C31" s="979"/>
      <c r="D31" s="979"/>
      <c r="E31" s="979"/>
    </row>
    <row r="32" spans="1:5" x14ac:dyDescent="0.25">
      <c r="A32" s="979"/>
      <c r="B32" s="979"/>
      <c r="C32" s="979"/>
      <c r="D32" s="979"/>
      <c r="E32" s="979"/>
    </row>
    <row r="33" spans="1:5" x14ac:dyDescent="0.25">
      <c r="A33" s="966" t="s">
        <v>1183</v>
      </c>
      <c r="B33" s="966"/>
      <c r="C33" s="966"/>
      <c r="D33" s="966"/>
      <c r="E33" s="966"/>
    </row>
    <row r="34" spans="1:5" x14ac:dyDescent="0.25">
      <c r="A34" s="1062" t="s">
        <v>1087</v>
      </c>
      <c r="B34" s="1063"/>
      <c r="C34" s="967" t="s">
        <v>998</v>
      </c>
      <c r="D34" s="968"/>
      <c r="E34" s="229" t="s">
        <v>1003</v>
      </c>
    </row>
    <row r="35" spans="1:5" ht="30.75" customHeight="1" x14ac:dyDescent="0.25">
      <c r="A35" s="1064" t="s">
        <v>1094</v>
      </c>
      <c r="B35" s="1065"/>
      <c r="C35" s="969" t="s">
        <v>1184</v>
      </c>
      <c r="D35" s="970"/>
      <c r="E35" s="232">
        <f>(3.58*0.75)</f>
        <v>2.6850000000000001</v>
      </c>
    </row>
    <row r="36" spans="1:5" ht="30.75" customHeight="1" x14ac:dyDescent="0.25">
      <c r="A36" s="1064" t="s">
        <v>1098</v>
      </c>
      <c r="B36" s="1065"/>
      <c r="C36" s="969" t="s">
        <v>1185</v>
      </c>
      <c r="D36" s="970"/>
      <c r="E36" s="232">
        <f>(1.8*0.75)</f>
        <v>1.35</v>
      </c>
    </row>
    <row r="37" spans="1:5" ht="30.75" customHeight="1" x14ac:dyDescent="0.25">
      <c r="A37" s="1064" t="s">
        <v>1100</v>
      </c>
      <c r="B37" s="1065"/>
      <c r="C37" s="969" t="s">
        <v>1185</v>
      </c>
      <c r="D37" s="970"/>
      <c r="E37" s="232">
        <f>(1.8*0.75)</f>
        <v>1.35</v>
      </c>
    </row>
    <row r="38" spans="1:5" ht="30.75" customHeight="1" x14ac:dyDescent="0.25">
      <c r="A38" s="1064" t="s">
        <v>1103</v>
      </c>
      <c r="B38" s="1065"/>
      <c r="C38" s="969" t="s">
        <v>1186</v>
      </c>
      <c r="D38" s="970"/>
      <c r="E38" s="232">
        <f>(1*0.87)</f>
        <v>0.87</v>
      </c>
    </row>
    <row r="39" spans="1:5" ht="15" customHeight="1" x14ac:dyDescent="0.25">
      <c r="A39" s="971" t="s">
        <v>1001</v>
      </c>
      <c r="B39" s="972"/>
      <c r="C39" s="972"/>
      <c r="D39" s="973"/>
      <c r="E39" s="238">
        <f>SUM(E35:E38)</f>
        <v>6.2549999999999999</v>
      </c>
    </row>
    <row r="40" spans="1:5" x14ac:dyDescent="0.25">
      <c r="A40" s="995" t="s">
        <v>285</v>
      </c>
      <c r="B40" s="996"/>
      <c r="C40" s="996"/>
      <c r="D40" s="997"/>
      <c r="E40" s="342">
        <f>E39</f>
        <v>6.2549999999999999</v>
      </c>
    </row>
    <row r="41" spans="1:5" x14ac:dyDescent="0.25">
      <c r="A41" s="974" t="s">
        <v>1187</v>
      </c>
      <c r="B41" s="975"/>
      <c r="C41" s="975"/>
      <c r="D41" s="976"/>
      <c r="E41" s="977"/>
    </row>
    <row r="42" spans="1:5" x14ac:dyDescent="0.25">
      <c r="A42" s="978" t="s">
        <v>997</v>
      </c>
      <c r="B42" s="978"/>
      <c r="C42" s="978"/>
      <c r="D42" s="978"/>
      <c r="E42" s="978"/>
    </row>
    <row r="43" spans="1:5" x14ac:dyDescent="0.25">
      <c r="A43" s="979">
        <v>1</v>
      </c>
      <c r="B43" s="979"/>
      <c r="C43" s="979"/>
      <c r="D43" s="979"/>
      <c r="E43" s="979"/>
    </row>
    <row r="44" spans="1:5" x14ac:dyDescent="0.25">
      <c r="A44" s="979"/>
      <c r="B44" s="979"/>
      <c r="C44" s="979"/>
      <c r="D44" s="979"/>
      <c r="E44" s="979"/>
    </row>
    <row r="45" spans="1:5" x14ac:dyDescent="0.25">
      <c r="A45" s="979"/>
      <c r="B45" s="979"/>
      <c r="C45" s="979"/>
      <c r="D45" s="979"/>
      <c r="E45" s="979"/>
    </row>
    <row r="46" spans="1:5" x14ac:dyDescent="0.25">
      <c r="A46" s="979"/>
      <c r="B46" s="979"/>
      <c r="C46" s="979"/>
      <c r="D46" s="979"/>
      <c r="E46" s="979"/>
    </row>
    <row r="47" spans="1:5" x14ac:dyDescent="0.25">
      <c r="A47" s="979"/>
      <c r="B47" s="979"/>
      <c r="C47" s="979"/>
      <c r="D47" s="979"/>
      <c r="E47" s="979"/>
    </row>
    <row r="48" spans="1:5" x14ac:dyDescent="0.25">
      <c r="A48" s="979"/>
      <c r="B48" s="979"/>
      <c r="C48" s="979"/>
      <c r="D48" s="979"/>
      <c r="E48" s="979"/>
    </row>
    <row r="49" spans="1:5" x14ac:dyDescent="0.25">
      <c r="A49" s="979"/>
      <c r="B49" s="979"/>
      <c r="C49" s="979"/>
      <c r="D49" s="979"/>
      <c r="E49" s="979"/>
    </row>
    <row r="50" spans="1:5" x14ac:dyDescent="0.25">
      <c r="A50" s="979"/>
      <c r="B50" s="979"/>
      <c r="C50" s="979"/>
      <c r="D50" s="979"/>
      <c r="E50" s="979"/>
    </row>
    <row r="51" spans="1:5" x14ac:dyDescent="0.25">
      <c r="A51" s="979"/>
      <c r="B51" s="979"/>
      <c r="C51" s="979"/>
      <c r="D51" s="979"/>
      <c r="E51" s="979"/>
    </row>
    <row r="52" spans="1:5" x14ac:dyDescent="0.25">
      <c r="A52" s="979"/>
      <c r="B52" s="979"/>
      <c r="C52" s="979"/>
      <c r="D52" s="979"/>
      <c r="E52" s="979"/>
    </row>
    <row r="53" spans="1:5" x14ac:dyDescent="0.25">
      <c r="A53" s="979"/>
      <c r="B53" s="979"/>
      <c r="C53" s="979"/>
      <c r="D53" s="979"/>
      <c r="E53" s="979"/>
    </row>
    <row r="54" spans="1:5" x14ac:dyDescent="0.25">
      <c r="A54" s="979"/>
      <c r="B54" s="979"/>
      <c r="C54" s="979"/>
      <c r="D54" s="979"/>
      <c r="E54" s="979"/>
    </row>
    <row r="55" spans="1:5" x14ac:dyDescent="0.25">
      <c r="A55" s="979"/>
      <c r="B55" s="979"/>
      <c r="C55" s="979"/>
      <c r="D55" s="979"/>
      <c r="E55" s="979"/>
    </row>
    <row r="56" spans="1:5" x14ac:dyDescent="0.25">
      <c r="A56" s="979"/>
      <c r="B56" s="979"/>
      <c r="C56" s="979"/>
      <c r="D56" s="979"/>
      <c r="E56" s="979"/>
    </row>
    <row r="57" spans="1:5" x14ac:dyDescent="0.25">
      <c r="A57" s="979"/>
      <c r="B57" s="979"/>
      <c r="C57" s="979"/>
      <c r="D57" s="979"/>
      <c r="E57" s="979"/>
    </row>
    <row r="58" spans="1:5" x14ac:dyDescent="0.25">
      <c r="A58" s="979"/>
      <c r="B58" s="979"/>
      <c r="C58" s="979"/>
      <c r="D58" s="979"/>
      <c r="E58" s="979"/>
    </row>
    <row r="59" spans="1:5" x14ac:dyDescent="0.25">
      <c r="A59" s="979"/>
      <c r="B59" s="979"/>
      <c r="C59" s="979"/>
      <c r="D59" s="979"/>
      <c r="E59" s="979"/>
    </row>
    <row r="60" spans="1:5" x14ac:dyDescent="0.25">
      <c r="A60" s="979"/>
      <c r="B60" s="979"/>
      <c r="C60" s="979"/>
      <c r="D60" s="979"/>
      <c r="E60" s="979"/>
    </row>
    <row r="61" spans="1:5" x14ac:dyDescent="0.25">
      <c r="A61" s="979"/>
      <c r="B61" s="979"/>
      <c r="C61" s="979"/>
      <c r="D61" s="979"/>
      <c r="E61" s="979"/>
    </row>
    <row r="62" spans="1:5" x14ac:dyDescent="0.25">
      <c r="A62" s="979"/>
      <c r="B62" s="979"/>
      <c r="C62" s="979"/>
      <c r="D62" s="979"/>
      <c r="E62" s="979"/>
    </row>
    <row r="63" spans="1:5" x14ac:dyDescent="0.25">
      <c r="A63" s="979"/>
      <c r="B63" s="979"/>
      <c r="C63" s="979"/>
      <c r="D63" s="979"/>
      <c r="E63" s="979"/>
    </row>
    <row r="64" spans="1:5" x14ac:dyDescent="0.25">
      <c r="A64" s="979"/>
      <c r="B64" s="979"/>
      <c r="C64" s="979"/>
      <c r="D64" s="979"/>
      <c r="E64" s="979"/>
    </row>
    <row r="65" spans="1:5" x14ac:dyDescent="0.25">
      <c r="A65" s="966" t="s">
        <v>1187</v>
      </c>
      <c r="B65" s="966"/>
      <c r="C65" s="966"/>
      <c r="D65" s="966"/>
      <c r="E65" s="966"/>
    </row>
    <row r="66" spans="1:5" x14ac:dyDescent="0.25">
      <c r="A66" s="1062" t="s">
        <v>1087</v>
      </c>
      <c r="B66" s="1063"/>
      <c r="C66" s="967" t="s">
        <v>998</v>
      </c>
      <c r="D66" s="968"/>
      <c r="E66" s="229" t="s">
        <v>0</v>
      </c>
    </row>
    <row r="67" spans="1:5" x14ac:dyDescent="0.25">
      <c r="A67" s="1064" t="s">
        <v>1101</v>
      </c>
      <c r="B67" s="1065"/>
      <c r="C67" s="969" t="s">
        <v>1188</v>
      </c>
      <c r="D67" s="970"/>
      <c r="E67" s="232">
        <f>2.85+1.9+3</f>
        <v>7.75</v>
      </c>
    </row>
    <row r="68" spans="1:5" x14ac:dyDescent="0.25">
      <c r="A68" s="971" t="s">
        <v>1001</v>
      </c>
      <c r="B68" s="972"/>
      <c r="C68" s="972"/>
      <c r="D68" s="973"/>
      <c r="E68" s="238">
        <f>SUM(E67:E67)</f>
        <v>7.75</v>
      </c>
    </row>
    <row r="69" spans="1:5" x14ac:dyDescent="0.25">
      <c r="A69" s="995" t="s">
        <v>285</v>
      </c>
      <c r="B69" s="996"/>
      <c r="C69" s="996"/>
      <c r="D69" s="997"/>
      <c r="E69" s="342">
        <f>E68</f>
        <v>7.75</v>
      </c>
    </row>
    <row r="70" spans="1:5" x14ac:dyDescent="0.25">
      <c r="A70" s="974" t="s">
        <v>1189</v>
      </c>
      <c r="B70" s="975"/>
      <c r="C70" s="975"/>
      <c r="D70" s="976"/>
      <c r="E70" s="977"/>
    </row>
    <row r="71" spans="1:5" x14ac:dyDescent="0.25">
      <c r="A71" s="978" t="s">
        <v>997</v>
      </c>
      <c r="B71" s="978"/>
      <c r="C71" s="978"/>
      <c r="D71" s="978"/>
      <c r="E71" s="978"/>
    </row>
    <row r="72" spans="1:5" x14ac:dyDescent="0.25">
      <c r="A72" s="979"/>
      <c r="B72" s="979"/>
      <c r="C72" s="979"/>
      <c r="D72" s="979"/>
      <c r="E72" s="979"/>
    </row>
    <row r="73" spans="1:5" x14ac:dyDescent="0.25">
      <c r="A73" s="979"/>
      <c r="B73" s="979"/>
      <c r="C73" s="979"/>
      <c r="D73" s="979"/>
      <c r="E73" s="979"/>
    </row>
    <row r="74" spans="1:5" x14ac:dyDescent="0.25">
      <c r="A74" s="979"/>
      <c r="B74" s="979"/>
      <c r="C74" s="979"/>
      <c r="D74" s="979"/>
      <c r="E74" s="979"/>
    </row>
    <row r="75" spans="1:5" x14ac:dyDescent="0.25">
      <c r="A75" s="979"/>
      <c r="B75" s="979"/>
      <c r="C75" s="979"/>
      <c r="D75" s="979"/>
      <c r="E75" s="979"/>
    </row>
    <row r="76" spans="1:5" x14ac:dyDescent="0.25">
      <c r="A76" s="979"/>
      <c r="B76" s="979"/>
      <c r="C76" s="979"/>
      <c r="D76" s="979"/>
      <c r="E76" s="979"/>
    </row>
    <row r="77" spans="1:5" x14ac:dyDescent="0.25">
      <c r="A77" s="979"/>
      <c r="B77" s="979"/>
      <c r="C77" s="979"/>
      <c r="D77" s="979"/>
      <c r="E77" s="979"/>
    </row>
    <row r="78" spans="1:5" x14ac:dyDescent="0.25">
      <c r="A78" s="979"/>
      <c r="B78" s="979"/>
      <c r="C78" s="979"/>
      <c r="D78" s="979"/>
      <c r="E78" s="979"/>
    </row>
    <row r="79" spans="1:5" x14ac:dyDescent="0.25">
      <c r="A79" s="979"/>
      <c r="B79" s="979"/>
      <c r="C79" s="979"/>
      <c r="D79" s="979"/>
      <c r="E79" s="979"/>
    </row>
    <row r="80" spans="1:5" x14ac:dyDescent="0.25">
      <c r="A80" s="979"/>
      <c r="B80" s="979"/>
      <c r="C80" s="979"/>
      <c r="D80" s="979"/>
      <c r="E80" s="979"/>
    </row>
    <row r="81" spans="1:5" x14ac:dyDescent="0.25">
      <c r="A81" s="979"/>
      <c r="B81" s="979"/>
      <c r="C81" s="979"/>
      <c r="D81" s="979"/>
      <c r="E81" s="979"/>
    </row>
    <row r="82" spans="1:5" x14ac:dyDescent="0.25">
      <c r="A82" s="979"/>
      <c r="B82" s="979"/>
      <c r="C82" s="979"/>
      <c r="D82" s="979"/>
      <c r="E82" s="979"/>
    </row>
    <row r="83" spans="1:5" x14ac:dyDescent="0.25">
      <c r="A83" s="979"/>
      <c r="B83" s="979"/>
      <c r="C83" s="979"/>
      <c r="D83" s="979"/>
      <c r="E83" s="979"/>
    </row>
    <row r="84" spans="1:5" x14ac:dyDescent="0.25">
      <c r="A84" s="979"/>
      <c r="B84" s="979"/>
      <c r="C84" s="979"/>
      <c r="D84" s="979"/>
      <c r="E84" s="979"/>
    </row>
    <row r="85" spans="1:5" x14ac:dyDescent="0.25">
      <c r="A85" s="979"/>
      <c r="B85" s="979"/>
      <c r="C85" s="979"/>
      <c r="D85" s="979"/>
      <c r="E85" s="979"/>
    </row>
    <row r="86" spans="1:5" x14ac:dyDescent="0.25">
      <c r="A86" s="979"/>
      <c r="B86" s="979"/>
      <c r="C86" s="979"/>
      <c r="D86" s="979"/>
      <c r="E86" s="979"/>
    </row>
    <row r="87" spans="1:5" x14ac:dyDescent="0.25">
      <c r="A87" s="979"/>
      <c r="B87" s="979"/>
      <c r="C87" s="979"/>
      <c r="D87" s="979"/>
      <c r="E87" s="979"/>
    </row>
    <row r="88" spans="1:5" x14ac:dyDescent="0.25">
      <c r="A88" s="979"/>
      <c r="B88" s="979"/>
      <c r="C88" s="979"/>
      <c r="D88" s="979"/>
      <c r="E88" s="979"/>
    </row>
    <row r="89" spans="1:5" x14ac:dyDescent="0.25">
      <c r="A89" s="979"/>
      <c r="B89" s="979"/>
      <c r="C89" s="979"/>
      <c r="D89" s="979"/>
      <c r="E89" s="979"/>
    </row>
    <row r="90" spans="1:5" x14ac:dyDescent="0.25">
      <c r="A90" s="979"/>
      <c r="B90" s="979"/>
      <c r="C90" s="979"/>
      <c r="D90" s="979"/>
      <c r="E90" s="979"/>
    </row>
    <row r="91" spans="1:5" x14ac:dyDescent="0.25">
      <c r="A91" s="979"/>
      <c r="B91" s="979"/>
      <c r="C91" s="979"/>
      <c r="D91" s="979"/>
      <c r="E91" s="979"/>
    </row>
    <row r="92" spans="1:5" x14ac:dyDescent="0.25">
      <c r="A92" s="979"/>
      <c r="B92" s="979"/>
      <c r="C92" s="979"/>
      <c r="D92" s="979"/>
      <c r="E92" s="979"/>
    </row>
    <row r="93" spans="1:5" x14ac:dyDescent="0.25">
      <c r="A93" s="979"/>
      <c r="B93" s="979"/>
      <c r="C93" s="979"/>
      <c r="D93" s="979"/>
      <c r="E93" s="979"/>
    </row>
    <row r="94" spans="1:5" x14ac:dyDescent="0.25">
      <c r="A94" s="966" t="s">
        <v>1189</v>
      </c>
      <c r="B94" s="966"/>
      <c r="C94" s="966"/>
      <c r="D94" s="966"/>
      <c r="E94" s="966"/>
    </row>
    <row r="95" spans="1:5" x14ac:dyDescent="0.25">
      <c r="A95" s="1062" t="s">
        <v>1087</v>
      </c>
      <c r="B95" s="1063"/>
      <c r="C95" s="967" t="s">
        <v>998</v>
      </c>
      <c r="D95" s="968"/>
      <c r="E95" s="229" t="s">
        <v>1003</v>
      </c>
    </row>
    <row r="96" spans="1:5" x14ac:dyDescent="0.25">
      <c r="A96" s="1064" t="s">
        <v>1103</v>
      </c>
      <c r="B96" s="1065"/>
      <c r="C96" s="969" t="s">
        <v>1706</v>
      </c>
      <c r="D96" s="970"/>
      <c r="E96" s="232">
        <f>(0.87*2.68)</f>
        <v>2.3316000000000003</v>
      </c>
    </row>
    <row r="97" spans="1:5" x14ac:dyDescent="0.25">
      <c r="A97" s="971" t="s">
        <v>1001</v>
      </c>
      <c r="B97" s="972"/>
      <c r="C97" s="972"/>
      <c r="D97" s="973"/>
      <c r="E97" s="238">
        <f>SUM(E96:E96)</f>
        <v>2.3316000000000003</v>
      </c>
    </row>
    <row r="98" spans="1:5" x14ac:dyDescent="0.25">
      <c r="A98" s="995" t="s">
        <v>285</v>
      </c>
      <c r="B98" s="996"/>
      <c r="C98" s="996"/>
      <c r="D98" s="997"/>
      <c r="E98" s="342">
        <f>E97</f>
        <v>2.3316000000000003</v>
      </c>
    </row>
    <row r="99" spans="1:5" x14ac:dyDescent="0.25">
      <c r="A99" s="974" t="s">
        <v>1190</v>
      </c>
      <c r="B99" s="975"/>
      <c r="C99" s="975"/>
      <c r="D99" s="976"/>
      <c r="E99" s="977"/>
    </row>
    <row r="100" spans="1:5" x14ac:dyDescent="0.25">
      <c r="A100" s="978" t="s">
        <v>997</v>
      </c>
      <c r="B100" s="978"/>
      <c r="C100" s="978"/>
      <c r="D100" s="978"/>
      <c r="E100" s="978"/>
    </row>
    <row r="101" spans="1:5" x14ac:dyDescent="0.25">
      <c r="A101" s="979"/>
      <c r="B101" s="979"/>
      <c r="C101" s="979"/>
      <c r="D101" s="979"/>
      <c r="E101" s="979"/>
    </row>
    <row r="102" spans="1:5" x14ac:dyDescent="0.25">
      <c r="A102" s="979"/>
      <c r="B102" s="979"/>
      <c r="C102" s="979"/>
      <c r="D102" s="979"/>
      <c r="E102" s="979"/>
    </row>
    <row r="103" spans="1:5" x14ac:dyDescent="0.25">
      <c r="A103" s="979"/>
      <c r="B103" s="979"/>
      <c r="C103" s="979"/>
      <c r="D103" s="979"/>
      <c r="E103" s="979"/>
    </row>
    <row r="104" spans="1:5" x14ac:dyDescent="0.25">
      <c r="A104" s="979"/>
      <c r="B104" s="979"/>
      <c r="C104" s="979"/>
      <c r="D104" s="979"/>
      <c r="E104" s="979"/>
    </row>
    <row r="105" spans="1:5" x14ac:dyDescent="0.25">
      <c r="A105" s="979"/>
      <c r="B105" s="979"/>
      <c r="C105" s="979"/>
      <c r="D105" s="979"/>
      <c r="E105" s="979"/>
    </row>
    <row r="106" spans="1:5" x14ac:dyDescent="0.25">
      <c r="A106" s="979"/>
      <c r="B106" s="979"/>
      <c r="C106" s="979"/>
      <c r="D106" s="979"/>
      <c r="E106" s="979"/>
    </row>
    <row r="107" spans="1:5" x14ac:dyDescent="0.25">
      <c r="A107" s="979"/>
      <c r="B107" s="979"/>
      <c r="C107" s="979"/>
      <c r="D107" s="979"/>
      <c r="E107" s="979"/>
    </row>
    <row r="108" spans="1:5" x14ac:dyDescent="0.25">
      <c r="A108" s="979"/>
      <c r="B108" s="979"/>
      <c r="C108" s="979"/>
      <c r="D108" s="979"/>
      <c r="E108" s="979"/>
    </row>
    <row r="109" spans="1:5" x14ac:dyDescent="0.25">
      <c r="A109" s="979"/>
      <c r="B109" s="979"/>
      <c r="C109" s="979"/>
      <c r="D109" s="979"/>
      <c r="E109" s="979"/>
    </row>
    <row r="110" spans="1:5" x14ac:dyDescent="0.25">
      <c r="A110" s="979"/>
      <c r="B110" s="979"/>
      <c r="C110" s="979"/>
      <c r="D110" s="979"/>
      <c r="E110" s="979"/>
    </row>
    <row r="111" spans="1:5" x14ac:dyDescent="0.25">
      <c r="A111" s="979"/>
      <c r="B111" s="979"/>
      <c r="C111" s="979"/>
      <c r="D111" s="979"/>
      <c r="E111" s="979"/>
    </row>
    <row r="112" spans="1:5" x14ac:dyDescent="0.25">
      <c r="A112" s="979"/>
      <c r="B112" s="979"/>
      <c r="C112" s="979"/>
      <c r="D112" s="979"/>
      <c r="E112" s="979"/>
    </row>
    <row r="113" spans="1:5" x14ac:dyDescent="0.25">
      <c r="A113" s="979"/>
      <c r="B113" s="979"/>
      <c r="C113" s="979"/>
      <c r="D113" s="979"/>
      <c r="E113" s="979"/>
    </row>
    <row r="114" spans="1:5" x14ac:dyDescent="0.25">
      <c r="A114" s="979"/>
      <c r="B114" s="979"/>
      <c r="C114" s="979"/>
      <c r="D114" s="979"/>
      <c r="E114" s="979"/>
    </row>
    <row r="115" spans="1:5" x14ac:dyDescent="0.25">
      <c r="A115" s="979"/>
      <c r="B115" s="979"/>
      <c r="C115" s="979"/>
      <c r="D115" s="979"/>
      <c r="E115" s="979"/>
    </row>
    <row r="116" spans="1:5" x14ac:dyDescent="0.25">
      <c r="A116" s="979"/>
      <c r="B116" s="979"/>
      <c r="C116" s="979"/>
      <c r="D116" s="979"/>
      <c r="E116" s="979"/>
    </row>
    <row r="117" spans="1:5" x14ac:dyDescent="0.25">
      <c r="A117" s="979"/>
      <c r="B117" s="979"/>
      <c r="C117" s="979"/>
      <c r="D117" s="979"/>
      <c r="E117" s="979"/>
    </row>
    <row r="118" spans="1:5" x14ac:dyDescent="0.25">
      <c r="A118" s="979"/>
      <c r="B118" s="979"/>
      <c r="C118" s="979"/>
      <c r="D118" s="979"/>
      <c r="E118" s="979"/>
    </row>
    <row r="119" spans="1:5" x14ac:dyDescent="0.25">
      <c r="A119" s="979"/>
      <c r="B119" s="979"/>
      <c r="C119" s="979"/>
      <c r="D119" s="979"/>
      <c r="E119" s="979"/>
    </row>
    <row r="120" spans="1:5" x14ac:dyDescent="0.25">
      <c r="A120" s="979"/>
      <c r="B120" s="979"/>
      <c r="C120" s="979"/>
      <c r="D120" s="979"/>
      <c r="E120" s="979"/>
    </row>
    <row r="121" spans="1:5" x14ac:dyDescent="0.25">
      <c r="A121" s="979"/>
      <c r="B121" s="979"/>
      <c r="C121" s="979"/>
      <c r="D121" s="979"/>
      <c r="E121" s="979"/>
    </row>
    <row r="122" spans="1:5" x14ac:dyDescent="0.25">
      <c r="A122" s="979"/>
      <c r="B122" s="979"/>
      <c r="C122" s="979"/>
      <c r="D122" s="979"/>
      <c r="E122" s="979"/>
    </row>
    <row r="123" spans="1:5" x14ac:dyDescent="0.25">
      <c r="A123" s="966" t="s">
        <v>1189</v>
      </c>
      <c r="B123" s="966"/>
      <c r="C123" s="966"/>
      <c r="D123" s="966"/>
      <c r="E123" s="966"/>
    </row>
    <row r="124" spans="1:5" x14ac:dyDescent="0.25">
      <c r="A124" s="1062" t="s">
        <v>1087</v>
      </c>
      <c r="B124" s="1063"/>
      <c r="C124" s="967" t="s">
        <v>998</v>
      </c>
      <c r="D124" s="968"/>
      <c r="E124" s="229" t="s">
        <v>1003</v>
      </c>
    </row>
    <row r="125" spans="1:5" x14ac:dyDescent="0.25">
      <c r="A125" s="1064" t="s">
        <v>1103</v>
      </c>
      <c r="B125" s="1065"/>
      <c r="C125" s="969" t="s">
        <v>1191</v>
      </c>
      <c r="D125" s="970"/>
      <c r="E125" s="232">
        <f>1.58*0.6</f>
        <v>0.94799999999999995</v>
      </c>
    </row>
    <row r="126" spans="1:5" x14ac:dyDescent="0.25">
      <c r="A126" s="1064" t="s">
        <v>1192</v>
      </c>
      <c r="B126" s="1065"/>
      <c r="C126" s="969" t="s">
        <v>1193</v>
      </c>
      <c r="D126" s="970"/>
      <c r="E126" s="232">
        <f>(0.4*1.93)*2</f>
        <v>1.544</v>
      </c>
    </row>
    <row r="127" spans="1:5" x14ac:dyDescent="0.25">
      <c r="A127" s="1064" t="s">
        <v>1125</v>
      </c>
      <c r="B127" s="1065"/>
      <c r="C127" s="969" t="s">
        <v>1194</v>
      </c>
      <c r="D127" s="970"/>
      <c r="E127" s="232">
        <f>(1.96*0.65)</f>
        <v>1.274</v>
      </c>
    </row>
    <row r="128" spans="1:5" x14ac:dyDescent="0.25">
      <c r="A128" s="971" t="s">
        <v>1001</v>
      </c>
      <c r="B128" s="972"/>
      <c r="C128" s="972"/>
      <c r="D128" s="973"/>
      <c r="E128" s="238">
        <f>SUM(E125:E127)</f>
        <v>3.766</v>
      </c>
    </row>
    <row r="129" spans="1:5" x14ac:dyDescent="0.25">
      <c r="A129" s="995" t="s">
        <v>285</v>
      </c>
      <c r="B129" s="996"/>
      <c r="C129" s="996"/>
      <c r="D129" s="997"/>
      <c r="E129" s="342">
        <f>E128</f>
        <v>3.766</v>
      </c>
    </row>
    <row r="130" spans="1:5" x14ac:dyDescent="0.25">
      <c r="A130" s="974" t="s">
        <v>1195</v>
      </c>
      <c r="B130" s="975"/>
      <c r="C130" s="975"/>
      <c r="D130" s="976"/>
      <c r="E130" s="977"/>
    </row>
    <row r="131" spans="1:5" x14ac:dyDescent="0.25">
      <c r="A131" s="978" t="s">
        <v>997</v>
      </c>
      <c r="B131" s="978"/>
      <c r="C131" s="978"/>
      <c r="D131" s="978"/>
      <c r="E131" s="978"/>
    </row>
    <row r="132" spans="1:5" x14ac:dyDescent="0.25">
      <c r="A132" s="979"/>
      <c r="B132" s="979"/>
      <c r="C132" s="979"/>
      <c r="D132" s="979"/>
      <c r="E132" s="979"/>
    </row>
    <row r="133" spans="1:5" x14ac:dyDescent="0.25">
      <c r="A133" s="979"/>
      <c r="B133" s="979"/>
      <c r="C133" s="979"/>
      <c r="D133" s="979"/>
      <c r="E133" s="979"/>
    </row>
    <row r="134" spans="1:5" x14ac:dyDescent="0.25">
      <c r="A134" s="979"/>
      <c r="B134" s="979"/>
      <c r="C134" s="979"/>
      <c r="D134" s="979"/>
      <c r="E134" s="979"/>
    </row>
    <row r="135" spans="1:5" x14ac:dyDescent="0.25">
      <c r="A135" s="979"/>
      <c r="B135" s="979"/>
      <c r="C135" s="979"/>
      <c r="D135" s="979"/>
      <c r="E135" s="979"/>
    </row>
    <row r="136" spans="1:5" x14ac:dyDescent="0.25">
      <c r="A136" s="979"/>
      <c r="B136" s="979"/>
      <c r="C136" s="979"/>
      <c r="D136" s="979"/>
      <c r="E136" s="979"/>
    </row>
    <row r="137" spans="1:5" x14ac:dyDescent="0.25">
      <c r="A137" s="979"/>
      <c r="B137" s="979"/>
      <c r="C137" s="979"/>
      <c r="D137" s="979"/>
      <c r="E137" s="979"/>
    </row>
    <row r="138" spans="1:5" x14ac:dyDescent="0.25">
      <c r="A138" s="979"/>
      <c r="B138" s="979"/>
      <c r="C138" s="979"/>
      <c r="D138" s="979"/>
      <c r="E138" s="979"/>
    </row>
    <row r="139" spans="1:5" x14ac:dyDescent="0.25">
      <c r="A139" s="979"/>
      <c r="B139" s="979"/>
      <c r="C139" s="979"/>
      <c r="D139" s="979"/>
      <c r="E139" s="979"/>
    </row>
    <row r="140" spans="1:5" x14ac:dyDescent="0.25">
      <c r="A140" s="979"/>
      <c r="B140" s="979"/>
      <c r="C140" s="979"/>
      <c r="D140" s="979"/>
      <c r="E140" s="979"/>
    </row>
    <row r="141" spans="1:5" x14ac:dyDescent="0.25">
      <c r="A141" s="979"/>
      <c r="B141" s="979"/>
      <c r="C141" s="979"/>
      <c r="D141" s="979"/>
      <c r="E141" s="979"/>
    </row>
    <row r="142" spans="1:5" x14ac:dyDescent="0.25">
      <c r="A142" s="979"/>
      <c r="B142" s="979"/>
      <c r="C142" s="979"/>
      <c r="D142" s="979"/>
      <c r="E142" s="979"/>
    </row>
    <row r="143" spans="1:5" x14ac:dyDescent="0.25">
      <c r="A143" s="979"/>
      <c r="B143" s="979"/>
      <c r="C143" s="979"/>
      <c r="D143" s="979"/>
      <c r="E143" s="979"/>
    </row>
    <row r="144" spans="1:5" x14ac:dyDescent="0.25">
      <c r="A144" s="979"/>
      <c r="B144" s="979"/>
      <c r="C144" s="979"/>
      <c r="D144" s="979"/>
      <c r="E144" s="979"/>
    </row>
    <row r="145" spans="1:5" x14ac:dyDescent="0.25">
      <c r="A145" s="979"/>
      <c r="B145" s="979"/>
      <c r="C145" s="979"/>
      <c r="D145" s="979"/>
      <c r="E145" s="979"/>
    </row>
    <row r="146" spans="1:5" x14ac:dyDescent="0.25">
      <c r="A146" s="979"/>
      <c r="B146" s="979"/>
      <c r="C146" s="979"/>
      <c r="D146" s="979"/>
      <c r="E146" s="979"/>
    </row>
    <row r="147" spans="1:5" x14ac:dyDescent="0.25">
      <c r="A147" s="979"/>
      <c r="B147" s="979"/>
      <c r="C147" s="979"/>
      <c r="D147" s="979"/>
      <c r="E147" s="979"/>
    </row>
    <row r="148" spans="1:5" x14ac:dyDescent="0.25">
      <c r="A148" s="979"/>
      <c r="B148" s="979"/>
      <c r="C148" s="979"/>
      <c r="D148" s="979"/>
      <c r="E148" s="979"/>
    </row>
    <row r="149" spans="1:5" x14ac:dyDescent="0.25">
      <c r="A149" s="979"/>
      <c r="B149" s="979"/>
      <c r="C149" s="979"/>
      <c r="D149" s="979"/>
      <c r="E149" s="979"/>
    </row>
    <row r="150" spans="1:5" x14ac:dyDescent="0.25">
      <c r="A150" s="979"/>
      <c r="B150" s="979"/>
      <c r="C150" s="979"/>
      <c r="D150" s="979"/>
      <c r="E150" s="979"/>
    </row>
    <row r="151" spans="1:5" x14ac:dyDescent="0.25">
      <c r="A151" s="979"/>
      <c r="B151" s="979"/>
      <c r="C151" s="979"/>
      <c r="D151" s="979"/>
      <c r="E151" s="979"/>
    </row>
    <row r="152" spans="1:5" x14ac:dyDescent="0.25">
      <c r="A152" s="979"/>
      <c r="B152" s="979"/>
      <c r="C152" s="979"/>
      <c r="D152" s="979"/>
      <c r="E152" s="979"/>
    </row>
    <row r="153" spans="1:5" x14ac:dyDescent="0.25">
      <c r="A153" s="979"/>
      <c r="B153" s="979"/>
      <c r="C153" s="979"/>
      <c r="D153" s="979"/>
      <c r="E153" s="979"/>
    </row>
    <row r="154" spans="1:5" x14ac:dyDescent="0.25">
      <c r="A154" s="966" t="s">
        <v>1195</v>
      </c>
      <c r="B154" s="966"/>
      <c r="C154" s="966"/>
      <c r="D154" s="966"/>
      <c r="E154" s="966"/>
    </row>
    <row r="155" spans="1:5" x14ac:dyDescent="0.25">
      <c r="A155" s="1062" t="s">
        <v>1087</v>
      </c>
      <c r="B155" s="1063"/>
      <c r="C155" s="967" t="s">
        <v>998</v>
      </c>
      <c r="D155" s="968"/>
      <c r="E155" s="229" t="s">
        <v>1003</v>
      </c>
    </row>
    <row r="156" spans="1:5" x14ac:dyDescent="0.25">
      <c r="A156" s="1064" t="s">
        <v>1101</v>
      </c>
      <c r="B156" s="1065"/>
      <c r="C156" s="969" t="s">
        <v>1196</v>
      </c>
      <c r="D156" s="970"/>
      <c r="E156" s="232">
        <f>(0.97*0.275)</f>
        <v>0.26674999999999999</v>
      </c>
    </row>
    <row r="157" spans="1:5" x14ac:dyDescent="0.25">
      <c r="A157" s="1064" t="s">
        <v>1103</v>
      </c>
      <c r="B157" s="1065"/>
      <c r="C157" s="969" t="s">
        <v>1197</v>
      </c>
      <c r="D157" s="970"/>
      <c r="E157" s="232">
        <f>(1.2*0.15)+(0.97*0.27)</f>
        <v>0.44190000000000002</v>
      </c>
    </row>
    <row r="158" spans="1:5" x14ac:dyDescent="0.25">
      <c r="A158" s="1064" t="s">
        <v>1107</v>
      </c>
      <c r="B158" s="1065"/>
      <c r="C158" s="969" t="s">
        <v>1198</v>
      </c>
      <c r="D158" s="970"/>
      <c r="E158" s="232">
        <f>(0.15*0.97)</f>
        <v>0.14549999999999999</v>
      </c>
    </row>
    <row r="159" spans="1:5" x14ac:dyDescent="0.25">
      <c r="A159" s="1064" t="s">
        <v>1125</v>
      </c>
      <c r="B159" s="1065"/>
      <c r="C159" s="969" t="s">
        <v>1199</v>
      </c>
      <c r="D159" s="970"/>
      <c r="E159" s="232">
        <f>(0.77*0.15)</f>
        <v>0.11549999999999999</v>
      </c>
    </row>
    <row r="160" spans="1:5" x14ac:dyDescent="0.25">
      <c r="A160" s="1064" t="s">
        <v>1110</v>
      </c>
      <c r="B160" s="1065"/>
      <c r="C160" s="969" t="s">
        <v>1199</v>
      </c>
      <c r="D160" s="970"/>
      <c r="E160" s="232">
        <f>(0.77*0.15)</f>
        <v>0.11549999999999999</v>
      </c>
    </row>
    <row r="161" spans="1:5" x14ac:dyDescent="0.25">
      <c r="A161" s="1064" t="s">
        <v>1111</v>
      </c>
      <c r="B161" s="1065"/>
      <c r="C161" s="969" t="s">
        <v>1199</v>
      </c>
      <c r="D161" s="970"/>
      <c r="E161" s="232">
        <f>(0.77*0.15)</f>
        <v>0.11549999999999999</v>
      </c>
    </row>
    <row r="162" spans="1:5" x14ac:dyDescent="0.25">
      <c r="A162" s="971" t="s">
        <v>1001</v>
      </c>
      <c r="B162" s="972"/>
      <c r="C162" s="972"/>
      <c r="D162" s="973"/>
      <c r="E162" s="238">
        <f>SUM(E156:E161)</f>
        <v>1.2006499999999998</v>
      </c>
    </row>
    <row r="163" spans="1:5" x14ac:dyDescent="0.25">
      <c r="A163" s="995" t="s">
        <v>285</v>
      </c>
      <c r="B163" s="996"/>
      <c r="C163" s="996"/>
      <c r="D163" s="997"/>
      <c r="E163" s="342">
        <f>E162</f>
        <v>1.2006499999999998</v>
      </c>
    </row>
    <row r="164" spans="1:5" x14ac:dyDescent="0.25">
      <c r="A164" s="974" t="s">
        <v>1200</v>
      </c>
      <c r="B164" s="975"/>
      <c r="C164" s="975"/>
      <c r="D164" s="976"/>
      <c r="E164" s="977"/>
    </row>
    <row r="165" spans="1:5" x14ac:dyDescent="0.25">
      <c r="A165" s="978" t="s">
        <v>997</v>
      </c>
      <c r="B165" s="978"/>
      <c r="C165" s="978"/>
      <c r="D165" s="978"/>
      <c r="E165" s="978"/>
    </row>
    <row r="166" spans="1:5" x14ac:dyDescent="0.25">
      <c r="A166" s="979"/>
      <c r="B166" s="979"/>
      <c r="C166" s="979"/>
      <c r="D166" s="979"/>
      <c r="E166" s="979"/>
    </row>
    <row r="167" spans="1:5" x14ac:dyDescent="0.25">
      <c r="A167" s="979"/>
      <c r="B167" s="979"/>
      <c r="C167" s="979"/>
      <c r="D167" s="979"/>
      <c r="E167" s="979"/>
    </row>
    <row r="168" spans="1:5" x14ac:dyDescent="0.25">
      <c r="A168" s="979"/>
      <c r="B168" s="979"/>
      <c r="C168" s="979"/>
      <c r="D168" s="979"/>
      <c r="E168" s="979"/>
    </row>
    <row r="169" spans="1:5" x14ac:dyDescent="0.25">
      <c r="A169" s="979"/>
      <c r="B169" s="979"/>
      <c r="C169" s="979"/>
      <c r="D169" s="979"/>
      <c r="E169" s="979"/>
    </row>
    <row r="170" spans="1:5" x14ac:dyDescent="0.25">
      <c r="A170" s="979"/>
      <c r="B170" s="979"/>
      <c r="C170" s="979"/>
      <c r="D170" s="979"/>
      <c r="E170" s="979"/>
    </row>
    <row r="171" spans="1:5" x14ac:dyDescent="0.25">
      <c r="A171" s="979"/>
      <c r="B171" s="979"/>
      <c r="C171" s="979"/>
      <c r="D171" s="979"/>
      <c r="E171" s="979"/>
    </row>
    <row r="172" spans="1:5" x14ac:dyDescent="0.25">
      <c r="A172" s="979"/>
      <c r="B172" s="979"/>
      <c r="C172" s="979"/>
      <c r="D172" s="979"/>
      <c r="E172" s="979"/>
    </row>
    <row r="173" spans="1:5" x14ac:dyDescent="0.25">
      <c r="A173" s="979"/>
      <c r="B173" s="979"/>
      <c r="C173" s="979"/>
      <c r="D173" s="979"/>
      <c r="E173" s="979"/>
    </row>
    <row r="174" spans="1:5" x14ac:dyDescent="0.25">
      <c r="A174" s="979"/>
      <c r="B174" s="979"/>
      <c r="C174" s="979"/>
      <c r="D174" s="979"/>
      <c r="E174" s="979"/>
    </row>
    <row r="175" spans="1:5" x14ac:dyDescent="0.25">
      <c r="A175" s="979"/>
      <c r="B175" s="979"/>
      <c r="C175" s="979"/>
      <c r="D175" s="979"/>
      <c r="E175" s="979"/>
    </row>
    <row r="176" spans="1:5" x14ac:dyDescent="0.25">
      <c r="A176" s="979"/>
      <c r="B176" s="979"/>
      <c r="C176" s="979"/>
      <c r="D176" s="979"/>
      <c r="E176" s="979"/>
    </row>
    <row r="177" spans="1:5" x14ac:dyDescent="0.25">
      <c r="A177" s="979"/>
      <c r="B177" s="979"/>
      <c r="C177" s="979"/>
      <c r="D177" s="979"/>
      <c r="E177" s="979"/>
    </row>
    <row r="178" spans="1:5" x14ac:dyDescent="0.25">
      <c r="A178" s="979"/>
      <c r="B178" s="979"/>
      <c r="C178" s="979"/>
      <c r="D178" s="979"/>
      <c r="E178" s="979"/>
    </row>
    <row r="179" spans="1:5" x14ac:dyDescent="0.25">
      <c r="A179" s="979"/>
      <c r="B179" s="979"/>
      <c r="C179" s="979"/>
      <c r="D179" s="979"/>
      <c r="E179" s="979"/>
    </row>
    <row r="180" spans="1:5" x14ac:dyDescent="0.25">
      <c r="A180" s="979"/>
      <c r="B180" s="979"/>
      <c r="C180" s="979"/>
      <c r="D180" s="979"/>
      <c r="E180" s="979"/>
    </row>
    <row r="181" spans="1:5" x14ac:dyDescent="0.25">
      <c r="A181" s="979"/>
      <c r="B181" s="979"/>
      <c r="C181" s="979"/>
      <c r="D181" s="979"/>
      <c r="E181" s="979"/>
    </row>
    <row r="182" spans="1:5" x14ac:dyDescent="0.25">
      <c r="A182" s="979"/>
      <c r="B182" s="979"/>
      <c r="C182" s="979"/>
      <c r="D182" s="979"/>
      <c r="E182" s="979"/>
    </row>
    <row r="183" spans="1:5" x14ac:dyDescent="0.25">
      <c r="A183" s="979"/>
      <c r="B183" s="979"/>
      <c r="C183" s="979"/>
      <c r="D183" s="979"/>
      <c r="E183" s="979"/>
    </row>
    <row r="184" spans="1:5" x14ac:dyDescent="0.25">
      <c r="A184" s="979"/>
      <c r="B184" s="979"/>
      <c r="C184" s="979"/>
      <c r="D184" s="979"/>
      <c r="E184" s="979"/>
    </row>
    <row r="185" spans="1:5" x14ac:dyDescent="0.25">
      <c r="A185" s="979"/>
      <c r="B185" s="979"/>
      <c r="C185" s="979"/>
      <c r="D185" s="979"/>
      <c r="E185" s="979"/>
    </row>
    <row r="186" spans="1:5" x14ac:dyDescent="0.25">
      <c r="A186" s="979"/>
      <c r="B186" s="979"/>
      <c r="C186" s="979"/>
      <c r="D186" s="979"/>
      <c r="E186" s="979"/>
    </row>
    <row r="187" spans="1:5" x14ac:dyDescent="0.25">
      <c r="A187" s="979"/>
      <c r="B187" s="979"/>
      <c r="C187" s="979"/>
      <c r="D187" s="979"/>
      <c r="E187" s="979"/>
    </row>
    <row r="188" spans="1:5" x14ac:dyDescent="0.25">
      <c r="A188" s="966" t="s">
        <v>1200</v>
      </c>
      <c r="B188" s="966"/>
      <c r="C188" s="966"/>
      <c r="D188" s="966"/>
      <c r="E188" s="966"/>
    </row>
    <row r="189" spans="1:5" x14ac:dyDescent="0.25">
      <c r="A189" s="1062" t="s">
        <v>1087</v>
      </c>
      <c r="B189" s="1063"/>
      <c r="C189" s="967" t="s">
        <v>998</v>
      </c>
      <c r="D189" s="968"/>
      <c r="E189" s="229" t="s">
        <v>1003</v>
      </c>
    </row>
    <row r="190" spans="1:5" x14ac:dyDescent="0.25">
      <c r="A190" s="1064" t="s">
        <v>1120</v>
      </c>
      <c r="B190" s="1065"/>
      <c r="C190" s="969" t="s">
        <v>1201</v>
      </c>
      <c r="D190" s="970"/>
      <c r="E190" s="232">
        <f>(0.28*1.2)*2</f>
        <v>0.67200000000000004</v>
      </c>
    </row>
    <row r="191" spans="1:5" x14ac:dyDescent="0.25">
      <c r="A191" s="1064" t="s">
        <v>1108</v>
      </c>
      <c r="B191" s="1065"/>
      <c r="C191" s="969" t="s">
        <v>1202</v>
      </c>
      <c r="D191" s="970"/>
      <c r="E191" s="232">
        <f>0.15*0.963</f>
        <v>0.14445</v>
      </c>
    </row>
    <row r="192" spans="1:5" x14ac:dyDescent="0.25">
      <c r="A192" s="971" t="s">
        <v>1001</v>
      </c>
      <c r="B192" s="972"/>
      <c r="C192" s="972"/>
      <c r="D192" s="973"/>
      <c r="E192" s="238">
        <f>SUM(E190:E191)</f>
        <v>0.81645000000000001</v>
      </c>
    </row>
    <row r="193" spans="1:5" x14ac:dyDescent="0.25">
      <c r="A193" s="995" t="s">
        <v>285</v>
      </c>
      <c r="B193" s="996"/>
      <c r="C193" s="996"/>
      <c r="D193" s="997"/>
      <c r="E193" s="342">
        <f>E192</f>
        <v>0.81645000000000001</v>
      </c>
    </row>
    <row r="194" spans="1:5" x14ac:dyDescent="0.25">
      <c r="A194" s="974" t="s">
        <v>1203</v>
      </c>
      <c r="B194" s="975"/>
      <c r="C194" s="975"/>
      <c r="D194" s="976"/>
      <c r="E194" s="977"/>
    </row>
    <row r="195" spans="1:5" x14ac:dyDescent="0.25">
      <c r="A195" s="978" t="s">
        <v>997</v>
      </c>
      <c r="B195" s="978"/>
      <c r="C195" s="978"/>
      <c r="D195" s="978"/>
      <c r="E195" s="978"/>
    </row>
    <row r="196" spans="1:5" x14ac:dyDescent="0.25">
      <c r="A196" s="979"/>
      <c r="B196" s="979"/>
      <c r="C196" s="979"/>
      <c r="D196" s="979"/>
      <c r="E196" s="979"/>
    </row>
    <row r="197" spans="1:5" x14ac:dyDescent="0.25">
      <c r="A197" s="979"/>
      <c r="B197" s="979"/>
      <c r="C197" s="979"/>
      <c r="D197" s="979"/>
      <c r="E197" s="979"/>
    </row>
    <row r="198" spans="1:5" x14ac:dyDescent="0.25">
      <c r="A198" s="979"/>
      <c r="B198" s="979"/>
      <c r="C198" s="979"/>
      <c r="D198" s="979"/>
      <c r="E198" s="979"/>
    </row>
    <row r="199" spans="1:5" x14ac:dyDescent="0.25">
      <c r="A199" s="979"/>
      <c r="B199" s="979"/>
      <c r="C199" s="979"/>
      <c r="D199" s="979"/>
      <c r="E199" s="979"/>
    </row>
    <row r="200" spans="1:5" x14ac:dyDescent="0.25">
      <c r="A200" s="979"/>
      <c r="B200" s="979"/>
      <c r="C200" s="979"/>
      <c r="D200" s="979"/>
      <c r="E200" s="979"/>
    </row>
    <row r="201" spans="1:5" x14ac:dyDescent="0.25">
      <c r="A201" s="979"/>
      <c r="B201" s="979"/>
      <c r="C201" s="979"/>
      <c r="D201" s="979"/>
      <c r="E201" s="979"/>
    </row>
    <row r="202" spans="1:5" x14ac:dyDescent="0.25">
      <c r="A202" s="979"/>
      <c r="B202" s="979"/>
      <c r="C202" s="979"/>
      <c r="D202" s="979"/>
      <c r="E202" s="979"/>
    </row>
    <row r="203" spans="1:5" x14ac:dyDescent="0.25">
      <c r="A203" s="979"/>
      <c r="B203" s="979"/>
      <c r="C203" s="979"/>
      <c r="D203" s="979"/>
      <c r="E203" s="979"/>
    </row>
    <row r="204" spans="1:5" x14ac:dyDescent="0.25">
      <c r="A204" s="979"/>
      <c r="B204" s="979"/>
      <c r="C204" s="979"/>
      <c r="D204" s="979"/>
      <c r="E204" s="979"/>
    </row>
    <row r="205" spans="1:5" x14ac:dyDescent="0.25">
      <c r="A205" s="979"/>
      <c r="B205" s="979"/>
      <c r="C205" s="979"/>
      <c r="D205" s="979"/>
      <c r="E205" s="979"/>
    </row>
    <row r="206" spans="1:5" x14ac:dyDescent="0.25">
      <c r="A206" s="979"/>
      <c r="B206" s="979"/>
      <c r="C206" s="979"/>
      <c r="D206" s="979"/>
      <c r="E206" s="979"/>
    </row>
    <row r="207" spans="1:5" x14ac:dyDescent="0.25">
      <c r="A207" s="979"/>
      <c r="B207" s="979"/>
      <c r="C207" s="979"/>
      <c r="D207" s="979"/>
      <c r="E207" s="979"/>
    </row>
    <row r="208" spans="1:5" x14ac:dyDescent="0.25">
      <c r="A208" s="979"/>
      <c r="B208" s="979"/>
      <c r="C208" s="979"/>
      <c r="D208" s="979"/>
      <c r="E208" s="979"/>
    </row>
    <row r="209" spans="1:5" x14ac:dyDescent="0.25">
      <c r="A209" s="979"/>
      <c r="B209" s="979"/>
      <c r="C209" s="979"/>
      <c r="D209" s="979"/>
      <c r="E209" s="979"/>
    </row>
    <row r="210" spans="1:5" x14ac:dyDescent="0.25">
      <c r="A210" s="979"/>
      <c r="B210" s="979"/>
      <c r="C210" s="979"/>
      <c r="D210" s="979"/>
      <c r="E210" s="979"/>
    </row>
    <row r="211" spans="1:5" x14ac:dyDescent="0.25">
      <c r="A211" s="979"/>
      <c r="B211" s="979"/>
      <c r="C211" s="979"/>
      <c r="D211" s="979"/>
      <c r="E211" s="979"/>
    </row>
    <row r="212" spans="1:5" x14ac:dyDescent="0.25">
      <c r="A212" s="979"/>
      <c r="B212" s="979"/>
      <c r="C212" s="979"/>
      <c r="D212" s="979"/>
      <c r="E212" s="979"/>
    </row>
    <row r="213" spans="1:5" x14ac:dyDescent="0.25">
      <c r="A213" s="979"/>
      <c r="B213" s="979"/>
      <c r="C213" s="979"/>
      <c r="D213" s="979"/>
      <c r="E213" s="979"/>
    </row>
    <row r="214" spans="1:5" x14ac:dyDescent="0.25">
      <c r="A214" s="979"/>
      <c r="B214" s="979"/>
      <c r="C214" s="979"/>
      <c r="D214" s="979"/>
      <c r="E214" s="979"/>
    </row>
    <row r="215" spans="1:5" x14ac:dyDescent="0.25">
      <c r="A215" s="979"/>
      <c r="B215" s="979"/>
      <c r="C215" s="979"/>
      <c r="D215" s="979"/>
      <c r="E215" s="979"/>
    </row>
    <row r="216" spans="1:5" x14ac:dyDescent="0.25">
      <c r="A216" s="979"/>
      <c r="B216" s="979"/>
      <c r="C216" s="979"/>
      <c r="D216" s="979"/>
      <c r="E216" s="979"/>
    </row>
    <row r="217" spans="1:5" x14ac:dyDescent="0.25">
      <c r="A217" s="979"/>
      <c r="B217" s="979"/>
      <c r="C217" s="979"/>
      <c r="D217" s="979"/>
      <c r="E217" s="979"/>
    </row>
    <row r="218" spans="1:5" x14ac:dyDescent="0.25">
      <c r="A218" s="966" t="s">
        <v>1203</v>
      </c>
      <c r="B218" s="966"/>
      <c r="C218" s="966"/>
      <c r="D218" s="966"/>
      <c r="E218" s="966"/>
    </row>
    <row r="219" spans="1:5" x14ac:dyDescent="0.25">
      <c r="A219" s="1062" t="s">
        <v>1087</v>
      </c>
      <c r="B219" s="1063"/>
      <c r="C219" s="967" t="s">
        <v>998</v>
      </c>
      <c r="D219" s="968"/>
      <c r="E219" s="229" t="s">
        <v>1003</v>
      </c>
    </row>
    <row r="220" spans="1:5" x14ac:dyDescent="0.25">
      <c r="A220" s="1064" t="s">
        <v>1123</v>
      </c>
      <c r="B220" s="1065"/>
      <c r="C220" s="969" t="s">
        <v>1204</v>
      </c>
      <c r="D220" s="970"/>
      <c r="E220" s="232">
        <f>(0.27*0.77)</f>
        <v>0.20790000000000003</v>
      </c>
    </row>
    <row r="221" spans="1:5" x14ac:dyDescent="0.25">
      <c r="A221" s="1064" t="s">
        <v>1157</v>
      </c>
      <c r="B221" s="1065"/>
      <c r="C221" s="969" t="s">
        <v>1205</v>
      </c>
      <c r="D221" s="970"/>
      <c r="E221" s="232">
        <f>(0.87*0.15)</f>
        <v>0.1305</v>
      </c>
    </row>
    <row r="222" spans="1:5" x14ac:dyDescent="0.25">
      <c r="A222" s="971" t="s">
        <v>1001</v>
      </c>
      <c r="B222" s="972"/>
      <c r="C222" s="972"/>
      <c r="D222" s="973"/>
      <c r="E222" s="238">
        <f>SUM(E220:E221)</f>
        <v>0.33840000000000003</v>
      </c>
    </row>
    <row r="223" spans="1:5" x14ac:dyDescent="0.25">
      <c r="A223" s="995" t="s">
        <v>285</v>
      </c>
      <c r="B223" s="996"/>
      <c r="C223" s="996"/>
      <c r="D223" s="997"/>
      <c r="E223" s="342">
        <f>E222</f>
        <v>0.33840000000000003</v>
      </c>
    </row>
    <row r="224" spans="1:5" x14ac:dyDescent="0.25">
      <c r="A224" s="974" t="s">
        <v>1206</v>
      </c>
      <c r="B224" s="975"/>
      <c r="C224" s="975"/>
      <c r="D224" s="976"/>
      <c r="E224" s="977"/>
    </row>
    <row r="225" spans="1:5" x14ac:dyDescent="0.25">
      <c r="A225" s="978" t="s">
        <v>997</v>
      </c>
      <c r="B225" s="978"/>
      <c r="C225" s="978"/>
      <c r="D225" s="978"/>
      <c r="E225" s="978"/>
    </row>
    <row r="226" spans="1:5" x14ac:dyDescent="0.25">
      <c r="A226" s="979"/>
      <c r="B226" s="979"/>
      <c r="C226" s="979"/>
      <c r="D226" s="979"/>
      <c r="E226" s="979"/>
    </row>
    <row r="227" spans="1:5" x14ac:dyDescent="0.25">
      <c r="A227" s="979"/>
      <c r="B227" s="979"/>
      <c r="C227" s="979"/>
      <c r="D227" s="979"/>
      <c r="E227" s="979"/>
    </row>
    <row r="228" spans="1:5" x14ac:dyDescent="0.25">
      <c r="A228" s="979"/>
      <c r="B228" s="979"/>
      <c r="C228" s="979"/>
      <c r="D228" s="979"/>
      <c r="E228" s="979"/>
    </row>
    <row r="229" spans="1:5" x14ac:dyDescent="0.25">
      <c r="A229" s="979"/>
      <c r="B229" s="979"/>
      <c r="C229" s="979"/>
      <c r="D229" s="979"/>
      <c r="E229" s="979"/>
    </row>
    <row r="230" spans="1:5" x14ac:dyDescent="0.25">
      <c r="A230" s="979"/>
      <c r="B230" s="979"/>
      <c r="C230" s="979"/>
      <c r="D230" s="979"/>
      <c r="E230" s="979"/>
    </row>
    <row r="231" spans="1:5" x14ac:dyDescent="0.25">
      <c r="A231" s="979"/>
      <c r="B231" s="979"/>
      <c r="C231" s="979"/>
      <c r="D231" s="979"/>
      <c r="E231" s="979"/>
    </row>
    <row r="232" spans="1:5" x14ac:dyDescent="0.25">
      <c r="A232" s="979"/>
      <c r="B232" s="979"/>
      <c r="C232" s="979"/>
      <c r="D232" s="979"/>
      <c r="E232" s="979"/>
    </row>
    <row r="233" spans="1:5" x14ac:dyDescent="0.25">
      <c r="A233" s="979"/>
      <c r="B233" s="979"/>
      <c r="C233" s="979"/>
      <c r="D233" s="979"/>
      <c r="E233" s="979"/>
    </row>
    <row r="234" spans="1:5" x14ac:dyDescent="0.25">
      <c r="A234" s="979"/>
      <c r="B234" s="979"/>
      <c r="C234" s="979"/>
      <c r="D234" s="979"/>
      <c r="E234" s="979"/>
    </row>
    <row r="235" spans="1:5" x14ac:dyDescent="0.25">
      <c r="A235" s="979"/>
      <c r="B235" s="979"/>
      <c r="C235" s="979"/>
      <c r="D235" s="979"/>
      <c r="E235" s="979"/>
    </row>
    <row r="236" spans="1:5" x14ac:dyDescent="0.25">
      <c r="A236" s="979"/>
      <c r="B236" s="979"/>
      <c r="C236" s="979"/>
      <c r="D236" s="979"/>
      <c r="E236" s="979"/>
    </row>
    <row r="237" spans="1:5" x14ac:dyDescent="0.25">
      <c r="A237" s="979"/>
      <c r="B237" s="979"/>
      <c r="C237" s="979"/>
      <c r="D237" s="979"/>
      <c r="E237" s="979"/>
    </row>
    <row r="238" spans="1:5" x14ac:dyDescent="0.25">
      <c r="A238" s="979"/>
      <c r="B238" s="979"/>
      <c r="C238" s="979"/>
      <c r="D238" s="979"/>
      <c r="E238" s="979"/>
    </row>
    <row r="239" spans="1:5" x14ac:dyDescent="0.25">
      <c r="A239" s="979"/>
      <c r="B239" s="979"/>
      <c r="C239" s="979"/>
      <c r="D239" s="979"/>
      <c r="E239" s="979"/>
    </row>
    <row r="240" spans="1:5" x14ac:dyDescent="0.25">
      <c r="A240" s="979"/>
      <c r="B240" s="979"/>
      <c r="C240" s="979"/>
      <c r="D240" s="979"/>
      <c r="E240" s="979"/>
    </row>
    <row r="241" spans="1:5" x14ac:dyDescent="0.25">
      <c r="A241" s="979"/>
      <c r="B241" s="979"/>
      <c r="C241" s="979"/>
      <c r="D241" s="979"/>
      <c r="E241" s="979"/>
    </row>
    <row r="242" spans="1:5" x14ac:dyDescent="0.25">
      <c r="A242" s="979"/>
      <c r="B242" s="979"/>
      <c r="C242" s="979"/>
      <c r="D242" s="979"/>
      <c r="E242" s="979"/>
    </row>
    <row r="243" spans="1:5" x14ac:dyDescent="0.25">
      <c r="A243" s="979"/>
      <c r="B243" s="979"/>
      <c r="C243" s="979"/>
      <c r="D243" s="979"/>
      <c r="E243" s="979"/>
    </row>
    <row r="244" spans="1:5" x14ac:dyDescent="0.25">
      <c r="A244" s="979"/>
      <c r="B244" s="979"/>
      <c r="C244" s="979"/>
      <c r="D244" s="979"/>
      <c r="E244" s="979"/>
    </row>
    <row r="245" spans="1:5" x14ac:dyDescent="0.25">
      <c r="A245" s="979"/>
      <c r="B245" s="979"/>
      <c r="C245" s="979"/>
      <c r="D245" s="979"/>
      <c r="E245" s="979"/>
    </row>
    <row r="246" spans="1:5" x14ac:dyDescent="0.25">
      <c r="A246" s="979"/>
      <c r="B246" s="979"/>
      <c r="C246" s="979"/>
      <c r="D246" s="979"/>
      <c r="E246" s="979"/>
    </row>
    <row r="247" spans="1:5" x14ac:dyDescent="0.25">
      <c r="A247" s="979"/>
      <c r="B247" s="979"/>
      <c r="C247" s="979"/>
      <c r="D247" s="979"/>
      <c r="E247" s="979"/>
    </row>
    <row r="248" spans="1:5" x14ac:dyDescent="0.25">
      <c r="A248" s="966" t="s">
        <v>1206</v>
      </c>
      <c r="B248" s="966"/>
      <c r="C248" s="966"/>
      <c r="D248" s="966"/>
      <c r="E248" s="966"/>
    </row>
    <row r="249" spans="1:5" x14ac:dyDescent="0.25">
      <c r="A249" s="1062" t="s">
        <v>1087</v>
      </c>
      <c r="B249" s="1063"/>
      <c r="C249" s="967" t="s">
        <v>998</v>
      </c>
      <c r="D249" s="968"/>
      <c r="E249" s="229" t="s">
        <v>1003</v>
      </c>
    </row>
    <row r="250" spans="1:5" x14ac:dyDescent="0.25">
      <c r="A250" s="1064" t="s">
        <v>1110</v>
      </c>
      <c r="B250" s="1065"/>
      <c r="C250" s="969" t="s">
        <v>1207</v>
      </c>
      <c r="D250" s="970"/>
      <c r="E250" s="232">
        <f>(1.1+0.425)*1.8</f>
        <v>2.7450000000000001</v>
      </c>
    </row>
    <row r="251" spans="1:5" x14ac:dyDescent="0.25">
      <c r="A251" s="1064" t="s">
        <v>1110</v>
      </c>
      <c r="B251" s="1065"/>
      <c r="C251" s="969" t="s">
        <v>1208</v>
      </c>
      <c r="D251" s="970"/>
      <c r="E251" s="232">
        <f>(1.1+0.735)*1.8</f>
        <v>3.3029999999999999</v>
      </c>
    </row>
    <row r="252" spans="1:5" x14ac:dyDescent="0.25">
      <c r="A252" s="1064" t="s">
        <v>1111</v>
      </c>
      <c r="B252" s="1065"/>
      <c r="C252" s="969" t="s">
        <v>1209</v>
      </c>
      <c r="D252" s="970"/>
      <c r="E252" s="232">
        <f>(1.1+0.32)*1.8</f>
        <v>2.5560000000000005</v>
      </c>
    </row>
    <row r="253" spans="1:5" x14ac:dyDescent="0.25">
      <c r="A253" s="1064" t="s">
        <v>1111</v>
      </c>
      <c r="B253" s="1065"/>
      <c r="C253" s="969" t="s">
        <v>1210</v>
      </c>
      <c r="D253" s="970"/>
      <c r="E253" s="232">
        <f>(1.1+0.27)*1.8</f>
        <v>2.4660000000000002</v>
      </c>
    </row>
    <row r="254" spans="1:5" x14ac:dyDescent="0.25">
      <c r="A254" s="1064" t="s">
        <v>1111</v>
      </c>
      <c r="B254" s="1065"/>
      <c r="C254" s="969" t="s">
        <v>1211</v>
      </c>
      <c r="D254" s="970"/>
      <c r="E254" s="232">
        <f>0.45*1.8</f>
        <v>0.81</v>
      </c>
    </row>
    <row r="255" spans="1:5" x14ac:dyDescent="0.25">
      <c r="A255" s="971" t="s">
        <v>1001</v>
      </c>
      <c r="B255" s="972"/>
      <c r="C255" s="972"/>
      <c r="D255" s="973"/>
      <c r="E255" s="238">
        <f>SUM(E250:E254)</f>
        <v>11.88</v>
      </c>
    </row>
    <row r="256" spans="1:5" x14ac:dyDescent="0.25">
      <c r="A256" s="995" t="s">
        <v>285</v>
      </c>
      <c r="B256" s="996"/>
      <c r="C256" s="996"/>
      <c r="D256" s="997"/>
      <c r="E256" s="342">
        <f>E255</f>
        <v>11.88</v>
      </c>
    </row>
    <row r="257" spans="1:5" x14ac:dyDescent="0.25">
      <c r="A257" s="974" t="s">
        <v>1212</v>
      </c>
      <c r="B257" s="975"/>
      <c r="C257" s="975"/>
      <c r="D257" s="976"/>
      <c r="E257" s="977"/>
    </row>
    <row r="258" spans="1:5" x14ac:dyDescent="0.25">
      <c r="A258" s="978" t="s">
        <v>997</v>
      </c>
      <c r="B258" s="978"/>
      <c r="C258" s="978"/>
      <c r="D258" s="978"/>
      <c r="E258" s="978"/>
    </row>
    <row r="259" spans="1:5" x14ac:dyDescent="0.25">
      <c r="A259" s="979"/>
      <c r="B259" s="979"/>
      <c r="C259" s="979"/>
      <c r="D259" s="979"/>
      <c r="E259" s="979"/>
    </row>
    <row r="260" spans="1:5" x14ac:dyDescent="0.25">
      <c r="A260" s="979"/>
      <c r="B260" s="979"/>
      <c r="C260" s="979"/>
      <c r="D260" s="979"/>
      <c r="E260" s="979"/>
    </row>
    <row r="261" spans="1:5" x14ac:dyDescent="0.25">
      <c r="A261" s="979"/>
      <c r="B261" s="979"/>
      <c r="C261" s="979"/>
      <c r="D261" s="979"/>
      <c r="E261" s="979"/>
    </row>
    <row r="262" spans="1:5" x14ac:dyDescent="0.25">
      <c r="A262" s="979"/>
      <c r="B262" s="979"/>
      <c r="C262" s="979"/>
      <c r="D262" s="979"/>
      <c r="E262" s="979"/>
    </row>
    <row r="263" spans="1:5" x14ac:dyDescent="0.25">
      <c r="A263" s="979"/>
      <c r="B263" s="979"/>
      <c r="C263" s="979"/>
      <c r="D263" s="979"/>
      <c r="E263" s="979"/>
    </row>
    <row r="264" spans="1:5" x14ac:dyDescent="0.25">
      <c r="A264" s="979"/>
      <c r="B264" s="979"/>
      <c r="C264" s="979"/>
      <c r="D264" s="979"/>
      <c r="E264" s="979"/>
    </row>
    <row r="265" spans="1:5" x14ac:dyDescent="0.25">
      <c r="A265" s="979"/>
      <c r="B265" s="979"/>
      <c r="C265" s="979"/>
      <c r="D265" s="979"/>
      <c r="E265" s="979"/>
    </row>
    <row r="266" spans="1:5" x14ac:dyDescent="0.25">
      <c r="A266" s="979"/>
      <c r="B266" s="979"/>
      <c r="C266" s="979"/>
      <c r="D266" s="979"/>
      <c r="E266" s="979"/>
    </row>
    <row r="267" spans="1:5" x14ac:dyDescent="0.25">
      <c r="A267" s="979"/>
      <c r="B267" s="979"/>
      <c r="C267" s="979"/>
      <c r="D267" s="979"/>
      <c r="E267" s="979"/>
    </row>
    <row r="268" spans="1:5" x14ac:dyDescent="0.25">
      <c r="A268" s="979"/>
      <c r="B268" s="979"/>
      <c r="C268" s="979"/>
      <c r="D268" s="979"/>
      <c r="E268" s="979"/>
    </row>
    <row r="269" spans="1:5" x14ac:dyDescent="0.25">
      <c r="A269" s="979"/>
      <c r="B269" s="979"/>
      <c r="C269" s="979"/>
      <c r="D269" s="979"/>
      <c r="E269" s="979"/>
    </row>
    <row r="270" spans="1:5" x14ac:dyDescent="0.25">
      <c r="A270" s="979"/>
      <c r="B270" s="979"/>
      <c r="C270" s="979"/>
      <c r="D270" s="979"/>
      <c r="E270" s="979"/>
    </row>
    <row r="271" spans="1:5" x14ac:dyDescent="0.25">
      <c r="A271" s="979"/>
      <c r="B271" s="979"/>
      <c r="C271" s="979"/>
      <c r="D271" s="979"/>
      <c r="E271" s="979"/>
    </row>
    <row r="272" spans="1:5" x14ac:dyDescent="0.25">
      <c r="A272" s="979"/>
      <c r="B272" s="979"/>
      <c r="C272" s="979"/>
      <c r="D272" s="979"/>
      <c r="E272" s="979"/>
    </row>
    <row r="273" spans="1:5" x14ac:dyDescent="0.25">
      <c r="A273" s="979"/>
      <c r="B273" s="979"/>
      <c r="C273" s="979"/>
      <c r="D273" s="979"/>
      <c r="E273" s="979"/>
    </row>
    <row r="274" spans="1:5" x14ac:dyDescent="0.25">
      <c r="A274" s="979"/>
      <c r="B274" s="979"/>
      <c r="C274" s="979"/>
      <c r="D274" s="979"/>
      <c r="E274" s="979"/>
    </row>
    <row r="275" spans="1:5" x14ac:dyDescent="0.25">
      <c r="A275" s="979"/>
      <c r="B275" s="979"/>
      <c r="C275" s="979"/>
      <c r="D275" s="979"/>
      <c r="E275" s="979"/>
    </row>
    <row r="276" spans="1:5" x14ac:dyDescent="0.25">
      <c r="A276" s="979"/>
      <c r="B276" s="979"/>
      <c r="C276" s="979"/>
      <c r="D276" s="979"/>
      <c r="E276" s="979"/>
    </row>
    <row r="277" spans="1:5" x14ac:dyDescent="0.25">
      <c r="A277" s="979"/>
      <c r="B277" s="979"/>
      <c r="C277" s="979"/>
      <c r="D277" s="979"/>
      <c r="E277" s="979"/>
    </row>
    <row r="278" spans="1:5" x14ac:dyDescent="0.25">
      <c r="A278" s="979"/>
      <c r="B278" s="979"/>
      <c r="C278" s="979"/>
      <c r="D278" s="979"/>
      <c r="E278" s="979"/>
    </row>
    <row r="279" spans="1:5" x14ac:dyDescent="0.25">
      <c r="A279" s="979"/>
      <c r="B279" s="979"/>
      <c r="C279" s="979"/>
      <c r="D279" s="979"/>
      <c r="E279" s="979"/>
    </row>
    <row r="280" spans="1:5" x14ac:dyDescent="0.25">
      <c r="A280" s="979"/>
      <c r="B280" s="979"/>
      <c r="C280" s="979"/>
      <c r="D280" s="979"/>
      <c r="E280" s="979"/>
    </row>
    <row r="281" spans="1:5" x14ac:dyDescent="0.25">
      <c r="A281" s="966" t="s">
        <v>1212</v>
      </c>
      <c r="B281" s="966"/>
      <c r="C281" s="966"/>
      <c r="D281" s="966"/>
      <c r="E281" s="966"/>
    </row>
    <row r="282" spans="1:5" x14ac:dyDescent="0.25">
      <c r="A282" s="1062" t="s">
        <v>1087</v>
      </c>
      <c r="B282" s="1063"/>
      <c r="C282" s="967" t="s">
        <v>998</v>
      </c>
      <c r="D282" s="968"/>
      <c r="E282" s="229" t="s">
        <v>1003</v>
      </c>
    </row>
    <row r="283" spans="1:5" x14ac:dyDescent="0.25">
      <c r="A283" s="1064" t="s">
        <v>1107</v>
      </c>
      <c r="B283" s="1065"/>
      <c r="C283" s="969" t="s">
        <v>1213</v>
      </c>
      <c r="D283" s="970"/>
      <c r="E283" s="232">
        <f>0.6*2.322</f>
        <v>1.3932</v>
      </c>
    </row>
    <row r="284" spans="1:5" x14ac:dyDescent="0.25">
      <c r="A284" s="1064" t="s">
        <v>1123</v>
      </c>
      <c r="B284" s="1065"/>
      <c r="C284" s="969" t="s">
        <v>1214</v>
      </c>
      <c r="D284" s="970"/>
      <c r="E284" s="232">
        <f>0.4*2.187</f>
        <v>0.87480000000000002</v>
      </c>
    </row>
    <row r="285" spans="1:5" x14ac:dyDescent="0.25">
      <c r="A285" s="971" t="s">
        <v>1001</v>
      </c>
      <c r="B285" s="972"/>
      <c r="C285" s="972"/>
      <c r="D285" s="973"/>
      <c r="E285" s="238">
        <f>SUM(E283:E284)</f>
        <v>2.2679999999999998</v>
      </c>
    </row>
    <row r="286" spans="1:5" x14ac:dyDescent="0.25">
      <c r="A286" s="995" t="s">
        <v>285</v>
      </c>
      <c r="B286" s="996"/>
      <c r="C286" s="996"/>
      <c r="D286" s="997"/>
      <c r="E286" s="342">
        <f>E285</f>
        <v>2.2679999999999998</v>
      </c>
    </row>
    <row r="287" spans="1:5" ht="14.45" customHeight="1" x14ac:dyDescent="0.25">
      <c r="A287" s="1066" t="s">
        <v>1215</v>
      </c>
      <c r="B287" s="976"/>
      <c r="C287" s="976"/>
      <c r="D287" s="976"/>
      <c r="E287" s="977"/>
    </row>
    <row r="288" spans="1:5" x14ac:dyDescent="0.25">
      <c r="A288" s="1067" t="s">
        <v>997</v>
      </c>
      <c r="B288" s="1068"/>
      <c r="C288" s="1068"/>
      <c r="D288" s="1068"/>
      <c r="E288" s="1069"/>
    </row>
    <row r="289" spans="1:5" x14ac:dyDescent="0.25">
      <c r="A289" s="1070"/>
      <c r="B289" s="1071"/>
      <c r="C289" s="1071"/>
      <c r="D289" s="1071"/>
      <c r="E289" s="1072"/>
    </row>
    <row r="290" spans="1:5" x14ac:dyDescent="0.25">
      <c r="A290" s="1073"/>
      <c r="B290" s="1074"/>
      <c r="C290" s="1074"/>
      <c r="D290" s="1074"/>
      <c r="E290" s="1075"/>
    </row>
    <row r="291" spans="1:5" x14ac:dyDescent="0.25">
      <c r="A291" s="1073"/>
      <c r="B291" s="1074"/>
      <c r="C291" s="1074"/>
      <c r="D291" s="1074"/>
      <c r="E291" s="1075"/>
    </row>
    <row r="292" spans="1:5" x14ac:dyDescent="0.25">
      <c r="A292" s="1073"/>
      <c r="B292" s="1074"/>
      <c r="C292" s="1074"/>
      <c r="D292" s="1074"/>
      <c r="E292" s="1075"/>
    </row>
    <row r="293" spans="1:5" x14ac:dyDescent="0.25">
      <c r="A293" s="1073"/>
      <c r="B293" s="1074"/>
      <c r="C293" s="1074"/>
      <c r="D293" s="1074"/>
      <c r="E293" s="1075"/>
    </row>
    <row r="294" spans="1:5" x14ac:dyDescent="0.25">
      <c r="A294" s="1073"/>
      <c r="B294" s="1074"/>
      <c r="C294" s="1074"/>
      <c r="D294" s="1074"/>
      <c r="E294" s="1075"/>
    </row>
    <row r="295" spans="1:5" x14ac:dyDescent="0.25">
      <c r="A295" s="1073"/>
      <c r="B295" s="1074"/>
      <c r="C295" s="1074"/>
      <c r="D295" s="1074"/>
      <c r="E295" s="1075"/>
    </row>
    <row r="296" spans="1:5" x14ac:dyDescent="0.25">
      <c r="A296" s="1073"/>
      <c r="B296" s="1074"/>
      <c r="C296" s="1074"/>
      <c r="D296" s="1074"/>
      <c r="E296" s="1075"/>
    </row>
    <row r="297" spans="1:5" x14ac:dyDescent="0.25">
      <c r="A297" s="1073"/>
      <c r="B297" s="1074"/>
      <c r="C297" s="1074"/>
      <c r="D297" s="1074"/>
      <c r="E297" s="1075"/>
    </row>
    <row r="298" spans="1:5" x14ac:dyDescent="0.25">
      <c r="A298" s="1073"/>
      <c r="B298" s="1074"/>
      <c r="C298" s="1074"/>
      <c r="D298" s="1074"/>
      <c r="E298" s="1075"/>
    </row>
    <row r="299" spans="1:5" x14ac:dyDescent="0.25">
      <c r="A299" s="1073"/>
      <c r="B299" s="1074"/>
      <c r="C299" s="1074"/>
      <c r="D299" s="1074"/>
      <c r="E299" s="1075"/>
    </row>
    <row r="300" spans="1:5" x14ac:dyDescent="0.25">
      <c r="A300" s="1073"/>
      <c r="B300" s="1074"/>
      <c r="C300" s="1074"/>
      <c r="D300" s="1074"/>
      <c r="E300" s="1075"/>
    </row>
    <row r="301" spans="1:5" x14ac:dyDescent="0.25">
      <c r="A301" s="1073"/>
      <c r="B301" s="1074"/>
      <c r="C301" s="1074"/>
      <c r="D301" s="1074"/>
      <c r="E301" s="1075"/>
    </row>
    <row r="302" spans="1:5" x14ac:dyDescent="0.25">
      <c r="A302" s="1073"/>
      <c r="B302" s="1074"/>
      <c r="C302" s="1074"/>
      <c r="D302" s="1074"/>
      <c r="E302" s="1075"/>
    </row>
    <row r="303" spans="1:5" x14ac:dyDescent="0.25">
      <c r="A303" s="1073"/>
      <c r="B303" s="1074"/>
      <c r="C303" s="1074"/>
      <c r="D303" s="1074"/>
      <c r="E303" s="1075"/>
    </row>
    <row r="304" spans="1:5" x14ac:dyDescent="0.25">
      <c r="A304" s="1073"/>
      <c r="B304" s="1074"/>
      <c r="C304" s="1074"/>
      <c r="D304" s="1074"/>
      <c r="E304" s="1075"/>
    </row>
    <row r="305" spans="1:5" x14ac:dyDescent="0.25">
      <c r="A305" s="1073"/>
      <c r="B305" s="1074"/>
      <c r="C305" s="1074"/>
      <c r="D305" s="1074"/>
      <c r="E305" s="1075"/>
    </row>
    <row r="306" spans="1:5" x14ac:dyDescent="0.25">
      <c r="A306" s="1073"/>
      <c r="B306" s="1074"/>
      <c r="C306" s="1074"/>
      <c r="D306" s="1074"/>
      <c r="E306" s="1075"/>
    </row>
    <row r="307" spans="1:5" x14ac:dyDescent="0.25">
      <c r="A307" s="1073"/>
      <c r="B307" s="1074"/>
      <c r="C307" s="1074"/>
      <c r="D307" s="1074"/>
      <c r="E307" s="1075"/>
    </row>
    <row r="308" spans="1:5" x14ac:dyDescent="0.25">
      <c r="A308" s="1073"/>
      <c r="B308" s="1074"/>
      <c r="C308" s="1074"/>
      <c r="D308" s="1074"/>
      <c r="E308" s="1075"/>
    </row>
    <row r="309" spans="1:5" x14ac:dyDescent="0.25">
      <c r="A309" s="1073"/>
      <c r="B309" s="1074"/>
      <c r="C309" s="1074"/>
      <c r="D309" s="1074"/>
      <c r="E309" s="1075"/>
    </row>
    <row r="310" spans="1:5" x14ac:dyDescent="0.25">
      <c r="A310" s="1076"/>
      <c r="B310" s="1077"/>
      <c r="C310" s="1077"/>
      <c r="D310" s="1077"/>
      <c r="E310" s="1078"/>
    </row>
    <row r="311" spans="1:5" x14ac:dyDescent="0.25">
      <c r="A311" s="966" t="s">
        <v>1215</v>
      </c>
      <c r="B311" s="966"/>
      <c r="C311" s="966"/>
      <c r="D311" s="966"/>
      <c r="E311" s="966"/>
    </row>
    <row r="312" spans="1:5" x14ac:dyDescent="0.25">
      <c r="A312" s="1064" t="s">
        <v>1087</v>
      </c>
      <c r="B312" s="1065"/>
      <c r="C312" s="332" t="s">
        <v>1216</v>
      </c>
      <c r="D312" s="332" t="s">
        <v>1217</v>
      </c>
      <c r="E312" s="232" t="s">
        <v>1218</v>
      </c>
    </row>
    <row r="313" spans="1:5" x14ac:dyDescent="0.25">
      <c r="A313" s="1064" t="s">
        <v>1157</v>
      </c>
      <c r="B313" s="1065"/>
      <c r="C313" s="332" t="s">
        <v>1093</v>
      </c>
      <c r="D313" s="332">
        <f>0.28+0.045</f>
        <v>0.32500000000000001</v>
      </c>
      <c r="E313" s="232">
        <v>3.14</v>
      </c>
    </row>
    <row r="314" spans="1:5" x14ac:dyDescent="0.25">
      <c r="A314" s="1064" t="s">
        <v>1094</v>
      </c>
      <c r="B314" s="1065"/>
      <c r="C314" s="332" t="s">
        <v>1096</v>
      </c>
      <c r="D314" s="332">
        <f>0.28+0.045</f>
        <v>0.32500000000000001</v>
      </c>
      <c r="E314" s="232">
        <v>4.8250000000000002</v>
      </c>
    </row>
    <row r="315" spans="1:5" x14ac:dyDescent="0.25">
      <c r="A315" s="1064" t="s">
        <v>1097</v>
      </c>
      <c r="B315" s="1065"/>
      <c r="C315" s="332" t="s">
        <v>1096</v>
      </c>
      <c r="D315" s="332">
        <f>0.28+0.045</f>
        <v>0.32500000000000001</v>
      </c>
      <c r="E315" s="232">
        <v>4.8250000000000002</v>
      </c>
    </row>
    <row r="316" spans="1:5" x14ac:dyDescent="0.25">
      <c r="A316" s="1064" t="s">
        <v>1100</v>
      </c>
      <c r="B316" s="1065"/>
      <c r="C316" s="332" t="s">
        <v>1093</v>
      </c>
      <c r="D316" s="332">
        <f>0.28+0.045</f>
        <v>0.32500000000000001</v>
      </c>
      <c r="E316" s="232">
        <v>3.14</v>
      </c>
    </row>
    <row r="317" spans="1:5" x14ac:dyDescent="0.25">
      <c r="A317" s="1064" t="s">
        <v>1101</v>
      </c>
      <c r="B317" s="1065"/>
      <c r="C317" s="332" t="s">
        <v>1102</v>
      </c>
      <c r="D317" s="332">
        <f>0.28+0.045</f>
        <v>0.32500000000000001</v>
      </c>
      <c r="E317" s="232">
        <v>2.2000000000000002</v>
      </c>
    </row>
    <row r="318" spans="1:5" x14ac:dyDescent="0.25">
      <c r="A318" s="1064" t="s">
        <v>1101</v>
      </c>
      <c r="B318" s="1065"/>
      <c r="C318" s="332" t="s">
        <v>1102</v>
      </c>
      <c r="D318" s="332">
        <f>0.275+0.045</f>
        <v>0.32</v>
      </c>
      <c r="E318" s="232">
        <v>2.2000000000000002</v>
      </c>
    </row>
    <row r="319" spans="1:5" x14ac:dyDescent="0.25">
      <c r="A319" s="1064" t="s">
        <v>1107</v>
      </c>
      <c r="B319" s="1065"/>
      <c r="C319" s="332" t="s">
        <v>1104</v>
      </c>
      <c r="D319" s="332">
        <f>0.275+0.045</f>
        <v>0.32</v>
      </c>
      <c r="E319" s="232">
        <v>0.7</v>
      </c>
    </row>
    <row r="320" spans="1:5" x14ac:dyDescent="0.25">
      <c r="A320" s="1064" t="s">
        <v>1103</v>
      </c>
      <c r="B320" s="1065"/>
      <c r="C320" s="332" t="s">
        <v>1104</v>
      </c>
      <c r="D320" s="332">
        <f>0.28+0.045</f>
        <v>0.32500000000000001</v>
      </c>
      <c r="E320" s="232">
        <v>0.7</v>
      </c>
    </row>
    <row r="321" spans="1:5" x14ac:dyDescent="0.25">
      <c r="A321" s="1064" t="s">
        <v>1120</v>
      </c>
      <c r="B321" s="1065"/>
      <c r="C321" s="332" t="s">
        <v>1106</v>
      </c>
      <c r="D321" s="332">
        <f>0.28+0.045</f>
        <v>0.32500000000000001</v>
      </c>
      <c r="E321" s="232">
        <v>1.6</v>
      </c>
    </row>
    <row r="322" spans="1:5" x14ac:dyDescent="0.25">
      <c r="A322" s="1064" t="s">
        <v>1219</v>
      </c>
      <c r="B322" s="1065"/>
      <c r="C322" s="332" t="s">
        <v>1104</v>
      </c>
      <c r="D322" s="332">
        <f>0.22+0.045</f>
        <v>0.26500000000000001</v>
      </c>
      <c r="E322" s="232">
        <v>0.7</v>
      </c>
    </row>
    <row r="323" spans="1:5" x14ac:dyDescent="0.25">
      <c r="A323" s="1064" t="s">
        <v>1111</v>
      </c>
      <c r="B323" s="1065"/>
      <c r="C323" s="332" t="s">
        <v>1102</v>
      </c>
      <c r="D323" s="332">
        <f>0.27+0.045</f>
        <v>0.315</v>
      </c>
      <c r="E323" s="232">
        <v>2.2000000000000002</v>
      </c>
    </row>
    <row r="324" spans="1:5" x14ac:dyDescent="0.25">
      <c r="A324" s="1064" t="s">
        <v>1110</v>
      </c>
      <c r="B324" s="1065"/>
      <c r="C324" s="332" t="s">
        <v>1102</v>
      </c>
      <c r="D324" s="332">
        <f>0.27+0.045</f>
        <v>0.315</v>
      </c>
      <c r="E324" s="232">
        <v>2.2000000000000002</v>
      </c>
    </row>
    <row r="325" spans="1:5" x14ac:dyDescent="0.25">
      <c r="A325" s="1064" t="s">
        <v>1108</v>
      </c>
      <c r="B325" s="1065"/>
      <c r="C325" s="332" t="s">
        <v>1104</v>
      </c>
      <c r="D325" s="332">
        <f>0.28+0.045</f>
        <v>0.32500000000000001</v>
      </c>
      <c r="E325" s="232">
        <v>0.7</v>
      </c>
    </row>
    <row r="326" spans="1:5" x14ac:dyDescent="0.25">
      <c r="A326" s="971" t="s">
        <v>1001</v>
      </c>
      <c r="B326" s="972"/>
      <c r="C326" s="972"/>
      <c r="D326" s="973"/>
      <c r="E326" s="238">
        <f>SUM(E313:E325)</f>
        <v>29.129999999999995</v>
      </c>
    </row>
    <row r="327" spans="1:5" x14ac:dyDescent="0.25">
      <c r="A327" s="995" t="s">
        <v>285</v>
      </c>
      <c r="B327" s="996"/>
      <c r="C327" s="996"/>
      <c r="D327" s="997"/>
      <c r="E327" s="342">
        <f>E326</f>
        <v>29.129999999999995</v>
      </c>
    </row>
    <row r="328" spans="1:5" x14ac:dyDescent="0.25">
      <c r="A328" s="1010"/>
      <c r="B328" s="1011"/>
      <c r="C328" s="1011"/>
      <c r="D328" s="1011"/>
      <c r="E328" s="1012"/>
    </row>
    <row r="329" spans="1:5" x14ac:dyDescent="0.25">
      <c r="A329" s="1013"/>
      <c r="B329" s="1014"/>
      <c r="C329" s="1014"/>
      <c r="D329" s="1014"/>
      <c r="E329" s="1015"/>
    </row>
    <row r="330" spans="1:5" x14ac:dyDescent="0.25">
      <c r="A330" s="1013"/>
      <c r="B330" s="1014"/>
      <c r="C330" s="1014"/>
      <c r="D330" s="1014"/>
      <c r="E330" s="1015"/>
    </row>
    <row r="331" spans="1:5" x14ac:dyDescent="0.25">
      <c r="A331" s="1013"/>
      <c r="B331" s="1014"/>
      <c r="C331" s="1014"/>
      <c r="D331" s="1014"/>
      <c r="E331" s="1015"/>
    </row>
    <row r="332" spans="1:5" x14ac:dyDescent="0.25">
      <c r="A332" s="1013"/>
      <c r="B332" s="1014"/>
      <c r="C332" s="1014"/>
      <c r="D332" s="1014"/>
      <c r="E332" s="1015"/>
    </row>
    <row r="333" spans="1:5" x14ac:dyDescent="0.25">
      <c r="A333" s="1013"/>
      <c r="B333" s="1014"/>
      <c r="C333" s="1014"/>
      <c r="D333" s="1014"/>
      <c r="E333" s="1015"/>
    </row>
    <row r="334" spans="1:5" x14ac:dyDescent="0.25">
      <c r="A334" s="1013"/>
      <c r="B334" s="1014"/>
      <c r="C334" s="1014"/>
      <c r="D334" s="1014"/>
      <c r="E334" s="1015"/>
    </row>
    <row r="335" spans="1:5" x14ac:dyDescent="0.25">
      <c r="A335" s="1013"/>
      <c r="B335" s="1014"/>
      <c r="C335" s="1014"/>
      <c r="D335" s="1014"/>
      <c r="E335" s="1015"/>
    </row>
    <row r="336" spans="1:5" x14ac:dyDescent="0.25">
      <c r="A336" s="1013"/>
      <c r="B336" s="1014"/>
      <c r="C336" s="1014"/>
      <c r="D336" s="1014"/>
      <c r="E336" s="1015"/>
    </row>
    <row r="337" spans="1:5" x14ac:dyDescent="0.25">
      <c r="A337" s="1013"/>
      <c r="B337" s="1014"/>
      <c r="C337" s="1014"/>
      <c r="D337" s="1014"/>
      <c r="E337" s="1015"/>
    </row>
    <row r="338" spans="1:5" x14ac:dyDescent="0.25">
      <c r="A338" s="1016"/>
      <c r="B338" s="1017"/>
      <c r="C338" s="1017"/>
      <c r="D338" s="1017"/>
      <c r="E338" s="1018"/>
    </row>
  </sheetData>
  <mergeCells count="151">
    <mergeCell ref="A328:E338"/>
    <mergeCell ref="A222:D222"/>
    <mergeCell ref="A223:D223"/>
    <mergeCell ref="A194:E194"/>
    <mergeCell ref="A195:E195"/>
    <mergeCell ref="A196:E217"/>
    <mergeCell ref="A156:B156"/>
    <mergeCell ref="C156:D156"/>
    <mergeCell ref="A157:B157"/>
    <mergeCell ref="C157:D157"/>
    <mergeCell ref="A160:B160"/>
    <mergeCell ref="C160:D160"/>
    <mergeCell ref="A220:B220"/>
    <mergeCell ref="C220:D220"/>
    <mergeCell ref="A221:B221"/>
    <mergeCell ref="C221:D221"/>
    <mergeCell ref="A218:E218"/>
    <mergeCell ref="A219:B219"/>
    <mergeCell ref="C219:D219"/>
    <mergeCell ref="A190:B190"/>
    <mergeCell ref="C190:D190"/>
    <mergeCell ref="A191:B191"/>
    <mergeCell ref="C191:D191"/>
    <mergeCell ref="A192:D192"/>
    <mergeCell ref="A193:D193"/>
    <mergeCell ref="A256:D256"/>
    <mergeCell ref="A251:B251"/>
    <mergeCell ref="C251:D251"/>
    <mergeCell ref="A252:B252"/>
    <mergeCell ref="C252:D252"/>
    <mergeCell ref="A224:E224"/>
    <mergeCell ref="A225:E225"/>
    <mergeCell ref="A226:E247"/>
    <mergeCell ref="A248:E248"/>
    <mergeCell ref="A249:B249"/>
    <mergeCell ref="C249:D249"/>
    <mergeCell ref="A253:B253"/>
    <mergeCell ref="C253:D253"/>
    <mergeCell ref="A250:B250"/>
    <mergeCell ref="C250:D250"/>
    <mergeCell ref="A254:B254"/>
    <mergeCell ref="C254:D254"/>
    <mergeCell ref="A255:D255"/>
    <mergeCell ref="A164:E164"/>
    <mergeCell ref="A165:E165"/>
    <mergeCell ref="A166:E187"/>
    <mergeCell ref="A188:E188"/>
    <mergeCell ref="A189:B189"/>
    <mergeCell ref="C189:D189"/>
    <mergeCell ref="A158:B158"/>
    <mergeCell ref="C158:D158"/>
    <mergeCell ref="A159:B159"/>
    <mergeCell ref="C159:D159"/>
    <mergeCell ref="A162:D162"/>
    <mergeCell ref="A163:D163"/>
    <mergeCell ref="A161:B161"/>
    <mergeCell ref="C161:D161"/>
    <mergeCell ref="A130:E130"/>
    <mergeCell ref="A131:E131"/>
    <mergeCell ref="A132:E153"/>
    <mergeCell ref="A154:E154"/>
    <mergeCell ref="A155:B155"/>
    <mergeCell ref="C155:D155"/>
    <mergeCell ref="A125:B125"/>
    <mergeCell ref="C125:D125"/>
    <mergeCell ref="A128:D128"/>
    <mergeCell ref="A129:D129"/>
    <mergeCell ref="A127:B127"/>
    <mergeCell ref="C127:D127"/>
    <mergeCell ref="A126:B126"/>
    <mergeCell ref="C126:D126"/>
    <mergeCell ref="A98:D98"/>
    <mergeCell ref="A99:E99"/>
    <mergeCell ref="A100:E100"/>
    <mergeCell ref="A101:E122"/>
    <mergeCell ref="A123:E123"/>
    <mergeCell ref="A124:B124"/>
    <mergeCell ref="C124:D124"/>
    <mergeCell ref="A94:E94"/>
    <mergeCell ref="A95:B95"/>
    <mergeCell ref="C95:D95"/>
    <mergeCell ref="A96:B96"/>
    <mergeCell ref="C96:D96"/>
    <mergeCell ref="A97:D97"/>
    <mergeCell ref="A68:D68"/>
    <mergeCell ref="A69:D69"/>
    <mergeCell ref="A70:E70"/>
    <mergeCell ref="A71:E71"/>
    <mergeCell ref="A72:E93"/>
    <mergeCell ref="A66:B66"/>
    <mergeCell ref="C66:D66"/>
    <mergeCell ref="A67:B67"/>
    <mergeCell ref="C67:D67"/>
    <mergeCell ref="A33:E33"/>
    <mergeCell ref="C34:D34"/>
    <mergeCell ref="C35:D35"/>
    <mergeCell ref="A40:D40"/>
    <mergeCell ref="A41:E41"/>
    <mergeCell ref="A42:E42"/>
    <mergeCell ref="A43:E64"/>
    <mergeCell ref="A65:E65"/>
    <mergeCell ref="C36:D36"/>
    <mergeCell ref="C37:D37"/>
    <mergeCell ref="C38:D38"/>
    <mergeCell ref="A39:D39"/>
    <mergeCell ref="A281:E281"/>
    <mergeCell ref="A282:B282"/>
    <mergeCell ref="C282:D282"/>
    <mergeCell ref="A283:B283"/>
    <mergeCell ref="C283:D283"/>
    <mergeCell ref="A284:B284"/>
    <mergeCell ref="C284:D284"/>
    <mergeCell ref="A1:E2"/>
    <mergeCell ref="A3:C3"/>
    <mergeCell ref="D3:D8"/>
    <mergeCell ref="A4:C8"/>
    <mergeCell ref="E4:E5"/>
    <mergeCell ref="E7:E8"/>
    <mergeCell ref="A257:E257"/>
    <mergeCell ref="A258:E258"/>
    <mergeCell ref="A259:E280"/>
    <mergeCell ref="A34:B34"/>
    <mergeCell ref="A35:B35"/>
    <mergeCell ref="A36:B36"/>
    <mergeCell ref="A37:B37"/>
    <mergeCell ref="A38:B38"/>
    <mergeCell ref="A9:E9"/>
    <mergeCell ref="A10:E10"/>
    <mergeCell ref="A11:E32"/>
    <mergeCell ref="A287:E287"/>
    <mergeCell ref="A288:E288"/>
    <mergeCell ref="A289:E310"/>
    <mergeCell ref="A311:E311"/>
    <mergeCell ref="A319:B319"/>
    <mergeCell ref="A320:B320"/>
    <mergeCell ref="A321:B321"/>
    <mergeCell ref="A285:D285"/>
    <mergeCell ref="A286:D286"/>
    <mergeCell ref="A327:D327"/>
    <mergeCell ref="A312:B312"/>
    <mergeCell ref="A313:B313"/>
    <mergeCell ref="A314:B314"/>
    <mergeCell ref="A315:B315"/>
    <mergeCell ref="A316:B316"/>
    <mergeCell ref="A317:B317"/>
    <mergeCell ref="A318:B318"/>
    <mergeCell ref="A322:B322"/>
    <mergeCell ref="A323:B323"/>
    <mergeCell ref="A324:B324"/>
    <mergeCell ref="A325:B325"/>
    <mergeCell ref="A326:D326"/>
  </mergeCells>
  <pageMargins left="0.7" right="0.7" top="0.75" bottom="0.75" header="0.3" footer="0.3"/>
  <pageSetup paperSize="9" scale="69" orientation="portrait" horizontalDpi="4294967293"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5E78C-7648-40DA-A21B-DB125C74FA83}">
  <sheetPr>
    <tabColor theme="1" tint="0.34998626667073579"/>
  </sheetPr>
  <dimension ref="A1:E95"/>
  <sheetViews>
    <sheetView view="pageBreakPreview" topLeftCell="A73" zoomScaleNormal="115" zoomScaleSheetLayoutView="100" workbookViewId="0">
      <selection activeCell="E79" sqref="E79"/>
    </sheetView>
  </sheetViews>
  <sheetFormatPr defaultRowHeight="15" x14ac:dyDescent="0.25"/>
  <cols>
    <col min="1" max="1" width="31.42578125" customWidth="1"/>
    <col min="2" max="2" width="18" customWidth="1"/>
    <col min="3" max="3" width="18.710937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1153</v>
      </c>
      <c r="B3" s="987"/>
      <c r="C3" s="988"/>
      <c r="D3" s="989"/>
      <c r="E3" s="228" t="s">
        <v>993</v>
      </c>
    </row>
    <row r="4" spans="1:5" ht="15" customHeight="1" x14ac:dyDescent="0.25">
      <c r="A4" s="992" t="s">
        <v>983</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1220</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79"/>
      <c r="B27" s="979"/>
      <c r="C27" s="979"/>
      <c r="D27" s="979"/>
      <c r="E27" s="979"/>
    </row>
    <row r="28" spans="1:5" x14ac:dyDescent="0.25">
      <c r="A28" s="979"/>
      <c r="B28" s="979"/>
      <c r="C28" s="979"/>
      <c r="D28" s="979"/>
      <c r="E28" s="979"/>
    </row>
    <row r="29" spans="1:5" x14ac:dyDescent="0.25">
      <c r="A29" s="979"/>
      <c r="B29" s="979"/>
      <c r="C29" s="979"/>
      <c r="D29" s="979"/>
      <c r="E29" s="979"/>
    </row>
    <row r="30" spans="1:5" x14ac:dyDescent="0.25">
      <c r="A30" s="979"/>
      <c r="B30" s="979"/>
      <c r="C30" s="979"/>
      <c r="D30" s="979"/>
      <c r="E30" s="979"/>
    </row>
    <row r="31" spans="1:5" x14ac:dyDescent="0.25">
      <c r="A31" s="979"/>
      <c r="B31" s="979"/>
      <c r="C31" s="979"/>
      <c r="D31" s="979"/>
      <c r="E31" s="979"/>
    </row>
    <row r="32" spans="1:5" x14ac:dyDescent="0.25">
      <c r="A32" s="979"/>
      <c r="B32" s="979"/>
      <c r="C32" s="979"/>
      <c r="D32" s="979"/>
      <c r="E32" s="979"/>
    </row>
    <row r="33" spans="1:5" x14ac:dyDescent="0.25">
      <c r="A33" s="966" t="s">
        <v>1221</v>
      </c>
      <c r="B33" s="966"/>
      <c r="C33" s="966"/>
      <c r="D33" s="966"/>
      <c r="E33" s="966"/>
    </row>
    <row r="34" spans="1:5" x14ac:dyDescent="0.25">
      <c r="A34" s="967" t="s">
        <v>1087</v>
      </c>
      <c r="B34" s="968"/>
      <c r="C34" s="229" t="s">
        <v>998</v>
      </c>
      <c r="D34" s="229" t="s">
        <v>1155</v>
      </c>
      <c r="E34" s="229" t="s">
        <v>1003</v>
      </c>
    </row>
    <row r="35" spans="1:5" ht="30.75" customHeight="1" x14ac:dyDescent="0.25">
      <c r="A35" s="1057" t="s">
        <v>1222</v>
      </c>
      <c r="B35" s="1058"/>
      <c r="C35" s="332" t="s">
        <v>1223</v>
      </c>
      <c r="D35" s="332">
        <f>(13.66+20.06)*2</f>
        <v>67.44</v>
      </c>
      <c r="E35" s="232">
        <v>240.48</v>
      </c>
    </row>
    <row r="36" spans="1:5" ht="30.75" customHeight="1" x14ac:dyDescent="0.25">
      <c r="A36" s="1057" t="s">
        <v>1157</v>
      </c>
      <c r="B36" s="1058"/>
      <c r="C36" s="332" t="s">
        <v>1223</v>
      </c>
      <c r="D36" s="332">
        <f>(2.94+3.65)*2</f>
        <v>13.18</v>
      </c>
      <c r="E36" s="232">
        <v>10.73</v>
      </c>
    </row>
    <row r="37" spans="1:5" ht="30.75" customHeight="1" x14ac:dyDescent="0.25">
      <c r="A37" s="1057" t="s">
        <v>1094</v>
      </c>
      <c r="B37" s="1058"/>
      <c r="C37" s="332" t="s">
        <v>1223</v>
      </c>
      <c r="D37" s="332">
        <f>(2.94+3.58)*2</f>
        <v>13.04</v>
      </c>
      <c r="E37" s="232">
        <v>10.52</v>
      </c>
    </row>
    <row r="38" spans="1:5" ht="30.75" customHeight="1" x14ac:dyDescent="0.25">
      <c r="A38" s="1057" t="s">
        <v>1158</v>
      </c>
      <c r="B38" s="1058"/>
      <c r="C38" s="332" t="s">
        <v>1223</v>
      </c>
      <c r="D38" s="332">
        <f>(5.97+2.94)*2</f>
        <v>17.82</v>
      </c>
      <c r="E38" s="232">
        <v>17.53</v>
      </c>
    </row>
    <row r="39" spans="1:5" ht="30.75" customHeight="1" x14ac:dyDescent="0.25">
      <c r="A39" s="1057" t="s">
        <v>1098</v>
      </c>
      <c r="B39" s="1058"/>
      <c r="C39" s="332" t="s">
        <v>1223</v>
      </c>
      <c r="D39" s="332">
        <f>(2.94+3)*2</f>
        <v>11.879999999999999</v>
      </c>
      <c r="E39" s="232">
        <v>8.82</v>
      </c>
    </row>
    <row r="40" spans="1:5" ht="30.75" customHeight="1" x14ac:dyDescent="0.25">
      <c r="A40" s="1057" t="s">
        <v>1224</v>
      </c>
      <c r="B40" s="1058"/>
      <c r="C40" s="332" t="s">
        <v>1223</v>
      </c>
      <c r="D40" s="332">
        <f>(2.94+3.265)*2</f>
        <v>12.41</v>
      </c>
      <c r="E40" s="232">
        <v>9.57</v>
      </c>
    </row>
    <row r="41" spans="1:5" x14ac:dyDescent="0.25">
      <c r="A41" s="1029" t="s">
        <v>1225</v>
      </c>
      <c r="B41" s="1030"/>
      <c r="C41" s="1030"/>
      <c r="D41" s="1031"/>
      <c r="E41" s="340">
        <f>SUM(D35:D40)</f>
        <v>135.76999999999998</v>
      </c>
    </row>
    <row r="42" spans="1:5" ht="15" customHeight="1" x14ac:dyDescent="0.25">
      <c r="A42" s="1005" t="s">
        <v>1226</v>
      </c>
      <c r="B42" s="1006"/>
      <c r="C42" s="1006"/>
      <c r="D42" s="1007"/>
      <c r="E42" s="256">
        <f>SUM(E35:E40)</f>
        <v>297.64999999999998</v>
      </c>
    </row>
    <row r="43" spans="1:5" x14ac:dyDescent="0.25">
      <c r="A43" s="974" t="s">
        <v>1227</v>
      </c>
      <c r="B43" s="975"/>
      <c r="C43" s="975"/>
      <c r="D43" s="976"/>
      <c r="E43" s="977"/>
    </row>
    <row r="44" spans="1:5" x14ac:dyDescent="0.25">
      <c r="A44" s="978" t="s">
        <v>997</v>
      </c>
      <c r="B44" s="978"/>
      <c r="C44" s="978"/>
      <c r="D44" s="978"/>
      <c r="E44" s="978"/>
    </row>
    <row r="45" spans="1:5" x14ac:dyDescent="0.25">
      <c r="A45" s="979"/>
      <c r="B45" s="979"/>
      <c r="C45" s="979"/>
      <c r="D45" s="979"/>
      <c r="E45" s="979"/>
    </row>
    <row r="46" spans="1:5" x14ac:dyDescent="0.25">
      <c r="A46" s="979"/>
      <c r="B46" s="979"/>
      <c r="C46" s="979"/>
      <c r="D46" s="979"/>
      <c r="E46" s="979"/>
    </row>
    <row r="47" spans="1:5" x14ac:dyDescent="0.25">
      <c r="A47" s="979"/>
      <c r="B47" s="979"/>
      <c r="C47" s="979"/>
      <c r="D47" s="979"/>
      <c r="E47" s="979"/>
    </row>
    <row r="48" spans="1:5" x14ac:dyDescent="0.25">
      <c r="A48" s="979"/>
      <c r="B48" s="979"/>
      <c r="C48" s="979"/>
      <c r="D48" s="979"/>
      <c r="E48" s="979"/>
    </row>
    <row r="49" spans="1:5" x14ac:dyDescent="0.25">
      <c r="A49" s="979"/>
      <c r="B49" s="979"/>
      <c r="C49" s="979"/>
      <c r="D49" s="979"/>
      <c r="E49" s="979"/>
    </row>
    <row r="50" spans="1:5" x14ac:dyDescent="0.25">
      <c r="A50" s="979"/>
      <c r="B50" s="979"/>
      <c r="C50" s="979"/>
      <c r="D50" s="979"/>
      <c r="E50" s="979"/>
    </row>
    <row r="51" spans="1:5" x14ac:dyDescent="0.25">
      <c r="A51" s="979"/>
      <c r="B51" s="979"/>
      <c r="C51" s="979"/>
      <c r="D51" s="979"/>
      <c r="E51" s="979"/>
    </row>
    <row r="52" spans="1:5" x14ac:dyDescent="0.25">
      <c r="A52" s="979"/>
      <c r="B52" s="979"/>
      <c r="C52" s="979"/>
      <c r="D52" s="979"/>
      <c r="E52" s="979"/>
    </row>
    <row r="53" spans="1:5" x14ac:dyDescent="0.25">
      <c r="A53" s="979"/>
      <c r="B53" s="979"/>
      <c r="C53" s="979"/>
      <c r="D53" s="979"/>
      <c r="E53" s="979"/>
    </row>
    <row r="54" spans="1:5" x14ac:dyDescent="0.25">
      <c r="A54" s="979"/>
      <c r="B54" s="979"/>
      <c r="C54" s="979"/>
      <c r="D54" s="979"/>
      <c r="E54" s="979"/>
    </row>
    <row r="55" spans="1:5" x14ac:dyDescent="0.25">
      <c r="A55" s="979"/>
      <c r="B55" s="979"/>
      <c r="C55" s="979"/>
      <c r="D55" s="979"/>
      <c r="E55" s="979"/>
    </row>
    <row r="56" spans="1:5" x14ac:dyDescent="0.25">
      <c r="A56" s="979"/>
      <c r="B56" s="979"/>
      <c r="C56" s="979"/>
      <c r="D56" s="979"/>
      <c r="E56" s="979"/>
    </row>
    <row r="57" spans="1:5" x14ac:dyDescent="0.25">
      <c r="A57" s="979"/>
      <c r="B57" s="979"/>
      <c r="C57" s="979"/>
      <c r="D57" s="979"/>
      <c r="E57" s="979"/>
    </row>
    <row r="58" spans="1:5" x14ac:dyDescent="0.25">
      <c r="A58" s="979"/>
      <c r="B58" s="979"/>
      <c r="C58" s="979"/>
      <c r="D58" s="979"/>
      <c r="E58" s="979"/>
    </row>
    <row r="59" spans="1:5" x14ac:dyDescent="0.25">
      <c r="A59" s="979"/>
      <c r="B59" s="979"/>
      <c r="C59" s="979"/>
      <c r="D59" s="979"/>
      <c r="E59" s="979"/>
    </row>
    <row r="60" spans="1:5" x14ac:dyDescent="0.25">
      <c r="A60" s="979"/>
      <c r="B60" s="979"/>
      <c r="C60" s="979"/>
      <c r="D60" s="979"/>
      <c r="E60" s="979"/>
    </row>
    <row r="61" spans="1:5" x14ac:dyDescent="0.25">
      <c r="A61" s="979"/>
      <c r="B61" s="979"/>
      <c r="C61" s="979"/>
      <c r="D61" s="979"/>
      <c r="E61" s="979"/>
    </row>
    <row r="62" spans="1:5" x14ac:dyDescent="0.25">
      <c r="A62" s="979"/>
      <c r="B62" s="979"/>
      <c r="C62" s="979"/>
      <c r="D62" s="979"/>
      <c r="E62" s="979"/>
    </row>
    <row r="63" spans="1:5" x14ac:dyDescent="0.25">
      <c r="A63" s="979"/>
      <c r="B63" s="979"/>
      <c r="C63" s="979"/>
      <c r="D63" s="979"/>
      <c r="E63" s="979"/>
    </row>
    <row r="64" spans="1:5" x14ac:dyDescent="0.25">
      <c r="A64" s="979"/>
      <c r="B64" s="979"/>
      <c r="C64" s="979"/>
      <c r="D64" s="979"/>
      <c r="E64" s="979"/>
    </row>
    <row r="65" spans="1:5" x14ac:dyDescent="0.25">
      <c r="A65" s="979"/>
      <c r="B65" s="979"/>
      <c r="C65" s="979"/>
      <c r="D65" s="979"/>
      <c r="E65" s="979"/>
    </row>
    <row r="66" spans="1:5" x14ac:dyDescent="0.25">
      <c r="A66" s="979"/>
      <c r="B66" s="979"/>
      <c r="C66" s="979"/>
      <c r="D66" s="979"/>
      <c r="E66" s="979"/>
    </row>
    <row r="67" spans="1:5" x14ac:dyDescent="0.25">
      <c r="A67" s="966" t="s">
        <v>1221</v>
      </c>
      <c r="B67" s="966"/>
      <c r="C67" s="966"/>
      <c r="D67" s="966"/>
      <c r="E67" s="966"/>
    </row>
    <row r="68" spans="1:5" x14ac:dyDescent="0.25">
      <c r="A68" s="967" t="s">
        <v>1087</v>
      </c>
      <c r="B68" s="968"/>
      <c r="C68" s="229" t="s">
        <v>998</v>
      </c>
      <c r="D68" s="229" t="s">
        <v>1155</v>
      </c>
      <c r="E68" s="229" t="s">
        <v>1003</v>
      </c>
    </row>
    <row r="69" spans="1:5" ht="30" x14ac:dyDescent="0.25">
      <c r="A69" s="1057" t="s">
        <v>1101</v>
      </c>
      <c r="B69" s="1058"/>
      <c r="C69" s="332" t="s">
        <v>1223</v>
      </c>
      <c r="D69" s="332">
        <f>(2.87+5.03)*2</f>
        <v>15.8</v>
      </c>
      <c r="E69" s="232">
        <v>17.18</v>
      </c>
    </row>
    <row r="70" spans="1:5" ht="30" x14ac:dyDescent="0.25">
      <c r="A70" s="1057" t="s">
        <v>1103</v>
      </c>
      <c r="B70" s="1058"/>
      <c r="C70" s="332" t="s">
        <v>1223</v>
      </c>
      <c r="D70" s="332">
        <f>(5.03+2.15)*2</f>
        <v>14.36</v>
      </c>
      <c r="E70" s="232">
        <v>6.74</v>
      </c>
    </row>
    <row r="71" spans="1:5" ht="30" x14ac:dyDescent="0.25">
      <c r="A71" s="1057" t="s">
        <v>1107</v>
      </c>
      <c r="B71" s="1058"/>
      <c r="C71" s="332" t="s">
        <v>1223</v>
      </c>
      <c r="D71" s="332">
        <f>(2.511+2.87)*2</f>
        <v>10.762</v>
      </c>
      <c r="E71" s="232">
        <v>6.86</v>
      </c>
    </row>
    <row r="72" spans="1:5" ht="30" x14ac:dyDescent="0.25">
      <c r="A72" s="1057" t="s">
        <v>1123</v>
      </c>
      <c r="B72" s="1058"/>
      <c r="C72" s="332" t="s">
        <v>1223</v>
      </c>
      <c r="D72" s="332">
        <f>(2.681+1.88)*2</f>
        <v>9.1219999999999999</v>
      </c>
      <c r="E72" s="232">
        <v>4.8899999999999997</v>
      </c>
    </row>
    <row r="73" spans="1:5" ht="30" x14ac:dyDescent="0.25">
      <c r="A73" s="1057" t="s">
        <v>1120</v>
      </c>
      <c r="B73" s="1058"/>
      <c r="C73" s="332" t="s">
        <v>1223</v>
      </c>
      <c r="D73" s="332">
        <f>(9.87+8.712)*2+(2.32+1.6)*2</f>
        <v>45.004000000000005</v>
      </c>
      <c r="E73" s="232">
        <v>81.900000000000006</v>
      </c>
    </row>
    <row r="74" spans="1:5" ht="30" x14ac:dyDescent="0.25">
      <c r="A74" s="1057" t="s">
        <v>1108</v>
      </c>
      <c r="B74" s="1058"/>
      <c r="C74" s="332" t="s">
        <v>1223</v>
      </c>
      <c r="D74" s="332">
        <f>(1.6+1.7)*2</f>
        <v>6.6</v>
      </c>
      <c r="E74" s="232">
        <v>2.72</v>
      </c>
    </row>
    <row r="75" spans="1:5" ht="30" x14ac:dyDescent="0.25">
      <c r="A75" s="1057" t="s">
        <v>1228</v>
      </c>
      <c r="B75" s="1058"/>
      <c r="C75" s="332" t="s">
        <v>1223</v>
      </c>
      <c r="D75" s="332">
        <f>(1.6+1.96)*2</f>
        <v>7.12</v>
      </c>
      <c r="E75" s="232">
        <v>2.72</v>
      </c>
    </row>
    <row r="76" spans="1:5" ht="30" x14ac:dyDescent="0.25">
      <c r="A76" s="1057" t="s">
        <v>1110</v>
      </c>
      <c r="B76" s="1058"/>
      <c r="C76" s="332" t="s">
        <v>1223</v>
      </c>
      <c r="D76" s="332">
        <f>(3.06+3.07)*2</f>
        <v>12.26</v>
      </c>
      <c r="E76" s="232">
        <v>10.92</v>
      </c>
    </row>
    <row r="77" spans="1:5" ht="30" x14ac:dyDescent="0.25">
      <c r="A77" s="1057" t="s">
        <v>1111</v>
      </c>
      <c r="B77" s="1058"/>
      <c r="C77" s="332" t="s">
        <v>1223</v>
      </c>
      <c r="D77" s="332">
        <f>(3.06+3.01)*2</f>
        <v>12.14</v>
      </c>
      <c r="E77" s="232">
        <v>10.92</v>
      </c>
    </row>
    <row r="78" spans="1:5" ht="30" x14ac:dyDescent="0.25">
      <c r="A78" s="1057" t="s">
        <v>1157</v>
      </c>
      <c r="B78" s="1058"/>
      <c r="C78" s="332" t="s">
        <v>1223</v>
      </c>
      <c r="D78" s="332">
        <f>(4.92+2.212)*2</f>
        <v>14.263999999999999</v>
      </c>
      <c r="E78" s="232">
        <v>10.83</v>
      </c>
    </row>
    <row r="79" spans="1:5" ht="30" x14ac:dyDescent="0.25">
      <c r="A79" s="1057" t="s">
        <v>1705</v>
      </c>
      <c r="B79" s="1058"/>
      <c r="C79" s="332" t="s">
        <v>1223</v>
      </c>
      <c r="D79" s="332" t="s">
        <v>822</v>
      </c>
      <c r="E79" s="232">
        <v>3.7</v>
      </c>
    </row>
    <row r="80" spans="1:5" x14ac:dyDescent="0.25">
      <c r="A80" s="1029" t="s">
        <v>1229</v>
      </c>
      <c r="B80" s="1030"/>
      <c r="C80" s="1030"/>
      <c r="D80" s="1031"/>
      <c r="E80" s="251">
        <f>SUM(D69:D79)</f>
        <v>147.43200000000002</v>
      </c>
    </row>
    <row r="81" spans="1:5" x14ac:dyDescent="0.25">
      <c r="A81" s="1005" t="s">
        <v>1230</v>
      </c>
      <c r="B81" s="1006"/>
      <c r="C81" s="1006"/>
      <c r="D81" s="1007"/>
      <c r="E81" s="256">
        <f>SUM(E69:E79)</f>
        <v>159.38</v>
      </c>
    </row>
    <row r="82" spans="1:5" x14ac:dyDescent="0.25">
      <c r="A82" s="1081"/>
      <c r="B82" s="1082"/>
      <c r="C82" s="1082"/>
      <c r="D82" s="1082"/>
      <c r="E82" s="1083"/>
    </row>
    <row r="83" spans="1:5" x14ac:dyDescent="0.25">
      <c r="A83" s="1080" t="s">
        <v>1231</v>
      </c>
      <c r="B83" s="1080"/>
      <c r="C83" s="1080"/>
      <c r="D83" s="1080"/>
      <c r="E83" s="341">
        <f>SUM(E41+E80)</f>
        <v>283.202</v>
      </c>
    </row>
    <row r="84" spans="1:5" x14ac:dyDescent="0.25">
      <c r="A84" s="1079" t="s">
        <v>1232</v>
      </c>
      <c r="B84" s="1079"/>
      <c r="C84" s="1079"/>
      <c r="D84" s="1079"/>
      <c r="E84" s="327">
        <f>E42+E81</f>
        <v>457.03</v>
      </c>
    </row>
    <row r="85" spans="1:5" x14ac:dyDescent="0.25">
      <c r="A85" s="1010"/>
      <c r="B85" s="1011"/>
      <c r="C85" s="1011"/>
      <c r="D85" s="1011"/>
      <c r="E85" s="1012"/>
    </row>
    <row r="86" spans="1:5" x14ac:dyDescent="0.25">
      <c r="A86" s="1013"/>
      <c r="B86" s="1014"/>
      <c r="C86" s="1014"/>
      <c r="D86" s="1014"/>
      <c r="E86" s="1015"/>
    </row>
    <row r="87" spans="1:5" x14ac:dyDescent="0.25">
      <c r="A87" s="1013"/>
      <c r="B87" s="1014"/>
      <c r="C87" s="1014"/>
      <c r="D87" s="1014"/>
      <c r="E87" s="1015"/>
    </row>
    <row r="88" spans="1:5" x14ac:dyDescent="0.25">
      <c r="A88" s="1013"/>
      <c r="B88" s="1014"/>
      <c r="C88" s="1014"/>
      <c r="D88" s="1014"/>
      <c r="E88" s="1015"/>
    </row>
    <row r="89" spans="1:5" x14ac:dyDescent="0.25">
      <c r="A89" s="1013"/>
      <c r="B89" s="1014"/>
      <c r="C89" s="1014"/>
      <c r="D89" s="1014"/>
      <c r="E89" s="1015"/>
    </row>
    <row r="90" spans="1:5" x14ac:dyDescent="0.25">
      <c r="A90" s="1013"/>
      <c r="B90" s="1014"/>
      <c r="C90" s="1014"/>
      <c r="D90" s="1014"/>
      <c r="E90" s="1015"/>
    </row>
    <row r="91" spans="1:5" x14ac:dyDescent="0.25">
      <c r="A91" s="1013"/>
      <c r="B91" s="1014"/>
      <c r="C91" s="1014"/>
      <c r="D91" s="1014"/>
      <c r="E91" s="1015"/>
    </row>
    <row r="92" spans="1:5" x14ac:dyDescent="0.25">
      <c r="A92" s="1013"/>
      <c r="B92" s="1014"/>
      <c r="C92" s="1014"/>
      <c r="D92" s="1014"/>
      <c r="E92" s="1015"/>
    </row>
    <row r="93" spans="1:5" x14ac:dyDescent="0.25">
      <c r="A93" s="1013"/>
      <c r="B93" s="1014"/>
      <c r="C93" s="1014"/>
      <c r="D93" s="1014"/>
      <c r="E93" s="1015"/>
    </row>
    <row r="94" spans="1:5" x14ac:dyDescent="0.25">
      <c r="A94" s="1013"/>
      <c r="B94" s="1014"/>
      <c r="C94" s="1014"/>
      <c r="D94" s="1014"/>
      <c r="E94" s="1015"/>
    </row>
    <row r="95" spans="1:5" x14ac:dyDescent="0.25">
      <c r="A95" s="1016"/>
      <c r="B95" s="1017"/>
      <c r="C95" s="1017"/>
      <c r="D95" s="1017"/>
      <c r="E95" s="1018"/>
    </row>
  </sheetData>
  <mergeCells count="41">
    <mergeCell ref="A76:B76"/>
    <mergeCell ref="A77:B77"/>
    <mergeCell ref="A71:B71"/>
    <mergeCell ref="A72:B72"/>
    <mergeCell ref="A73:B73"/>
    <mergeCell ref="A9:E9"/>
    <mergeCell ref="A10:E10"/>
    <mergeCell ref="A11:E32"/>
    <mergeCell ref="A33:E33"/>
    <mergeCell ref="A38:B38"/>
    <mergeCell ref="A34:B34"/>
    <mergeCell ref="A35:B35"/>
    <mergeCell ref="A36:B36"/>
    <mergeCell ref="A37:B37"/>
    <mergeCell ref="A1:E2"/>
    <mergeCell ref="A3:C3"/>
    <mergeCell ref="D3:D8"/>
    <mergeCell ref="A4:C8"/>
    <mergeCell ref="E4:E5"/>
    <mergeCell ref="E7:E8"/>
    <mergeCell ref="A85:E95"/>
    <mergeCell ref="A79:B79"/>
    <mergeCell ref="A84:D84"/>
    <mergeCell ref="A78:B78"/>
    <mergeCell ref="A39:B39"/>
    <mergeCell ref="A41:D41"/>
    <mergeCell ref="A80:D80"/>
    <mergeCell ref="A83:D83"/>
    <mergeCell ref="A82:E82"/>
    <mergeCell ref="A81:D81"/>
    <mergeCell ref="A74:B74"/>
    <mergeCell ref="A75:B75"/>
    <mergeCell ref="A69:B69"/>
    <mergeCell ref="A70:B70"/>
    <mergeCell ref="A40:B40"/>
    <mergeCell ref="A43:E43"/>
    <mergeCell ref="A42:D42"/>
    <mergeCell ref="A68:B68"/>
    <mergeCell ref="A44:E44"/>
    <mergeCell ref="A45:E66"/>
    <mergeCell ref="A67:E67"/>
  </mergeCells>
  <pageMargins left="0.7" right="0.7" top="0.75" bottom="0.75" header="0.3" footer="0.3"/>
  <pageSetup paperSize="9" scale="69" orientation="portrait" horizontalDpi="4294967293"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89109-A862-40A9-9E2B-C366E79556D8}">
  <sheetPr>
    <tabColor theme="1" tint="0.34998626667073579"/>
  </sheetPr>
  <dimension ref="A1:E162"/>
  <sheetViews>
    <sheetView view="pageBreakPreview" topLeftCell="A134" zoomScaleNormal="130" zoomScaleSheetLayoutView="100" workbookViewId="0">
      <selection activeCell="A99" sqref="A99:D99"/>
    </sheetView>
  </sheetViews>
  <sheetFormatPr defaultRowHeight="15" x14ac:dyDescent="0.25"/>
  <cols>
    <col min="1" max="1" width="31.42578125" customWidth="1"/>
    <col min="2" max="2" width="18" customWidth="1"/>
    <col min="3" max="3" width="18.710937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1233</v>
      </c>
      <c r="B3" s="987"/>
      <c r="C3" s="988"/>
      <c r="D3" s="989"/>
      <c r="E3" s="228" t="s">
        <v>993</v>
      </c>
    </row>
    <row r="4" spans="1:5" ht="15" customHeight="1" x14ac:dyDescent="0.25">
      <c r="A4" s="992" t="s">
        <v>994</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1234</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79"/>
      <c r="B27" s="979"/>
      <c r="C27" s="979"/>
      <c r="D27" s="979"/>
      <c r="E27" s="979"/>
    </row>
    <row r="28" spans="1:5" x14ac:dyDescent="0.25">
      <c r="A28" s="979"/>
      <c r="B28" s="979"/>
      <c r="C28" s="979"/>
      <c r="D28" s="979"/>
      <c r="E28" s="979"/>
    </row>
    <row r="29" spans="1:5" x14ac:dyDescent="0.25">
      <c r="A29" s="979"/>
      <c r="B29" s="979"/>
      <c r="C29" s="979"/>
      <c r="D29" s="979"/>
      <c r="E29" s="979"/>
    </row>
    <row r="30" spans="1:5" x14ac:dyDescent="0.25">
      <c r="A30" s="979"/>
      <c r="B30" s="979"/>
      <c r="C30" s="979"/>
      <c r="D30" s="979"/>
      <c r="E30" s="979"/>
    </row>
    <row r="31" spans="1:5" x14ac:dyDescent="0.25">
      <c r="A31" s="979"/>
      <c r="B31" s="979"/>
      <c r="C31" s="979"/>
      <c r="D31" s="979"/>
      <c r="E31" s="979"/>
    </row>
    <row r="32" spans="1:5" x14ac:dyDescent="0.25">
      <c r="A32" s="979"/>
      <c r="B32" s="979"/>
      <c r="C32" s="979"/>
      <c r="D32" s="979"/>
      <c r="E32" s="979"/>
    </row>
    <row r="33" spans="1:5" x14ac:dyDescent="0.25">
      <c r="A33" s="966" t="s">
        <v>1234</v>
      </c>
      <c r="B33" s="966"/>
      <c r="C33" s="966"/>
      <c r="D33" s="966"/>
      <c r="E33" s="966"/>
    </row>
    <row r="34" spans="1:5" x14ac:dyDescent="0.25">
      <c r="A34" s="229" t="s">
        <v>1087</v>
      </c>
      <c r="B34" s="239" t="s">
        <v>1155</v>
      </c>
      <c r="C34" s="967" t="s">
        <v>1089</v>
      </c>
      <c r="D34" s="968"/>
      <c r="E34" s="229" t="s">
        <v>1003</v>
      </c>
    </row>
    <row r="35" spans="1:5" ht="30.75" customHeight="1" x14ac:dyDescent="0.25">
      <c r="A35" s="230" t="s">
        <v>1158</v>
      </c>
      <c r="B35" s="231">
        <v>6.2649999999999997</v>
      </c>
      <c r="C35" s="969">
        <v>4.3499999999999996</v>
      </c>
      <c r="D35" s="970"/>
      <c r="E35" s="232">
        <f>B35*C35</f>
        <v>27.252749999999995</v>
      </c>
    </row>
    <row r="36" spans="1:5" ht="15" customHeight="1" x14ac:dyDescent="0.25">
      <c r="A36" s="971" t="s">
        <v>1001</v>
      </c>
      <c r="B36" s="972"/>
      <c r="C36" s="972"/>
      <c r="D36" s="973"/>
      <c r="E36" s="238">
        <f>E35</f>
        <v>27.252749999999995</v>
      </c>
    </row>
    <row r="37" spans="1:5" x14ac:dyDescent="0.25">
      <c r="A37" s="1061" t="s">
        <v>1165</v>
      </c>
      <c r="B37" s="1061"/>
      <c r="C37" s="1061"/>
      <c r="D37" s="1061"/>
      <c r="E37" s="1061"/>
    </row>
    <row r="38" spans="1:5" x14ac:dyDescent="0.25">
      <c r="A38" s="319" t="s">
        <v>734</v>
      </c>
      <c r="B38" s="333" t="s">
        <v>1166</v>
      </c>
      <c r="C38" s="967" t="s">
        <v>1089</v>
      </c>
      <c r="D38" s="968" t="s">
        <v>1091</v>
      </c>
      <c r="E38" s="229" t="s">
        <v>1003</v>
      </c>
    </row>
    <row r="39" spans="1:5" x14ac:dyDescent="0.25">
      <c r="A39" s="336" t="s">
        <v>1116</v>
      </c>
      <c r="B39" s="331">
        <v>1.6</v>
      </c>
      <c r="C39" s="1059">
        <v>2.1</v>
      </c>
      <c r="D39" s="1060"/>
      <c r="E39" s="335">
        <f>B39*C39</f>
        <v>3.3600000000000003</v>
      </c>
    </row>
    <row r="40" spans="1:5" x14ac:dyDescent="0.25">
      <c r="A40" s="971" t="s">
        <v>1164</v>
      </c>
      <c r="B40" s="972"/>
      <c r="C40" s="972"/>
      <c r="D40" s="973"/>
      <c r="E40" s="317">
        <f>E39</f>
        <v>3.3600000000000003</v>
      </c>
    </row>
    <row r="41" spans="1:5" x14ac:dyDescent="0.25">
      <c r="A41" s="995" t="s">
        <v>285</v>
      </c>
      <c r="B41" s="996"/>
      <c r="C41" s="996"/>
      <c r="D41" s="997"/>
      <c r="E41" s="233">
        <f>E36-E40</f>
        <v>23.892749999999996</v>
      </c>
    </row>
    <row r="42" spans="1:5" x14ac:dyDescent="0.25">
      <c r="A42" s="974" t="s">
        <v>1235</v>
      </c>
      <c r="B42" s="975"/>
      <c r="C42" s="975"/>
      <c r="D42" s="976"/>
      <c r="E42" s="977"/>
    </row>
    <row r="43" spans="1:5" x14ac:dyDescent="0.25">
      <c r="A43" s="978" t="s">
        <v>997</v>
      </c>
      <c r="B43" s="978"/>
      <c r="C43" s="978"/>
      <c r="D43" s="978"/>
      <c r="E43" s="978"/>
    </row>
    <row r="44" spans="1:5" x14ac:dyDescent="0.25">
      <c r="A44" s="979"/>
      <c r="B44" s="979"/>
      <c r="C44" s="979"/>
      <c r="D44" s="979"/>
      <c r="E44" s="979"/>
    </row>
    <row r="45" spans="1:5" x14ac:dyDescent="0.25">
      <c r="A45" s="979"/>
      <c r="B45" s="979"/>
      <c r="C45" s="979"/>
      <c r="D45" s="979"/>
      <c r="E45" s="979"/>
    </row>
    <row r="46" spans="1:5" x14ac:dyDescent="0.25">
      <c r="A46" s="979"/>
      <c r="B46" s="979"/>
      <c r="C46" s="979"/>
      <c r="D46" s="979"/>
      <c r="E46" s="979"/>
    </row>
    <row r="47" spans="1:5" x14ac:dyDescent="0.25">
      <c r="A47" s="979"/>
      <c r="B47" s="979"/>
      <c r="C47" s="979"/>
      <c r="D47" s="979"/>
      <c r="E47" s="979"/>
    </row>
    <row r="48" spans="1:5" x14ac:dyDescent="0.25">
      <c r="A48" s="979"/>
      <c r="B48" s="979"/>
      <c r="C48" s="979"/>
      <c r="D48" s="979"/>
      <c r="E48" s="979"/>
    </row>
    <row r="49" spans="1:5" x14ac:dyDescent="0.25">
      <c r="A49" s="979"/>
      <c r="B49" s="979"/>
      <c r="C49" s="979"/>
      <c r="D49" s="979"/>
      <c r="E49" s="979"/>
    </row>
    <row r="50" spans="1:5" x14ac:dyDescent="0.25">
      <c r="A50" s="979"/>
      <c r="B50" s="979"/>
      <c r="C50" s="979"/>
      <c r="D50" s="979"/>
      <c r="E50" s="979"/>
    </row>
    <row r="51" spans="1:5" x14ac:dyDescent="0.25">
      <c r="A51" s="979"/>
      <c r="B51" s="979"/>
      <c r="C51" s="979"/>
      <c r="D51" s="979"/>
      <c r="E51" s="979"/>
    </row>
    <row r="52" spans="1:5" x14ac:dyDescent="0.25">
      <c r="A52" s="979"/>
      <c r="B52" s="979"/>
      <c r="C52" s="979"/>
      <c r="D52" s="979"/>
      <c r="E52" s="979"/>
    </row>
    <row r="53" spans="1:5" x14ac:dyDescent="0.25">
      <c r="A53" s="979"/>
      <c r="B53" s="979"/>
      <c r="C53" s="979"/>
      <c r="D53" s="979"/>
      <c r="E53" s="979"/>
    </row>
    <row r="54" spans="1:5" x14ac:dyDescent="0.25">
      <c r="A54" s="979"/>
      <c r="B54" s="979"/>
      <c r="C54" s="979"/>
      <c r="D54" s="979"/>
      <c r="E54" s="979"/>
    </row>
    <row r="55" spans="1:5" x14ac:dyDescent="0.25">
      <c r="A55" s="979"/>
      <c r="B55" s="979"/>
      <c r="C55" s="979"/>
      <c r="D55" s="979"/>
      <c r="E55" s="979"/>
    </row>
    <row r="56" spans="1:5" x14ac:dyDescent="0.25">
      <c r="A56" s="979"/>
      <c r="B56" s="979"/>
      <c r="C56" s="979"/>
      <c r="D56" s="979"/>
      <c r="E56" s="979"/>
    </row>
    <row r="57" spans="1:5" x14ac:dyDescent="0.25">
      <c r="A57" s="979"/>
      <c r="B57" s="979"/>
      <c r="C57" s="979"/>
      <c r="D57" s="979"/>
      <c r="E57" s="979"/>
    </row>
    <row r="58" spans="1:5" x14ac:dyDescent="0.25">
      <c r="A58" s="979"/>
      <c r="B58" s="979"/>
      <c r="C58" s="979"/>
      <c r="D58" s="979"/>
      <c r="E58" s="979"/>
    </row>
    <row r="59" spans="1:5" x14ac:dyDescent="0.25">
      <c r="A59" s="979"/>
      <c r="B59" s="979"/>
      <c r="C59" s="979"/>
      <c r="D59" s="979"/>
      <c r="E59" s="979"/>
    </row>
    <row r="60" spans="1:5" x14ac:dyDescent="0.25">
      <c r="A60" s="979"/>
      <c r="B60" s="979"/>
      <c r="C60" s="979"/>
      <c r="D60" s="979"/>
      <c r="E60" s="979"/>
    </row>
    <row r="61" spans="1:5" x14ac:dyDescent="0.25">
      <c r="A61" s="979"/>
      <c r="B61" s="979"/>
      <c r="C61" s="979"/>
      <c r="D61" s="979"/>
      <c r="E61" s="979"/>
    </row>
    <row r="62" spans="1:5" x14ac:dyDescent="0.25">
      <c r="A62" s="979"/>
      <c r="B62" s="979"/>
      <c r="C62" s="979"/>
      <c r="D62" s="979"/>
      <c r="E62" s="979"/>
    </row>
    <row r="63" spans="1:5" x14ac:dyDescent="0.25">
      <c r="A63" s="979"/>
      <c r="B63" s="979"/>
      <c r="C63" s="979"/>
      <c r="D63" s="979"/>
      <c r="E63" s="979"/>
    </row>
    <row r="64" spans="1:5" x14ac:dyDescent="0.25">
      <c r="A64" s="979"/>
      <c r="B64" s="979"/>
      <c r="C64" s="979"/>
      <c r="D64" s="979"/>
      <c r="E64" s="979"/>
    </row>
    <row r="65" spans="1:5" x14ac:dyDescent="0.25">
      <c r="A65" s="979"/>
      <c r="B65" s="979"/>
      <c r="C65" s="979"/>
      <c r="D65" s="979"/>
      <c r="E65" s="979"/>
    </row>
    <row r="66" spans="1:5" x14ac:dyDescent="0.25">
      <c r="A66" s="966" t="s">
        <v>1234</v>
      </c>
      <c r="B66" s="966"/>
      <c r="C66" s="966"/>
      <c r="D66" s="966"/>
      <c r="E66" s="966"/>
    </row>
    <row r="67" spans="1:5" x14ac:dyDescent="0.25">
      <c r="A67" s="229" t="s">
        <v>1087</v>
      </c>
      <c r="B67" s="239" t="s">
        <v>1155</v>
      </c>
      <c r="C67" s="229" t="s">
        <v>1089</v>
      </c>
      <c r="D67" s="229" t="s">
        <v>1091</v>
      </c>
      <c r="E67" s="229" t="s">
        <v>1003</v>
      </c>
    </row>
    <row r="68" spans="1:5" x14ac:dyDescent="0.25">
      <c r="A68" s="230" t="s">
        <v>1236</v>
      </c>
      <c r="B68" s="231" t="s">
        <v>1237</v>
      </c>
      <c r="C68" s="332">
        <v>4.3499999999999996</v>
      </c>
      <c r="D68" s="332">
        <v>4</v>
      </c>
      <c r="E68" s="232">
        <f>((0.52*2)+0.54)*4.35*4</f>
        <v>27.491999999999997</v>
      </c>
    </row>
    <row r="69" spans="1:5" x14ac:dyDescent="0.25">
      <c r="A69" s="230"/>
      <c r="B69" s="231" t="s">
        <v>1238</v>
      </c>
      <c r="C69" s="332">
        <v>4.3499999999999996</v>
      </c>
      <c r="D69" s="332">
        <v>4</v>
      </c>
      <c r="E69" s="232">
        <f>((0.54*2)+(1.14*2))*C69*D69</f>
        <v>58.463999999999992</v>
      </c>
    </row>
    <row r="70" spans="1:5" x14ac:dyDescent="0.25">
      <c r="A70" s="971" t="s">
        <v>1001</v>
      </c>
      <c r="B70" s="972"/>
      <c r="C70" s="972"/>
      <c r="D70" s="973"/>
      <c r="E70" s="238">
        <f>SUM(E68:E69)</f>
        <v>85.955999999999989</v>
      </c>
    </row>
    <row r="71" spans="1:5" x14ac:dyDescent="0.25">
      <c r="A71" s="995" t="s">
        <v>285</v>
      </c>
      <c r="B71" s="996"/>
      <c r="C71" s="996"/>
      <c r="D71" s="997"/>
      <c r="E71" s="233">
        <f>E70</f>
        <v>85.955999999999989</v>
      </c>
    </row>
    <row r="72" spans="1:5" x14ac:dyDescent="0.25">
      <c r="A72" s="974" t="s">
        <v>1239</v>
      </c>
      <c r="B72" s="975"/>
      <c r="C72" s="975"/>
      <c r="D72" s="976"/>
      <c r="E72" s="977"/>
    </row>
    <row r="73" spans="1:5" x14ac:dyDescent="0.25">
      <c r="A73" s="978" t="s">
        <v>997</v>
      </c>
      <c r="B73" s="978"/>
      <c r="C73" s="978"/>
      <c r="D73" s="978"/>
      <c r="E73" s="978"/>
    </row>
    <row r="74" spans="1:5" x14ac:dyDescent="0.25">
      <c r="A74" s="979"/>
      <c r="B74" s="979"/>
      <c r="C74" s="979"/>
      <c r="D74" s="979"/>
      <c r="E74" s="979"/>
    </row>
    <row r="75" spans="1:5" x14ac:dyDescent="0.25">
      <c r="A75" s="979"/>
      <c r="B75" s="979"/>
      <c r="C75" s="979"/>
      <c r="D75" s="979"/>
      <c r="E75" s="979"/>
    </row>
    <row r="76" spans="1:5" x14ac:dyDescent="0.25">
      <c r="A76" s="979"/>
      <c r="B76" s="979"/>
      <c r="C76" s="979"/>
      <c r="D76" s="979"/>
      <c r="E76" s="979"/>
    </row>
    <row r="77" spans="1:5" x14ac:dyDescent="0.25">
      <c r="A77" s="979"/>
      <c r="B77" s="979"/>
      <c r="C77" s="979"/>
      <c r="D77" s="979"/>
      <c r="E77" s="979"/>
    </row>
    <row r="78" spans="1:5" x14ac:dyDescent="0.25">
      <c r="A78" s="979"/>
      <c r="B78" s="979"/>
      <c r="C78" s="979"/>
      <c r="D78" s="979"/>
      <c r="E78" s="979"/>
    </row>
    <row r="79" spans="1:5" x14ac:dyDescent="0.25">
      <c r="A79" s="979"/>
      <c r="B79" s="979"/>
      <c r="C79" s="979"/>
      <c r="D79" s="979"/>
      <c r="E79" s="979"/>
    </row>
    <row r="80" spans="1:5" x14ac:dyDescent="0.25">
      <c r="A80" s="979"/>
      <c r="B80" s="979"/>
      <c r="C80" s="979"/>
      <c r="D80" s="979"/>
      <c r="E80" s="979"/>
    </row>
    <row r="81" spans="1:5" x14ac:dyDescent="0.25">
      <c r="A81" s="979"/>
      <c r="B81" s="979"/>
      <c r="C81" s="979"/>
      <c r="D81" s="979"/>
      <c r="E81" s="979"/>
    </row>
    <row r="82" spans="1:5" x14ac:dyDescent="0.25">
      <c r="A82" s="979"/>
      <c r="B82" s="979"/>
      <c r="C82" s="979"/>
      <c r="D82" s="979"/>
      <c r="E82" s="979"/>
    </row>
    <row r="83" spans="1:5" x14ac:dyDescent="0.25">
      <c r="A83" s="979"/>
      <c r="B83" s="979"/>
      <c r="C83" s="979"/>
      <c r="D83" s="979"/>
      <c r="E83" s="979"/>
    </row>
    <row r="84" spans="1:5" x14ac:dyDescent="0.25">
      <c r="A84" s="979"/>
      <c r="B84" s="979"/>
      <c r="C84" s="979"/>
      <c r="D84" s="979"/>
      <c r="E84" s="979"/>
    </row>
    <row r="85" spans="1:5" x14ac:dyDescent="0.25">
      <c r="A85" s="979"/>
      <c r="B85" s="979"/>
      <c r="C85" s="979"/>
      <c r="D85" s="979"/>
      <c r="E85" s="979"/>
    </row>
    <row r="86" spans="1:5" x14ac:dyDescent="0.25">
      <c r="A86" s="979"/>
      <c r="B86" s="979"/>
      <c r="C86" s="979"/>
      <c r="D86" s="979"/>
      <c r="E86" s="979"/>
    </row>
    <row r="87" spans="1:5" x14ac:dyDescent="0.25">
      <c r="A87" s="979"/>
      <c r="B87" s="979"/>
      <c r="C87" s="979"/>
      <c r="D87" s="979"/>
      <c r="E87" s="979"/>
    </row>
    <row r="88" spans="1:5" x14ac:dyDescent="0.25">
      <c r="A88" s="979"/>
      <c r="B88" s="979"/>
      <c r="C88" s="979"/>
      <c r="D88" s="979"/>
      <c r="E88" s="979"/>
    </row>
    <row r="89" spans="1:5" x14ac:dyDescent="0.25">
      <c r="A89" s="979"/>
      <c r="B89" s="979"/>
      <c r="C89" s="979"/>
      <c r="D89" s="979"/>
      <c r="E89" s="979"/>
    </row>
    <row r="90" spans="1:5" x14ac:dyDescent="0.25">
      <c r="A90" s="979"/>
      <c r="B90" s="979"/>
      <c r="C90" s="979"/>
      <c r="D90" s="979"/>
      <c r="E90" s="979"/>
    </row>
    <row r="91" spans="1:5" x14ac:dyDescent="0.25">
      <c r="A91" s="979"/>
      <c r="B91" s="979"/>
      <c r="C91" s="979"/>
      <c r="D91" s="979"/>
      <c r="E91" s="979"/>
    </row>
    <row r="92" spans="1:5" x14ac:dyDescent="0.25">
      <c r="A92" s="979"/>
      <c r="B92" s="979"/>
      <c r="C92" s="979"/>
      <c r="D92" s="979"/>
      <c r="E92" s="979"/>
    </row>
    <row r="93" spans="1:5" x14ac:dyDescent="0.25">
      <c r="A93" s="979"/>
      <c r="B93" s="979"/>
      <c r="C93" s="979"/>
      <c r="D93" s="979"/>
      <c r="E93" s="979"/>
    </row>
    <row r="94" spans="1:5" x14ac:dyDescent="0.25">
      <c r="A94" s="979"/>
      <c r="B94" s="979"/>
      <c r="C94" s="979"/>
      <c r="D94" s="979"/>
      <c r="E94" s="979"/>
    </row>
    <row r="95" spans="1:5" x14ac:dyDescent="0.25">
      <c r="A95" s="979"/>
      <c r="B95" s="979"/>
      <c r="C95" s="979"/>
      <c r="D95" s="979"/>
      <c r="E95" s="979"/>
    </row>
    <row r="96" spans="1:5" x14ac:dyDescent="0.25">
      <c r="A96" s="966" t="s">
        <v>1239</v>
      </c>
      <c r="B96" s="966"/>
      <c r="C96" s="966"/>
      <c r="D96" s="966"/>
      <c r="E96" s="966"/>
    </row>
    <row r="97" spans="1:5" x14ac:dyDescent="0.25">
      <c r="A97" s="229" t="s">
        <v>1087</v>
      </c>
      <c r="B97" s="1084" t="s">
        <v>1704</v>
      </c>
      <c r="C97" s="1085"/>
      <c r="D97" s="1086"/>
      <c r="E97" s="229" t="s">
        <v>1003</v>
      </c>
    </row>
    <row r="98" spans="1:5" ht="45" x14ac:dyDescent="0.25">
      <c r="A98" s="230" t="s">
        <v>1702</v>
      </c>
      <c r="B98" s="969" t="s">
        <v>1703</v>
      </c>
      <c r="C98" s="1087"/>
      <c r="D98" s="970"/>
      <c r="E98" s="232">
        <f>24.96+10.46+10.46+50.46</f>
        <v>96.34</v>
      </c>
    </row>
    <row r="99" spans="1:5" x14ac:dyDescent="0.25">
      <c r="A99" s="971" t="s">
        <v>1001</v>
      </c>
      <c r="B99" s="972"/>
      <c r="C99" s="972"/>
      <c r="D99" s="973"/>
      <c r="E99" s="238">
        <f>SUM(E98:E98)</f>
        <v>96.34</v>
      </c>
    </row>
    <row r="100" spans="1:5" x14ac:dyDescent="0.25">
      <c r="A100" s="995" t="s">
        <v>285</v>
      </c>
      <c r="B100" s="996"/>
      <c r="C100" s="996"/>
      <c r="D100" s="997"/>
      <c r="E100" s="233">
        <f>E99</f>
        <v>96.34</v>
      </c>
    </row>
    <row r="101" spans="1:5" x14ac:dyDescent="0.25">
      <c r="A101" s="974" t="s">
        <v>1240</v>
      </c>
      <c r="B101" s="975"/>
      <c r="C101" s="975"/>
      <c r="D101" s="976"/>
      <c r="E101" s="977"/>
    </row>
    <row r="102" spans="1:5" x14ac:dyDescent="0.25">
      <c r="A102" s="978" t="s">
        <v>997</v>
      </c>
      <c r="B102" s="978"/>
      <c r="C102" s="978"/>
      <c r="D102" s="978"/>
      <c r="E102" s="978"/>
    </row>
    <row r="103" spans="1:5" x14ac:dyDescent="0.25">
      <c r="A103" s="979"/>
      <c r="B103" s="979"/>
      <c r="C103" s="979"/>
      <c r="D103" s="979"/>
      <c r="E103" s="979"/>
    </row>
    <row r="104" spans="1:5" x14ac:dyDescent="0.25">
      <c r="A104" s="979"/>
      <c r="B104" s="979"/>
      <c r="C104" s="979"/>
      <c r="D104" s="979"/>
      <c r="E104" s="979"/>
    </row>
    <row r="105" spans="1:5" x14ac:dyDescent="0.25">
      <c r="A105" s="979"/>
      <c r="B105" s="979"/>
      <c r="C105" s="979"/>
      <c r="D105" s="979"/>
      <c r="E105" s="979"/>
    </row>
    <row r="106" spans="1:5" x14ac:dyDescent="0.25">
      <c r="A106" s="979"/>
      <c r="B106" s="979"/>
      <c r="C106" s="979"/>
      <c r="D106" s="979"/>
      <c r="E106" s="979"/>
    </row>
    <row r="107" spans="1:5" x14ac:dyDescent="0.25">
      <c r="A107" s="979"/>
      <c r="B107" s="979"/>
      <c r="C107" s="979"/>
      <c r="D107" s="979"/>
      <c r="E107" s="979"/>
    </row>
    <row r="108" spans="1:5" x14ac:dyDescent="0.25">
      <c r="A108" s="979"/>
      <c r="B108" s="979"/>
      <c r="C108" s="979"/>
      <c r="D108" s="979"/>
      <c r="E108" s="979"/>
    </row>
    <row r="109" spans="1:5" x14ac:dyDescent="0.25">
      <c r="A109" s="979"/>
      <c r="B109" s="979"/>
      <c r="C109" s="979"/>
      <c r="D109" s="979"/>
      <c r="E109" s="979"/>
    </row>
    <row r="110" spans="1:5" x14ac:dyDescent="0.25">
      <c r="A110" s="979"/>
      <c r="B110" s="979"/>
      <c r="C110" s="979"/>
      <c r="D110" s="979"/>
      <c r="E110" s="979"/>
    </row>
    <row r="111" spans="1:5" x14ac:dyDescent="0.25">
      <c r="A111" s="979"/>
      <c r="B111" s="979"/>
      <c r="C111" s="979"/>
      <c r="D111" s="979"/>
      <c r="E111" s="979"/>
    </row>
    <row r="112" spans="1:5" x14ac:dyDescent="0.25">
      <c r="A112" s="979"/>
      <c r="B112" s="979"/>
      <c r="C112" s="979"/>
      <c r="D112" s="979"/>
      <c r="E112" s="979"/>
    </row>
    <row r="113" spans="1:5" x14ac:dyDescent="0.25">
      <c r="A113" s="979"/>
      <c r="B113" s="979"/>
      <c r="C113" s="979"/>
      <c r="D113" s="979"/>
      <c r="E113" s="979"/>
    </row>
    <row r="114" spans="1:5" x14ac:dyDescent="0.25">
      <c r="A114" s="979"/>
      <c r="B114" s="979"/>
      <c r="C114" s="979"/>
      <c r="D114" s="979"/>
      <c r="E114" s="979"/>
    </row>
    <row r="115" spans="1:5" x14ac:dyDescent="0.25">
      <c r="A115" s="979"/>
      <c r="B115" s="979"/>
      <c r="C115" s="979"/>
      <c r="D115" s="979"/>
      <c r="E115" s="979"/>
    </row>
    <row r="116" spans="1:5" x14ac:dyDescent="0.25">
      <c r="A116" s="979"/>
      <c r="B116" s="979"/>
      <c r="C116" s="979"/>
      <c r="D116" s="979"/>
      <c r="E116" s="979"/>
    </row>
    <row r="117" spans="1:5" x14ac:dyDescent="0.25">
      <c r="A117" s="979"/>
      <c r="B117" s="979"/>
      <c r="C117" s="979"/>
      <c r="D117" s="979"/>
      <c r="E117" s="979"/>
    </row>
    <row r="118" spans="1:5" x14ac:dyDescent="0.25">
      <c r="A118" s="979"/>
      <c r="B118" s="979"/>
      <c r="C118" s="979"/>
      <c r="D118" s="979"/>
      <c r="E118" s="979"/>
    </row>
    <row r="119" spans="1:5" x14ac:dyDescent="0.25">
      <c r="A119" s="979"/>
      <c r="B119" s="979"/>
      <c r="C119" s="979"/>
      <c r="D119" s="979"/>
      <c r="E119" s="979"/>
    </row>
    <row r="120" spans="1:5" x14ac:dyDescent="0.25">
      <c r="A120" s="979"/>
      <c r="B120" s="979"/>
      <c r="C120" s="979"/>
      <c r="D120" s="979"/>
      <c r="E120" s="979"/>
    </row>
    <row r="121" spans="1:5" x14ac:dyDescent="0.25">
      <c r="A121" s="979"/>
      <c r="B121" s="979"/>
      <c r="C121" s="979"/>
      <c r="D121" s="979"/>
      <c r="E121" s="979"/>
    </row>
    <row r="122" spans="1:5" x14ac:dyDescent="0.25">
      <c r="A122" s="979"/>
      <c r="B122" s="979"/>
      <c r="C122" s="979"/>
      <c r="D122" s="979"/>
      <c r="E122" s="979"/>
    </row>
    <row r="123" spans="1:5" x14ac:dyDescent="0.25">
      <c r="A123" s="979"/>
      <c r="B123" s="979"/>
      <c r="C123" s="979"/>
      <c r="D123" s="979"/>
      <c r="E123" s="979"/>
    </row>
    <row r="124" spans="1:5" x14ac:dyDescent="0.25">
      <c r="A124" s="979"/>
      <c r="B124" s="979"/>
      <c r="C124" s="979"/>
      <c r="D124" s="979"/>
      <c r="E124" s="979"/>
    </row>
    <row r="125" spans="1:5" x14ac:dyDescent="0.25">
      <c r="A125" s="966" t="s">
        <v>1240</v>
      </c>
      <c r="B125" s="966"/>
      <c r="C125" s="966"/>
      <c r="D125" s="966"/>
      <c r="E125" s="966"/>
    </row>
    <row r="126" spans="1:5" x14ac:dyDescent="0.25">
      <c r="A126" s="229" t="s">
        <v>1087</v>
      </c>
      <c r="B126" s="239" t="s">
        <v>1241</v>
      </c>
      <c r="C126" s="239" t="s">
        <v>1242</v>
      </c>
      <c r="D126" s="330" t="s">
        <v>1089</v>
      </c>
      <c r="E126" s="229" t="s">
        <v>1003</v>
      </c>
    </row>
    <row r="127" spans="1:5" x14ac:dyDescent="0.25">
      <c r="A127" s="230" t="s">
        <v>1101</v>
      </c>
      <c r="B127" s="231" t="s">
        <v>1243</v>
      </c>
      <c r="C127" s="231">
        <f>(2.37*2)+(5.03*2)</f>
        <v>14.8</v>
      </c>
      <c r="D127" s="338">
        <v>2.6</v>
      </c>
      <c r="E127" s="232">
        <f>C127*D127</f>
        <v>38.480000000000004</v>
      </c>
    </row>
    <row r="128" spans="1:5" ht="30" x14ac:dyDescent="0.25">
      <c r="A128" s="230" t="s">
        <v>1103</v>
      </c>
      <c r="B128" s="231" t="s">
        <v>1244</v>
      </c>
      <c r="C128" s="231">
        <f>(5.03)+(2.99)+(1.88)+(1.35)</f>
        <v>11.249999999999998</v>
      </c>
      <c r="D128" s="338">
        <v>2.6</v>
      </c>
      <c r="E128" s="232">
        <f t="shared" ref="E128:E133" si="0">C128*D128</f>
        <v>29.249999999999996</v>
      </c>
    </row>
    <row r="129" spans="1:5" x14ac:dyDescent="0.25">
      <c r="A129" s="230" t="s">
        <v>1245</v>
      </c>
      <c r="B129" s="231" t="s">
        <v>1246</v>
      </c>
      <c r="C129" s="231">
        <f>(3.68*2)</f>
        <v>7.36</v>
      </c>
      <c r="D129" s="338">
        <v>1.1000000000000001</v>
      </c>
      <c r="E129" s="232">
        <f t="shared" si="0"/>
        <v>8.0960000000000019</v>
      </c>
    </row>
    <row r="130" spans="1:5" x14ac:dyDescent="0.25">
      <c r="A130" s="230" t="s">
        <v>1108</v>
      </c>
      <c r="B130" s="231" t="s">
        <v>1247</v>
      </c>
      <c r="C130" s="231">
        <f>(1.6*2)+(1.7*2)</f>
        <v>6.6</v>
      </c>
      <c r="D130" s="338">
        <v>2.6</v>
      </c>
      <c r="E130" s="232">
        <f t="shared" si="0"/>
        <v>17.16</v>
      </c>
    </row>
    <row r="131" spans="1:5" x14ac:dyDescent="0.25">
      <c r="A131" s="230" t="s">
        <v>1228</v>
      </c>
      <c r="B131" s="231" t="s">
        <v>1248</v>
      </c>
      <c r="C131" s="231">
        <f>(1.6*2)+(1.96*2)</f>
        <v>7.12</v>
      </c>
      <c r="D131" s="338">
        <v>2.6</v>
      </c>
      <c r="E131" s="232">
        <f t="shared" si="0"/>
        <v>18.512</v>
      </c>
    </row>
    <row r="132" spans="1:5" x14ac:dyDescent="0.25">
      <c r="A132" s="230" t="s">
        <v>1110</v>
      </c>
      <c r="B132" s="231" t="s">
        <v>1249</v>
      </c>
      <c r="C132" s="231">
        <f>(3.07*2)+(3.06)*2</f>
        <v>12.26</v>
      </c>
      <c r="D132" s="338">
        <v>2.6</v>
      </c>
      <c r="E132" s="232">
        <f t="shared" si="0"/>
        <v>31.876000000000001</v>
      </c>
    </row>
    <row r="133" spans="1:5" x14ac:dyDescent="0.25">
      <c r="A133" s="230" t="s">
        <v>1111</v>
      </c>
      <c r="B133" s="231" t="s">
        <v>1250</v>
      </c>
      <c r="C133" s="231">
        <f>(3.01*2)+(3.06)*2</f>
        <v>12.14</v>
      </c>
      <c r="D133" s="338">
        <v>2.6</v>
      </c>
      <c r="E133" s="232">
        <f t="shared" si="0"/>
        <v>31.564000000000004</v>
      </c>
    </row>
    <row r="134" spans="1:5" x14ac:dyDescent="0.25">
      <c r="A134" s="971" t="s">
        <v>1001</v>
      </c>
      <c r="B134" s="972"/>
      <c r="C134" s="972"/>
      <c r="D134" s="973"/>
      <c r="E134" s="238">
        <f>SUM(E127:E133)</f>
        <v>174.93799999999999</v>
      </c>
    </row>
    <row r="135" spans="1:5" x14ac:dyDescent="0.25">
      <c r="A135" s="1061" t="s">
        <v>1165</v>
      </c>
      <c r="B135" s="1061"/>
      <c r="C135" s="1061"/>
      <c r="D135" s="1061"/>
      <c r="E135" s="1061"/>
    </row>
    <row r="136" spans="1:5" x14ac:dyDescent="0.25">
      <c r="A136" s="319" t="s">
        <v>734</v>
      </c>
      <c r="B136" s="333" t="s">
        <v>1166</v>
      </c>
      <c r="C136" s="967" t="s">
        <v>1089</v>
      </c>
      <c r="D136" s="968" t="s">
        <v>1091</v>
      </c>
      <c r="E136" s="229" t="s">
        <v>1003</v>
      </c>
    </row>
    <row r="137" spans="1:5" x14ac:dyDescent="0.25">
      <c r="A137" s="336" t="s">
        <v>1119</v>
      </c>
      <c r="B137" s="331">
        <v>0.9</v>
      </c>
      <c r="C137" s="1059">
        <v>2.1</v>
      </c>
      <c r="D137" s="1060"/>
      <c r="E137" s="335">
        <f>IF(SUM(B137*C137)&gt;=2,B137*C137,0)</f>
        <v>0</v>
      </c>
    </row>
    <row r="138" spans="1:5" x14ac:dyDescent="0.25">
      <c r="A138" s="336" t="s">
        <v>1122</v>
      </c>
      <c r="B138" s="331">
        <v>0.7</v>
      </c>
      <c r="C138" s="1059">
        <v>2.1</v>
      </c>
      <c r="D138" s="1060"/>
      <c r="E138" s="335">
        <f t="shared" ref="E138:E149" si="1">IF(SUM(B138*C138)&gt;=2,B138*C138,0)</f>
        <v>0</v>
      </c>
    </row>
    <row r="139" spans="1:5" x14ac:dyDescent="0.25">
      <c r="A139" s="336" t="s">
        <v>1102</v>
      </c>
      <c r="B139" s="331">
        <v>2.2000000000000002</v>
      </c>
      <c r="C139" s="1059">
        <v>0.5</v>
      </c>
      <c r="D139" s="1060"/>
      <c r="E139" s="335">
        <f t="shared" si="1"/>
        <v>0</v>
      </c>
    </row>
    <row r="140" spans="1:5" x14ac:dyDescent="0.25">
      <c r="A140" s="336" t="s">
        <v>1102</v>
      </c>
      <c r="B140" s="331">
        <v>2.2000000000000002</v>
      </c>
      <c r="C140" s="1059">
        <v>0.5</v>
      </c>
      <c r="D140" s="1060"/>
      <c r="E140" s="335">
        <f t="shared" si="1"/>
        <v>0</v>
      </c>
    </row>
    <row r="141" spans="1:5" x14ac:dyDescent="0.25">
      <c r="A141" s="336" t="s">
        <v>1115</v>
      </c>
      <c r="B141" s="331">
        <v>0.8</v>
      </c>
      <c r="C141" s="1059">
        <v>2.1</v>
      </c>
      <c r="D141" s="1060"/>
      <c r="E141" s="335">
        <f t="shared" si="1"/>
        <v>0</v>
      </c>
    </row>
    <row r="142" spans="1:5" x14ac:dyDescent="0.25">
      <c r="A142" s="336" t="s">
        <v>1124</v>
      </c>
      <c r="B142" s="331">
        <v>0.9</v>
      </c>
      <c r="C142" s="1059">
        <v>2.1</v>
      </c>
      <c r="D142" s="1060"/>
      <c r="E142" s="335">
        <f>IF(SUM(B142*C142)&gt;=2,B142*C142,0)</f>
        <v>0</v>
      </c>
    </row>
    <row r="143" spans="1:5" x14ac:dyDescent="0.25">
      <c r="A143" s="336" t="s">
        <v>1122</v>
      </c>
      <c r="B143" s="331">
        <v>0.7</v>
      </c>
      <c r="C143" s="1059">
        <v>2.1</v>
      </c>
      <c r="D143" s="1060"/>
      <c r="E143" s="335">
        <f t="shared" si="1"/>
        <v>0</v>
      </c>
    </row>
    <row r="144" spans="1:5" x14ac:dyDescent="0.25">
      <c r="A144" s="336" t="s">
        <v>1104</v>
      </c>
      <c r="B144" s="331">
        <v>0.7</v>
      </c>
      <c r="C144" s="1059">
        <v>0.5</v>
      </c>
      <c r="D144" s="1060"/>
      <c r="E144" s="335">
        <f t="shared" si="1"/>
        <v>0</v>
      </c>
    </row>
    <row r="145" spans="1:5" x14ac:dyDescent="0.25">
      <c r="A145" s="336" t="s">
        <v>1122</v>
      </c>
      <c r="B145" s="331">
        <v>0.7</v>
      </c>
      <c r="C145" s="1059">
        <v>2.1</v>
      </c>
      <c r="D145" s="1060"/>
      <c r="E145" s="335">
        <f t="shared" si="1"/>
        <v>0</v>
      </c>
    </row>
    <row r="146" spans="1:5" x14ac:dyDescent="0.25">
      <c r="A146" s="336" t="s">
        <v>1102</v>
      </c>
      <c r="B146" s="331">
        <v>2.2000000000000002</v>
      </c>
      <c r="C146" s="1059">
        <v>0.5</v>
      </c>
      <c r="D146" s="1060"/>
      <c r="E146" s="335">
        <f t="shared" si="1"/>
        <v>0</v>
      </c>
    </row>
    <row r="147" spans="1:5" x14ac:dyDescent="0.25">
      <c r="A147" s="336" t="s">
        <v>1102</v>
      </c>
      <c r="B147" s="331">
        <v>2.2000000000000002</v>
      </c>
      <c r="C147" s="1059">
        <v>0.5</v>
      </c>
      <c r="D147" s="1060"/>
      <c r="E147" s="335">
        <f t="shared" si="1"/>
        <v>0</v>
      </c>
    </row>
    <row r="148" spans="1:5" x14ac:dyDescent="0.25">
      <c r="A148" s="336" t="s">
        <v>1122</v>
      </c>
      <c r="B148" s="331">
        <v>0.7</v>
      </c>
      <c r="C148" s="1059">
        <v>2.1</v>
      </c>
      <c r="D148" s="1060"/>
      <c r="E148" s="335">
        <f t="shared" si="1"/>
        <v>0</v>
      </c>
    </row>
    <row r="149" spans="1:5" x14ac:dyDescent="0.25">
      <c r="A149" s="336" t="s">
        <v>1102</v>
      </c>
      <c r="B149" s="331">
        <v>2.2000000000000002</v>
      </c>
      <c r="C149" s="1059">
        <v>0.5</v>
      </c>
      <c r="D149" s="1060"/>
      <c r="E149" s="335">
        <f t="shared" si="1"/>
        <v>0</v>
      </c>
    </row>
    <row r="150" spans="1:5" x14ac:dyDescent="0.25">
      <c r="A150" s="971" t="s">
        <v>1164</v>
      </c>
      <c r="B150" s="972"/>
      <c r="C150" s="972"/>
      <c r="D150" s="973"/>
      <c r="E150" s="317">
        <f>SUM(E137:E149)</f>
        <v>0</v>
      </c>
    </row>
    <row r="151" spans="1:5" x14ac:dyDescent="0.25">
      <c r="A151" s="995" t="s">
        <v>285</v>
      </c>
      <c r="B151" s="996"/>
      <c r="C151" s="996"/>
      <c r="D151" s="997"/>
      <c r="E151" s="233">
        <f>E134-E150</f>
        <v>174.93799999999999</v>
      </c>
    </row>
    <row r="152" spans="1:5" x14ac:dyDescent="0.25">
      <c r="A152" s="1010"/>
      <c r="B152" s="1011"/>
      <c r="C152" s="1011"/>
      <c r="D152" s="1011"/>
      <c r="E152" s="1012"/>
    </row>
    <row r="153" spans="1:5" x14ac:dyDescent="0.25">
      <c r="A153" s="1013"/>
      <c r="B153" s="1014"/>
      <c r="C153" s="1014"/>
      <c r="D153" s="1014"/>
      <c r="E153" s="1015"/>
    </row>
    <row r="154" spans="1:5" x14ac:dyDescent="0.25">
      <c r="A154" s="1013"/>
      <c r="B154" s="1014"/>
      <c r="C154" s="1014"/>
      <c r="D154" s="1014"/>
      <c r="E154" s="1015"/>
    </row>
    <row r="155" spans="1:5" x14ac:dyDescent="0.25">
      <c r="A155" s="1013"/>
      <c r="B155" s="1014"/>
      <c r="C155" s="1014"/>
      <c r="D155" s="1014"/>
      <c r="E155" s="1015"/>
    </row>
    <row r="156" spans="1:5" x14ac:dyDescent="0.25">
      <c r="A156" s="1013"/>
      <c r="B156" s="1014"/>
      <c r="C156" s="1014"/>
      <c r="D156" s="1014"/>
      <c r="E156" s="1015"/>
    </row>
    <row r="157" spans="1:5" x14ac:dyDescent="0.25">
      <c r="A157" s="1013"/>
      <c r="B157" s="1014"/>
      <c r="C157" s="1014"/>
      <c r="D157" s="1014"/>
      <c r="E157" s="1015"/>
    </row>
    <row r="158" spans="1:5" x14ac:dyDescent="0.25">
      <c r="A158" s="1013"/>
      <c r="B158" s="1014"/>
      <c r="C158" s="1014"/>
      <c r="D158" s="1014"/>
      <c r="E158" s="1015"/>
    </row>
    <row r="159" spans="1:5" x14ac:dyDescent="0.25">
      <c r="A159" s="1013"/>
      <c r="B159" s="1014"/>
      <c r="C159" s="1014"/>
      <c r="D159" s="1014"/>
      <c r="E159" s="1015"/>
    </row>
    <row r="160" spans="1:5" x14ac:dyDescent="0.25">
      <c r="A160" s="1013"/>
      <c r="B160" s="1014"/>
      <c r="C160" s="1014"/>
      <c r="D160" s="1014"/>
      <c r="E160" s="1015"/>
    </row>
    <row r="161" spans="1:5" x14ac:dyDescent="0.25">
      <c r="A161" s="1013"/>
      <c r="B161" s="1014"/>
      <c r="C161" s="1014"/>
      <c r="D161" s="1014"/>
      <c r="E161" s="1015"/>
    </row>
    <row r="162" spans="1:5" x14ac:dyDescent="0.25">
      <c r="A162" s="1016"/>
      <c r="B162" s="1017"/>
      <c r="C162" s="1017"/>
      <c r="D162" s="1017"/>
      <c r="E162" s="1018"/>
    </row>
  </sheetData>
  <mergeCells count="55">
    <mergeCell ref="C139:D139"/>
    <mergeCell ref="C144:D144"/>
    <mergeCell ref="C145:D145"/>
    <mergeCell ref="A152:E162"/>
    <mergeCell ref="C148:D148"/>
    <mergeCell ref="C149:D149"/>
    <mergeCell ref="A150:D150"/>
    <mergeCell ref="A151:D151"/>
    <mergeCell ref="C146:D146"/>
    <mergeCell ref="C147:D147"/>
    <mergeCell ref="C141:D141"/>
    <mergeCell ref="C142:D142"/>
    <mergeCell ref="C143:D143"/>
    <mergeCell ref="A74:E95"/>
    <mergeCell ref="A96:E96"/>
    <mergeCell ref="A99:D99"/>
    <mergeCell ref="A100:D100"/>
    <mergeCell ref="C140:D140"/>
    <mergeCell ref="A134:D134"/>
    <mergeCell ref="A101:E101"/>
    <mergeCell ref="A102:E102"/>
    <mergeCell ref="A103:E124"/>
    <mergeCell ref="A125:E125"/>
    <mergeCell ref="A135:E135"/>
    <mergeCell ref="C136:D136"/>
    <mergeCell ref="C137:D137"/>
    <mergeCell ref="B97:D97"/>
    <mergeCell ref="B98:D98"/>
    <mergeCell ref="C138:D138"/>
    <mergeCell ref="A72:E72"/>
    <mergeCell ref="A73:E73"/>
    <mergeCell ref="A41:D41"/>
    <mergeCell ref="A42:E42"/>
    <mergeCell ref="A43:E43"/>
    <mergeCell ref="A44:E65"/>
    <mergeCell ref="A66:E66"/>
    <mergeCell ref="A36:D36"/>
    <mergeCell ref="A37:E37"/>
    <mergeCell ref="C38:D38"/>
    <mergeCell ref="A70:D70"/>
    <mergeCell ref="A71:D71"/>
    <mergeCell ref="C39:D39"/>
    <mergeCell ref="A40:D40"/>
    <mergeCell ref="C35:D35"/>
    <mergeCell ref="A1:E2"/>
    <mergeCell ref="A3:C3"/>
    <mergeCell ref="D3:D8"/>
    <mergeCell ref="A4:C8"/>
    <mergeCell ref="E4:E5"/>
    <mergeCell ref="E7:E8"/>
    <mergeCell ref="A9:E9"/>
    <mergeCell ref="A10:E10"/>
    <mergeCell ref="A11:E32"/>
    <mergeCell ref="A33:E33"/>
    <mergeCell ref="C34:D34"/>
  </mergeCells>
  <pageMargins left="0.7" right="0.7" top="0.75" bottom="0.75" header="0.3" footer="0.3"/>
  <pageSetup paperSize="9" scale="69" orientation="portrait" horizontalDpi="4294967293"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1BCE4-27E7-4F86-8125-2FB17EBDEFD0}">
  <sheetPr>
    <tabColor theme="1" tint="0.34998626667073579"/>
  </sheetPr>
  <dimension ref="A1:E219"/>
  <sheetViews>
    <sheetView view="pageBreakPreview" zoomScaleNormal="80" zoomScaleSheetLayoutView="100" workbookViewId="0">
      <selection activeCell="G33" sqref="G33"/>
    </sheetView>
  </sheetViews>
  <sheetFormatPr defaultRowHeight="15" x14ac:dyDescent="0.25"/>
  <cols>
    <col min="1" max="1" width="31.42578125" customWidth="1"/>
    <col min="2" max="2" width="18" customWidth="1"/>
    <col min="3" max="3" width="18.710937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1251</v>
      </c>
      <c r="B3" s="987"/>
      <c r="C3" s="988"/>
      <c r="D3" s="989"/>
      <c r="E3" s="228" t="s">
        <v>993</v>
      </c>
    </row>
    <row r="4" spans="1:5" ht="15" customHeight="1" x14ac:dyDescent="0.25">
      <c r="A4" s="992" t="s">
        <v>983</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1252</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1061" t="s">
        <v>1253</v>
      </c>
      <c r="B23" s="1061"/>
      <c r="C23" s="1061"/>
      <c r="D23" s="1061"/>
      <c r="E23" s="1061"/>
    </row>
    <row r="24" spans="1:5" x14ac:dyDescent="0.25">
      <c r="A24" s="319" t="s">
        <v>1087</v>
      </c>
      <c r="B24" s="333" t="s">
        <v>1155</v>
      </c>
      <c r="C24" s="967" t="s">
        <v>1089</v>
      </c>
      <c r="D24" s="968"/>
      <c r="E24" s="229" t="s">
        <v>1003</v>
      </c>
    </row>
    <row r="25" spans="1:5" x14ac:dyDescent="0.25">
      <c r="A25" s="334" t="s">
        <v>1157</v>
      </c>
      <c r="B25" s="331">
        <v>3.65</v>
      </c>
      <c r="C25" s="1059">
        <v>2.65</v>
      </c>
      <c r="D25" s="1060"/>
      <c r="E25" s="335">
        <f t="shared" ref="E25:E36" si="0">B25*C25</f>
        <v>9.6724999999999994</v>
      </c>
    </row>
    <row r="26" spans="1:5" x14ac:dyDescent="0.25">
      <c r="A26" s="334" t="s">
        <v>1157</v>
      </c>
      <c r="B26" s="331">
        <v>3.06</v>
      </c>
      <c r="C26" s="1059">
        <v>4.75</v>
      </c>
      <c r="D26" s="1060"/>
      <c r="E26" s="335">
        <f t="shared" si="0"/>
        <v>14.535</v>
      </c>
    </row>
    <row r="27" spans="1:5" x14ac:dyDescent="0.25">
      <c r="A27" s="334" t="s">
        <v>1094</v>
      </c>
      <c r="B27" s="331">
        <v>3.58</v>
      </c>
      <c r="C27" s="969">
        <v>1.1000000000000001</v>
      </c>
      <c r="D27" s="970"/>
      <c r="E27" s="232">
        <f t="shared" si="0"/>
        <v>3.9380000000000006</v>
      </c>
    </row>
    <row r="28" spans="1:5" x14ac:dyDescent="0.25">
      <c r="A28" s="334" t="s">
        <v>1094</v>
      </c>
      <c r="B28" s="331">
        <v>3.09</v>
      </c>
      <c r="C28" s="969">
        <v>4.75</v>
      </c>
      <c r="D28" s="970"/>
      <c r="E28" s="232">
        <f t="shared" si="0"/>
        <v>14.677499999999998</v>
      </c>
    </row>
    <row r="29" spans="1:5" x14ac:dyDescent="0.25">
      <c r="A29" s="334" t="s">
        <v>1097</v>
      </c>
      <c r="B29" s="331">
        <v>6.2649999999999997</v>
      </c>
      <c r="C29" s="969">
        <v>4.75</v>
      </c>
      <c r="D29" s="970"/>
      <c r="E29" s="232">
        <f t="shared" si="0"/>
        <v>29.758749999999999</v>
      </c>
    </row>
    <row r="30" spans="1:5" x14ac:dyDescent="0.25">
      <c r="A30" s="334" t="s">
        <v>1097</v>
      </c>
      <c r="B30" s="331">
        <v>3.09</v>
      </c>
      <c r="C30" s="969">
        <v>4.75</v>
      </c>
      <c r="D30" s="970"/>
      <c r="E30" s="232">
        <f t="shared" si="0"/>
        <v>14.677499999999998</v>
      </c>
    </row>
    <row r="31" spans="1:5" x14ac:dyDescent="0.25">
      <c r="A31" s="334" t="s">
        <v>1098</v>
      </c>
      <c r="B31" s="331">
        <v>1.8</v>
      </c>
      <c r="C31" s="969">
        <v>1.1000000000000001</v>
      </c>
      <c r="D31" s="970"/>
      <c r="E31" s="232">
        <f t="shared" si="0"/>
        <v>1.9800000000000002</v>
      </c>
    </row>
    <row r="32" spans="1:5" x14ac:dyDescent="0.25">
      <c r="A32" s="334" t="s">
        <v>1098</v>
      </c>
      <c r="B32" s="331">
        <v>1.2</v>
      </c>
      <c r="C32" s="969">
        <v>2.65</v>
      </c>
      <c r="D32" s="970"/>
      <c r="E32" s="232">
        <f t="shared" si="0"/>
        <v>3.1799999999999997</v>
      </c>
    </row>
    <row r="33" spans="1:5" x14ac:dyDescent="0.25">
      <c r="A33" s="334" t="s">
        <v>1100</v>
      </c>
      <c r="B33" s="331">
        <v>3.09</v>
      </c>
      <c r="C33" s="969">
        <v>4.75</v>
      </c>
      <c r="D33" s="970"/>
      <c r="E33" s="232">
        <f t="shared" si="0"/>
        <v>14.677499999999998</v>
      </c>
    </row>
    <row r="34" spans="1:5" x14ac:dyDescent="0.25">
      <c r="A34" s="334" t="s">
        <v>1100</v>
      </c>
      <c r="B34" s="331">
        <v>1.8</v>
      </c>
      <c r="C34" s="969">
        <v>1.1000000000000001</v>
      </c>
      <c r="D34" s="970"/>
      <c r="E34" s="232">
        <f t="shared" si="0"/>
        <v>1.9800000000000002</v>
      </c>
    </row>
    <row r="35" spans="1:5" x14ac:dyDescent="0.25">
      <c r="A35" s="334" t="s">
        <v>1100</v>
      </c>
      <c r="B35" s="331">
        <v>1.2649999999999999</v>
      </c>
      <c r="C35" s="969">
        <v>2.65</v>
      </c>
      <c r="D35" s="970"/>
      <c r="E35" s="232">
        <f t="shared" si="0"/>
        <v>3.3522499999999997</v>
      </c>
    </row>
    <row r="36" spans="1:5" x14ac:dyDescent="0.25">
      <c r="A36" s="334" t="s">
        <v>1100</v>
      </c>
      <c r="B36" s="331">
        <v>0.2</v>
      </c>
      <c r="C36" s="969">
        <v>4.75</v>
      </c>
      <c r="D36" s="970"/>
      <c r="E36" s="232">
        <f t="shared" si="0"/>
        <v>0.95000000000000007</v>
      </c>
    </row>
    <row r="37" spans="1:5" ht="15" customHeight="1" x14ac:dyDescent="0.25">
      <c r="A37" s="971" t="s">
        <v>1164</v>
      </c>
      <c r="B37" s="972"/>
      <c r="C37" s="972"/>
      <c r="D37" s="973"/>
      <c r="E37" s="238">
        <f>SUM(E25:E36)</f>
        <v>113.379</v>
      </c>
    </row>
    <row r="38" spans="1:5" ht="15" customHeight="1" x14ac:dyDescent="0.25">
      <c r="A38" s="1081"/>
      <c r="B38" s="1082"/>
      <c r="C38" s="1082"/>
      <c r="D38" s="1082"/>
      <c r="E38" s="1083"/>
    </row>
    <row r="39" spans="1:5" x14ac:dyDescent="0.25">
      <c r="A39" s="1061" t="s">
        <v>1165</v>
      </c>
      <c r="B39" s="1061"/>
      <c r="C39" s="1061"/>
      <c r="D39" s="1061"/>
      <c r="E39" s="1061"/>
    </row>
    <row r="40" spans="1:5" x14ac:dyDescent="0.25">
      <c r="A40" s="319" t="s">
        <v>734</v>
      </c>
      <c r="B40" s="333" t="s">
        <v>1166</v>
      </c>
      <c r="C40" s="967" t="s">
        <v>1089</v>
      </c>
      <c r="D40" s="968" t="s">
        <v>1091</v>
      </c>
      <c r="E40" s="229" t="s">
        <v>1003</v>
      </c>
    </row>
    <row r="41" spans="1:5" x14ac:dyDescent="0.25">
      <c r="A41" s="336" t="s">
        <v>1115</v>
      </c>
      <c r="B41" s="331">
        <v>0.8</v>
      </c>
      <c r="C41" s="1059">
        <v>2.1</v>
      </c>
      <c r="D41" s="1060"/>
      <c r="E41" s="335">
        <v>0</v>
      </c>
    </row>
    <row r="42" spans="1:5" x14ac:dyDescent="0.25">
      <c r="A42" s="336" t="s">
        <v>1115</v>
      </c>
      <c r="B42" s="331">
        <v>0.8</v>
      </c>
      <c r="C42" s="1059">
        <v>2.1</v>
      </c>
      <c r="D42" s="1060"/>
      <c r="E42" s="335">
        <v>0</v>
      </c>
    </row>
    <row r="43" spans="1:5" x14ac:dyDescent="0.25">
      <c r="A43" s="336" t="s">
        <v>1116</v>
      </c>
      <c r="B43" s="331">
        <v>1.6</v>
      </c>
      <c r="C43" s="969">
        <v>2.1</v>
      </c>
      <c r="D43" s="970"/>
      <c r="E43" s="335">
        <f>B43*C43</f>
        <v>3.3600000000000003</v>
      </c>
    </row>
    <row r="44" spans="1:5" x14ac:dyDescent="0.25">
      <c r="A44" s="336" t="s">
        <v>1115</v>
      </c>
      <c r="B44" s="331">
        <v>0.8</v>
      </c>
      <c r="C44" s="1059">
        <v>2.1</v>
      </c>
      <c r="D44" s="1060"/>
      <c r="E44" s="335">
        <v>0</v>
      </c>
    </row>
    <row r="45" spans="1:5" x14ac:dyDescent="0.25">
      <c r="A45" s="336" t="s">
        <v>1115</v>
      </c>
      <c r="B45" s="331">
        <v>0.8</v>
      </c>
      <c r="C45" s="1059">
        <v>2.1</v>
      </c>
      <c r="D45" s="1060"/>
      <c r="E45" s="335">
        <v>0</v>
      </c>
    </row>
    <row r="46" spans="1:5" x14ac:dyDescent="0.25">
      <c r="A46" s="971" t="s">
        <v>1164</v>
      </c>
      <c r="B46" s="972"/>
      <c r="C46" s="972"/>
      <c r="D46" s="973"/>
      <c r="E46" s="317">
        <f>SUM(E41:E45)</f>
        <v>3.3600000000000003</v>
      </c>
    </row>
    <row r="47" spans="1:5" x14ac:dyDescent="0.25">
      <c r="A47" s="995" t="s">
        <v>285</v>
      </c>
      <c r="B47" s="996"/>
      <c r="C47" s="996"/>
      <c r="D47" s="997"/>
      <c r="E47" s="233">
        <f>SUM(E37-E46)</f>
        <v>110.01900000000001</v>
      </c>
    </row>
    <row r="48" spans="1:5" x14ac:dyDescent="0.25">
      <c r="A48" s="974" t="s">
        <v>1254</v>
      </c>
      <c r="B48" s="975"/>
      <c r="C48" s="975"/>
      <c r="D48" s="976"/>
      <c r="E48" s="977"/>
    </row>
    <row r="49" spans="1:5" x14ac:dyDescent="0.25">
      <c r="A49" s="978" t="s">
        <v>997</v>
      </c>
      <c r="B49" s="978"/>
      <c r="C49" s="978"/>
      <c r="D49" s="978"/>
      <c r="E49" s="978"/>
    </row>
    <row r="50" spans="1:5" x14ac:dyDescent="0.25">
      <c r="A50" s="979"/>
      <c r="B50" s="979"/>
      <c r="C50" s="979"/>
      <c r="D50" s="979"/>
      <c r="E50" s="979"/>
    </row>
    <row r="51" spans="1:5" x14ac:dyDescent="0.25">
      <c r="A51" s="979"/>
      <c r="B51" s="979"/>
      <c r="C51" s="979"/>
      <c r="D51" s="979"/>
      <c r="E51" s="979"/>
    </row>
    <row r="52" spans="1:5" x14ac:dyDescent="0.25">
      <c r="A52" s="979"/>
      <c r="B52" s="979"/>
      <c r="C52" s="979"/>
      <c r="D52" s="979"/>
      <c r="E52" s="979"/>
    </row>
    <row r="53" spans="1:5" x14ac:dyDescent="0.25">
      <c r="A53" s="979"/>
      <c r="B53" s="979"/>
      <c r="C53" s="979"/>
      <c r="D53" s="979"/>
      <c r="E53" s="979"/>
    </row>
    <row r="54" spans="1:5" x14ac:dyDescent="0.25">
      <c r="A54" s="979"/>
      <c r="B54" s="979"/>
      <c r="C54" s="979"/>
      <c r="D54" s="979"/>
      <c r="E54" s="979"/>
    </row>
    <row r="55" spans="1:5" x14ac:dyDescent="0.25">
      <c r="A55" s="979"/>
      <c r="B55" s="979"/>
      <c r="C55" s="979"/>
      <c r="D55" s="979"/>
      <c r="E55" s="979"/>
    </row>
    <row r="56" spans="1:5" x14ac:dyDescent="0.25">
      <c r="A56" s="979"/>
      <c r="B56" s="979"/>
      <c r="C56" s="979"/>
      <c r="D56" s="979"/>
      <c r="E56" s="979"/>
    </row>
    <row r="57" spans="1:5" x14ac:dyDescent="0.25">
      <c r="A57" s="979"/>
      <c r="B57" s="979"/>
      <c r="C57" s="979"/>
      <c r="D57" s="979"/>
      <c r="E57" s="979"/>
    </row>
    <row r="58" spans="1:5" x14ac:dyDescent="0.25">
      <c r="A58" s="979"/>
      <c r="B58" s="979"/>
      <c r="C58" s="979"/>
      <c r="D58" s="979"/>
      <c r="E58" s="979"/>
    </row>
    <row r="59" spans="1:5" x14ac:dyDescent="0.25">
      <c r="A59" s="979"/>
      <c r="B59" s="979"/>
      <c r="C59" s="979"/>
      <c r="D59" s="979"/>
      <c r="E59" s="979"/>
    </row>
    <row r="60" spans="1:5" x14ac:dyDescent="0.25">
      <c r="A60" s="979"/>
      <c r="B60" s="979"/>
      <c r="C60" s="979"/>
      <c r="D60" s="979"/>
      <c r="E60" s="979"/>
    </row>
    <row r="61" spans="1:5" x14ac:dyDescent="0.25">
      <c r="A61" s="979"/>
      <c r="B61" s="979"/>
      <c r="C61" s="979"/>
      <c r="D61" s="979"/>
      <c r="E61" s="979"/>
    </row>
    <row r="62" spans="1:5" x14ac:dyDescent="0.25">
      <c r="A62" s="979"/>
      <c r="B62" s="979"/>
      <c r="C62" s="979"/>
      <c r="D62" s="979"/>
      <c r="E62" s="979"/>
    </row>
    <row r="63" spans="1:5" x14ac:dyDescent="0.25">
      <c r="A63" s="979"/>
      <c r="B63" s="979"/>
      <c r="C63" s="979"/>
      <c r="D63" s="979"/>
      <c r="E63" s="979"/>
    </row>
    <row r="64" spans="1:5" x14ac:dyDescent="0.25">
      <c r="A64" s="979"/>
      <c r="B64" s="979"/>
      <c r="C64" s="979"/>
      <c r="D64" s="979"/>
      <c r="E64" s="979"/>
    </row>
    <row r="65" spans="1:5" x14ac:dyDescent="0.25">
      <c r="A65" s="979"/>
      <c r="B65" s="979"/>
      <c r="C65" s="979"/>
      <c r="D65" s="979"/>
      <c r="E65" s="979"/>
    </row>
    <row r="66" spans="1:5" x14ac:dyDescent="0.25">
      <c r="A66" s="979"/>
      <c r="B66" s="979"/>
      <c r="C66" s="979"/>
      <c r="D66" s="979"/>
      <c r="E66" s="979"/>
    </row>
    <row r="67" spans="1:5" x14ac:dyDescent="0.25">
      <c r="A67" s="979"/>
      <c r="B67" s="979"/>
      <c r="C67" s="979"/>
      <c r="D67" s="979"/>
      <c r="E67" s="979"/>
    </row>
    <row r="68" spans="1:5" x14ac:dyDescent="0.25">
      <c r="A68" s="979"/>
      <c r="B68" s="979"/>
      <c r="C68" s="979"/>
      <c r="D68" s="979"/>
      <c r="E68" s="979"/>
    </row>
    <row r="69" spans="1:5" x14ac:dyDescent="0.25">
      <c r="A69" s="979"/>
      <c r="B69" s="979"/>
      <c r="C69" s="979"/>
      <c r="D69" s="979"/>
      <c r="E69" s="979"/>
    </row>
    <row r="70" spans="1:5" x14ac:dyDescent="0.25">
      <c r="A70" s="979"/>
      <c r="B70" s="979"/>
      <c r="C70" s="979"/>
      <c r="D70" s="979"/>
      <c r="E70" s="979"/>
    </row>
    <row r="71" spans="1:5" x14ac:dyDescent="0.25">
      <c r="A71" s="979"/>
      <c r="B71" s="979"/>
      <c r="C71" s="979"/>
      <c r="D71" s="979"/>
      <c r="E71" s="979"/>
    </row>
    <row r="72" spans="1:5" x14ac:dyDescent="0.25">
      <c r="A72" s="1061" t="s">
        <v>1255</v>
      </c>
      <c r="B72" s="1061"/>
      <c r="C72" s="1061"/>
      <c r="D72" s="1061"/>
      <c r="E72" s="1061"/>
    </row>
    <row r="73" spans="1:5" x14ac:dyDescent="0.25">
      <c r="A73" s="319" t="s">
        <v>1087</v>
      </c>
      <c r="B73" s="1062" t="s">
        <v>1155</v>
      </c>
      <c r="C73" s="1063"/>
      <c r="D73" s="337" t="s">
        <v>1089</v>
      </c>
      <c r="E73" s="229" t="s">
        <v>1003</v>
      </c>
    </row>
    <row r="74" spans="1:5" x14ac:dyDescent="0.25">
      <c r="A74" s="334" t="s">
        <v>1101</v>
      </c>
      <c r="B74" s="1064">
        <v>1.73</v>
      </c>
      <c r="C74" s="1088"/>
      <c r="D74" s="338">
        <v>2.8</v>
      </c>
      <c r="E74" s="335">
        <f>B74+D74</f>
        <v>4.5299999999999994</v>
      </c>
    </row>
    <row r="75" spans="1:5" x14ac:dyDescent="0.25">
      <c r="A75" s="334" t="s">
        <v>1120</v>
      </c>
      <c r="B75" s="1064">
        <v>1.9159999999999999</v>
      </c>
      <c r="C75" s="1088"/>
      <c r="D75" s="338">
        <v>2.8</v>
      </c>
      <c r="E75" s="335">
        <f t="shared" ref="E75:E77" si="1">B75+D75</f>
        <v>4.7159999999999993</v>
      </c>
    </row>
    <row r="76" spans="1:5" x14ac:dyDescent="0.25">
      <c r="A76" s="334" t="s">
        <v>1105</v>
      </c>
      <c r="B76" s="1064">
        <v>1.6</v>
      </c>
      <c r="C76" s="1088"/>
      <c r="D76" s="338">
        <v>2.8</v>
      </c>
      <c r="E76" s="335">
        <f t="shared" si="1"/>
        <v>4.4000000000000004</v>
      </c>
    </row>
    <row r="77" spans="1:5" x14ac:dyDescent="0.25">
      <c r="A77" s="334" t="s">
        <v>1110</v>
      </c>
      <c r="B77" s="1064">
        <v>1.74</v>
      </c>
      <c r="C77" s="1088"/>
      <c r="D77" s="338">
        <v>2.8</v>
      </c>
      <c r="E77" s="335">
        <f t="shared" si="1"/>
        <v>4.54</v>
      </c>
    </row>
    <row r="78" spans="1:5" x14ac:dyDescent="0.25">
      <c r="A78" s="971" t="s">
        <v>1164</v>
      </c>
      <c r="B78" s="972"/>
      <c r="C78" s="972"/>
      <c r="D78" s="973"/>
      <c r="E78" s="238">
        <f>SUM(E74:E77)</f>
        <v>18.186</v>
      </c>
    </row>
    <row r="79" spans="1:5" x14ac:dyDescent="0.25">
      <c r="A79" s="1081"/>
      <c r="B79" s="1082"/>
      <c r="C79" s="1082"/>
      <c r="D79" s="1082"/>
      <c r="E79" s="1083"/>
    </row>
    <row r="80" spans="1:5" x14ac:dyDescent="0.25">
      <c r="A80" s="1061" t="s">
        <v>1165</v>
      </c>
      <c r="B80" s="1061"/>
      <c r="C80" s="1061"/>
      <c r="D80" s="1061"/>
      <c r="E80" s="1061"/>
    </row>
    <row r="81" spans="1:5" x14ac:dyDescent="0.25">
      <c r="A81" s="319" t="s">
        <v>734</v>
      </c>
      <c r="B81" s="333" t="s">
        <v>1166</v>
      </c>
      <c r="C81" s="967" t="s">
        <v>1089</v>
      </c>
      <c r="D81" s="968" t="s">
        <v>1091</v>
      </c>
      <c r="E81" s="229" t="s">
        <v>1003</v>
      </c>
    </row>
    <row r="82" spans="1:5" x14ac:dyDescent="0.25">
      <c r="A82" s="336" t="s">
        <v>1256</v>
      </c>
      <c r="B82" s="331">
        <v>2.2000000000000002</v>
      </c>
      <c r="C82" s="1059">
        <v>0.5</v>
      </c>
      <c r="D82" s="1060"/>
      <c r="E82" s="335">
        <v>0</v>
      </c>
    </row>
    <row r="83" spans="1:5" x14ac:dyDescent="0.25">
      <c r="A83" s="336" t="s">
        <v>1121</v>
      </c>
      <c r="B83" s="331">
        <v>1.2</v>
      </c>
      <c r="C83" s="1059">
        <v>2.1</v>
      </c>
      <c r="D83" s="1060"/>
      <c r="E83" s="335">
        <f t="shared" ref="E83:E85" si="2">B83*C83</f>
        <v>2.52</v>
      </c>
    </row>
    <row r="84" spans="1:5" x14ac:dyDescent="0.25">
      <c r="A84" s="336" t="s">
        <v>1106</v>
      </c>
      <c r="B84" s="331">
        <v>1.6</v>
      </c>
      <c r="C84" s="969">
        <v>0.5</v>
      </c>
      <c r="D84" s="970"/>
      <c r="E84" s="335">
        <v>0</v>
      </c>
    </row>
    <row r="85" spans="1:5" x14ac:dyDescent="0.25">
      <c r="A85" s="336" t="s">
        <v>1121</v>
      </c>
      <c r="B85" s="331">
        <v>1.2</v>
      </c>
      <c r="C85" s="1059">
        <v>2.1</v>
      </c>
      <c r="D85" s="1060"/>
      <c r="E85" s="335">
        <f t="shared" si="2"/>
        <v>2.52</v>
      </c>
    </row>
    <row r="86" spans="1:5" x14ac:dyDescent="0.25">
      <c r="A86" s="336" t="s">
        <v>1256</v>
      </c>
      <c r="B86" s="331">
        <v>2.2000000000000002</v>
      </c>
      <c r="C86" s="1059">
        <v>0.5</v>
      </c>
      <c r="D86" s="1060"/>
      <c r="E86" s="335">
        <v>0</v>
      </c>
    </row>
    <row r="87" spans="1:5" x14ac:dyDescent="0.25">
      <c r="A87" s="971" t="s">
        <v>1164</v>
      </c>
      <c r="B87" s="972"/>
      <c r="C87" s="972"/>
      <c r="D87" s="973"/>
      <c r="E87" s="317">
        <f>SUM(E82:E86)</f>
        <v>5.04</v>
      </c>
    </row>
    <row r="88" spans="1:5" x14ac:dyDescent="0.25">
      <c r="A88" s="995" t="s">
        <v>285</v>
      </c>
      <c r="B88" s="996"/>
      <c r="C88" s="996"/>
      <c r="D88" s="997"/>
      <c r="E88" s="233">
        <f>SUM(E78-E87)</f>
        <v>13.146000000000001</v>
      </c>
    </row>
    <row r="89" spans="1:5" x14ac:dyDescent="0.25">
      <c r="A89" s="974" t="s">
        <v>1257</v>
      </c>
      <c r="B89" s="975"/>
      <c r="C89" s="975"/>
      <c r="D89" s="976"/>
      <c r="E89" s="977"/>
    </row>
    <row r="90" spans="1:5" x14ac:dyDescent="0.25">
      <c r="A90" s="978" t="s">
        <v>997</v>
      </c>
      <c r="B90" s="978"/>
      <c r="C90" s="978"/>
      <c r="D90" s="978"/>
      <c r="E90" s="978"/>
    </row>
    <row r="91" spans="1:5" x14ac:dyDescent="0.25">
      <c r="A91" s="979"/>
      <c r="B91" s="979"/>
      <c r="C91" s="979"/>
      <c r="D91" s="979"/>
      <c r="E91" s="979"/>
    </row>
    <row r="92" spans="1:5" x14ac:dyDescent="0.25">
      <c r="A92" s="979"/>
      <c r="B92" s="979"/>
      <c r="C92" s="979"/>
      <c r="D92" s="979"/>
      <c r="E92" s="979"/>
    </row>
    <row r="93" spans="1:5" x14ac:dyDescent="0.25">
      <c r="A93" s="979"/>
      <c r="B93" s="979"/>
      <c r="C93" s="979"/>
      <c r="D93" s="979"/>
      <c r="E93" s="979"/>
    </row>
    <row r="94" spans="1:5" x14ac:dyDescent="0.25">
      <c r="A94" s="979"/>
      <c r="B94" s="979"/>
      <c r="C94" s="979"/>
      <c r="D94" s="979"/>
      <c r="E94" s="979"/>
    </row>
    <row r="95" spans="1:5" x14ac:dyDescent="0.25">
      <c r="A95" s="979"/>
      <c r="B95" s="979"/>
      <c r="C95" s="979"/>
      <c r="D95" s="979"/>
      <c r="E95" s="979"/>
    </row>
    <row r="96" spans="1:5" x14ac:dyDescent="0.25">
      <c r="A96" s="979"/>
      <c r="B96" s="979"/>
      <c r="C96" s="979"/>
      <c r="D96" s="979"/>
      <c r="E96" s="979"/>
    </row>
    <row r="97" spans="1:5" x14ac:dyDescent="0.25">
      <c r="A97" s="979"/>
      <c r="B97" s="979"/>
      <c r="C97" s="979"/>
      <c r="D97" s="979"/>
      <c r="E97" s="979"/>
    </row>
    <row r="98" spans="1:5" x14ac:dyDescent="0.25">
      <c r="A98" s="979"/>
      <c r="B98" s="979"/>
      <c r="C98" s="979"/>
      <c r="D98" s="979"/>
      <c r="E98" s="979"/>
    </row>
    <row r="99" spans="1:5" x14ac:dyDescent="0.25">
      <c r="A99" s="979"/>
      <c r="B99" s="979"/>
      <c r="C99" s="979"/>
      <c r="D99" s="979"/>
      <c r="E99" s="979"/>
    </row>
    <row r="100" spans="1:5" x14ac:dyDescent="0.25">
      <c r="A100" s="979"/>
      <c r="B100" s="979"/>
      <c r="C100" s="979"/>
      <c r="D100" s="979"/>
      <c r="E100" s="979"/>
    </row>
    <row r="101" spans="1:5" x14ac:dyDescent="0.25">
      <c r="A101" s="979"/>
      <c r="B101" s="979"/>
      <c r="C101" s="979"/>
      <c r="D101" s="979"/>
      <c r="E101" s="979"/>
    </row>
    <row r="102" spans="1:5" x14ac:dyDescent="0.25">
      <c r="A102" s="979"/>
      <c r="B102" s="979"/>
      <c r="C102" s="979"/>
      <c r="D102" s="979"/>
      <c r="E102" s="979"/>
    </row>
    <row r="103" spans="1:5" x14ac:dyDescent="0.25">
      <c r="A103" s="979"/>
      <c r="B103" s="979"/>
      <c r="C103" s="979"/>
      <c r="D103" s="979"/>
      <c r="E103" s="979"/>
    </row>
    <row r="104" spans="1:5" x14ac:dyDescent="0.25">
      <c r="A104" s="979"/>
      <c r="B104" s="979"/>
      <c r="C104" s="979"/>
      <c r="D104" s="979"/>
      <c r="E104" s="979"/>
    </row>
    <row r="105" spans="1:5" x14ac:dyDescent="0.25">
      <c r="A105" s="979"/>
      <c r="B105" s="979"/>
      <c r="C105" s="979"/>
      <c r="D105" s="979"/>
      <c r="E105" s="979"/>
    </row>
    <row r="106" spans="1:5" x14ac:dyDescent="0.25">
      <c r="A106" s="979"/>
      <c r="B106" s="979"/>
      <c r="C106" s="979"/>
      <c r="D106" s="979"/>
      <c r="E106" s="979"/>
    </row>
    <row r="107" spans="1:5" x14ac:dyDescent="0.25">
      <c r="A107" s="979"/>
      <c r="B107" s="979"/>
      <c r="C107" s="979"/>
      <c r="D107" s="979"/>
      <c r="E107" s="979"/>
    </row>
    <row r="108" spans="1:5" x14ac:dyDescent="0.25">
      <c r="A108" s="979"/>
      <c r="B108" s="979"/>
      <c r="C108" s="979"/>
      <c r="D108" s="979"/>
      <c r="E108" s="979"/>
    </row>
    <row r="109" spans="1:5" x14ac:dyDescent="0.25">
      <c r="A109" s="979"/>
      <c r="B109" s="979"/>
      <c r="C109" s="979"/>
      <c r="D109" s="979"/>
      <c r="E109" s="979"/>
    </row>
    <row r="110" spans="1:5" x14ac:dyDescent="0.25">
      <c r="A110" s="979"/>
      <c r="B110" s="979"/>
      <c r="C110" s="979"/>
      <c r="D110" s="979"/>
      <c r="E110" s="979"/>
    </row>
    <row r="111" spans="1:5" x14ac:dyDescent="0.25">
      <c r="A111" s="979"/>
      <c r="B111" s="979"/>
      <c r="C111" s="979"/>
      <c r="D111" s="979"/>
      <c r="E111" s="979"/>
    </row>
    <row r="112" spans="1:5" x14ac:dyDescent="0.25">
      <c r="A112" s="979"/>
      <c r="B112" s="979"/>
      <c r="C112" s="979"/>
      <c r="D112" s="979"/>
      <c r="E112" s="979"/>
    </row>
    <row r="113" spans="1:5" x14ac:dyDescent="0.25">
      <c r="A113" s="1061" t="s">
        <v>1258</v>
      </c>
      <c r="B113" s="1061"/>
      <c r="C113" s="1061"/>
      <c r="D113" s="1061"/>
      <c r="E113" s="1061"/>
    </row>
    <row r="114" spans="1:5" x14ac:dyDescent="0.25">
      <c r="A114" s="319" t="s">
        <v>1087</v>
      </c>
      <c r="B114" s="1062" t="s">
        <v>1155</v>
      </c>
      <c r="C114" s="1063"/>
      <c r="D114" s="337" t="s">
        <v>1089</v>
      </c>
      <c r="E114" s="229" t="s">
        <v>1003</v>
      </c>
    </row>
    <row r="115" spans="1:5" x14ac:dyDescent="0.25">
      <c r="A115" s="334" t="s">
        <v>1110</v>
      </c>
      <c r="B115" s="1064">
        <v>0.85</v>
      </c>
      <c r="C115" s="1088"/>
      <c r="D115" s="338">
        <v>2.8</v>
      </c>
      <c r="E115" s="335">
        <f>B115*D115</f>
        <v>2.38</v>
      </c>
    </row>
    <row r="116" spans="1:5" x14ac:dyDescent="0.25">
      <c r="A116" s="334" t="s">
        <v>1111</v>
      </c>
      <c r="B116" s="1064">
        <v>0.85</v>
      </c>
      <c r="C116" s="1088"/>
      <c r="D116" s="338">
        <v>2.8</v>
      </c>
      <c r="E116" s="335">
        <f>B116*D116</f>
        <v>2.38</v>
      </c>
    </row>
    <row r="117" spans="1:5" x14ac:dyDescent="0.25">
      <c r="A117" s="334" t="s">
        <v>1111</v>
      </c>
      <c r="B117" s="1064">
        <v>0.81</v>
      </c>
      <c r="C117" s="1088"/>
      <c r="D117" s="338">
        <v>2.8</v>
      </c>
      <c r="E117" s="335">
        <f t="shared" ref="E117:E121" si="3">B117*D117</f>
        <v>2.2679999999999998</v>
      </c>
    </row>
    <row r="118" spans="1:5" x14ac:dyDescent="0.25">
      <c r="A118" s="334" t="s">
        <v>1107</v>
      </c>
      <c r="B118" s="1064">
        <v>0.83</v>
      </c>
      <c r="C118" s="1088"/>
      <c r="D118" s="338">
        <v>2.8</v>
      </c>
      <c r="E118" s="335">
        <f t="shared" si="3"/>
        <v>2.3239999999999998</v>
      </c>
    </row>
    <row r="119" spans="1:5" x14ac:dyDescent="0.25">
      <c r="A119" s="334" t="s">
        <v>1123</v>
      </c>
      <c r="B119" s="1064">
        <v>1.411</v>
      </c>
      <c r="C119" s="1088"/>
      <c r="D119" s="338">
        <v>2.8</v>
      </c>
      <c r="E119" s="335">
        <f t="shared" si="3"/>
        <v>3.9507999999999996</v>
      </c>
    </row>
    <row r="120" spans="1:5" x14ac:dyDescent="0.25">
      <c r="A120" s="334" t="s">
        <v>1103</v>
      </c>
      <c r="B120" s="1064">
        <v>3.68</v>
      </c>
      <c r="C120" s="1088"/>
      <c r="D120" s="338">
        <v>1.1000000000000001</v>
      </c>
      <c r="E120" s="335">
        <f t="shared" si="3"/>
        <v>4.0480000000000009</v>
      </c>
    </row>
    <row r="121" spans="1:5" x14ac:dyDescent="0.25">
      <c r="A121" s="334" t="s">
        <v>1157</v>
      </c>
      <c r="B121" s="1064">
        <v>0.74</v>
      </c>
      <c r="C121" s="1088"/>
      <c r="D121" s="338">
        <v>2.8</v>
      </c>
      <c r="E121" s="335">
        <f t="shared" si="3"/>
        <v>2.0720000000000001</v>
      </c>
    </row>
    <row r="122" spans="1:5" x14ac:dyDescent="0.25">
      <c r="A122" s="971" t="s">
        <v>1164</v>
      </c>
      <c r="B122" s="972"/>
      <c r="C122" s="972"/>
      <c r="D122" s="973"/>
      <c r="E122" s="238">
        <f>SUM(E115:E121)</f>
        <v>19.422799999999999</v>
      </c>
    </row>
    <row r="123" spans="1:5" x14ac:dyDescent="0.25">
      <c r="A123" s="1061" t="s">
        <v>1165</v>
      </c>
      <c r="B123" s="1061"/>
      <c r="C123" s="1061"/>
      <c r="D123" s="1061"/>
      <c r="E123" s="1061"/>
    </row>
    <row r="124" spans="1:5" x14ac:dyDescent="0.25">
      <c r="A124" s="319" t="s">
        <v>734</v>
      </c>
      <c r="B124" s="333" t="s">
        <v>1166</v>
      </c>
      <c r="C124" s="967" t="s">
        <v>1089</v>
      </c>
      <c r="D124" s="968" t="s">
        <v>1091</v>
      </c>
      <c r="E124" s="229" t="s">
        <v>1003</v>
      </c>
    </row>
    <row r="125" spans="1:5" x14ac:dyDescent="0.25">
      <c r="A125" s="336" t="s">
        <v>1259</v>
      </c>
      <c r="B125" s="331">
        <v>2.2000000000000002</v>
      </c>
      <c r="C125" s="1059">
        <v>0.5</v>
      </c>
      <c r="D125" s="1060"/>
      <c r="E125" s="335">
        <v>0</v>
      </c>
    </row>
    <row r="126" spans="1:5" x14ac:dyDescent="0.25">
      <c r="A126" s="336" t="s">
        <v>1259</v>
      </c>
      <c r="B126" s="331">
        <v>2.2000000000000002</v>
      </c>
      <c r="C126" s="1059">
        <v>0.5</v>
      </c>
      <c r="D126" s="1060"/>
      <c r="E126" s="335">
        <v>0</v>
      </c>
    </row>
    <row r="127" spans="1:5" x14ac:dyDescent="0.25">
      <c r="A127" s="971" t="s">
        <v>1164</v>
      </c>
      <c r="B127" s="972"/>
      <c r="C127" s="972"/>
      <c r="D127" s="973"/>
      <c r="E127" s="317">
        <f>SUM(E125:E126)</f>
        <v>0</v>
      </c>
    </row>
    <row r="128" spans="1:5" x14ac:dyDescent="0.25">
      <c r="A128" s="995" t="s">
        <v>285</v>
      </c>
      <c r="B128" s="996"/>
      <c r="C128" s="996"/>
      <c r="D128" s="997"/>
      <c r="E128" s="233">
        <f>SUM(E122-E127)</f>
        <v>19.422799999999999</v>
      </c>
    </row>
    <row r="129" spans="1:5" ht="14.45" customHeight="1" x14ac:dyDescent="0.25">
      <c r="A129" s="974" t="s">
        <v>1260</v>
      </c>
      <c r="B129" s="975"/>
      <c r="C129" s="975"/>
      <c r="D129" s="976"/>
      <c r="E129" s="977"/>
    </row>
    <row r="130" spans="1:5" x14ac:dyDescent="0.25">
      <c r="A130" s="978" t="s">
        <v>997</v>
      </c>
      <c r="B130" s="978"/>
      <c r="C130" s="978"/>
      <c r="D130" s="978"/>
      <c r="E130" s="978"/>
    </row>
    <row r="131" spans="1:5" x14ac:dyDescent="0.25">
      <c r="A131" s="979"/>
      <c r="B131" s="979"/>
      <c r="C131" s="979"/>
      <c r="D131" s="979"/>
      <c r="E131" s="979"/>
    </row>
    <row r="132" spans="1:5" x14ac:dyDescent="0.25">
      <c r="A132" s="979"/>
      <c r="B132" s="979"/>
      <c r="C132" s="979"/>
      <c r="D132" s="979"/>
      <c r="E132" s="979"/>
    </row>
    <row r="133" spans="1:5" x14ac:dyDescent="0.25">
      <c r="A133" s="979"/>
      <c r="B133" s="979"/>
      <c r="C133" s="979"/>
      <c r="D133" s="979"/>
      <c r="E133" s="979"/>
    </row>
    <row r="134" spans="1:5" x14ac:dyDescent="0.25">
      <c r="A134" s="979"/>
      <c r="B134" s="979"/>
      <c r="C134" s="979"/>
      <c r="D134" s="979"/>
      <c r="E134" s="979"/>
    </row>
    <row r="135" spans="1:5" x14ac:dyDescent="0.25">
      <c r="A135" s="979"/>
      <c r="B135" s="979"/>
      <c r="C135" s="979"/>
      <c r="D135" s="979"/>
      <c r="E135" s="979"/>
    </row>
    <row r="136" spans="1:5" x14ac:dyDescent="0.25">
      <c r="A136" s="979"/>
      <c r="B136" s="979"/>
      <c r="C136" s="979"/>
      <c r="D136" s="979"/>
      <c r="E136" s="979"/>
    </row>
    <row r="137" spans="1:5" x14ac:dyDescent="0.25">
      <c r="A137" s="979"/>
      <c r="B137" s="979"/>
      <c r="C137" s="979"/>
      <c r="D137" s="979"/>
      <c r="E137" s="979"/>
    </row>
    <row r="138" spans="1:5" x14ac:dyDescent="0.25">
      <c r="A138" s="979"/>
      <c r="B138" s="979"/>
      <c r="C138" s="979"/>
      <c r="D138" s="979"/>
      <c r="E138" s="979"/>
    </row>
    <row r="139" spans="1:5" x14ac:dyDescent="0.25">
      <c r="A139" s="979"/>
      <c r="B139" s="979"/>
      <c r="C139" s="979"/>
      <c r="D139" s="979"/>
      <c r="E139" s="979"/>
    </row>
    <row r="140" spans="1:5" x14ac:dyDescent="0.25">
      <c r="A140" s="979"/>
      <c r="B140" s="979"/>
      <c r="C140" s="979"/>
      <c r="D140" s="979"/>
      <c r="E140" s="979"/>
    </row>
    <row r="141" spans="1:5" x14ac:dyDescent="0.25">
      <c r="A141" s="979"/>
      <c r="B141" s="979"/>
      <c r="C141" s="979"/>
      <c r="D141" s="979"/>
      <c r="E141" s="979"/>
    </row>
    <row r="142" spans="1:5" x14ac:dyDescent="0.25">
      <c r="A142" s="979"/>
      <c r="B142" s="979"/>
      <c r="C142" s="979"/>
      <c r="D142" s="979"/>
      <c r="E142" s="979"/>
    </row>
    <row r="143" spans="1:5" x14ac:dyDescent="0.25">
      <c r="A143" s="979"/>
      <c r="B143" s="979"/>
      <c r="C143" s="979"/>
      <c r="D143" s="979"/>
      <c r="E143" s="979"/>
    </row>
    <row r="144" spans="1:5" x14ac:dyDescent="0.25">
      <c r="A144" s="979"/>
      <c r="B144" s="979"/>
      <c r="C144" s="979"/>
      <c r="D144" s="979"/>
      <c r="E144" s="979"/>
    </row>
    <row r="145" spans="1:5" x14ac:dyDescent="0.25">
      <c r="A145" s="979"/>
      <c r="B145" s="979"/>
      <c r="C145" s="979"/>
      <c r="D145" s="979"/>
      <c r="E145" s="979"/>
    </row>
    <row r="146" spans="1:5" x14ac:dyDescent="0.25">
      <c r="A146" s="979"/>
      <c r="B146" s="979"/>
      <c r="C146" s="979"/>
      <c r="D146" s="979"/>
      <c r="E146" s="979"/>
    </row>
    <row r="147" spans="1:5" x14ac:dyDescent="0.25">
      <c r="A147" s="979"/>
      <c r="B147" s="979"/>
      <c r="C147" s="979"/>
      <c r="D147" s="979"/>
      <c r="E147" s="979"/>
    </row>
    <row r="148" spans="1:5" x14ac:dyDescent="0.25">
      <c r="A148" s="979"/>
      <c r="B148" s="979"/>
      <c r="C148" s="979"/>
      <c r="D148" s="979"/>
      <c r="E148" s="979"/>
    </row>
    <row r="149" spans="1:5" x14ac:dyDescent="0.25">
      <c r="A149" s="979"/>
      <c r="B149" s="979"/>
      <c r="C149" s="979"/>
      <c r="D149" s="979"/>
      <c r="E149" s="979"/>
    </row>
    <row r="150" spans="1:5" x14ac:dyDescent="0.25">
      <c r="A150" s="979"/>
      <c r="B150" s="979"/>
      <c r="C150" s="979"/>
      <c r="D150" s="979"/>
      <c r="E150" s="979"/>
    </row>
    <row r="151" spans="1:5" x14ac:dyDescent="0.25">
      <c r="A151" s="979"/>
      <c r="B151" s="979"/>
      <c r="C151" s="979"/>
      <c r="D151" s="979"/>
      <c r="E151" s="979"/>
    </row>
    <row r="152" spans="1:5" x14ac:dyDescent="0.25">
      <c r="A152" s="979"/>
      <c r="B152" s="979"/>
      <c r="C152" s="979"/>
      <c r="D152" s="979"/>
      <c r="E152" s="979"/>
    </row>
    <row r="153" spans="1:5" x14ac:dyDescent="0.25">
      <c r="A153" s="1061" t="s">
        <v>1261</v>
      </c>
      <c r="B153" s="1061"/>
      <c r="C153" s="1061"/>
      <c r="D153" s="1061"/>
      <c r="E153" s="1061"/>
    </row>
    <row r="154" spans="1:5" x14ac:dyDescent="0.25">
      <c r="A154" s="319" t="s">
        <v>1087</v>
      </c>
      <c r="B154" s="1062" t="s">
        <v>1155</v>
      </c>
      <c r="C154" s="1063"/>
      <c r="D154" s="337" t="s">
        <v>1089</v>
      </c>
      <c r="E154" s="229" t="s">
        <v>1003</v>
      </c>
    </row>
    <row r="155" spans="1:5" x14ac:dyDescent="0.25">
      <c r="A155" s="334" t="s">
        <v>1101</v>
      </c>
      <c r="B155" s="1064">
        <v>3.83</v>
      </c>
      <c r="C155" s="1088"/>
      <c r="D155" s="338">
        <v>2.8</v>
      </c>
      <c r="E155" s="335">
        <f>B155*D155</f>
        <v>10.724</v>
      </c>
    </row>
    <row r="156" spans="1:5" x14ac:dyDescent="0.25">
      <c r="A156" s="334" t="s">
        <v>1107</v>
      </c>
      <c r="B156" s="1064">
        <v>2.87</v>
      </c>
      <c r="C156" s="1088"/>
      <c r="D156" s="338">
        <v>2.8</v>
      </c>
      <c r="E156" s="335">
        <f>B156*D156</f>
        <v>8.0359999999999996</v>
      </c>
    </row>
    <row r="157" spans="1:5" x14ac:dyDescent="0.25">
      <c r="A157" s="334" t="s">
        <v>1123</v>
      </c>
      <c r="B157" s="1064">
        <v>1.88</v>
      </c>
      <c r="C157" s="1088"/>
      <c r="D157" s="338">
        <v>2.8</v>
      </c>
      <c r="E157" s="335">
        <f t="shared" ref="E157:E166" si="4">B157*D157</f>
        <v>5.2639999999999993</v>
      </c>
    </row>
    <row r="158" spans="1:5" x14ac:dyDescent="0.25">
      <c r="A158" s="334" t="s">
        <v>1123</v>
      </c>
      <c r="B158" s="1064">
        <v>2.681</v>
      </c>
      <c r="C158" s="1088"/>
      <c r="D158" s="338">
        <v>2.8</v>
      </c>
      <c r="E158" s="335">
        <f t="shared" si="4"/>
        <v>7.5067999999999993</v>
      </c>
    </row>
    <row r="159" spans="1:5" x14ac:dyDescent="0.25">
      <c r="A159" s="334" t="s">
        <v>1120</v>
      </c>
      <c r="B159" s="1064">
        <v>3.3</v>
      </c>
      <c r="C159" s="1088"/>
      <c r="D159" s="338">
        <v>2.8</v>
      </c>
      <c r="E159" s="335">
        <f t="shared" si="4"/>
        <v>9.2399999999999984</v>
      </c>
    </row>
    <row r="160" spans="1:5" x14ac:dyDescent="0.25">
      <c r="A160" s="334" t="s">
        <v>1120</v>
      </c>
      <c r="B160" s="1064">
        <v>1.2</v>
      </c>
      <c r="C160" s="1088"/>
      <c r="D160" s="338">
        <v>2.8</v>
      </c>
      <c r="E160" s="335">
        <f t="shared" si="4"/>
        <v>3.36</v>
      </c>
    </row>
    <row r="161" spans="1:5" x14ac:dyDescent="0.25">
      <c r="A161" s="334" t="s">
        <v>1120</v>
      </c>
      <c r="B161" s="1064">
        <v>1.86</v>
      </c>
      <c r="C161" s="1088"/>
      <c r="D161" s="338">
        <v>2.8</v>
      </c>
      <c r="E161" s="335">
        <f t="shared" si="4"/>
        <v>5.2080000000000002</v>
      </c>
    </row>
    <row r="162" spans="1:5" x14ac:dyDescent="0.25">
      <c r="A162" s="334" t="s">
        <v>1110</v>
      </c>
      <c r="B162" s="1064">
        <v>1.6</v>
      </c>
      <c r="C162" s="1088"/>
      <c r="D162" s="338">
        <v>2.8</v>
      </c>
      <c r="E162" s="335">
        <f t="shared" si="4"/>
        <v>4.4799999999999995</v>
      </c>
    </row>
    <row r="163" spans="1:5" x14ac:dyDescent="0.25">
      <c r="A163" s="334" t="s">
        <v>1110</v>
      </c>
      <c r="B163" s="1064">
        <v>3.07</v>
      </c>
      <c r="C163" s="1088"/>
      <c r="D163" s="338">
        <v>2.8</v>
      </c>
      <c r="E163" s="335">
        <f t="shared" si="4"/>
        <v>8.5959999999999983</v>
      </c>
    </row>
    <row r="164" spans="1:5" x14ac:dyDescent="0.25">
      <c r="A164" s="334" t="s">
        <v>1111</v>
      </c>
      <c r="B164" s="1064">
        <v>1.6</v>
      </c>
      <c r="C164" s="1088"/>
      <c r="D164" s="338">
        <v>2.8</v>
      </c>
      <c r="E164" s="335">
        <f t="shared" si="4"/>
        <v>4.4799999999999995</v>
      </c>
    </row>
    <row r="165" spans="1:5" x14ac:dyDescent="0.25">
      <c r="A165" s="334" t="s">
        <v>1111</v>
      </c>
      <c r="B165" s="1064">
        <v>3.01</v>
      </c>
      <c r="C165" s="1088"/>
      <c r="D165" s="338">
        <v>2.8</v>
      </c>
      <c r="E165" s="335">
        <f t="shared" si="4"/>
        <v>8.427999999999999</v>
      </c>
    </row>
    <row r="166" spans="1:5" x14ac:dyDescent="0.25">
      <c r="A166" s="334" t="s">
        <v>1157</v>
      </c>
      <c r="B166" s="1064">
        <v>2.3220000000000001</v>
      </c>
      <c r="C166" s="1088"/>
      <c r="D166" s="338">
        <v>2.8</v>
      </c>
      <c r="E166" s="335">
        <f t="shared" si="4"/>
        <v>6.5015999999999998</v>
      </c>
    </row>
    <row r="167" spans="1:5" x14ac:dyDescent="0.25">
      <c r="A167" s="971" t="s">
        <v>1164</v>
      </c>
      <c r="B167" s="972"/>
      <c r="C167" s="972"/>
      <c r="D167" s="973"/>
      <c r="E167" s="238">
        <f>SUM(E155:E166)</f>
        <v>81.824399999999983</v>
      </c>
    </row>
    <row r="168" spans="1:5" x14ac:dyDescent="0.25">
      <c r="A168" s="1081"/>
      <c r="B168" s="1082"/>
      <c r="C168" s="1082"/>
      <c r="D168" s="1082"/>
      <c r="E168" s="1083"/>
    </row>
    <row r="169" spans="1:5" x14ac:dyDescent="0.25">
      <c r="A169" s="1061" t="s">
        <v>1165</v>
      </c>
      <c r="B169" s="1061"/>
      <c r="C169" s="1061"/>
      <c r="D169" s="1061"/>
      <c r="E169" s="1061"/>
    </row>
    <row r="170" spans="1:5" x14ac:dyDescent="0.25">
      <c r="A170" s="319" t="s">
        <v>734</v>
      </c>
      <c r="B170" s="333" t="s">
        <v>1166</v>
      </c>
      <c r="C170" s="967" t="s">
        <v>1089</v>
      </c>
      <c r="D170" s="968" t="s">
        <v>1091</v>
      </c>
      <c r="E170" s="229" t="s">
        <v>1003</v>
      </c>
    </row>
    <row r="171" spans="1:5" x14ac:dyDescent="0.25">
      <c r="A171" s="336" t="s">
        <v>1122</v>
      </c>
      <c r="B171" s="331">
        <v>0.7</v>
      </c>
      <c r="C171" s="1059">
        <v>2.1</v>
      </c>
      <c r="D171" s="1060"/>
      <c r="E171" s="335">
        <v>0</v>
      </c>
    </row>
    <row r="172" spans="1:5" x14ac:dyDescent="0.25">
      <c r="A172" s="336" t="s">
        <v>1124</v>
      </c>
      <c r="B172" s="331">
        <v>0.9</v>
      </c>
      <c r="C172" s="1059">
        <v>2.1</v>
      </c>
      <c r="D172" s="1060"/>
      <c r="E172" s="335">
        <v>0</v>
      </c>
    </row>
    <row r="173" spans="1:5" x14ac:dyDescent="0.25">
      <c r="A173" s="336" t="s">
        <v>1122</v>
      </c>
      <c r="B173" s="331">
        <v>0.7</v>
      </c>
      <c r="C173" s="1059">
        <v>2.1</v>
      </c>
      <c r="D173" s="1060"/>
      <c r="E173" s="335">
        <v>0</v>
      </c>
    </row>
    <row r="174" spans="1:5" x14ac:dyDescent="0.25">
      <c r="A174" s="336" t="s">
        <v>1122</v>
      </c>
      <c r="B174" s="331">
        <v>0.7</v>
      </c>
      <c r="C174" s="1059">
        <v>2.1</v>
      </c>
      <c r="D174" s="1060"/>
      <c r="E174" s="335">
        <v>0</v>
      </c>
    </row>
    <row r="175" spans="1:5" x14ac:dyDescent="0.25">
      <c r="A175" s="336" t="s">
        <v>1122</v>
      </c>
      <c r="B175" s="331">
        <v>0.7</v>
      </c>
      <c r="C175" s="1059">
        <v>2.1</v>
      </c>
      <c r="D175" s="1060"/>
      <c r="E175" s="335">
        <v>0</v>
      </c>
    </row>
    <row r="176" spans="1:5" x14ac:dyDescent="0.25">
      <c r="A176" s="336" t="s">
        <v>1115</v>
      </c>
      <c r="B176" s="331">
        <v>0.8</v>
      </c>
      <c r="C176" s="1059">
        <v>2.1</v>
      </c>
      <c r="D176" s="1060"/>
      <c r="E176" s="335">
        <v>0</v>
      </c>
    </row>
    <row r="177" spans="1:5" x14ac:dyDescent="0.25">
      <c r="A177" s="971" t="s">
        <v>1164</v>
      </c>
      <c r="B177" s="972"/>
      <c r="C177" s="972"/>
      <c r="D177" s="973"/>
      <c r="E177" s="317">
        <f>SUM(E171:E176)</f>
        <v>0</v>
      </c>
    </row>
    <row r="178" spans="1:5" x14ac:dyDescent="0.25">
      <c r="A178" s="995" t="s">
        <v>285</v>
      </c>
      <c r="B178" s="996"/>
      <c r="C178" s="996"/>
      <c r="D178" s="997"/>
      <c r="E178" s="233">
        <f>SUM(E167-E177)</f>
        <v>81.824399999999983</v>
      </c>
    </row>
    <row r="179" spans="1:5" x14ac:dyDescent="0.25">
      <c r="A179" s="974" t="s">
        <v>1262</v>
      </c>
      <c r="B179" s="975"/>
      <c r="C179" s="975"/>
      <c r="D179" s="976"/>
      <c r="E179" s="977"/>
    </row>
    <row r="180" spans="1:5" x14ac:dyDescent="0.25">
      <c r="A180" s="978" t="s">
        <v>997</v>
      </c>
      <c r="B180" s="978"/>
      <c r="C180" s="978"/>
      <c r="D180" s="978"/>
      <c r="E180" s="978"/>
    </row>
    <row r="181" spans="1:5" x14ac:dyDescent="0.25">
      <c r="A181" s="979"/>
      <c r="B181" s="979"/>
      <c r="C181" s="979"/>
      <c r="D181" s="979"/>
      <c r="E181" s="979"/>
    </row>
    <row r="182" spans="1:5" x14ac:dyDescent="0.25">
      <c r="A182" s="979"/>
      <c r="B182" s="979"/>
      <c r="C182" s="979"/>
      <c r="D182" s="979"/>
      <c r="E182" s="979"/>
    </row>
    <row r="183" spans="1:5" x14ac:dyDescent="0.25">
      <c r="A183" s="979"/>
      <c r="B183" s="979"/>
      <c r="C183" s="979"/>
      <c r="D183" s="979"/>
      <c r="E183" s="979"/>
    </row>
    <row r="184" spans="1:5" x14ac:dyDescent="0.25">
      <c r="A184" s="979"/>
      <c r="B184" s="979"/>
      <c r="C184" s="979"/>
      <c r="D184" s="979"/>
      <c r="E184" s="979"/>
    </row>
    <row r="185" spans="1:5" x14ac:dyDescent="0.25">
      <c r="A185" s="979"/>
      <c r="B185" s="979"/>
      <c r="C185" s="979"/>
      <c r="D185" s="979"/>
      <c r="E185" s="979"/>
    </row>
    <row r="186" spans="1:5" x14ac:dyDescent="0.25">
      <c r="A186" s="979"/>
      <c r="B186" s="979"/>
      <c r="C186" s="979"/>
      <c r="D186" s="979"/>
      <c r="E186" s="979"/>
    </row>
    <row r="187" spans="1:5" x14ac:dyDescent="0.25">
      <c r="A187" s="979"/>
      <c r="B187" s="979"/>
      <c r="C187" s="979"/>
      <c r="D187" s="979"/>
      <c r="E187" s="979"/>
    </row>
    <row r="188" spans="1:5" x14ac:dyDescent="0.25">
      <c r="A188" s="979"/>
      <c r="B188" s="979"/>
      <c r="C188" s="979"/>
      <c r="D188" s="979"/>
      <c r="E188" s="979"/>
    </row>
    <row r="189" spans="1:5" x14ac:dyDescent="0.25">
      <c r="A189" s="979"/>
      <c r="B189" s="979"/>
      <c r="C189" s="979"/>
      <c r="D189" s="979"/>
      <c r="E189" s="979"/>
    </row>
    <row r="190" spans="1:5" x14ac:dyDescent="0.25">
      <c r="A190" s="979"/>
      <c r="B190" s="979"/>
      <c r="C190" s="979"/>
      <c r="D190" s="979"/>
      <c r="E190" s="979"/>
    </row>
    <row r="191" spans="1:5" x14ac:dyDescent="0.25">
      <c r="A191" s="979"/>
      <c r="B191" s="979"/>
      <c r="C191" s="979"/>
      <c r="D191" s="979"/>
      <c r="E191" s="979"/>
    </row>
    <row r="192" spans="1:5" x14ac:dyDescent="0.25">
      <c r="A192" s="979"/>
      <c r="B192" s="979"/>
      <c r="C192" s="979"/>
      <c r="D192" s="979"/>
      <c r="E192" s="979"/>
    </row>
    <row r="193" spans="1:5" x14ac:dyDescent="0.25">
      <c r="A193" s="979"/>
      <c r="B193" s="979"/>
      <c r="C193" s="979"/>
      <c r="D193" s="979"/>
      <c r="E193" s="979"/>
    </row>
    <row r="194" spans="1:5" x14ac:dyDescent="0.25">
      <c r="A194" s="979"/>
      <c r="B194" s="979"/>
      <c r="C194" s="979"/>
      <c r="D194" s="979"/>
      <c r="E194" s="979"/>
    </row>
    <row r="195" spans="1:5" x14ac:dyDescent="0.25">
      <c r="A195" s="979"/>
      <c r="B195" s="979"/>
      <c r="C195" s="979"/>
      <c r="D195" s="979"/>
      <c r="E195" s="979"/>
    </row>
    <row r="196" spans="1:5" x14ac:dyDescent="0.25">
      <c r="A196" s="979"/>
      <c r="B196" s="979"/>
      <c r="C196" s="979"/>
      <c r="D196" s="979"/>
      <c r="E196" s="979"/>
    </row>
    <row r="197" spans="1:5" x14ac:dyDescent="0.25">
      <c r="A197" s="979"/>
      <c r="B197" s="979"/>
      <c r="C197" s="979"/>
      <c r="D197" s="979"/>
      <c r="E197" s="979"/>
    </row>
    <row r="198" spans="1:5" x14ac:dyDescent="0.25">
      <c r="A198" s="979"/>
      <c r="B198" s="979"/>
      <c r="C198" s="979"/>
      <c r="D198" s="979"/>
      <c r="E198" s="979"/>
    </row>
    <row r="199" spans="1:5" x14ac:dyDescent="0.25">
      <c r="A199" s="979"/>
      <c r="B199" s="979"/>
      <c r="C199" s="979"/>
      <c r="D199" s="979"/>
      <c r="E199" s="979"/>
    </row>
    <row r="200" spans="1:5" x14ac:dyDescent="0.25">
      <c r="A200" s="979"/>
      <c r="B200" s="979"/>
      <c r="C200" s="979"/>
      <c r="D200" s="979"/>
      <c r="E200" s="979"/>
    </row>
    <row r="201" spans="1:5" x14ac:dyDescent="0.25">
      <c r="A201" s="979"/>
      <c r="B201" s="979"/>
      <c r="C201" s="979"/>
      <c r="D201" s="979"/>
      <c r="E201" s="979"/>
    </row>
    <row r="202" spans="1:5" x14ac:dyDescent="0.25">
      <c r="A202" s="979"/>
      <c r="B202" s="979"/>
      <c r="C202" s="979"/>
      <c r="D202" s="979"/>
      <c r="E202" s="979"/>
    </row>
    <row r="203" spans="1:5" x14ac:dyDescent="0.25">
      <c r="A203" s="1061" t="s">
        <v>1261</v>
      </c>
      <c r="B203" s="1061"/>
      <c r="C203" s="1061"/>
      <c r="D203" s="1061"/>
      <c r="E203" s="1061"/>
    </row>
    <row r="204" spans="1:5" x14ac:dyDescent="0.25">
      <c r="A204" s="319" t="s">
        <v>1087</v>
      </c>
      <c r="B204" s="1062" t="s">
        <v>1155</v>
      </c>
      <c r="C204" s="1063"/>
      <c r="D204" s="337" t="s">
        <v>1089</v>
      </c>
      <c r="E204" s="229" t="s">
        <v>1003</v>
      </c>
    </row>
    <row r="205" spans="1:5" x14ac:dyDescent="0.25">
      <c r="A205" s="334" t="s">
        <v>1263</v>
      </c>
      <c r="B205" s="1064">
        <f>10.452+1.5+3.05+1.75+2+4.4</f>
        <v>23.152000000000001</v>
      </c>
      <c r="C205" s="1088"/>
      <c r="D205" s="338">
        <v>1.3</v>
      </c>
      <c r="E205" s="335">
        <f>B205*D205</f>
        <v>30.097600000000003</v>
      </c>
    </row>
    <row r="206" spans="1:5" x14ac:dyDescent="0.25">
      <c r="A206" s="334" t="s">
        <v>1264</v>
      </c>
      <c r="B206" s="1064">
        <f>5.6+5.6+0.85+0.85</f>
        <v>12.899999999999999</v>
      </c>
      <c r="C206" s="1088"/>
      <c r="D206" s="338">
        <v>1.3</v>
      </c>
      <c r="E206" s="335">
        <f>B206*D206</f>
        <v>16.77</v>
      </c>
    </row>
    <row r="207" spans="1:5" x14ac:dyDescent="0.25">
      <c r="A207" s="971" t="s">
        <v>1164</v>
      </c>
      <c r="B207" s="972"/>
      <c r="C207" s="972"/>
      <c r="D207" s="973"/>
      <c r="E207" s="238">
        <f>SUM(E205:E206)</f>
        <v>46.867600000000003</v>
      </c>
    </row>
    <row r="208" spans="1:5" x14ac:dyDescent="0.25">
      <c r="A208" s="995" t="s">
        <v>285</v>
      </c>
      <c r="B208" s="996"/>
      <c r="C208" s="996"/>
      <c r="D208" s="997"/>
      <c r="E208" s="233">
        <f>E207</f>
        <v>46.867600000000003</v>
      </c>
    </row>
    <row r="209" spans="1:5" x14ac:dyDescent="0.25">
      <c r="A209" s="1010"/>
      <c r="B209" s="1011"/>
      <c r="C209" s="1011"/>
      <c r="D209" s="1011"/>
      <c r="E209" s="1012"/>
    </row>
    <row r="210" spans="1:5" x14ac:dyDescent="0.25">
      <c r="A210" s="1013"/>
      <c r="B210" s="1014"/>
      <c r="C210" s="1014"/>
      <c r="D210" s="1014"/>
      <c r="E210" s="1015"/>
    </row>
    <row r="211" spans="1:5" x14ac:dyDescent="0.25">
      <c r="A211" s="1013"/>
      <c r="B211" s="1014"/>
      <c r="C211" s="1014"/>
      <c r="D211" s="1014"/>
      <c r="E211" s="1015"/>
    </row>
    <row r="212" spans="1:5" x14ac:dyDescent="0.25">
      <c r="A212" s="1013"/>
      <c r="B212" s="1014"/>
      <c r="C212" s="1014"/>
      <c r="D212" s="1014"/>
      <c r="E212" s="1015"/>
    </row>
    <row r="213" spans="1:5" x14ac:dyDescent="0.25">
      <c r="A213" s="1013"/>
      <c r="B213" s="1014"/>
      <c r="C213" s="1014"/>
      <c r="D213" s="1014"/>
      <c r="E213" s="1015"/>
    </row>
    <row r="214" spans="1:5" x14ac:dyDescent="0.25">
      <c r="A214" s="1013"/>
      <c r="B214" s="1014"/>
      <c r="C214" s="1014"/>
      <c r="D214" s="1014"/>
      <c r="E214" s="1015"/>
    </row>
    <row r="215" spans="1:5" x14ac:dyDescent="0.25">
      <c r="A215" s="1013"/>
      <c r="B215" s="1014"/>
      <c r="C215" s="1014"/>
      <c r="D215" s="1014"/>
      <c r="E215" s="1015"/>
    </row>
    <row r="216" spans="1:5" x14ac:dyDescent="0.25">
      <c r="A216" s="1013"/>
      <c r="B216" s="1014"/>
      <c r="C216" s="1014"/>
      <c r="D216" s="1014"/>
      <c r="E216" s="1015"/>
    </row>
    <row r="217" spans="1:5" x14ac:dyDescent="0.25">
      <c r="A217" s="1013"/>
      <c r="B217" s="1014"/>
      <c r="C217" s="1014"/>
      <c r="D217" s="1014"/>
      <c r="E217" s="1015"/>
    </row>
    <row r="218" spans="1:5" x14ac:dyDescent="0.25">
      <c r="A218" s="1013"/>
      <c r="B218" s="1014"/>
      <c r="C218" s="1014"/>
      <c r="D218" s="1014"/>
      <c r="E218" s="1015"/>
    </row>
    <row r="219" spans="1:5" x14ac:dyDescent="0.25">
      <c r="A219" s="1016"/>
      <c r="B219" s="1017"/>
      <c r="C219" s="1017"/>
      <c r="D219" s="1017"/>
      <c r="E219" s="1018"/>
    </row>
  </sheetData>
  <mergeCells count="112">
    <mergeCell ref="A209:E219"/>
    <mergeCell ref="A207:D207"/>
    <mergeCell ref="A208:D208"/>
    <mergeCell ref="A179:E179"/>
    <mergeCell ref="A180:E180"/>
    <mergeCell ref="A181:E202"/>
    <mergeCell ref="A203:E203"/>
    <mergeCell ref="B204:C204"/>
    <mergeCell ref="B205:C205"/>
    <mergeCell ref="B206:C206"/>
    <mergeCell ref="C25:D25"/>
    <mergeCell ref="C26:D26"/>
    <mergeCell ref="C27:D27"/>
    <mergeCell ref="A9:E9"/>
    <mergeCell ref="A10:E10"/>
    <mergeCell ref="A11:E22"/>
    <mergeCell ref="A23:E23"/>
    <mergeCell ref="C24:D24"/>
    <mergeCell ref="A1:E2"/>
    <mergeCell ref="A3:C3"/>
    <mergeCell ref="D3:D8"/>
    <mergeCell ref="A4:C8"/>
    <mergeCell ref="E4:E5"/>
    <mergeCell ref="E7:E8"/>
    <mergeCell ref="C28:D28"/>
    <mergeCell ref="C29:D29"/>
    <mergeCell ref="A47:D47"/>
    <mergeCell ref="A48:E48"/>
    <mergeCell ref="A49:E49"/>
    <mergeCell ref="A50:E71"/>
    <mergeCell ref="C35:D35"/>
    <mergeCell ref="C31:D31"/>
    <mergeCell ref="C32:D32"/>
    <mergeCell ref="C33:D33"/>
    <mergeCell ref="C34:D34"/>
    <mergeCell ref="C45:D45"/>
    <mergeCell ref="A46:D46"/>
    <mergeCell ref="A38:E38"/>
    <mergeCell ref="C40:D40"/>
    <mergeCell ref="C41:D41"/>
    <mergeCell ref="B115:C115"/>
    <mergeCell ref="A80:E80"/>
    <mergeCell ref="C81:D81"/>
    <mergeCell ref="C82:D82"/>
    <mergeCell ref="A72:E72"/>
    <mergeCell ref="A39:E39"/>
    <mergeCell ref="C30:D30"/>
    <mergeCell ref="A37:D37"/>
    <mergeCell ref="C36:D36"/>
    <mergeCell ref="C176:D176"/>
    <mergeCell ref="C42:D42"/>
    <mergeCell ref="C43:D43"/>
    <mergeCell ref="C44:D44"/>
    <mergeCell ref="B116:C116"/>
    <mergeCell ref="B117:C117"/>
    <mergeCell ref="B118:C118"/>
    <mergeCell ref="A122:D122"/>
    <mergeCell ref="A123:E123"/>
    <mergeCell ref="B73:C73"/>
    <mergeCell ref="A89:E89"/>
    <mergeCell ref="A90:E90"/>
    <mergeCell ref="A91:E112"/>
    <mergeCell ref="A113:E113"/>
    <mergeCell ref="B74:C74"/>
    <mergeCell ref="B75:C75"/>
    <mergeCell ref="B76:C76"/>
    <mergeCell ref="B77:C77"/>
    <mergeCell ref="A78:D78"/>
    <mergeCell ref="A79:E79"/>
    <mergeCell ref="A87:D87"/>
    <mergeCell ref="C86:D86"/>
    <mergeCell ref="A88:D88"/>
    <mergeCell ref="B114:C114"/>
    <mergeCell ref="B119:C119"/>
    <mergeCell ref="B121:C121"/>
    <mergeCell ref="B120:C120"/>
    <mergeCell ref="C171:D171"/>
    <mergeCell ref="C83:D83"/>
    <mergeCell ref="C84:D84"/>
    <mergeCell ref="C85:D85"/>
    <mergeCell ref="A177:D177"/>
    <mergeCell ref="A178:D178"/>
    <mergeCell ref="C172:D172"/>
    <mergeCell ref="C173:D173"/>
    <mergeCell ref="C174:D174"/>
    <mergeCell ref="C170:D170"/>
    <mergeCell ref="A130:E130"/>
    <mergeCell ref="A131:E152"/>
    <mergeCell ref="A153:E153"/>
    <mergeCell ref="B157:C157"/>
    <mergeCell ref="A167:D167"/>
    <mergeCell ref="A168:E168"/>
    <mergeCell ref="B156:C156"/>
    <mergeCell ref="A169:E169"/>
    <mergeCell ref="B158:C158"/>
    <mergeCell ref="B159:C159"/>
    <mergeCell ref="B160:C160"/>
    <mergeCell ref="C175:D175"/>
    <mergeCell ref="A129:E129"/>
    <mergeCell ref="A127:D127"/>
    <mergeCell ref="A128:D128"/>
    <mergeCell ref="C126:D126"/>
    <mergeCell ref="C124:D124"/>
    <mergeCell ref="C125:D125"/>
    <mergeCell ref="B161:C161"/>
    <mergeCell ref="B162:C162"/>
    <mergeCell ref="B165:C165"/>
    <mergeCell ref="B163:C163"/>
    <mergeCell ref="B164:C164"/>
    <mergeCell ref="B154:C154"/>
    <mergeCell ref="B155:C155"/>
    <mergeCell ref="B166:C166"/>
  </mergeCells>
  <phoneticPr fontId="10" type="noConversion"/>
  <pageMargins left="0.7" right="0.7" top="0.75" bottom="0.75" header="0.3" footer="0.3"/>
  <pageSetup paperSize="9" scale="69" orientation="portrait" horizontalDpi="4294967293"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75A7C-4E6F-461A-840E-48FAA130AED5}">
  <sheetPr>
    <tabColor theme="1" tint="0.34998626667073579"/>
  </sheetPr>
  <dimension ref="A1:E231"/>
  <sheetViews>
    <sheetView view="pageBreakPreview" zoomScale="115" zoomScaleNormal="80" zoomScaleSheetLayoutView="115" workbookViewId="0">
      <selection activeCell="E76" sqref="E76"/>
    </sheetView>
  </sheetViews>
  <sheetFormatPr defaultRowHeight="15" x14ac:dyDescent="0.25"/>
  <cols>
    <col min="1" max="1" width="31.42578125" customWidth="1"/>
    <col min="2" max="2" width="18" customWidth="1"/>
    <col min="3" max="3" width="18.710937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1265</v>
      </c>
      <c r="B3" s="987"/>
      <c r="C3" s="988"/>
      <c r="D3" s="989"/>
      <c r="E3" s="228" t="s">
        <v>993</v>
      </c>
    </row>
    <row r="4" spans="1:5" ht="15" customHeight="1" x14ac:dyDescent="0.25">
      <c r="A4" s="992" t="s">
        <v>983</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1266</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79"/>
      <c r="B27" s="979"/>
      <c r="C27" s="979"/>
      <c r="D27" s="979"/>
      <c r="E27" s="979"/>
    </row>
    <row r="28" spans="1:5" x14ac:dyDescent="0.25">
      <c r="A28" s="979"/>
      <c r="B28" s="979"/>
      <c r="C28" s="979"/>
      <c r="D28" s="979"/>
      <c r="E28" s="979"/>
    </row>
    <row r="29" spans="1:5" x14ac:dyDescent="0.25">
      <c r="A29" s="979"/>
      <c r="B29" s="979"/>
      <c r="C29" s="979"/>
      <c r="D29" s="979"/>
      <c r="E29" s="979"/>
    </row>
    <row r="30" spans="1:5" x14ac:dyDescent="0.25">
      <c r="A30" s="979"/>
      <c r="B30" s="979"/>
      <c r="C30" s="979"/>
      <c r="D30" s="979"/>
      <c r="E30" s="979"/>
    </row>
    <row r="31" spans="1:5" x14ac:dyDescent="0.25">
      <c r="A31" s="979"/>
      <c r="B31" s="979"/>
      <c r="C31" s="979"/>
      <c r="D31" s="979"/>
      <c r="E31" s="979"/>
    </row>
    <row r="32" spans="1:5" x14ac:dyDescent="0.25">
      <c r="A32" s="979"/>
      <c r="B32" s="979"/>
      <c r="C32" s="979"/>
      <c r="D32" s="979"/>
      <c r="E32" s="979"/>
    </row>
    <row r="33" spans="1:5" x14ac:dyDescent="0.25">
      <c r="A33" s="966" t="s">
        <v>1266</v>
      </c>
      <c r="B33" s="966"/>
      <c r="C33" s="966"/>
      <c r="D33" s="966"/>
      <c r="E33" s="966"/>
    </row>
    <row r="34" spans="1:5" x14ac:dyDescent="0.25">
      <c r="A34" s="1090" t="s">
        <v>1267</v>
      </c>
      <c r="B34" s="1091"/>
      <c r="C34" s="1091"/>
      <c r="D34" s="1091"/>
      <c r="E34" s="1092"/>
    </row>
    <row r="35" spans="1:5" x14ac:dyDescent="0.25">
      <c r="A35" s="1062" t="s">
        <v>1087</v>
      </c>
      <c r="B35" s="1063"/>
      <c r="C35" s="967" t="s">
        <v>998</v>
      </c>
      <c r="D35" s="968"/>
      <c r="E35" s="229" t="s">
        <v>1003</v>
      </c>
    </row>
    <row r="36" spans="1:5" ht="30.75" customHeight="1" x14ac:dyDescent="0.25">
      <c r="A36" s="1064" t="s">
        <v>1157</v>
      </c>
      <c r="B36" s="1065"/>
      <c r="C36" s="969" t="s">
        <v>1268</v>
      </c>
      <c r="D36" s="970"/>
      <c r="E36" s="232">
        <v>10.73</v>
      </c>
    </row>
    <row r="37" spans="1:5" ht="30.75" customHeight="1" x14ac:dyDescent="0.25">
      <c r="A37" s="1064" t="s">
        <v>1094</v>
      </c>
      <c r="B37" s="1065"/>
      <c r="C37" s="969" t="s">
        <v>1268</v>
      </c>
      <c r="D37" s="970"/>
      <c r="E37" s="232">
        <v>10.52</v>
      </c>
    </row>
    <row r="38" spans="1:5" ht="30.75" customHeight="1" x14ac:dyDescent="0.25">
      <c r="A38" s="1064" t="s">
        <v>1097</v>
      </c>
      <c r="B38" s="1065"/>
      <c r="C38" s="969" t="s">
        <v>1268</v>
      </c>
      <c r="D38" s="970"/>
      <c r="E38" s="232">
        <v>17.53</v>
      </c>
    </row>
    <row r="39" spans="1:5" ht="30.75" customHeight="1" x14ac:dyDescent="0.25">
      <c r="A39" s="1064" t="s">
        <v>1098</v>
      </c>
      <c r="B39" s="1065"/>
      <c r="C39" s="969" t="s">
        <v>1268</v>
      </c>
      <c r="D39" s="970"/>
      <c r="E39" s="232">
        <v>8.82</v>
      </c>
    </row>
    <row r="40" spans="1:5" ht="30.75" customHeight="1" x14ac:dyDescent="0.25">
      <c r="A40" s="1064" t="s">
        <v>1100</v>
      </c>
      <c r="B40" s="1065"/>
      <c r="C40" s="969" t="s">
        <v>1268</v>
      </c>
      <c r="D40" s="970"/>
      <c r="E40" s="232">
        <v>9.57</v>
      </c>
    </row>
    <row r="41" spans="1:5" ht="30.75" customHeight="1" x14ac:dyDescent="0.25">
      <c r="A41" s="1064" t="s">
        <v>1105</v>
      </c>
      <c r="B41" s="1065"/>
      <c r="C41" s="969" t="s">
        <v>1269</v>
      </c>
      <c r="D41" s="970"/>
      <c r="E41" s="232">
        <f>(7*0.29)+(9*0.29)+(1.2)+(18*0.1722)</f>
        <v>8.9395999999999987</v>
      </c>
    </row>
    <row r="42" spans="1:5" x14ac:dyDescent="0.25">
      <c r="A42" s="971" t="s">
        <v>1164</v>
      </c>
      <c r="B42" s="972"/>
      <c r="C42" s="972"/>
      <c r="D42" s="973"/>
      <c r="E42" s="238">
        <f>SUM(E36:E41)</f>
        <v>66.1096</v>
      </c>
    </row>
    <row r="43" spans="1:5" x14ac:dyDescent="0.25">
      <c r="A43" s="1090" t="s">
        <v>1267</v>
      </c>
      <c r="B43" s="1091"/>
      <c r="C43" s="1091"/>
      <c r="D43" s="1091"/>
      <c r="E43" s="1092"/>
    </row>
    <row r="44" spans="1:5" x14ac:dyDescent="0.25">
      <c r="A44" s="1062" t="s">
        <v>1087</v>
      </c>
      <c r="B44" s="1063"/>
      <c r="C44" s="967" t="s">
        <v>998</v>
      </c>
      <c r="D44" s="968"/>
      <c r="E44" s="229" t="s">
        <v>1003</v>
      </c>
    </row>
    <row r="45" spans="1:5" ht="30.75" customHeight="1" x14ac:dyDescent="0.25">
      <c r="A45" s="1064" t="s">
        <v>1222</v>
      </c>
      <c r="B45" s="1065"/>
      <c r="C45" s="969" t="s">
        <v>1268</v>
      </c>
      <c r="D45" s="970"/>
      <c r="E45" s="232">
        <v>240.48</v>
      </c>
    </row>
    <row r="46" spans="1:5" ht="30.75" customHeight="1" x14ac:dyDescent="0.25">
      <c r="A46" s="1064" t="s">
        <v>1117</v>
      </c>
      <c r="B46" s="1065"/>
      <c r="C46" s="969" t="s">
        <v>1268</v>
      </c>
      <c r="D46" s="970"/>
      <c r="E46" s="232">
        <f>9.49+47.53+33+56.3</f>
        <v>146.32</v>
      </c>
    </row>
    <row r="47" spans="1:5" ht="15" customHeight="1" x14ac:dyDescent="0.25">
      <c r="A47" s="971" t="s">
        <v>1164</v>
      </c>
      <c r="B47" s="972"/>
      <c r="C47" s="972"/>
      <c r="D47" s="973"/>
      <c r="E47" s="238">
        <f>SUM(E45:E46)</f>
        <v>386.79999999999995</v>
      </c>
    </row>
    <row r="48" spans="1:5" x14ac:dyDescent="0.25">
      <c r="A48" s="995" t="s">
        <v>1270</v>
      </c>
      <c r="B48" s="996"/>
      <c r="C48" s="996"/>
      <c r="D48" s="997"/>
      <c r="E48" s="233">
        <f>SUM(E42,E47)</f>
        <v>452.90959999999995</v>
      </c>
    </row>
    <row r="49" spans="1:5" x14ac:dyDescent="0.25">
      <c r="A49" s="974" t="s">
        <v>1271</v>
      </c>
      <c r="B49" s="975"/>
      <c r="C49" s="975"/>
      <c r="D49" s="976"/>
      <c r="E49" s="977"/>
    </row>
    <row r="50" spans="1:5" x14ac:dyDescent="0.25">
      <c r="A50" s="978" t="s">
        <v>997</v>
      </c>
      <c r="B50" s="978"/>
      <c r="C50" s="978"/>
      <c r="D50" s="978"/>
      <c r="E50" s="978"/>
    </row>
    <row r="51" spans="1:5" x14ac:dyDescent="0.25">
      <c r="A51" s="979"/>
      <c r="B51" s="979"/>
      <c r="C51" s="979"/>
      <c r="D51" s="979"/>
      <c r="E51" s="979"/>
    </row>
    <row r="52" spans="1:5" x14ac:dyDescent="0.25">
      <c r="A52" s="979"/>
      <c r="B52" s="979"/>
      <c r="C52" s="979"/>
      <c r="D52" s="979"/>
      <c r="E52" s="979"/>
    </row>
    <row r="53" spans="1:5" x14ac:dyDescent="0.25">
      <c r="A53" s="979"/>
      <c r="B53" s="979"/>
      <c r="C53" s="979"/>
      <c r="D53" s="979"/>
      <c r="E53" s="979"/>
    </row>
    <row r="54" spans="1:5" x14ac:dyDescent="0.25">
      <c r="A54" s="979"/>
      <c r="B54" s="979"/>
      <c r="C54" s="979"/>
      <c r="D54" s="979"/>
      <c r="E54" s="979"/>
    </row>
    <row r="55" spans="1:5" x14ac:dyDescent="0.25">
      <c r="A55" s="979"/>
      <c r="B55" s="979"/>
      <c r="C55" s="979"/>
      <c r="D55" s="979"/>
      <c r="E55" s="979"/>
    </row>
    <row r="56" spans="1:5" x14ac:dyDescent="0.25">
      <c r="A56" s="979"/>
      <c r="B56" s="979"/>
      <c r="C56" s="979"/>
      <c r="D56" s="979"/>
      <c r="E56" s="979"/>
    </row>
    <row r="57" spans="1:5" x14ac:dyDescent="0.25">
      <c r="A57" s="979"/>
      <c r="B57" s="979"/>
      <c r="C57" s="979"/>
      <c r="D57" s="979"/>
      <c r="E57" s="979"/>
    </row>
    <row r="58" spans="1:5" x14ac:dyDescent="0.25">
      <c r="A58" s="979"/>
      <c r="B58" s="979"/>
      <c r="C58" s="979"/>
      <c r="D58" s="979"/>
      <c r="E58" s="979"/>
    </row>
    <row r="59" spans="1:5" x14ac:dyDescent="0.25">
      <c r="A59" s="979"/>
      <c r="B59" s="979"/>
      <c r="C59" s="979"/>
      <c r="D59" s="979"/>
      <c r="E59" s="979"/>
    </row>
    <row r="60" spans="1:5" x14ac:dyDescent="0.25">
      <c r="A60" s="979"/>
      <c r="B60" s="979"/>
      <c r="C60" s="979"/>
      <c r="D60" s="979"/>
      <c r="E60" s="979"/>
    </row>
    <row r="61" spans="1:5" x14ac:dyDescent="0.25">
      <c r="A61" s="979"/>
      <c r="B61" s="979"/>
      <c r="C61" s="979"/>
      <c r="D61" s="979"/>
      <c r="E61" s="979"/>
    </row>
    <row r="62" spans="1:5" x14ac:dyDescent="0.25">
      <c r="A62" s="979"/>
      <c r="B62" s="979"/>
      <c r="C62" s="979"/>
      <c r="D62" s="979"/>
      <c r="E62" s="979"/>
    </row>
    <row r="63" spans="1:5" x14ac:dyDescent="0.25">
      <c r="A63" s="979"/>
      <c r="B63" s="979"/>
      <c r="C63" s="979"/>
      <c r="D63" s="979"/>
      <c r="E63" s="979"/>
    </row>
    <row r="64" spans="1:5" x14ac:dyDescent="0.25">
      <c r="A64" s="979"/>
      <c r="B64" s="979"/>
      <c r="C64" s="979"/>
      <c r="D64" s="979"/>
      <c r="E64" s="979"/>
    </row>
    <row r="65" spans="1:5" x14ac:dyDescent="0.25">
      <c r="A65" s="979"/>
      <c r="B65" s="979"/>
      <c r="C65" s="979"/>
      <c r="D65" s="979"/>
      <c r="E65" s="979"/>
    </row>
    <row r="66" spans="1:5" x14ac:dyDescent="0.25">
      <c r="A66" s="979"/>
      <c r="B66" s="979"/>
      <c r="C66" s="979"/>
      <c r="D66" s="979"/>
      <c r="E66" s="979"/>
    </row>
    <row r="67" spans="1:5" x14ac:dyDescent="0.25">
      <c r="A67" s="979"/>
      <c r="B67" s="979"/>
      <c r="C67" s="979"/>
      <c r="D67" s="979"/>
      <c r="E67" s="979"/>
    </row>
    <row r="68" spans="1:5" x14ac:dyDescent="0.25">
      <c r="A68" s="979"/>
      <c r="B68" s="979"/>
      <c r="C68" s="979"/>
      <c r="D68" s="979"/>
      <c r="E68" s="979"/>
    </row>
    <row r="69" spans="1:5" x14ac:dyDescent="0.25">
      <c r="A69" s="979"/>
      <c r="B69" s="979"/>
      <c r="C69" s="979"/>
      <c r="D69" s="979"/>
      <c r="E69" s="979"/>
    </row>
    <row r="70" spans="1:5" x14ac:dyDescent="0.25">
      <c r="A70" s="979"/>
      <c r="B70" s="979"/>
      <c r="C70" s="979"/>
      <c r="D70" s="979"/>
      <c r="E70" s="979"/>
    </row>
    <row r="71" spans="1:5" x14ac:dyDescent="0.25">
      <c r="A71" s="979"/>
      <c r="B71" s="979"/>
      <c r="C71" s="979"/>
      <c r="D71" s="979"/>
      <c r="E71" s="979"/>
    </row>
    <row r="72" spans="1:5" x14ac:dyDescent="0.25">
      <c r="A72" s="979"/>
      <c r="B72" s="979"/>
      <c r="C72" s="979"/>
      <c r="D72" s="979"/>
      <c r="E72" s="979"/>
    </row>
    <row r="73" spans="1:5" x14ac:dyDescent="0.25">
      <c r="A73" s="966" t="s">
        <v>1272</v>
      </c>
      <c r="B73" s="966"/>
      <c r="C73" s="966"/>
      <c r="D73" s="966"/>
      <c r="E73" s="966"/>
    </row>
    <row r="74" spans="1:5" x14ac:dyDescent="0.25">
      <c r="A74" s="1062" t="s">
        <v>1087</v>
      </c>
      <c r="B74" s="1063"/>
      <c r="C74" s="967" t="s">
        <v>998</v>
      </c>
      <c r="D74" s="968"/>
      <c r="E74" s="229" t="s">
        <v>1003</v>
      </c>
    </row>
    <row r="75" spans="1:5" x14ac:dyDescent="0.25">
      <c r="A75" s="1064" t="s">
        <v>1273</v>
      </c>
      <c r="B75" s="1063"/>
      <c r="C75" s="969" t="s">
        <v>1268</v>
      </c>
      <c r="D75" s="970"/>
      <c r="E75" s="232">
        <v>86.76</v>
      </c>
    </row>
    <row r="76" spans="1:5" x14ac:dyDescent="0.25">
      <c r="A76" s="971" t="s">
        <v>1164</v>
      </c>
      <c r="B76" s="972"/>
      <c r="C76" s="972"/>
      <c r="D76" s="973"/>
      <c r="E76" s="238">
        <f>SUM(E75:E75)</f>
        <v>86.76</v>
      </c>
    </row>
    <row r="77" spans="1:5" x14ac:dyDescent="0.25">
      <c r="A77" s="995" t="s">
        <v>1270</v>
      </c>
      <c r="B77" s="996"/>
      <c r="C77" s="996"/>
      <c r="D77" s="997"/>
      <c r="E77" s="233">
        <f>SUM(E75:E75)</f>
        <v>86.76</v>
      </c>
    </row>
    <row r="78" spans="1:5" x14ac:dyDescent="0.25">
      <c r="A78" s="974" t="s">
        <v>1274</v>
      </c>
      <c r="B78" s="975"/>
      <c r="C78" s="975"/>
      <c r="D78" s="976"/>
      <c r="E78" s="977"/>
    </row>
    <row r="79" spans="1:5" x14ac:dyDescent="0.25">
      <c r="A79" s="978" t="s">
        <v>997</v>
      </c>
      <c r="B79" s="978"/>
      <c r="C79" s="978"/>
      <c r="D79" s="978"/>
      <c r="E79" s="978"/>
    </row>
    <row r="80" spans="1:5" x14ac:dyDescent="0.25">
      <c r="A80" s="979"/>
      <c r="B80" s="979"/>
      <c r="C80" s="979"/>
      <c r="D80" s="979"/>
      <c r="E80" s="979"/>
    </row>
    <row r="81" spans="1:5" x14ac:dyDescent="0.25">
      <c r="A81" s="979"/>
      <c r="B81" s="979"/>
      <c r="C81" s="979"/>
      <c r="D81" s="979"/>
      <c r="E81" s="979"/>
    </row>
    <row r="82" spans="1:5" x14ac:dyDescent="0.25">
      <c r="A82" s="979"/>
      <c r="B82" s="979"/>
      <c r="C82" s="979"/>
      <c r="D82" s="979"/>
      <c r="E82" s="979"/>
    </row>
    <row r="83" spans="1:5" x14ac:dyDescent="0.25">
      <c r="A83" s="979"/>
      <c r="B83" s="979"/>
      <c r="C83" s="979"/>
      <c r="D83" s="979"/>
      <c r="E83" s="979"/>
    </row>
    <row r="84" spans="1:5" x14ac:dyDescent="0.25">
      <c r="A84" s="979"/>
      <c r="B84" s="979"/>
      <c r="C84" s="979"/>
      <c r="D84" s="979"/>
      <c r="E84" s="979"/>
    </row>
    <row r="85" spans="1:5" x14ac:dyDescent="0.25">
      <c r="A85" s="979"/>
      <c r="B85" s="979"/>
      <c r="C85" s="979"/>
      <c r="D85" s="979"/>
      <c r="E85" s="979"/>
    </row>
    <row r="86" spans="1:5" x14ac:dyDescent="0.25">
      <c r="A86" s="979"/>
      <c r="B86" s="979"/>
      <c r="C86" s="979"/>
      <c r="D86" s="979"/>
      <c r="E86" s="979"/>
    </row>
    <row r="87" spans="1:5" x14ac:dyDescent="0.25">
      <c r="A87" s="979"/>
      <c r="B87" s="979"/>
      <c r="C87" s="979"/>
      <c r="D87" s="979"/>
      <c r="E87" s="979"/>
    </row>
    <row r="88" spans="1:5" x14ac:dyDescent="0.25">
      <c r="A88" s="979"/>
      <c r="B88" s="979"/>
      <c r="C88" s="979"/>
      <c r="D88" s="979"/>
      <c r="E88" s="979"/>
    </row>
    <row r="89" spans="1:5" x14ac:dyDescent="0.25">
      <c r="A89" s="979"/>
      <c r="B89" s="979"/>
      <c r="C89" s="979"/>
      <c r="D89" s="979"/>
      <c r="E89" s="979"/>
    </row>
    <row r="90" spans="1:5" x14ac:dyDescent="0.25">
      <c r="A90" s="979"/>
      <c r="B90" s="979"/>
      <c r="C90" s="979"/>
      <c r="D90" s="979"/>
      <c r="E90" s="979"/>
    </row>
    <row r="91" spans="1:5" x14ac:dyDescent="0.25">
      <c r="A91" s="979"/>
      <c r="B91" s="979"/>
      <c r="C91" s="979"/>
      <c r="D91" s="979"/>
      <c r="E91" s="979"/>
    </row>
    <row r="92" spans="1:5" x14ac:dyDescent="0.25">
      <c r="A92" s="979"/>
      <c r="B92" s="979"/>
      <c r="C92" s="979"/>
      <c r="D92" s="979"/>
      <c r="E92" s="979"/>
    </row>
    <row r="93" spans="1:5" x14ac:dyDescent="0.25">
      <c r="A93" s="979"/>
      <c r="B93" s="979"/>
      <c r="C93" s="979"/>
      <c r="D93" s="979"/>
      <c r="E93" s="979"/>
    </row>
    <row r="94" spans="1:5" x14ac:dyDescent="0.25">
      <c r="A94" s="979"/>
      <c r="B94" s="979"/>
      <c r="C94" s="979"/>
      <c r="D94" s="979"/>
      <c r="E94" s="979"/>
    </row>
    <row r="95" spans="1:5" x14ac:dyDescent="0.25">
      <c r="A95" s="979"/>
      <c r="B95" s="979"/>
      <c r="C95" s="979"/>
      <c r="D95" s="979"/>
      <c r="E95" s="979"/>
    </row>
    <row r="96" spans="1:5" x14ac:dyDescent="0.25">
      <c r="A96" s="979"/>
      <c r="B96" s="979"/>
      <c r="C96" s="979"/>
      <c r="D96" s="979"/>
      <c r="E96" s="979"/>
    </row>
    <row r="97" spans="1:5" x14ac:dyDescent="0.25">
      <c r="A97" s="979"/>
      <c r="B97" s="979"/>
      <c r="C97" s="979"/>
      <c r="D97" s="979"/>
      <c r="E97" s="979"/>
    </row>
    <row r="98" spans="1:5" x14ac:dyDescent="0.25">
      <c r="A98" s="979"/>
      <c r="B98" s="979"/>
      <c r="C98" s="979"/>
      <c r="D98" s="979"/>
      <c r="E98" s="979"/>
    </row>
    <row r="99" spans="1:5" x14ac:dyDescent="0.25">
      <c r="A99" s="979"/>
      <c r="B99" s="979"/>
      <c r="C99" s="979"/>
      <c r="D99" s="979"/>
      <c r="E99" s="979"/>
    </row>
    <row r="100" spans="1:5" x14ac:dyDescent="0.25">
      <c r="A100" s="979"/>
      <c r="B100" s="979"/>
      <c r="C100" s="979"/>
      <c r="D100" s="979"/>
      <c r="E100" s="979"/>
    </row>
    <row r="101" spans="1:5" x14ac:dyDescent="0.25">
      <c r="A101" s="979"/>
      <c r="B101" s="979"/>
      <c r="C101" s="979"/>
      <c r="D101" s="979"/>
      <c r="E101" s="979"/>
    </row>
    <row r="102" spans="1:5" x14ac:dyDescent="0.25">
      <c r="A102" s="979"/>
      <c r="B102" s="979"/>
      <c r="C102" s="979"/>
      <c r="D102" s="979"/>
      <c r="E102" s="979"/>
    </row>
    <row r="103" spans="1:5" x14ac:dyDescent="0.25">
      <c r="A103" s="966" t="s">
        <v>1274</v>
      </c>
      <c r="B103" s="966"/>
      <c r="C103" s="966"/>
      <c r="D103" s="966"/>
      <c r="E103" s="966"/>
    </row>
    <row r="104" spans="1:5" x14ac:dyDescent="0.25">
      <c r="A104" s="1062" t="s">
        <v>1087</v>
      </c>
      <c r="B104" s="1063"/>
      <c r="C104" s="967" t="s">
        <v>998</v>
      </c>
      <c r="D104" s="968"/>
      <c r="E104" s="229" t="s">
        <v>1003</v>
      </c>
    </row>
    <row r="105" spans="1:5" x14ac:dyDescent="0.25">
      <c r="A105" s="1064" t="s">
        <v>1120</v>
      </c>
      <c r="B105" s="1063"/>
      <c r="C105" s="969" t="s">
        <v>1268</v>
      </c>
      <c r="D105" s="970"/>
      <c r="E105" s="232">
        <v>81.900000000000006</v>
      </c>
    </row>
    <row r="106" spans="1:5" x14ac:dyDescent="0.25">
      <c r="A106" s="1064" t="s">
        <v>1107</v>
      </c>
      <c r="B106" s="1063"/>
      <c r="C106" s="969" t="s">
        <v>1268</v>
      </c>
      <c r="D106" s="970"/>
      <c r="E106" s="232">
        <v>6.86</v>
      </c>
    </row>
    <row r="107" spans="1:5" x14ac:dyDescent="0.25">
      <c r="A107" s="1064" t="s">
        <v>1123</v>
      </c>
      <c r="B107" s="1063"/>
      <c r="C107" s="969" t="s">
        <v>1268</v>
      </c>
      <c r="D107" s="970"/>
      <c r="E107" s="232">
        <v>4.8899999999999997</v>
      </c>
    </row>
    <row r="108" spans="1:5" x14ac:dyDescent="0.25">
      <c r="A108" s="1064" t="s">
        <v>1157</v>
      </c>
      <c r="B108" s="1063"/>
      <c r="C108" s="969" t="s">
        <v>1268</v>
      </c>
      <c r="D108" s="970"/>
      <c r="E108" s="232">
        <v>10.83</v>
      </c>
    </row>
    <row r="109" spans="1:5" x14ac:dyDescent="0.25">
      <c r="A109" s="971" t="s">
        <v>1164</v>
      </c>
      <c r="B109" s="972"/>
      <c r="C109" s="972"/>
      <c r="D109" s="973"/>
      <c r="E109" s="238">
        <f>SUM(E105:E108)</f>
        <v>104.48</v>
      </c>
    </row>
    <row r="110" spans="1:5" x14ac:dyDescent="0.25">
      <c r="A110" s="995" t="s">
        <v>1270</v>
      </c>
      <c r="B110" s="996"/>
      <c r="C110" s="996"/>
      <c r="D110" s="997"/>
      <c r="E110" s="233">
        <f>E109</f>
        <v>104.48</v>
      </c>
    </row>
    <row r="111" spans="1:5" x14ac:dyDescent="0.25">
      <c r="A111" s="974" t="s">
        <v>1275</v>
      </c>
      <c r="B111" s="975"/>
      <c r="C111" s="975"/>
      <c r="D111" s="976"/>
      <c r="E111" s="977"/>
    </row>
    <row r="112" spans="1:5" x14ac:dyDescent="0.25">
      <c r="A112" s="978" t="s">
        <v>997</v>
      </c>
      <c r="B112" s="978"/>
      <c r="C112" s="978"/>
      <c r="D112" s="978"/>
      <c r="E112" s="978"/>
    </row>
    <row r="113" spans="1:5" x14ac:dyDescent="0.25">
      <c r="A113" s="979"/>
      <c r="B113" s="979"/>
      <c r="C113" s="979"/>
      <c r="D113" s="979"/>
      <c r="E113" s="979"/>
    </row>
    <row r="114" spans="1:5" x14ac:dyDescent="0.25">
      <c r="A114" s="979"/>
      <c r="B114" s="979"/>
      <c r="C114" s="979"/>
      <c r="D114" s="979"/>
      <c r="E114" s="979"/>
    </row>
    <row r="115" spans="1:5" x14ac:dyDescent="0.25">
      <c r="A115" s="979"/>
      <c r="B115" s="979"/>
      <c r="C115" s="979"/>
      <c r="D115" s="979"/>
      <c r="E115" s="979"/>
    </row>
    <row r="116" spans="1:5" x14ac:dyDescent="0.25">
      <c r="A116" s="979"/>
      <c r="B116" s="979"/>
      <c r="C116" s="979"/>
      <c r="D116" s="979"/>
      <c r="E116" s="979"/>
    </row>
    <row r="117" spans="1:5" x14ac:dyDescent="0.25">
      <c r="A117" s="979"/>
      <c r="B117" s="979"/>
      <c r="C117" s="979"/>
      <c r="D117" s="979"/>
      <c r="E117" s="979"/>
    </row>
    <row r="118" spans="1:5" x14ac:dyDescent="0.25">
      <c r="A118" s="979"/>
      <c r="B118" s="979"/>
      <c r="C118" s="979"/>
      <c r="D118" s="979"/>
      <c r="E118" s="979"/>
    </row>
    <row r="119" spans="1:5" x14ac:dyDescent="0.25">
      <c r="A119" s="979"/>
      <c r="B119" s="979"/>
      <c r="C119" s="979"/>
      <c r="D119" s="979"/>
      <c r="E119" s="979"/>
    </row>
    <row r="120" spans="1:5" x14ac:dyDescent="0.25">
      <c r="A120" s="979"/>
      <c r="B120" s="979"/>
      <c r="C120" s="979"/>
      <c r="D120" s="979"/>
      <c r="E120" s="979"/>
    </row>
    <row r="121" spans="1:5" x14ac:dyDescent="0.25">
      <c r="A121" s="979"/>
      <c r="B121" s="979"/>
      <c r="C121" s="979"/>
      <c r="D121" s="979"/>
      <c r="E121" s="979"/>
    </row>
    <row r="122" spans="1:5" x14ac:dyDescent="0.25">
      <c r="A122" s="979"/>
      <c r="B122" s="979"/>
      <c r="C122" s="979"/>
      <c r="D122" s="979"/>
      <c r="E122" s="979"/>
    </row>
    <row r="123" spans="1:5" x14ac:dyDescent="0.25">
      <c r="A123" s="979"/>
      <c r="B123" s="979"/>
      <c r="C123" s="979"/>
      <c r="D123" s="979"/>
      <c r="E123" s="979"/>
    </row>
    <row r="124" spans="1:5" x14ac:dyDescent="0.25">
      <c r="A124" s="979"/>
      <c r="B124" s="979"/>
      <c r="C124" s="979"/>
      <c r="D124" s="979"/>
      <c r="E124" s="979"/>
    </row>
    <row r="125" spans="1:5" x14ac:dyDescent="0.25">
      <c r="A125" s="979"/>
      <c r="B125" s="979"/>
      <c r="C125" s="979"/>
      <c r="D125" s="979"/>
      <c r="E125" s="979"/>
    </row>
    <row r="126" spans="1:5" x14ac:dyDescent="0.25">
      <c r="A126" s="979"/>
      <c r="B126" s="979"/>
      <c r="C126" s="979"/>
      <c r="D126" s="979"/>
      <c r="E126" s="979"/>
    </row>
    <row r="127" spans="1:5" x14ac:dyDescent="0.25">
      <c r="A127" s="979"/>
      <c r="B127" s="979"/>
      <c r="C127" s="979"/>
      <c r="D127" s="979"/>
      <c r="E127" s="979"/>
    </row>
    <row r="128" spans="1:5" x14ac:dyDescent="0.25">
      <c r="A128" s="979"/>
      <c r="B128" s="979"/>
      <c r="C128" s="979"/>
      <c r="D128" s="979"/>
      <c r="E128" s="979"/>
    </row>
    <row r="129" spans="1:5" x14ac:dyDescent="0.25">
      <c r="A129" s="979"/>
      <c r="B129" s="979"/>
      <c r="C129" s="979"/>
      <c r="D129" s="979"/>
      <c r="E129" s="979"/>
    </row>
    <row r="130" spans="1:5" x14ac:dyDescent="0.25">
      <c r="A130" s="979"/>
      <c r="B130" s="979"/>
      <c r="C130" s="979"/>
      <c r="D130" s="979"/>
      <c r="E130" s="979"/>
    </row>
    <row r="131" spans="1:5" x14ac:dyDescent="0.25">
      <c r="A131" s="979"/>
      <c r="B131" s="979"/>
      <c r="C131" s="979"/>
      <c r="D131" s="979"/>
      <c r="E131" s="979"/>
    </row>
    <row r="132" spans="1:5" x14ac:dyDescent="0.25">
      <c r="A132" s="979"/>
      <c r="B132" s="979"/>
      <c r="C132" s="979"/>
      <c r="D132" s="979"/>
      <c r="E132" s="979"/>
    </row>
    <row r="133" spans="1:5" x14ac:dyDescent="0.25">
      <c r="A133" s="979"/>
      <c r="B133" s="979"/>
      <c r="C133" s="979"/>
      <c r="D133" s="979"/>
      <c r="E133" s="979"/>
    </row>
    <row r="134" spans="1:5" x14ac:dyDescent="0.25">
      <c r="A134" s="979"/>
      <c r="B134" s="979"/>
      <c r="C134" s="979"/>
      <c r="D134" s="979"/>
      <c r="E134" s="979"/>
    </row>
    <row r="135" spans="1:5" x14ac:dyDescent="0.25">
      <c r="A135" s="979"/>
      <c r="B135" s="979"/>
      <c r="C135" s="979"/>
      <c r="D135" s="979"/>
      <c r="E135" s="979"/>
    </row>
    <row r="136" spans="1:5" x14ac:dyDescent="0.25">
      <c r="A136" s="979"/>
      <c r="B136" s="979"/>
      <c r="C136" s="979"/>
      <c r="D136" s="979"/>
      <c r="E136" s="979"/>
    </row>
    <row r="137" spans="1:5" x14ac:dyDescent="0.25">
      <c r="A137" s="966" t="s">
        <v>1275</v>
      </c>
      <c r="B137" s="966"/>
      <c r="C137" s="966"/>
      <c r="D137" s="966"/>
      <c r="E137" s="966"/>
    </row>
    <row r="138" spans="1:5" x14ac:dyDescent="0.25">
      <c r="A138" s="1062" t="s">
        <v>1087</v>
      </c>
      <c r="B138" s="1063"/>
      <c r="C138" s="967" t="s">
        <v>998</v>
      </c>
      <c r="D138" s="968"/>
      <c r="E138" s="229" t="s">
        <v>1003</v>
      </c>
    </row>
    <row r="139" spans="1:5" x14ac:dyDescent="0.25">
      <c r="A139" s="1064" t="s">
        <v>1101</v>
      </c>
      <c r="B139" s="1063"/>
      <c r="C139" s="969" t="s">
        <v>1268</v>
      </c>
      <c r="D139" s="970"/>
      <c r="E139" s="232">
        <v>17.18</v>
      </c>
    </row>
    <row r="140" spans="1:5" x14ac:dyDescent="0.25">
      <c r="A140" s="1064" t="s">
        <v>1103</v>
      </c>
      <c r="B140" s="1063"/>
      <c r="C140" s="969" t="s">
        <v>1268</v>
      </c>
      <c r="D140" s="970"/>
      <c r="E140" s="232">
        <v>6.74</v>
      </c>
    </row>
    <row r="141" spans="1:5" x14ac:dyDescent="0.25">
      <c r="A141" s="1064" t="s">
        <v>1108</v>
      </c>
      <c r="B141" s="1063"/>
      <c r="C141" s="969" t="s">
        <v>1268</v>
      </c>
      <c r="D141" s="970"/>
      <c r="E141" s="232">
        <v>2.72</v>
      </c>
    </row>
    <row r="142" spans="1:5" x14ac:dyDescent="0.25">
      <c r="A142" s="1064" t="s">
        <v>1110</v>
      </c>
      <c r="B142" s="1063"/>
      <c r="C142" s="969" t="s">
        <v>1268</v>
      </c>
      <c r="D142" s="970"/>
      <c r="E142" s="232">
        <v>2.72</v>
      </c>
    </row>
    <row r="143" spans="1:5" x14ac:dyDescent="0.25">
      <c r="A143" s="1064" t="s">
        <v>1276</v>
      </c>
      <c r="B143" s="1063"/>
      <c r="C143" s="969" t="s">
        <v>1268</v>
      </c>
      <c r="D143" s="970"/>
      <c r="E143" s="232">
        <v>10.92</v>
      </c>
    </row>
    <row r="144" spans="1:5" x14ac:dyDescent="0.25">
      <c r="A144" s="1064" t="s">
        <v>1228</v>
      </c>
      <c r="B144" s="1063"/>
      <c r="C144" s="969" t="s">
        <v>1268</v>
      </c>
      <c r="D144" s="970"/>
      <c r="E144" s="232">
        <v>10.92</v>
      </c>
    </row>
    <row r="145" spans="1:5" x14ac:dyDescent="0.25">
      <c r="A145" s="971" t="s">
        <v>1164</v>
      </c>
      <c r="B145" s="972"/>
      <c r="C145" s="972"/>
      <c r="D145" s="973"/>
      <c r="E145" s="238">
        <f>SUM(E139:E144)</f>
        <v>51.2</v>
      </c>
    </row>
    <row r="146" spans="1:5" x14ac:dyDescent="0.25">
      <c r="A146" s="995" t="s">
        <v>1270</v>
      </c>
      <c r="B146" s="996"/>
      <c r="C146" s="996"/>
      <c r="D146" s="997"/>
      <c r="E146" s="233">
        <f>E145</f>
        <v>51.2</v>
      </c>
    </row>
    <row r="147" spans="1:5" x14ac:dyDescent="0.25">
      <c r="A147" s="974" t="s">
        <v>1277</v>
      </c>
      <c r="B147" s="975"/>
      <c r="C147" s="975"/>
      <c r="D147" s="976"/>
      <c r="E147" s="977"/>
    </row>
    <row r="148" spans="1:5" x14ac:dyDescent="0.25">
      <c r="A148" s="978" t="s">
        <v>997</v>
      </c>
      <c r="B148" s="978"/>
      <c r="C148" s="978"/>
      <c r="D148" s="978"/>
      <c r="E148" s="978"/>
    </row>
    <row r="149" spans="1:5" x14ac:dyDescent="0.25">
      <c r="A149" s="979"/>
      <c r="B149" s="979"/>
      <c r="C149" s="979"/>
      <c r="D149" s="979"/>
      <c r="E149" s="979"/>
    </row>
    <row r="150" spans="1:5" x14ac:dyDescent="0.25">
      <c r="A150" s="979"/>
      <c r="B150" s="979"/>
      <c r="C150" s="979"/>
      <c r="D150" s="979"/>
      <c r="E150" s="979"/>
    </row>
    <row r="151" spans="1:5" x14ac:dyDescent="0.25">
      <c r="A151" s="979"/>
      <c r="B151" s="979"/>
      <c r="C151" s="979"/>
      <c r="D151" s="979"/>
      <c r="E151" s="979"/>
    </row>
    <row r="152" spans="1:5" x14ac:dyDescent="0.25">
      <c r="A152" s="979"/>
      <c r="B152" s="979"/>
      <c r="C152" s="979"/>
      <c r="D152" s="979"/>
      <c r="E152" s="979"/>
    </row>
    <row r="153" spans="1:5" x14ac:dyDescent="0.25">
      <c r="A153" s="979"/>
      <c r="B153" s="979"/>
      <c r="C153" s="979"/>
      <c r="D153" s="979"/>
      <c r="E153" s="979"/>
    </row>
    <row r="154" spans="1:5" x14ac:dyDescent="0.25">
      <c r="A154" s="979"/>
      <c r="B154" s="979"/>
      <c r="C154" s="979"/>
      <c r="D154" s="979"/>
      <c r="E154" s="979"/>
    </row>
    <row r="155" spans="1:5" x14ac:dyDescent="0.25">
      <c r="A155" s="979"/>
      <c r="B155" s="979"/>
      <c r="C155" s="979"/>
      <c r="D155" s="979"/>
      <c r="E155" s="979"/>
    </row>
    <row r="156" spans="1:5" x14ac:dyDescent="0.25">
      <c r="A156" s="979"/>
      <c r="B156" s="979"/>
      <c r="C156" s="979"/>
      <c r="D156" s="979"/>
      <c r="E156" s="979"/>
    </row>
    <row r="157" spans="1:5" x14ac:dyDescent="0.25">
      <c r="A157" s="979"/>
      <c r="B157" s="979"/>
      <c r="C157" s="979"/>
      <c r="D157" s="979"/>
      <c r="E157" s="979"/>
    </row>
    <row r="158" spans="1:5" x14ac:dyDescent="0.25">
      <c r="A158" s="979"/>
      <c r="B158" s="979"/>
      <c r="C158" s="979"/>
      <c r="D158" s="979"/>
      <c r="E158" s="979"/>
    </row>
    <row r="159" spans="1:5" x14ac:dyDescent="0.25">
      <c r="A159" s="979"/>
      <c r="B159" s="979"/>
      <c r="C159" s="979"/>
      <c r="D159" s="979"/>
      <c r="E159" s="979"/>
    </row>
    <row r="160" spans="1:5" x14ac:dyDescent="0.25">
      <c r="A160" s="979"/>
      <c r="B160" s="979"/>
      <c r="C160" s="979"/>
      <c r="D160" s="979"/>
      <c r="E160" s="979"/>
    </row>
    <row r="161" spans="1:5" x14ac:dyDescent="0.25">
      <c r="A161" s="979"/>
      <c r="B161" s="979"/>
      <c r="C161" s="979"/>
      <c r="D161" s="979"/>
      <c r="E161" s="979"/>
    </row>
    <row r="162" spans="1:5" x14ac:dyDescent="0.25">
      <c r="A162" s="979"/>
      <c r="B162" s="979"/>
      <c r="C162" s="979"/>
      <c r="D162" s="979"/>
      <c r="E162" s="979"/>
    </row>
    <row r="163" spans="1:5" x14ac:dyDescent="0.25">
      <c r="A163" s="979"/>
      <c r="B163" s="979"/>
      <c r="C163" s="979"/>
      <c r="D163" s="979"/>
      <c r="E163" s="979"/>
    </row>
    <row r="164" spans="1:5" x14ac:dyDescent="0.25">
      <c r="A164" s="979"/>
      <c r="B164" s="979"/>
      <c r="C164" s="979"/>
      <c r="D164" s="979"/>
      <c r="E164" s="979"/>
    </row>
    <row r="165" spans="1:5" x14ac:dyDescent="0.25">
      <c r="A165" s="979"/>
      <c r="B165" s="979"/>
      <c r="C165" s="979"/>
      <c r="D165" s="979"/>
      <c r="E165" s="979"/>
    </row>
    <row r="166" spans="1:5" x14ac:dyDescent="0.25">
      <c r="A166" s="979"/>
      <c r="B166" s="979"/>
      <c r="C166" s="979"/>
      <c r="D166" s="979"/>
      <c r="E166" s="979"/>
    </row>
    <row r="167" spans="1:5" x14ac:dyDescent="0.25">
      <c r="A167" s="979"/>
      <c r="B167" s="979"/>
      <c r="C167" s="979"/>
      <c r="D167" s="979"/>
      <c r="E167" s="979"/>
    </row>
    <row r="168" spans="1:5" x14ac:dyDescent="0.25">
      <c r="A168" s="979"/>
      <c r="B168" s="979"/>
      <c r="C168" s="979"/>
      <c r="D168" s="979"/>
      <c r="E168" s="979"/>
    </row>
    <row r="169" spans="1:5" x14ac:dyDescent="0.25">
      <c r="A169" s="979"/>
      <c r="B169" s="979"/>
      <c r="C169" s="979"/>
      <c r="D169" s="979"/>
      <c r="E169" s="979"/>
    </row>
    <row r="170" spans="1:5" x14ac:dyDescent="0.25">
      <c r="A170" s="979"/>
      <c r="B170" s="979"/>
      <c r="C170" s="979"/>
      <c r="D170" s="979"/>
      <c r="E170" s="979"/>
    </row>
    <row r="171" spans="1:5" x14ac:dyDescent="0.25">
      <c r="A171" s="979"/>
      <c r="B171" s="979"/>
      <c r="C171" s="979"/>
      <c r="D171" s="979"/>
      <c r="E171" s="979"/>
    </row>
    <row r="172" spans="1:5" x14ac:dyDescent="0.25">
      <c r="A172" s="966" t="s">
        <v>1277</v>
      </c>
      <c r="B172" s="966"/>
      <c r="C172" s="966"/>
      <c r="D172" s="966"/>
      <c r="E172" s="966"/>
    </row>
    <row r="173" spans="1:5" x14ac:dyDescent="0.25">
      <c r="A173" s="1062" t="s">
        <v>1087</v>
      </c>
      <c r="B173" s="1063"/>
      <c r="C173" s="319" t="s">
        <v>1155</v>
      </c>
      <c r="D173" s="229" t="s">
        <v>1089</v>
      </c>
      <c r="E173" s="229" t="s">
        <v>1003</v>
      </c>
    </row>
    <row r="174" spans="1:5" x14ac:dyDescent="0.25">
      <c r="A174" s="1064" t="s">
        <v>1222</v>
      </c>
      <c r="B174" s="1063"/>
      <c r="C174" s="332">
        <f>(13.66+20.06)*2</f>
        <v>67.44</v>
      </c>
      <c r="D174" s="332">
        <v>7.0000000000000007E-2</v>
      </c>
      <c r="E174" s="232">
        <f>C174*D174</f>
        <v>4.7208000000000006</v>
      </c>
    </row>
    <row r="175" spans="1:5" x14ac:dyDescent="0.25">
      <c r="A175" s="1064" t="s">
        <v>1157</v>
      </c>
      <c r="B175" s="1065"/>
      <c r="C175" s="332">
        <f>(2.94+3.65)*2</f>
        <v>13.18</v>
      </c>
      <c r="D175" s="332">
        <v>7.0000000000000007E-2</v>
      </c>
      <c r="E175" s="232">
        <f t="shared" ref="E175:E181" si="0">C175*D175</f>
        <v>0.92260000000000009</v>
      </c>
    </row>
    <row r="176" spans="1:5" x14ac:dyDescent="0.25">
      <c r="A176" s="1064" t="s">
        <v>1094</v>
      </c>
      <c r="B176" s="1065"/>
      <c r="C176" s="332">
        <f>(2.94+3.58)*2</f>
        <v>13.04</v>
      </c>
      <c r="D176" s="332">
        <v>7.0000000000000007E-2</v>
      </c>
      <c r="E176" s="232">
        <f t="shared" si="0"/>
        <v>0.91280000000000006</v>
      </c>
    </row>
    <row r="177" spans="1:5" x14ac:dyDescent="0.25">
      <c r="A177" s="1064" t="s">
        <v>1097</v>
      </c>
      <c r="B177" s="1065"/>
      <c r="C177" s="332">
        <f>(5.97+2.94)*2</f>
        <v>17.82</v>
      </c>
      <c r="D177" s="332">
        <v>7.0000000000000007E-2</v>
      </c>
      <c r="E177" s="232">
        <f t="shared" si="0"/>
        <v>1.2474000000000001</v>
      </c>
    </row>
    <row r="178" spans="1:5" x14ac:dyDescent="0.25">
      <c r="A178" s="1064" t="s">
        <v>1098</v>
      </c>
      <c r="B178" s="1065"/>
      <c r="C178" s="332">
        <f>(2.94+3)*2</f>
        <v>11.879999999999999</v>
      </c>
      <c r="D178" s="332">
        <v>7.0000000000000007E-2</v>
      </c>
      <c r="E178" s="232">
        <f t="shared" si="0"/>
        <v>0.83160000000000001</v>
      </c>
    </row>
    <row r="179" spans="1:5" x14ac:dyDescent="0.25">
      <c r="A179" s="1064" t="s">
        <v>1100</v>
      </c>
      <c r="B179" s="1065"/>
      <c r="C179" s="332">
        <f>(2.94+3.265)*2</f>
        <v>12.41</v>
      </c>
      <c r="D179" s="332">
        <v>7.0000000000000007E-2</v>
      </c>
      <c r="E179" s="232">
        <f t="shared" si="0"/>
        <v>0.86870000000000014</v>
      </c>
    </row>
    <row r="180" spans="1:5" x14ac:dyDescent="0.25">
      <c r="A180" s="1064" t="s">
        <v>1105</v>
      </c>
      <c r="B180" s="1065"/>
      <c r="C180" s="332">
        <f>((16*0.29)+(17*0.1722)+(2.24))*2</f>
        <v>19.614799999999999</v>
      </c>
      <c r="D180" s="332">
        <v>7.0000000000000007E-2</v>
      </c>
      <c r="E180" s="232">
        <f t="shared" si="0"/>
        <v>1.3730360000000001</v>
      </c>
    </row>
    <row r="181" spans="1:5" x14ac:dyDescent="0.25">
      <c r="A181" s="1064" t="s">
        <v>1278</v>
      </c>
      <c r="B181" s="1065"/>
      <c r="C181" s="332">
        <f>(7.72+20.78+6.26+8.66)</f>
        <v>43.42</v>
      </c>
      <c r="D181" s="332">
        <v>7.0000000000000007E-2</v>
      </c>
      <c r="E181" s="232">
        <f t="shared" si="0"/>
        <v>3.0394000000000005</v>
      </c>
    </row>
    <row r="182" spans="1:5" x14ac:dyDescent="0.25">
      <c r="A182" s="971" t="s">
        <v>1231</v>
      </c>
      <c r="B182" s="972"/>
      <c r="C182" s="972"/>
      <c r="D182" s="973"/>
      <c r="E182" s="238">
        <f>SUM(C174:C181)</f>
        <v>198.8048</v>
      </c>
    </row>
    <row r="183" spans="1:5" x14ac:dyDescent="0.25">
      <c r="A183" s="995" t="s">
        <v>1279</v>
      </c>
      <c r="B183" s="996"/>
      <c r="C183" s="996"/>
      <c r="D183" s="997"/>
      <c r="E183" s="233">
        <f>SUM(E174:E181)</f>
        <v>13.916336000000003</v>
      </c>
    </row>
    <row r="184" spans="1:5" x14ac:dyDescent="0.25">
      <c r="A184" s="974" t="s">
        <v>1280</v>
      </c>
      <c r="B184" s="975"/>
      <c r="C184" s="975"/>
      <c r="D184" s="976"/>
      <c r="E184" s="977"/>
    </row>
    <row r="185" spans="1:5" x14ac:dyDescent="0.25">
      <c r="A185" s="978" t="s">
        <v>997</v>
      </c>
      <c r="B185" s="978"/>
      <c r="C185" s="978"/>
      <c r="D185" s="978"/>
      <c r="E185" s="978"/>
    </row>
    <row r="186" spans="1:5" x14ac:dyDescent="0.25">
      <c r="A186" s="979"/>
      <c r="B186" s="979"/>
      <c r="C186" s="979"/>
      <c r="D186" s="979"/>
      <c r="E186" s="979"/>
    </row>
    <row r="187" spans="1:5" x14ac:dyDescent="0.25">
      <c r="A187" s="979"/>
      <c r="B187" s="979"/>
      <c r="C187" s="979"/>
      <c r="D187" s="979"/>
      <c r="E187" s="979"/>
    </row>
    <row r="188" spans="1:5" x14ac:dyDescent="0.25">
      <c r="A188" s="979"/>
      <c r="B188" s="979"/>
      <c r="C188" s="979"/>
      <c r="D188" s="979"/>
      <c r="E188" s="979"/>
    </row>
    <row r="189" spans="1:5" x14ac:dyDescent="0.25">
      <c r="A189" s="979"/>
      <c r="B189" s="979"/>
      <c r="C189" s="979"/>
      <c r="D189" s="979"/>
      <c r="E189" s="979"/>
    </row>
    <row r="190" spans="1:5" x14ac:dyDescent="0.25">
      <c r="A190" s="979"/>
      <c r="B190" s="979"/>
      <c r="C190" s="979"/>
      <c r="D190" s="979"/>
      <c r="E190" s="979"/>
    </row>
    <row r="191" spans="1:5" x14ac:dyDescent="0.25">
      <c r="A191" s="979"/>
      <c r="B191" s="979"/>
      <c r="C191" s="979"/>
      <c r="D191" s="979"/>
      <c r="E191" s="979"/>
    </row>
    <row r="192" spans="1:5" x14ac:dyDescent="0.25">
      <c r="A192" s="979"/>
      <c r="B192" s="979"/>
      <c r="C192" s="979"/>
      <c r="D192" s="979"/>
      <c r="E192" s="979"/>
    </row>
    <row r="193" spans="1:5" x14ac:dyDescent="0.25">
      <c r="A193" s="979"/>
      <c r="B193" s="979"/>
      <c r="C193" s="979"/>
      <c r="D193" s="979"/>
      <c r="E193" s="979"/>
    </row>
    <row r="194" spans="1:5" x14ac:dyDescent="0.25">
      <c r="A194" s="979"/>
      <c r="B194" s="979"/>
      <c r="C194" s="979"/>
      <c r="D194" s="979"/>
      <c r="E194" s="979"/>
    </row>
    <row r="195" spans="1:5" x14ac:dyDescent="0.25">
      <c r="A195" s="979"/>
      <c r="B195" s="979"/>
      <c r="C195" s="979"/>
      <c r="D195" s="979"/>
      <c r="E195" s="979"/>
    </row>
    <row r="196" spans="1:5" x14ac:dyDescent="0.25">
      <c r="A196" s="979"/>
      <c r="B196" s="979"/>
      <c r="C196" s="979"/>
      <c r="D196" s="979"/>
      <c r="E196" s="979"/>
    </row>
    <row r="197" spans="1:5" x14ac:dyDescent="0.25">
      <c r="A197" s="979"/>
      <c r="B197" s="979"/>
      <c r="C197" s="979"/>
      <c r="D197" s="979"/>
      <c r="E197" s="979"/>
    </row>
    <row r="198" spans="1:5" x14ac:dyDescent="0.25">
      <c r="A198" s="979"/>
      <c r="B198" s="979"/>
      <c r="C198" s="979"/>
      <c r="D198" s="979"/>
      <c r="E198" s="979"/>
    </row>
    <row r="199" spans="1:5" x14ac:dyDescent="0.25">
      <c r="A199" s="979"/>
      <c r="B199" s="979"/>
      <c r="C199" s="979"/>
      <c r="D199" s="979"/>
      <c r="E199" s="979"/>
    </row>
    <row r="200" spans="1:5" x14ac:dyDescent="0.25">
      <c r="A200" s="979"/>
      <c r="B200" s="979"/>
      <c r="C200" s="979"/>
      <c r="D200" s="979"/>
      <c r="E200" s="979"/>
    </row>
    <row r="201" spans="1:5" x14ac:dyDescent="0.25">
      <c r="A201" s="979"/>
      <c r="B201" s="979"/>
      <c r="C201" s="979"/>
      <c r="D201" s="979"/>
      <c r="E201" s="979"/>
    </row>
    <row r="202" spans="1:5" x14ac:dyDescent="0.25">
      <c r="A202" s="979"/>
      <c r="B202" s="979"/>
      <c r="C202" s="979"/>
      <c r="D202" s="979"/>
      <c r="E202" s="979"/>
    </row>
    <row r="203" spans="1:5" x14ac:dyDescent="0.25">
      <c r="A203" s="979"/>
      <c r="B203" s="979"/>
      <c r="C203" s="979"/>
      <c r="D203" s="979"/>
      <c r="E203" s="979"/>
    </row>
    <row r="204" spans="1:5" x14ac:dyDescent="0.25">
      <c r="A204" s="979"/>
      <c r="B204" s="979"/>
      <c r="C204" s="979"/>
      <c r="D204" s="979"/>
      <c r="E204" s="979"/>
    </row>
    <row r="205" spans="1:5" x14ac:dyDescent="0.25">
      <c r="A205" s="979"/>
      <c r="B205" s="979"/>
      <c r="C205" s="979"/>
      <c r="D205" s="979"/>
      <c r="E205" s="979"/>
    </row>
    <row r="206" spans="1:5" x14ac:dyDescent="0.25">
      <c r="A206" s="979"/>
      <c r="B206" s="979"/>
      <c r="C206" s="979"/>
      <c r="D206" s="979"/>
      <c r="E206" s="979"/>
    </row>
    <row r="207" spans="1:5" x14ac:dyDescent="0.25">
      <c r="A207" s="979"/>
      <c r="B207" s="979"/>
      <c r="C207" s="979"/>
      <c r="D207" s="979"/>
      <c r="E207" s="979"/>
    </row>
    <row r="208" spans="1:5" x14ac:dyDescent="0.25">
      <c r="A208" s="979"/>
      <c r="B208" s="979"/>
      <c r="C208" s="979"/>
      <c r="D208" s="979"/>
      <c r="E208" s="979"/>
    </row>
    <row r="209" spans="1:5" x14ac:dyDescent="0.25">
      <c r="A209" s="966" t="s">
        <v>1280</v>
      </c>
      <c r="B209" s="966"/>
      <c r="C209" s="966"/>
      <c r="D209" s="966"/>
      <c r="E209" s="966"/>
    </row>
    <row r="210" spans="1:5" x14ac:dyDescent="0.25">
      <c r="A210" s="1062" t="s">
        <v>1087</v>
      </c>
      <c r="B210" s="1063"/>
      <c r="C210" s="319" t="s">
        <v>1155</v>
      </c>
      <c r="D210" s="229" t="s">
        <v>1089</v>
      </c>
      <c r="E210" s="229" t="s">
        <v>1281</v>
      </c>
    </row>
    <row r="211" spans="1:5" x14ac:dyDescent="0.25">
      <c r="A211" s="1064" t="s">
        <v>1120</v>
      </c>
      <c r="B211" s="1063"/>
      <c r="C211" s="332">
        <f>(2.511+2.87)*2</f>
        <v>10.762</v>
      </c>
      <c r="D211" s="343">
        <v>7.0000000000000007E-2</v>
      </c>
      <c r="E211" s="232">
        <f>C211*D211</f>
        <v>0.75334000000000012</v>
      </c>
    </row>
    <row r="212" spans="1:5" x14ac:dyDescent="0.25">
      <c r="A212" s="1064" t="s">
        <v>1107</v>
      </c>
      <c r="B212" s="1063"/>
      <c r="C212" s="332">
        <f>(2.681+1.88)*2</f>
        <v>9.1219999999999999</v>
      </c>
      <c r="D212" s="343">
        <v>7.0000000000000007E-2</v>
      </c>
      <c r="E212" s="232">
        <f t="shared" ref="E212:E214" si="1">C212*D212</f>
        <v>0.63854000000000011</v>
      </c>
    </row>
    <row r="213" spans="1:5" x14ac:dyDescent="0.25">
      <c r="A213" s="1064" t="s">
        <v>1123</v>
      </c>
      <c r="B213" s="1063"/>
      <c r="C213" s="332">
        <f>(9.87+8.712)*2+(2.32+1.6)*2</f>
        <v>45.004000000000005</v>
      </c>
      <c r="D213" s="343">
        <v>7.0000000000000007E-2</v>
      </c>
      <c r="E213" s="232">
        <f t="shared" si="1"/>
        <v>3.1502800000000009</v>
      </c>
    </row>
    <row r="214" spans="1:5" x14ac:dyDescent="0.25">
      <c r="A214" s="1064" t="s">
        <v>1157</v>
      </c>
      <c r="B214" s="1063"/>
      <c r="C214" s="332">
        <f>(4.92+2.212)*2</f>
        <v>14.263999999999999</v>
      </c>
      <c r="D214" s="343">
        <v>7.0000000000000007E-2</v>
      </c>
      <c r="E214" s="232">
        <f t="shared" si="1"/>
        <v>0.99848000000000003</v>
      </c>
    </row>
    <row r="215" spans="1:5" x14ac:dyDescent="0.25">
      <c r="A215" s="971" t="s">
        <v>1231</v>
      </c>
      <c r="B215" s="972"/>
      <c r="C215" s="972"/>
      <c r="D215" s="973"/>
      <c r="E215" s="238">
        <f>SUM(C211:C214)</f>
        <v>79.152000000000001</v>
      </c>
    </row>
    <row r="216" spans="1:5" x14ac:dyDescent="0.25">
      <c r="A216" s="995" t="s">
        <v>1279</v>
      </c>
      <c r="B216" s="996"/>
      <c r="C216" s="996"/>
      <c r="D216" s="997"/>
      <c r="E216" s="233">
        <f>SUM(E211:E214)</f>
        <v>5.5406400000000007</v>
      </c>
    </row>
    <row r="217" spans="1:5" x14ac:dyDescent="0.25">
      <c r="A217" s="1054" t="s">
        <v>1282</v>
      </c>
      <c r="B217" s="1044"/>
      <c r="C217" s="1044"/>
      <c r="D217" s="1055"/>
      <c r="E217" s="1056"/>
    </row>
    <row r="218" spans="1:5" x14ac:dyDescent="0.25">
      <c r="A218" s="1089" t="s">
        <v>998</v>
      </c>
      <c r="B218" s="1089"/>
      <c r="C218" s="1089"/>
      <c r="D218" s="1089"/>
      <c r="E218" s="568" t="s">
        <v>158</v>
      </c>
    </row>
    <row r="219" spans="1:5" x14ac:dyDescent="0.25">
      <c r="A219" s="1089" t="s">
        <v>1283</v>
      </c>
      <c r="B219" s="1089"/>
      <c r="C219" s="1089"/>
      <c r="D219" s="1089"/>
      <c r="E219" s="568">
        <f>( 5   *   20.05 )   +   ( 9   *   11.99 )   +   ( 5   *   2.94 )   +   ( 3.65    +    3.58   +   2.15   +   3   +   3.26 )</f>
        <v>238.5</v>
      </c>
    </row>
    <row r="220" spans="1:5" x14ac:dyDescent="0.25">
      <c r="A220" s="1089" t="s">
        <v>285</v>
      </c>
      <c r="B220" s="1089"/>
      <c r="C220" s="1089"/>
      <c r="D220" s="1089"/>
      <c r="E220" s="568"/>
    </row>
    <row r="221" spans="1:5" x14ac:dyDescent="0.25">
      <c r="A221" s="1010"/>
      <c r="B221" s="1011"/>
      <c r="C221" s="1011"/>
      <c r="D221" s="1011"/>
      <c r="E221" s="1012"/>
    </row>
    <row r="222" spans="1:5" x14ac:dyDescent="0.25">
      <c r="A222" s="1013"/>
      <c r="B222" s="1014"/>
      <c r="C222" s="1014"/>
      <c r="D222" s="1014"/>
      <c r="E222" s="1015"/>
    </row>
    <row r="223" spans="1:5" x14ac:dyDescent="0.25">
      <c r="A223" s="1013"/>
      <c r="B223" s="1014"/>
      <c r="C223" s="1014"/>
      <c r="D223" s="1014"/>
      <c r="E223" s="1015"/>
    </row>
    <row r="224" spans="1:5" x14ac:dyDescent="0.25">
      <c r="A224" s="1013"/>
      <c r="B224" s="1014"/>
      <c r="C224" s="1014"/>
      <c r="D224" s="1014"/>
      <c r="E224" s="1015"/>
    </row>
    <row r="225" spans="1:5" x14ac:dyDescent="0.25">
      <c r="A225" s="1013"/>
      <c r="B225" s="1014"/>
      <c r="C225" s="1014"/>
      <c r="D225" s="1014"/>
      <c r="E225" s="1015"/>
    </row>
    <row r="226" spans="1:5" x14ac:dyDescent="0.25">
      <c r="A226" s="1013"/>
      <c r="B226" s="1014"/>
      <c r="C226" s="1014"/>
      <c r="D226" s="1014"/>
      <c r="E226" s="1015"/>
    </row>
    <row r="227" spans="1:5" x14ac:dyDescent="0.25">
      <c r="A227" s="1013"/>
      <c r="B227" s="1014"/>
      <c r="C227" s="1014"/>
      <c r="D227" s="1014"/>
      <c r="E227" s="1015"/>
    </row>
    <row r="228" spans="1:5" x14ac:dyDescent="0.25">
      <c r="A228" s="1013"/>
      <c r="B228" s="1014"/>
      <c r="C228" s="1014"/>
      <c r="D228" s="1014"/>
      <c r="E228" s="1015"/>
    </row>
    <row r="229" spans="1:5" x14ac:dyDescent="0.25">
      <c r="A229" s="1013"/>
      <c r="B229" s="1014"/>
      <c r="C229" s="1014"/>
      <c r="D229" s="1014"/>
      <c r="E229" s="1015"/>
    </row>
    <row r="230" spans="1:5" x14ac:dyDescent="0.25">
      <c r="A230" s="1013"/>
      <c r="B230" s="1014"/>
      <c r="C230" s="1014"/>
      <c r="D230" s="1014"/>
      <c r="E230" s="1015"/>
    </row>
    <row r="231" spans="1:5" x14ac:dyDescent="0.25">
      <c r="A231" s="1016"/>
      <c r="B231" s="1017"/>
      <c r="C231" s="1017"/>
      <c r="D231" s="1017"/>
      <c r="E231" s="1018"/>
    </row>
  </sheetData>
  <mergeCells count="112">
    <mergeCell ref="A179:B179"/>
    <mergeCell ref="A181:B181"/>
    <mergeCell ref="A182:D182"/>
    <mergeCell ref="A177:B177"/>
    <mergeCell ref="A178:B178"/>
    <mergeCell ref="A174:B174"/>
    <mergeCell ref="A175:B175"/>
    <mergeCell ref="A176:B176"/>
    <mergeCell ref="A221:E231"/>
    <mergeCell ref="A216:D216"/>
    <mergeCell ref="A180:B180"/>
    <mergeCell ref="A213:B213"/>
    <mergeCell ref="A214:B214"/>
    <mergeCell ref="A215:D215"/>
    <mergeCell ref="A210:B210"/>
    <mergeCell ref="A211:B211"/>
    <mergeCell ref="A212:B212"/>
    <mergeCell ref="A183:D183"/>
    <mergeCell ref="A184:E184"/>
    <mergeCell ref="A185:E185"/>
    <mergeCell ref="A186:E208"/>
    <mergeCell ref="A209:E209"/>
    <mergeCell ref="A217:E217"/>
    <mergeCell ref="A220:D220"/>
    <mergeCell ref="A172:E172"/>
    <mergeCell ref="A173:B173"/>
    <mergeCell ref="A1:E2"/>
    <mergeCell ref="A3:C3"/>
    <mergeCell ref="D3:D8"/>
    <mergeCell ref="A4:C8"/>
    <mergeCell ref="E4:E5"/>
    <mergeCell ref="E7:E8"/>
    <mergeCell ref="A9:E9"/>
    <mergeCell ref="A10:E10"/>
    <mergeCell ref="A11:E32"/>
    <mergeCell ref="A33:E33"/>
    <mergeCell ref="C35:D35"/>
    <mergeCell ref="A48:D48"/>
    <mergeCell ref="A35:B35"/>
    <mergeCell ref="A45:B45"/>
    <mergeCell ref="A36:B36"/>
    <mergeCell ref="A38:B38"/>
    <mergeCell ref="C45:D45"/>
    <mergeCell ref="A40:B40"/>
    <mergeCell ref="C40:D40"/>
    <mergeCell ref="A34:E34"/>
    <mergeCell ref="A43:E43"/>
    <mergeCell ref="A42:D42"/>
    <mergeCell ref="A75:B75"/>
    <mergeCell ref="C75:D75"/>
    <mergeCell ref="A49:E49"/>
    <mergeCell ref="A50:E50"/>
    <mergeCell ref="A51:E72"/>
    <mergeCell ref="A73:E73"/>
    <mergeCell ref="A74:B74"/>
    <mergeCell ref="C74:D74"/>
    <mergeCell ref="C36:D36"/>
    <mergeCell ref="C38:D38"/>
    <mergeCell ref="A47:D47"/>
    <mergeCell ref="A37:B37"/>
    <mergeCell ref="C37:D37"/>
    <mergeCell ref="A41:B41"/>
    <mergeCell ref="C41:D41"/>
    <mergeCell ref="A39:B39"/>
    <mergeCell ref="C39:D39"/>
    <mergeCell ref="A46:B46"/>
    <mergeCell ref="C46:D46"/>
    <mergeCell ref="A44:B44"/>
    <mergeCell ref="C44:D44"/>
    <mergeCell ref="A76:D76"/>
    <mergeCell ref="A77:D77"/>
    <mergeCell ref="A78:E78"/>
    <mergeCell ref="A79:E79"/>
    <mergeCell ref="A80:E102"/>
    <mergeCell ref="A103:E103"/>
    <mergeCell ref="A104:B104"/>
    <mergeCell ref="C104:D104"/>
    <mergeCell ref="A107:B107"/>
    <mergeCell ref="C107:D107"/>
    <mergeCell ref="A110:D110"/>
    <mergeCell ref="A105:B105"/>
    <mergeCell ref="C105:D105"/>
    <mergeCell ref="A106:B106"/>
    <mergeCell ref="C106:D106"/>
    <mergeCell ref="A108:B108"/>
    <mergeCell ref="C108:D108"/>
    <mergeCell ref="A109:D109"/>
    <mergeCell ref="A111:E111"/>
    <mergeCell ref="A218:D218"/>
    <mergeCell ref="A219:D219"/>
    <mergeCell ref="A112:E112"/>
    <mergeCell ref="A113:E136"/>
    <mergeCell ref="A137:E137"/>
    <mergeCell ref="A138:B138"/>
    <mergeCell ref="C138:D138"/>
    <mergeCell ref="A144:B144"/>
    <mergeCell ref="C144:D144"/>
    <mergeCell ref="A145:D145"/>
    <mergeCell ref="A146:D146"/>
    <mergeCell ref="A141:B141"/>
    <mergeCell ref="A142:B142"/>
    <mergeCell ref="C141:D141"/>
    <mergeCell ref="C142:D142"/>
    <mergeCell ref="A139:B139"/>
    <mergeCell ref="C139:D139"/>
    <mergeCell ref="A140:B140"/>
    <mergeCell ref="C140:D140"/>
    <mergeCell ref="A143:B143"/>
    <mergeCell ref="C143:D143"/>
    <mergeCell ref="A147:E147"/>
    <mergeCell ref="A148:E148"/>
    <mergeCell ref="A149:E171"/>
  </mergeCells>
  <pageMargins left="0.7" right="0.7" top="0.75" bottom="0.75" header="0.3" footer="0.3"/>
  <pageSetup paperSize="9" scale="69" orientation="portrait" horizontalDpi="4294967293"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C1ADC-A9DF-4612-83CC-4AF5F8030B9B}">
  <sheetPr>
    <tabColor theme="1" tint="0.34998626667073579"/>
  </sheetPr>
  <dimension ref="A1:K512"/>
  <sheetViews>
    <sheetView view="pageBreakPreview" zoomScaleNormal="70" zoomScaleSheetLayoutView="100" workbookViewId="0">
      <selection activeCell="E38" sqref="E38"/>
    </sheetView>
  </sheetViews>
  <sheetFormatPr defaultRowHeight="15" x14ac:dyDescent="0.25"/>
  <cols>
    <col min="1" max="1" width="31.42578125" customWidth="1"/>
    <col min="2" max="2" width="18" customWidth="1"/>
    <col min="3" max="3" width="18.7109375" customWidth="1"/>
    <col min="4" max="4" width="35.42578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1284</v>
      </c>
      <c r="B3" s="987"/>
      <c r="C3" s="988"/>
      <c r="D3" s="989"/>
      <c r="E3" s="228" t="s">
        <v>993</v>
      </c>
    </row>
    <row r="4" spans="1:5" ht="15" customHeight="1" x14ac:dyDescent="0.25">
      <c r="A4" s="992" t="s">
        <v>1285</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1286</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79"/>
      <c r="B27" s="979"/>
      <c r="C27" s="979"/>
      <c r="D27" s="979"/>
      <c r="E27" s="979"/>
    </row>
    <row r="28" spans="1:5" x14ac:dyDescent="0.25">
      <c r="A28" s="979"/>
      <c r="B28" s="979"/>
      <c r="C28" s="979"/>
      <c r="D28" s="979"/>
      <c r="E28" s="979"/>
    </row>
    <row r="29" spans="1:5" x14ac:dyDescent="0.25">
      <c r="A29" s="979"/>
      <c r="B29" s="979"/>
      <c r="C29" s="979"/>
      <c r="D29" s="979"/>
      <c r="E29" s="979"/>
    </row>
    <row r="30" spans="1:5" x14ac:dyDescent="0.25">
      <c r="A30" s="979"/>
      <c r="B30" s="979"/>
      <c r="C30" s="979"/>
      <c r="D30" s="979"/>
      <c r="E30" s="979"/>
    </row>
    <row r="31" spans="1:5" x14ac:dyDescent="0.25">
      <c r="A31" s="979"/>
      <c r="B31" s="979"/>
      <c r="C31" s="979"/>
      <c r="D31" s="979"/>
      <c r="E31" s="979"/>
    </row>
    <row r="32" spans="1:5" x14ac:dyDescent="0.25">
      <c r="A32" s="979"/>
      <c r="B32" s="979"/>
      <c r="C32" s="979"/>
      <c r="D32" s="979"/>
      <c r="E32" s="979"/>
    </row>
    <row r="33" spans="1:5" x14ac:dyDescent="0.25">
      <c r="A33" s="966" t="s">
        <v>1286</v>
      </c>
      <c r="B33" s="966"/>
      <c r="C33" s="966"/>
      <c r="D33" s="966"/>
      <c r="E33" s="966"/>
    </row>
    <row r="34" spans="1:5" x14ac:dyDescent="0.25">
      <c r="A34" s="967" t="s">
        <v>1087</v>
      </c>
      <c r="B34" s="968"/>
      <c r="C34" s="967" t="s">
        <v>998</v>
      </c>
      <c r="D34" s="968"/>
      <c r="E34" s="229" t="s">
        <v>1003</v>
      </c>
    </row>
    <row r="35" spans="1:5" ht="30.75" customHeight="1" x14ac:dyDescent="0.25">
      <c r="A35" s="1129" t="s">
        <v>1287</v>
      </c>
      <c r="B35" s="1130"/>
      <c r="C35" s="969" t="s">
        <v>1288</v>
      </c>
      <c r="D35" s="970"/>
      <c r="E35" s="232">
        <v>283.11</v>
      </c>
    </row>
    <row r="36" spans="1:5" ht="30.75" customHeight="1" x14ac:dyDescent="0.25">
      <c r="A36" s="1129" t="s">
        <v>1289</v>
      </c>
      <c r="B36" s="1130"/>
      <c r="C36" s="969" t="s">
        <v>1288</v>
      </c>
      <c r="D36" s="970"/>
      <c r="E36" s="232">
        <v>3</v>
      </c>
    </row>
    <row r="37" spans="1:5" ht="15" customHeight="1" x14ac:dyDescent="0.25">
      <c r="A37" s="971" t="s">
        <v>1164</v>
      </c>
      <c r="B37" s="972"/>
      <c r="C37" s="972"/>
      <c r="D37" s="973"/>
      <c r="E37" s="238">
        <f>SUM(E35:E36)</f>
        <v>286.11</v>
      </c>
    </row>
    <row r="38" spans="1:5" x14ac:dyDescent="0.25">
      <c r="A38" s="995" t="s">
        <v>1270</v>
      </c>
      <c r="B38" s="996"/>
      <c r="C38" s="996"/>
      <c r="D38" s="997"/>
      <c r="E38" s="233">
        <f>SUM(E35:E36)</f>
        <v>286.11</v>
      </c>
    </row>
    <row r="39" spans="1:5" x14ac:dyDescent="0.25">
      <c r="A39" s="974" t="s">
        <v>1290</v>
      </c>
      <c r="B39" s="975"/>
      <c r="C39" s="975"/>
      <c r="D39" s="976"/>
      <c r="E39" s="977"/>
    </row>
    <row r="40" spans="1:5" x14ac:dyDescent="0.25">
      <c r="A40" s="978" t="s">
        <v>997</v>
      </c>
      <c r="B40" s="978"/>
      <c r="C40" s="978"/>
      <c r="D40" s="978"/>
      <c r="E40" s="978"/>
    </row>
    <row r="41" spans="1:5" x14ac:dyDescent="0.25">
      <c r="A41" s="979"/>
      <c r="B41" s="979"/>
      <c r="C41" s="979"/>
      <c r="D41" s="979"/>
      <c r="E41" s="979"/>
    </row>
    <row r="42" spans="1:5" x14ac:dyDescent="0.25">
      <c r="A42" s="979"/>
      <c r="B42" s="979"/>
      <c r="C42" s="979"/>
      <c r="D42" s="979"/>
      <c r="E42" s="979"/>
    </row>
    <row r="43" spans="1:5" x14ac:dyDescent="0.25">
      <c r="A43" s="979"/>
      <c r="B43" s="979"/>
      <c r="C43" s="979"/>
      <c r="D43" s="979"/>
      <c r="E43" s="979"/>
    </row>
    <row r="44" spans="1:5" x14ac:dyDescent="0.25">
      <c r="A44" s="979"/>
      <c r="B44" s="979"/>
      <c r="C44" s="979"/>
      <c r="D44" s="979"/>
      <c r="E44" s="979"/>
    </row>
    <row r="45" spans="1:5" x14ac:dyDescent="0.25">
      <c r="A45" s="979"/>
      <c r="B45" s="979"/>
      <c r="C45" s="979"/>
      <c r="D45" s="979"/>
      <c r="E45" s="979"/>
    </row>
    <row r="46" spans="1:5" x14ac:dyDescent="0.25">
      <c r="A46" s="979"/>
      <c r="B46" s="979"/>
      <c r="C46" s="979"/>
      <c r="D46" s="979"/>
      <c r="E46" s="979"/>
    </row>
    <row r="47" spans="1:5" x14ac:dyDescent="0.25">
      <c r="A47" s="979"/>
      <c r="B47" s="979"/>
      <c r="C47" s="979"/>
      <c r="D47" s="979"/>
      <c r="E47" s="979"/>
    </row>
    <row r="48" spans="1:5" x14ac:dyDescent="0.25">
      <c r="A48" s="979"/>
      <c r="B48" s="979"/>
      <c r="C48" s="979"/>
      <c r="D48" s="979"/>
      <c r="E48" s="979"/>
    </row>
    <row r="49" spans="1:5" x14ac:dyDescent="0.25">
      <c r="A49" s="979"/>
      <c r="B49" s="979"/>
      <c r="C49" s="979"/>
      <c r="D49" s="979"/>
      <c r="E49" s="979"/>
    </row>
    <row r="50" spans="1:5" x14ac:dyDescent="0.25">
      <c r="A50" s="979"/>
      <c r="B50" s="979"/>
      <c r="C50" s="979"/>
      <c r="D50" s="979"/>
      <c r="E50" s="979"/>
    </row>
    <row r="51" spans="1:5" x14ac:dyDescent="0.25">
      <c r="A51" s="979"/>
      <c r="B51" s="979"/>
      <c r="C51" s="979"/>
      <c r="D51" s="979"/>
      <c r="E51" s="979"/>
    </row>
    <row r="52" spans="1:5" x14ac:dyDescent="0.25">
      <c r="A52" s="979"/>
      <c r="B52" s="979"/>
      <c r="C52" s="979"/>
      <c r="D52" s="979"/>
      <c r="E52" s="979"/>
    </row>
    <row r="53" spans="1:5" x14ac:dyDescent="0.25">
      <c r="A53" s="979"/>
      <c r="B53" s="979"/>
      <c r="C53" s="979"/>
      <c r="D53" s="979"/>
      <c r="E53" s="979"/>
    </row>
    <row r="54" spans="1:5" x14ac:dyDescent="0.25">
      <c r="A54" s="979"/>
      <c r="B54" s="979"/>
      <c r="C54" s="979"/>
      <c r="D54" s="979"/>
      <c r="E54" s="979"/>
    </row>
    <row r="55" spans="1:5" x14ac:dyDescent="0.25">
      <c r="A55" s="979"/>
      <c r="B55" s="979"/>
      <c r="C55" s="979"/>
      <c r="D55" s="979"/>
      <c r="E55" s="979"/>
    </row>
    <row r="56" spans="1:5" x14ac:dyDescent="0.25">
      <c r="A56" s="979"/>
      <c r="B56" s="979"/>
      <c r="C56" s="979"/>
      <c r="D56" s="979"/>
      <c r="E56" s="979"/>
    </row>
    <row r="57" spans="1:5" x14ac:dyDescent="0.25">
      <c r="A57" s="979"/>
      <c r="B57" s="979"/>
      <c r="C57" s="979"/>
      <c r="D57" s="979"/>
      <c r="E57" s="979"/>
    </row>
    <row r="58" spans="1:5" x14ac:dyDescent="0.25">
      <c r="A58" s="979"/>
      <c r="B58" s="979"/>
      <c r="C58" s="979"/>
      <c r="D58" s="979"/>
      <c r="E58" s="979"/>
    </row>
    <row r="59" spans="1:5" x14ac:dyDescent="0.25">
      <c r="A59" s="979"/>
      <c r="B59" s="979"/>
      <c r="C59" s="979"/>
      <c r="D59" s="979"/>
      <c r="E59" s="979"/>
    </row>
    <row r="60" spans="1:5" x14ac:dyDescent="0.25">
      <c r="A60" s="979"/>
      <c r="B60" s="979"/>
      <c r="C60" s="979"/>
      <c r="D60" s="979"/>
      <c r="E60" s="979"/>
    </row>
    <row r="61" spans="1:5" x14ac:dyDescent="0.25">
      <c r="A61" s="979"/>
      <c r="B61" s="979"/>
      <c r="C61" s="979"/>
      <c r="D61" s="979"/>
      <c r="E61" s="979"/>
    </row>
    <row r="62" spans="1:5" x14ac:dyDescent="0.25">
      <c r="A62" s="979"/>
      <c r="B62" s="979"/>
      <c r="C62" s="979"/>
      <c r="D62" s="979"/>
      <c r="E62" s="979"/>
    </row>
    <row r="63" spans="1:5" x14ac:dyDescent="0.25">
      <c r="A63" s="966" t="s">
        <v>1290</v>
      </c>
      <c r="B63" s="966"/>
      <c r="C63" s="966"/>
      <c r="D63" s="966"/>
      <c r="E63" s="966"/>
    </row>
    <row r="64" spans="1:5" x14ac:dyDescent="0.25">
      <c r="A64" s="967" t="s">
        <v>1087</v>
      </c>
      <c r="B64" s="968"/>
      <c r="C64" s="967" t="s">
        <v>998</v>
      </c>
      <c r="D64" s="968"/>
      <c r="E64" s="229" t="s">
        <v>1003</v>
      </c>
    </row>
    <row r="65" spans="1:5" x14ac:dyDescent="0.25">
      <c r="A65" s="1129" t="s">
        <v>1110</v>
      </c>
      <c r="B65" s="1130"/>
      <c r="C65" s="969" t="s">
        <v>1288</v>
      </c>
      <c r="D65" s="970"/>
      <c r="E65" s="232">
        <v>14.77</v>
      </c>
    </row>
    <row r="66" spans="1:5" x14ac:dyDescent="0.25">
      <c r="A66" s="1129" t="s">
        <v>1111</v>
      </c>
      <c r="B66" s="1130"/>
      <c r="C66" s="969" t="s">
        <v>1288</v>
      </c>
      <c r="D66" s="970"/>
      <c r="E66" s="232">
        <v>13.51</v>
      </c>
    </row>
    <row r="67" spans="1:5" x14ac:dyDescent="0.25">
      <c r="A67" s="971" t="s">
        <v>1164</v>
      </c>
      <c r="B67" s="972"/>
      <c r="C67" s="972"/>
      <c r="D67" s="973"/>
      <c r="E67" s="238">
        <f>SUM(E65:E66)</f>
        <v>28.28</v>
      </c>
    </row>
    <row r="68" spans="1:5" x14ac:dyDescent="0.25">
      <c r="A68" s="995" t="s">
        <v>1270</v>
      </c>
      <c r="B68" s="996"/>
      <c r="C68" s="996"/>
      <c r="D68" s="997"/>
      <c r="E68" s="233">
        <f>SUM(E65:E66)</f>
        <v>28.28</v>
      </c>
    </row>
    <row r="69" spans="1:5" x14ac:dyDescent="0.25">
      <c r="A69" s="974" t="s">
        <v>1291</v>
      </c>
      <c r="B69" s="975"/>
      <c r="C69" s="975"/>
      <c r="D69" s="976"/>
      <c r="E69" s="977"/>
    </row>
    <row r="70" spans="1:5" x14ac:dyDescent="0.25">
      <c r="A70" s="978" t="s">
        <v>997</v>
      </c>
      <c r="B70" s="978"/>
      <c r="C70" s="978"/>
      <c r="D70" s="978"/>
      <c r="E70" s="978"/>
    </row>
    <row r="71" spans="1:5" x14ac:dyDescent="0.25">
      <c r="A71" s="979"/>
      <c r="B71" s="979"/>
      <c r="C71" s="979"/>
      <c r="D71" s="979"/>
      <c r="E71" s="979"/>
    </row>
    <row r="72" spans="1:5" x14ac:dyDescent="0.25">
      <c r="A72" s="979"/>
      <c r="B72" s="979"/>
      <c r="C72" s="979"/>
      <c r="D72" s="979"/>
      <c r="E72" s="979"/>
    </row>
    <row r="73" spans="1:5" x14ac:dyDescent="0.25">
      <c r="A73" s="979"/>
      <c r="B73" s="979"/>
      <c r="C73" s="979"/>
      <c r="D73" s="979"/>
      <c r="E73" s="979"/>
    </row>
    <row r="74" spans="1:5" x14ac:dyDescent="0.25">
      <c r="A74" s="979"/>
      <c r="B74" s="979"/>
      <c r="C74" s="979"/>
      <c r="D74" s="979"/>
      <c r="E74" s="979"/>
    </row>
    <row r="75" spans="1:5" x14ac:dyDescent="0.25">
      <c r="A75" s="979"/>
      <c r="B75" s="979"/>
      <c r="C75" s="979"/>
      <c r="D75" s="979"/>
      <c r="E75" s="979"/>
    </row>
    <row r="76" spans="1:5" x14ac:dyDescent="0.25">
      <c r="A76" s="979"/>
      <c r="B76" s="979"/>
      <c r="C76" s="979"/>
      <c r="D76" s="979"/>
      <c r="E76" s="979"/>
    </row>
    <row r="77" spans="1:5" x14ac:dyDescent="0.25">
      <c r="A77" s="979"/>
      <c r="B77" s="979"/>
      <c r="C77" s="979"/>
      <c r="D77" s="979"/>
      <c r="E77" s="979"/>
    </row>
    <row r="78" spans="1:5" x14ac:dyDescent="0.25">
      <c r="A78" s="979"/>
      <c r="B78" s="979"/>
      <c r="C78" s="979"/>
      <c r="D78" s="979"/>
      <c r="E78" s="979"/>
    </row>
    <row r="79" spans="1:5" x14ac:dyDescent="0.25">
      <c r="A79" s="979"/>
      <c r="B79" s="979"/>
      <c r="C79" s="979"/>
      <c r="D79" s="979"/>
      <c r="E79" s="979"/>
    </row>
    <row r="80" spans="1:5" x14ac:dyDescent="0.25">
      <c r="A80" s="979"/>
      <c r="B80" s="979"/>
      <c r="C80" s="979"/>
      <c r="D80" s="979"/>
      <c r="E80" s="979"/>
    </row>
    <row r="81" spans="1:5" x14ac:dyDescent="0.25">
      <c r="A81" s="979"/>
      <c r="B81" s="979"/>
      <c r="C81" s="979"/>
      <c r="D81" s="979"/>
      <c r="E81" s="979"/>
    </row>
    <row r="82" spans="1:5" x14ac:dyDescent="0.25">
      <c r="A82" s="979"/>
      <c r="B82" s="979"/>
      <c r="C82" s="979"/>
      <c r="D82" s="979"/>
      <c r="E82" s="979"/>
    </row>
    <row r="83" spans="1:5" x14ac:dyDescent="0.25">
      <c r="A83" s="979"/>
      <c r="B83" s="979"/>
      <c r="C83" s="979"/>
      <c r="D83" s="979"/>
      <c r="E83" s="979"/>
    </row>
    <row r="84" spans="1:5" x14ac:dyDescent="0.25">
      <c r="A84" s="979"/>
      <c r="B84" s="979"/>
      <c r="C84" s="979"/>
      <c r="D84" s="979"/>
      <c r="E84" s="979"/>
    </row>
    <row r="85" spans="1:5" x14ac:dyDescent="0.25">
      <c r="A85" s="979"/>
      <c r="B85" s="979"/>
      <c r="C85" s="979"/>
      <c r="D85" s="979"/>
      <c r="E85" s="979"/>
    </row>
    <row r="86" spans="1:5" x14ac:dyDescent="0.25">
      <c r="A86" s="979"/>
      <c r="B86" s="979"/>
      <c r="C86" s="979"/>
      <c r="D86" s="979"/>
      <c r="E86" s="979"/>
    </row>
    <row r="87" spans="1:5" x14ac:dyDescent="0.25">
      <c r="A87" s="979"/>
      <c r="B87" s="979"/>
      <c r="C87" s="979"/>
      <c r="D87" s="979"/>
      <c r="E87" s="979"/>
    </row>
    <row r="88" spans="1:5" x14ac:dyDescent="0.25">
      <c r="A88" s="979"/>
      <c r="B88" s="979"/>
      <c r="C88" s="979"/>
      <c r="D88" s="979"/>
      <c r="E88" s="979"/>
    </row>
    <row r="89" spans="1:5" x14ac:dyDescent="0.25">
      <c r="A89" s="979"/>
      <c r="B89" s="979"/>
      <c r="C89" s="979"/>
      <c r="D89" s="979"/>
      <c r="E89" s="979"/>
    </row>
    <row r="90" spans="1:5" x14ac:dyDescent="0.25">
      <c r="A90" s="979"/>
      <c r="B90" s="979"/>
      <c r="C90" s="979"/>
      <c r="D90" s="979"/>
      <c r="E90" s="979"/>
    </row>
    <row r="91" spans="1:5" x14ac:dyDescent="0.25">
      <c r="A91" s="979"/>
      <c r="B91" s="979"/>
      <c r="C91" s="979"/>
      <c r="D91" s="979"/>
      <c r="E91" s="979"/>
    </row>
    <row r="92" spans="1:5" x14ac:dyDescent="0.25">
      <c r="A92" s="979"/>
      <c r="B92" s="979"/>
      <c r="C92" s="979"/>
      <c r="D92" s="979"/>
      <c r="E92" s="979"/>
    </row>
    <row r="93" spans="1:5" x14ac:dyDescent="0.25">
      <c r="A93" s="966" t="s">
        <v>1292</v>
      </c>
      <c r="B93" s="966"/>
      <c r="C93" s="966"/>
      <c r="D93" s="966"/>
      <c r="E93" s="966"/>
    </row>
    <row r="94" spans="1:5" x14ac:dyDescent="0.25">
      <c r="A94" s="312" t="s">
        <v>1087</v>
      </c>
      <c r="B94" s="967" t="s">
        <v>998</v>
      </c>
      <c r="C94" s="1019"/>
      <c r="D94" s="968"/>
      <c r="E94" s="229" t="s">
        <v>1293</v>
      </c>
    </row>
    <row r="95" spans="1:5" ht="14.45" customHeight="1" x14ac:dyDescent="0.25">
      <c r="A95" s="230" t="s">
        <v>1294</v>
      </c>
      <c r="B95" s="969" t="s">
        <v>1295</v>
      </c>
      <c r="C95" s="1087"/>
      <c r="D95" s="970"/>
      <c r="E95" s="232">
        <f>(0.22*0.27*2.1)+(0.835*0.27*1.1)+(2.94*0.15*2.1)+(0.27*0.15*2.1)</f>
        <v>1.383885</v>
      </c>
    </row>
    <row r="96" spans="1:5" ht="14.45" customHeight="1" x14ac:dyDescent="0.25">
      <c r="A96" s="230" t="s">
        <v>1296</v>
      </c>
      <c r="B96" s="969" t="s">
        <v>1297</v>
      </c>
      <c r="C96" s="1087" t="s">
        <v>1298</v>
      </c>
      <c r="D96" s="970"/>
      <c r="E96" s="232">
        <f>(1.11*0.27*1.1)+(2.94*0.14*2.1)+(0.27*0.14*2.1)</f>
        <v>1.2734100000000002</v>
      </c>
    </row>
    <row r="97" spans="1:5" ht="14.45" customHeight="1" x14ac:dyDescent="0.25">
      <c r="A97" s="230" t="s">
        <v>1299</v>
      </c>
      <c r="B97" s="969" t="s">
        <v>1300</v>
      </c>
      <c r="C97" s="1087" t="s">
        <v>1301</v>
      </c>
      <c r="D97" s="970"/>
      <c r="E97" s="232">
        <f>(0.95*0.27*1.1)+(2.94*0.14*2.1)+(0.27*0.14*2.1)</f>
        <v>1.2258900000000001</v>
      </c>
    </row>
    <row r="98" spans="1:5" x14ac:dyDescent="0.25">
      <c r="A98" s="230" t="s">
        <v>1302</v>
      </c>
      <c r="B98" s="969" t="s">
        <v>1303</v>
      </c>
      <c r="C98" s="1087"/>
      <c r="D98" s="970"/>
      <c r="E98" s="232">
        <f>(0.85*0.27*1.1)+(2.94*0.25*2.1)+(0.27*0.25*2.1)+(3.41*1.1*0.27)+(0.24*0.27*2.1)</f>
        <v>3.0865500000000003</v>
      </c>
    </row>
    <row r="99" spans="1:5" x14ac:dyDescent="0.25">
      <c r="A99" s="230" t="s">
        <v>1098</v>
      </c>
      <c r="B99" s="969" t="s">
        <v>1304</v>
      </c>
      <c r="C99" s="1087"/>
      <c r="D99" s="970"/>
      <c r="E99" s="232">
        <f>(2.94*2.1*0.295)+(0.27*2.1*0.295)+((1.09+1.63)*0.27*1.1)</f>
        <v>2.7964350000000002</v>
      </c>
    </row>
    <row r="100" spans="1:5" x14ac:dyDescent="0.25">
      <c r="A100" s="230" t="s">
        <v>1094</v>
      </c>
      <c r="B100" s="969" t="s">
        <v>1305</v>
      </c>
      <c r="C100" s="1087"/>
      <c r="D100" s="970"/>
      <c r="E100" s="232">
        <f>((2.94+0.27)*0.2*2.1)+((1.72+1.315)*1.1*0.27)</f>
        <v>2.2495950000000002</v>
      </c>
    </row>
    <row r="101" spans="1:5" x14ac:dyDescent="0.25">
      <c r="A101" s="230" t="s">
        <v>1306</v>
      </c>
      <c r="B101" s="969" t="s">
        <v>1307</v>
      </c>
      <c r="C101" s="1087"/>
      <c r="D101" s="970"/>
      <c r="E101" s="232">
        <f>0.15*1.91*2.1</f>
        <v>0.60165000000000002</v>
      </c>
    </row>
    <row r="102" spans="1:5" x14ac:dyDescent="0.25">
      <c r="A102" s="230" t="s">
        <v>1308</v>
      </c>
      <c r="B102" s="969"/>
      <c r="C102" s="1087"/>
      <c r="D102" s="970"/>
      <c r="E102" s="232"/>
    </row>
    <row r="103" spans="1:5" x14ac:dyDescent="0.25">
      <c r="A103" s="971" t="s">
        <v>1164</v>
      </c>
      <c r="B103" s="972"/>
      <c r="C103" s="972"/>
      <c r="D103" s="973"/>
      <c r="E103" s="238">
        <f>SUM(E95:E102)</f>
        <v>12.617415000000001</v>
      </c>
    </row>
    <row r="104" spans="1:5" x14ac:dyDescent="0.25">
      <c r="A104" s="995" t="s">
        <v>1270</v>
      </c>
      <c r="B104" s="996"/>
      <c r="C104" s="996"/>
      <c r="D104" s="997"/>
      <c r="E104" s="233">
        <f>SUM(E95:E102)</f>
        <v>12.617415000000001</v>
      </c>
    </row>
    <row r="105" spans="1:5" x14ac:dyDescent="0.25">
      <c r="A105" s="974" t="s">
        <v>1309</v>
      </c>
      <c r="B105" s="975"/>
      <c r="C105" s="975"/>
      <c r="D105" s="976"/>
      <c r="E105" s="977"/>
    </row>
    <row r="106" spans="1:5" x14ac:dyDescent="0.25">
      <c r="A106" s="978" t="s">
        <v>997</v>
      </c>
      <c r="B106" s="978"/>
      <c r="C106" s="978"/>
      <c r="D106" s="978"/>
      <c r="E106" s="978"/>
    </row>
    <row r="107" spans="1:5" x14ac:dyDescent="0.25">
      <c r="A107" s="979"/>
      <c r="B107" s="979"/>
      <c r="C107" s="979"/>
      <c r="D107" s="979"/>
      <c r="E107" s="979"/>
    </row>
    <row r="108" spans="1:5" x14ac:dyDescent="0.25">
      <c r="A108" s="979"/>
      <c r="B108" s="979"/>
      <c r="C108" s="979"/>
      <c r="D108" s="979"/>
      <c r="E108" s="979"/>
    </row>
    <row r="109" spans="1:5" x14ac:dyDescent="0.25">
      <c r="A109" s="979"/>
      <c r="B109" s="979"/>
      <c r="C109" s="979"/>
      <c r="D109" s="979"/>
      <c r="E109" s="979"/>
    </row>
    <row r="110" spans="1:5" x14ac:dyDescent="0.25">
      <c r="A110" s="979"/>
      <c r="B110" s="979"/>
      <c r="C110" s="979"/>
      <c r="D110" s="979"/>
      <c r="E110" s="979"/>
    </row>
    <row r="111" spans="1:5" x14ac:dyDescent="0.25">
      <c r="A111" s="979"/>
      <c r="B111" s="979"/>
      <c r="C111" s="979"/>
      <c r="D111" s="979"/>
      <c r="E111" s="979"/>
    </row>
    <row r="112" spans="1:5" x14ac:dyDescent="0.25">
      <c r="A112" s="979"/>
      <c r="B112" s="979"/>
      <c r="C112" s="979"/>
      <c r="D112" s="979"/>
      <c r="E112" s="979"/>
    </row>
    <row r="113" spans="1:5" x14ac:dyDescent="0.25">
      <c r="A113" s="979"/>
      <c r="B113" s="979"/>
      <c r="C113" s="979"/>
      <c r="D113" s="979"/>
      <c r="E113" s="979"/>
    </row>
    <row r="114" spans="1:5" x14ac:dyDescent="0.25">
      <c r="A114" s="979"/>
      <c r="B114" s="979"/>
      <c r="C114" s="979"/>
      <c r="D114" s="979"/>
      <c r="E114" s="979"/>
    </row>
    <row r="115" spans="1:5" x14ac:dyDescent="0.25">
      <c r="A115" s="979"/>
      <c r="B115" s="979"/>
      <c r="C115" s="979"/>
      <c r="D115" s="979"/>
      <c r="E115" s="979"/>
    </row>
    <row r="116" spans="1:5" x14ac:dyDescent="0.25">
      <c r="A116" s="979"/>
      <c r="B116" s="979"/>
      <c r="C116" s="979"/>
      <c r="D116" s="979"/>
      <c r="E116" s="979"/>
    </row>
    <row r="117" spans="1:5" x14ac:dyDescent="0.25">
      <c r="A117" s="979"/>
      <c r="B117" s="979"/>
      <c r="C117" s="979"/>
      <c r="D117" s="979"/>
      <c r="E117" s="979"/>
    </row>
    <row r="118" spans="1:5" x14ac:dyDescent="0.25">
      <c r="A118" s="979"/>
      <c r="B118" s="979"/>
      <c r="C118" s="979"/>
      <c r="D118" s="979"/>
      <c r="E118" s="979"/>
    </row>
    <row r="119" spans="1:5" x14ac:dyDescent="0.25">
      <c r="A119" s="979"/>
      <c r="B119" s="979"/>
      <c r="C119" s="979"/>
      <c r="D119" s="979"/>
      <c r="E119" s="979"/>
    </row>
    <row r="120" spans="1:5" x14ac:dyDescent="0.25">
      <c r="A120" s="979"/>
      <c r="B120" s="979"/>
      <c r="C120" s="979"/>
      <c r="D120" s="979"/>
      <c r="E120" s="979"/>
    </row>
    <row r="121" spans="1:5" x14ac:dyDescent="0.25">
      <c r="A121" s="979"/>
      <c r="B121" s="979"/>
      <c r="C121" s="979"/>
      <c r="D121" s="979"/>
      <c r="E121" s="979"/>
    </row>
    <row r="122" spans="1:5" x14ac:dyDescent="0.25">
      <c r="A122" s="979"/>
      <c r="B122" s="979"/>
      <c r="C122" s="979"/>
      <c r="D122" s="979"/>
      <c r="E122" s="979"/>
    </row>
    <row r="123" spans="1:5" x14ac:dyDescent="0.25">
      <c r="A123" s="979"/>
      <c r="B123" s="979"/>
      <c r="C123" s="979"/>
      <c r="D123" s="979"/>
      <c r="E123" s="979"/>
    </row>
    <row r="124" spans="1:5" x14ac:dyDescent="0.25">
      <c r="A124" s="979"/>
      <c r="B124" s="979"/>
      <c r="C124" s="979"/>
      <c r="D124" s="979"/>
      <c r="E124" s="979"/>
    </row>
    <row r="125" spans="1:5" x14ac:dyDescent="0.25">
      <c r="A125" s="979"/>
      <c r="B125" s="979"/>
      <c r="C125" s="979"/>
      <c r="D125" s="979"/>
      <c r="E125" s="979"/>
    </row>
    <row r="126" spans="1:5" x14ac:dyDescent="0.25">
      <c r="A126" s="979"/>
      <c r="B126" s="979"/>
      <c r="C126" s="979"/>
      <c r="D126" s="979"/>
      <c r="E126" s="979"/>
    </row>
    <row r="127" spans="1:5" x14ac:dyDescent="0.25">
      <c r="A127" s="979"/>
      <c r="B127" s="979"/>
      <c r="C127" s="979"/>
      <c r="D127" s="979"/>
      <c r="E127" s="979"/>
    </row>
    <row r="128" spans="1:5" x14ac:dyDescent="0.25">
      <c r="A128" s="979"/>
      <c r="B128" s="979"/>
      <c r="C128" s="979"/>
      <c r="D128" s="979"/>
      <c r="E128" s="979"/>
    </row>
    <row r="129" spans="1:5" x14ac:dyDescent="0.25">
      <c r="A129" s="966" t="s">
        <v>1309</v>
      </c>
      <c r="B129" s="966"/>
      <c r="C129" s="966"/>
      <c r="D129" s="966"/>
      <c r="E129" s="966"/>
    </row>
    <row r="130" spans="1:5" x14ac:dyDescent="0.25">
      <c r="A130" s="312" t="s">
        <v>1087</v>
      </c>
      <c r="B130" s="967" t="s">
        <v>998</v>
      </c>
      <c r="C130" s="1019"/>
      <c r="D130" s="968"/>
      <c r="E130" s="229" t="s">
        <v>1293</v>
      </c>
    </row>
    <row r="131" spans="1:5" x14ac:dyDescent="0.25">
      <c r="A131" s="230" t="s">
        <v>1310</v>
      </c>
      <c r="B131" s="969" t="s">
        <v>1311</v>
      </c>
      <c r="C131" s="1087"/>
      <c r="D131" s="970"/>
      <c r="E131" s="232">
        <f>(0.27*3.34*2.78)+(0.11*2.78*4.9)-(0.8*2.03*0.27)</f>
        <v>3.5669439999999994</v>
      </c>
    </row>
    <row r="132" spans="1:5" ht="14.45" customHeight="1" x14ac:dyDescent="0.25">
      <c r="A132" s="1122" t="s">
        <v>1312</v>
      </c>
      <c r="B132" s="1116" t="s">
        <v>1313</v>
      </c>
      <c r="C132" s="1117"/>
      <c r="D132" s="1118"/>
      <c r="E132" s="1114">
        <f>(2.915*0.25*2.78)+(0.11*3.03*2.78)+(1.885*0.25*2.78)+(0.27*3.03*2.78)-(0.8*2.03*0.27)</f>
        <v>6.0984119999999997</v>
      </c>
    </row>
    <row r="133" spans="1:5" x14ac:dyDescent="0.25">
      <c r="A133" s="1123"/>
      <c r="B133" s="1119"/>
      <c r="C133" s="1120"/>
      <c r="D133" s="1121"/>
      <c r="E133" s="1115"/>
    </row>
    <row r="134" spans="1:5" x14ac:dyDescent="0.25">
      <c r="A134" s="230" t="s">
        <v>1120</v>
      </c>
      <c r="B134" s="969" t="s">
        <v>1314</v>
      </c>
      <c r="C134" s="1087"/>
      <c r="D134" s="970"/>
      <c r="E134" s="232">
        <f>0.28*7.33*2.78-(0.8*2.03*0.28)</f>
        <v>5.2509519999999998</v>
      </c>
    </row>
    <row r="135" spans="1:5" x14ac:dyDescent="0.25">
      <c r="A135" s="230" t="s">
        <v>1107</v>
      </c>
      <c r="B135" s="969" t="s">
        <v>1315</v>
      </c>
      <c r="C135" s="1087"/>
      <c r="D135" s="970"/>
      <c r="E135" s="232">
        <f>2.9*0.15*2.78-(0.6*1.8*0.15)</f>
        <v>1.0472999999999999</v>
      </c>
    </row>
    <row r="136" spans="1:5" x14ac:dyDescent="0.25">
      <c r="A136" s="230" t="s">
        <v>1316</v>
      </c>
      <c r="B136" s="969" t="s">
        <v>1317</v>
      </c>
      <c r="C136" s="1087"/>
      <c r="D136" s="970"/>
      <c r="E136" s="232">
        <f>((0.28+3.26+0.27)*2.78*0.27)+(2.27*0.28*2.78)+(2.27*0.27*2.78)-(0.7*2.03*0.27)</f>
        <v>5.9469460000000005</v>
      </c>
    </row>
    <row r="137" spans="1:5" x14ac:dyDescent="0.25">
      <c r="A137" s="230" t="s">
        <v>1318</v>
      </c>
      <c r="B137" s="969" t="s">
        <v>1319</v>
      </c>
      <c r="C137" s="1087"/>
      <c r="D137" s="970"/>
      <c r="E137" s="232">
        <f>2.231*0.16*2.82</f>
        <v>1.0066271999999998</v>
      </c>
    </row>
    <row r="138" spans="1:5" x14ac:dyDescent="0.25">
      <c r="A138" s="230" t="s">
        <v>1320</v>
      </c>
      <c r="B138" s="969" t="s">
        <v>1321</v>
      </c>
      <c r="C138" s="1087"/>
      <c r="D138" s="970"/>
      <c r="E138" s="232">
        <f>(0.15*2.83*0.97)+(0.31*1.55*2.83)-(0.5*2.8*0.15)</f>
        <v>1.56158</v>
      </c>
    </row>
    <row r="139" spans="1:5" x14ac:dyDescent="0.25">
      <c r="A139" s="230" t="s">
        <v>1322</v>
      </c>
      <c r="B139" s="969" t="s">
        <v>1323</v>
      </c>
      <c r="C139" s="1087"/>
      <c r="D139" s="970"/>
      <c r="E139" s="232">
        <f>(0.28*1.55*2.83)+(0.97*0.15*2.83)-(0.5*2.8*0.15)</f>
        <v>1.4299850000000001</v>
      </c>
    </row>
    <row r="140" spans="1:5" x14ac:dyDescent="0.25">
      <c r="A140" s="1112" t="s">
        <v>1110</v>
      </c>
      <c r="B140" s="1106" t="s">
        <v>1324</v>
      </c>
      <c r="C140" s="1107"/>
      <c r="D140" s="1108"/>
      <c r="E140" s="1114">
        <f>(1.47*0.19*1.8)+(0.12*0.15*1.8)+(0.115*0.15*1.8)+(0.65*0.15*1.8)+(0.105*0.15*1.8)+(0.185*1.47*1.8)+(0.19*0.15*1.8)+(1.95*1.8*0.25)+(0.15*0.2*1.8)</f>
        <v>2.2423499999999996</v>
      </c>
    </row>
    <row r="141" spans="1:5" x14ac:dyDescent="0.25">
      <c r="A141" s="1113"/>
      <c r="B141" s="1109"/>
      <c r="C141" s="1110"/>
      <c r="D141" s="1111"/>
      <c r="E141" s="1115"/>
    </row>
    <row r="142" spans="1:5" ht="14.45" customHeight="1" x14ac:dyDescent="0.25">
      <c r="A142" s="1122" t="s">
        <v>1111</v>
      </c>
      <c r="B142" s="1106" t="s">
        <v>1325</v>
      </c>
      <c r="C142" s="1107"/>
      <c r="D142" s="1108"/>
      <c r="E142" s="1114">
        <f>(4.81*0.2*1.8)+(1.48*0.18*1.8)*2+(3.63*0.176*2.8)+(1.39*0.29*1.8)+(0.98*0.26*2.8)+(1.18*0.13*2.8)+(0.22*0.15*1.8)+(0.16*0.15*1.8)+(0.08*0.15*1.8)+(0.12*0.15*1.8)+(0.12*0.15*1.8)+(0.07*0.15*1.8)</f>
        <v>6.5559440000000002</v>
      </c>
    </row>
    <row r="143" spans="1:5" x14ac:dyDescent="0.25">
      <c r="A143" s="1128"/>
      <c r="B143" s="1124"/>
      <c r="C143" s="1125"/>
      <c r="D143" s="1126"/>
      <c r="E143" s="1127"/>
    </row>
    <row r="144" spans="1:5" x14ac:dyDescent="0.25">
      <c r="A144" s="1123"/>
      <c r="B144" s="1109"/>
      <c r="C144" s="1110"/>
      <c r="D144" s="1111"/>
      <c r="E144" s="1115"/>
    </row>
    <row r="145" spans="1:5" x14ac:dyDescent="0.25">
      <c r="A145" s="230" t="s">
        <v>1326</v>
      </c>
      <c r="B145" s="969" t="s">
        <v>1327</v>
      </c>
      <c r="C145" s="1087"/>
      <c r="D145" s="970"/>
      <c r="E145" s="311">
        <f>(1.874*0.28*3.7)-(0.9*0.45*3.1)</f>
        <v>0.68596400000000024</v>
      </c>
    </row>
    <row r="146" spans="1:5" x14ac:dyDescent="0.25">
      <c r="A146" s="971" t="s">
        <v>1164</v>
      </c>
      <c r="B146" s="972"/>
      <c r="C146" s="972"/>
      <c r="D146" s="973"/>
      <c r="E146" s="238">
        <f>SUM(E131:E145)</f>
        <v>35.393004199999993</v>
      </c>
    </row>
    <row r="147" spans="1:5" x14ac:dyDescent="0.25">
      <c r="A147" s="995" t="s">
        <v>1270</v>
      </c>
      <c r="B147" s="996"/>
      <c r="C147" s="996"/>
      <c r="D147" s="997"/>
      <c r="E147" s="233">
        <f>SUM(E131:E145)</f>
        <v>35.393004199999993</v>
      </c>
    </row>
    <row r="148" spans="1:5" x14ac:dyDescent="0.25">
      <c r="A148" s="974" t="s">
        <v>1328</v>
      </c>
      <c r="B148" s="975"/>
      <c r="C148" s="975"/>
      <c r="D148" s="976"/>
      <c r="E148" s="977"/>
    </row>
    <row r="149" spans="1:5" x14ac:dyDescent="0.25">
      <c r="A149" s="978" t="s">
        <v>997</v>
      </c>
      <c r="B149" s="978"/>
      <c r="C149" s="978"/>
      <c r="D149" s="978"/>
      <c r="E149" s="978"/>
    </row>
    <row r="150" spans="1:5" x14ac:dyDescent="0.25">
      <c r="A150" s="979"/>
      <c r="B150" s="979"/>
      <c r="C150" s="979"/>
      <c r="D150" s="979"/>
      <c r="E150" s="979"/>
    </row>
    <row r="151" spans="1:5" x14ac:dyDescent="0.25">
      <c r="A151" s="979"/>
      <c r="B151" s="979"/>
      <c r="C151" s="979"/>
      <c r="D151" s="979"/>
      <c r="E151" s="979"/>
    </row>
    <row r="152" spans="1:5" x14ac:dyDescent="0.25">
      <c r="A152" s="979"/>
      <c r="B152" s="979"/>
      <c r="C152" s="979"/>
      <c r="D152" s="979"/>
      <c r="E152" s="979"/>
    </row>
    <row r="153" spans="1:5" x14ac:dyDescent="0.25">
      <c r="A153" s="979"/>
      <c r="B153" s="979"/>
      <c r="C153" s="979"/>
      <c r="D153" s="979"/>
      <c r="E153" s="979"/>
    </row>
    <row r="154" spans="1:5" x14ac:dyDescent="0.25">
      <c r="A154" s="979"/>
      <c r="B154" s="979"/>
      <c r="C154" s="979"/>
      <c r="D154" s="979"/>
      <c r="E154" s="979"/>
    </row>
    <row r="155" spans="1:5" x14ac:dyDescent="0.25">
      <c r="A155" s="979"/>
      <c r="B155" s="979"/>
      <c r="C155" s="979"/>
      <c r="D155" s="979"/>
      <c r="E155" s="979"/>
    </row>
    <row r="156" spans="1:5" x14ac:dyDescent="0.25">
      <c r="A156" s="979"/>
      <c r="B156" s="979"/>
      <c r="C156" s="979"/>
      <c r="D156" s="979"/>
      <c r="E156" s="979"/>
    </row>
    <row r="157" spans="1:5" x14ac:dyDescent="0.25">
      <c r="A157" s="979"/>
      <c r="B157" s="979"/>
      <c r="C157" s="979"/>
      <c r="D157" s="979"/>
      <c r="E157" s="979"/>
    </row>
    <row r="158" spans="1:5" x14ac:dyDescent="0.25">
      <c r="A158" s="979"/>
      <c r="B158" s="979"/>
      <c r="C158" s="979"/>
      <c r="D158" s="979"/>
      <c r="E158" s="979"/>
    </row>
    <row r="159" spans="1:5" x14ac:dyDescent="0.25">
      <c r="A159" s="979"/>
      <c r="B159" s="979"/>
      <c r="C159" s="979"/>
      <c r="D159" s="979"/>
      <c r="E159" s="979"/>
    </row>
    <row r="160" spans="1:5" x14ac:dyDescent="0.25">
      <c r="A160" s="979"/>
      <c r="B160" s="979"/>
      <c r="C160" s="979"/>
      <c r="D160" s="979"/>
      <c r="E160" s="979"/>
    </row>
    <row r="161" spans="1:5" x14ac:dyDescent="0.25">
      <c r="A161" s="979"/>
      <c r="B161" s="979"/>
      <c r="C161" s="979"/>
      <c r="D161" s="979"/>
      <c r="E161" s="979"/>
    </row>
    <row r="162" spans="1:5" x14ac:dyDescent="0.25">
      <c r="A162" s="979"/>
      <c r="B162" s="979"/>
      <c r="C162" s="979"/>
      <c r="D162" s="979"/>
      <c r="E162" s="979"/>
    </row>
    <row r="163" spans="1:5" x14ac:dyDescent="0.25">
      <c r="A163" s="979"/>
      <c r="B163" s="979"/>
      <c r="C163" s="979"/>
      <c r="D163" s="979"/>
      <c r="E163" s="979"/>
    </row>
    <row r="164" spans="1:5" x14ac:dyDescent="0.25">
      <c r="A164" s="979"/>
      <c r="B164" s="979"/>
      <c r="C164" s="979"/>
      <c r="D164" s="979"/>
      <c r="E164" s="979"/>
    </row>
    <row r="165" spans="1:5" x14ac:dyDescent="0.25">
      <c r="A165" s="979"/>
      <c r="B165" s="979"/>
      <c r="C165" s="979"/>
      <c r="D165" s="979"/>
      <c r="E165" s="979"/>
    </row>
    <row r="166" spans="1:5" x14ac:dyDescent="0.25">
      <c r="A166" s="979"/>
      <c r="B166" s="979"/>
      <c r="C166" s="979"/>
      <c r="D166" s="979"/>
      <c r="E166" s="979"/>
    </row>
    <row r="167" spans="1:5" x14ac:dyDescent="0.25">
      <c r="A167" s="979"/>
      <c r="B167" s="979"/>
      <c r="C167" s="979"/>
      <c r="D167" s="979"/>
      <c r="E167" s="979"/>
    </row>
    <row r="168" spans="1:5" x14ac:dyDescent="0.25">
      <c r="A168" s="979"/>
      <c r="B168" s="979"/>
      <c r="C168" s="979"/>
      <c r="D168" s="979"/>
      <c r="E168" s="979"/>
    </row>
    <row r="169" spans="1:5" x14ac:dyDescent="0.25">
      <c r="A169" s="979"/>
      <c r="B169" s="979"/>
      <c r="C169" s="979"/>
      <c r="D169" s="979"/>
      <c r="E169" s="979"/>
    </row>
    <row r="170" spans="1:5" x14ac:dyDescent="0.25">
      <c r="A170" s="979"/>
      <c r="B170" s="979"/>
      <c r="C170" s="979"/>
      <c r="D170" s="979"/>
      <c r="E170" s="979"/>
    </row>
    <row r="171" spans="1:5" x14ac:dyDescent="0.25">
      <c r="A171" s="979"/>
      <c r="B171" s="979"/>
      <c r="C171" s="979"/>
      <c r="D171" s="979"/>
      <c r="E171" s="979"/>
    </row>
    <row r="172" spans="1:5" x14ac:dyDescent="0.25">
      <c r="A172" s="966" t="s">
        <v>1328</v>
      </c>
      <c r="B172" s="966"/>
      <c r="C172" s="966"/>
      <c r="D172" s="966"/>
      <c r="E172" s="966"/>
    </row>
    <row r="173" spans="1:5" x14ac:dyDescent="0.25">
      <c r="A173" s="967" t="s">
        <v>1087</v>
      </c>
      <c r="B173" s="968"/>
      <c r="C173" s="967" t="s">
        <v>998</v>
      </c>
      <c r="D173" s="968"/>
      <c r="E173" s="229" t="s">
        <v>1003</v>
      </c>
    </row>
    <row r="174" spans="1:5" ht="14.45" customHeight="1" x14ac:dyDescent="0.25">
      <c r="A174" s="1131" t="s">
        <v>1110</v>
      </c>
      <c r="B174" s="1132"/>
      <c r="C174" s="1106" t="s">
        <v>1329</v>
      </c>
      <c r="D174" s="1108"/>
      <c r="E174" s="1114">
        <f>(1.47*1.8)+(0.12*1.8)+(0.115*1.8)+(0.65*1.8)+(0.105*1.8)+(1.47*1.8)+(0.19*1.8)+(1.95*1.8)+(0.2*1.8)</f>
        <v>11.285999999999998</v>
      </c>
    </row>
    <row r="175" spans="1:5" x14ac:dyDescent="0.25">
      <c r="A175" s="1133"/>
      <c r="B175" s="1134"/>
      <c r="C175" s="1124"/>
      <c r="D175" s="1126"/>
      <c r="E175" s="1127"/>
    </row>
    <row r="176" spans="1:5" x14ac:dyDescent="0.25">
      <c r="A176" s="1135"/>
      <c r="B176" s="1136"/>
      <c r="C176" s="1109"/>
      <c r="D176" s="1111"/>
      <c r="E176" s="1115"/>
    </row>
    <row r="177" spans="1:5" ht="14.45" customHeight="1" x14ac:dyDescent="0.25">
      <c r="A177" s="1131" t="s">
        <v>1111</v>
      </c>
      <c r="B177" s="1132"/>
      <c r="C177" s="1106" t="s">
        <v>1330</v>
      </c>
      <c r="D177" s="1108"/>
      <c r="E177" s="1114">
        <f>(4.81*1.8)+(1.48*1.8)*2+(3.63*2.8)+(1.39*1.8)+(0.98*2.8)+(1.18*2.8)+(0.22*1.8)+(0.16*1.8)+(0.08*1.8)+(0.12*1.8)+(0.12*1.8)+(0.07*1.8)</f>
        <v>34.085999999999991</v>
      </c>
    </row>
    <row r="178" spans="1:5" x14ac:dyDescent="0.25">
      <c r="A178" s="1133"/>
      <c r="B178" s="1134"/>
      <c r="C178" s="1124"/>
      <c r="D178" s="1126"/>
      <c r="E178" s="1127"/>
    </row>
    <row r="179" spans="1:5" x14ac:dyDescent="0.25">
      <c r="A179" s="1135"/>
      <c r="B179" s="1136"/>
      <c r="C179" s="1109"/>
      <c r="D179" s="1111"/>
      <c r="E179" s="1115"/>
    </row>
    <row r="180" spans="1:5" x14ac:dyDescent="0.25">
      <c r="A180" s="971" t="s">
        <v>1164</v>
      </c>
      <c r="B180" s="972"/>
      <c r="C180" s="972"/>
      <c r="D180" s="973"/>
      <c r="E180" s="238">
        <f>SUM(E174:E179)</f>
        <v>45.371999999999986</v>
      </c>
    </row>
    <row r="181" spans="1:5" x14ac:dyDescent="0.25">
      <c r="A181" s="995" t="s">
        <v>1270</v>
      </c>
      <c r="B181" s="996"/>
      <c r="C181" s="996"/>
      <c r="D181" s="997"/>
      <c r="E181" s="233">
        <f>SUM(E174:E179)</f>
        <v>45.371999999999986</v>
      </c>
    </row>
    <row r="182" spans="1:5" x14ac:dyDescent="0.25">
      <c r="A182" s="974" t="s">
        <v>1331</v>
      </c>
      <c r="B182" s="975"/>
      <c r="C182" s="975"/>
      <c r="D182" s="976"/>
      <c r="E182" s="977"/>
    </row>
    <row r="183" spans="1:5" x14ac:dyDescent="0.25">
      <c r="A183" s="978" t="s">
        <v>997</v>
      </c>
      <c r="B183" s="978"/>
      <c r="C183" s="978"/>
      <c r="D183" s="978"/>
      <c r="E183" s="978"/>
    </row>
    <row r="184" spans="1:5" x14ac:dyDescent="0.25">
      <c r="A184" s="979"/>
      <c r="B184" s="979"/>
      <c r="C184" s="979"/>
      <c r="D184" s="979"/>
      <c r="E184" s="979"/>
    </row>
    <row r="185" spans="1:5" x14ac:dyDescent="0.25">
      <c r="A185" s="979"/>
      <c r="B185" s="979"/>
      <c r="C185" s="979"/>
      <c r="D185" s="979"/>
      <c r="E185" s="979"/>
    </row>
    <row r="186" spans="1:5" x14ac:dyDescent="0.25">
      <c r="A186" s="979"/>
      <c r="B186" s="979"/>
      <c r="C186" s="979"/>
      <c r="D186" s="979"/>
      <c r="E186" s="979"/>
    </row>
    <row r="187" spans="1:5" x14ac:dyDescent="0.25">
      <c r="A187" s="979"/>
      <c r="B187" s="979"/>
      <c r="C187" s="979"/>
      <c r="D187" s="979"/>
      <c r="E187" s="979"/>
    </row>
    <row r="188" spans="1:5" x14ac:dyDescent="0.25">
      <c r="A188" s="979"/>
      <c r="B188" s="979"/>
      <c r="C188" s="979"/>
      <c r="D188" s="979"/>
      <c r="E188" s="979"/>
    </row>
    <row r="189" spans="1:5" x14ac:dyDescent="0.25">
      <c r="A189" s="979"/>
      <c r="B189" s="979"/>
      <c r="C189" s="979"/>
      <c r="D189" s="979"/>
      <c r="E189" s="979"/>
    </row>
    <row r="190" spans="1:5" x14ac:dyDescent="0.25">
      <c r="A190" s="979"/>
      <c r="B190" s="979"/>
      <c r="C190" s="979"/>
      <c r="D190" s="979"/>
      <c r="E190" s="979"/>
    </row>
    <row r="191" spans="1:5" x14ac:dyDescent="0.25">
      <c r="A191" s="979"/>
      <c r="B191" s="979"/>
      <c r="C191" s="979"/>
      <c r="D191" s="979"/>
      <c r="E191" s="979"/>
    </row>
    <row r="192" spans="1:5" x14ac:dyDescent="0.25">
      <c r="A192" s="979"/>
      <c r="B192" s="979"/>
      <c r="C192" s="979"/>
      <c r="D192" s="979"/>
      <c r="E192" s="979"/>
    </row>
    <row r="193" spans="1:5" x14ac:dyDescent="0.25">
      <c r="A193" s="979"/>
      <c r="B193" s="979"/>
      <c r="C193" s="979"/>
      <c r="D193" s="979"/>
      <c r="E193" s="979"/>
    </row>
    <row r="194" spans="1:5" x14ac:dyDescent="0.25">
      <c r="A194" s="979"/>
      <c r="B194" s="979"/>
      <c r="C194" s="979"/>
      <c r="D194" s="979"/>
      <c r="E194" s="979"/>
    </row>
    <row r="195" spans="1:5" x14ac:dyDescent="0.25">
      <c r="A195" s="979"/>
      <c r="B195" s="979"/>
      <c r="C195" s="979"/>
      <c r="D195" s="979"/>
      <c r="E195" s="979"/>
    </row>
    <row r="196" spans="1:5" x14ac:dyDescent="0.25">
      <c r="A196" s="979"/>
      <c r="B196" s="979"/>
      <c r="C196" s="979"/>
      <c r="D196" s="979"/>
      <c r="E196" s="979"/>
    </row>
    <row r="197" spans="1:5" x14ac:dyDescent="0.25">
      <c r="A197" s="979"/>
      <c r="B197" s="979"/>
      <c r="C197" s="979"/>
      <c r="D197" s="979"/>
      <c r="E197" s="979"/>
    </row>
    <row r="198" spans="1:5" x14ac:dyDescent="0.25">
      <c r="A198" s="979"/>
      <c r="B198" s="979"/>
      <c r="C198" s="979"/>
      <c r="D198" s="979"/>
      <c r="E198" s="979"/>
    </row>
    <row r="199" spans="1:5" x14ac:dyDescent="0.25">
      <c r="A199" s="979"/>
      <c r="B199" s="979"/>
      <c r="C199" s="979"/>
      <c r="D199" s="979"/>
      <c r="E199" s="979"/>
    </row>
    <row r="200" spans="1:5" x14ac:dyDescent="0.25">
      <c r="A200" s="979"/>
      <c r="B200" s="979"/>
      <c r="C200" s="979"/>
      <c r="D200" s="979"/>
      <c r="E200" s="979"/>
    </row>
    <row r="201" spans="1:5" x14ac:dyDescent="0.25">
      <c r="A201" s="979"/>
      <c r="B201" s="979"/>
      <c r="C201" s="979"/>
      <c r="D201" s="979"/>
      <c r="E201" s="979"/>
    </row>
    <row r="202" spans="1:5" x14ac:dyDescent="0.25">
      <c r="A202" s="979"/>
      <c r="B202" s="979"/>
      <c r="C202" s="979"/>
      <c r="D202" s="979"/>
      <c r="E202" s="979"/>
    </row>
    <row r="203" spans="1:5" x14ac:dyDescent="0.25">
      <c r="A203" s="979"/>
      <c r="B203" s="979"/>
      <c r="C203" s="979"/>
      <c r="D203" s="979"/>
      <c r="E203" s="979"/>
    </row>
    <row r="204" spans="1:5" x14ac:dyDescent="0.25">
      <c r="A204" s="979"/>
      <c r="B204" s="979"/>
      <c r="C204" s="979"/>
      <c r="D204" s="979"/>
      <c r="E204" s="979"/>
    </row>
    <row r="205" spans="1:5" x14ac:dyDescent="0.25">
      <c r="A205" s="979"/>
      <c r="B205" s="979"/>
      <c r="C205" s="979"/>
      <c r="D205" s="979"/>
      <c r="E205" s="979"/>
    </row>
    <row r="206" spans="1:5" x14ac:dyDescent="0.25">
      <c r="A206" s="966" t="s">
        <v>1331</v>
      </c>
      <c r="B206" s="966"/>
      <c r="C206" s="966"/>
      <c r="D206" s="966"/>
      <c r="E206" s="966"/>
    </row>
    <row r="207" spans="1:5" x14ac:dyDescent="0.25">
      <c r="A207" s="967" t="s">
        <v>1087</v>
      </c>
      <c r="B207" s="968"/>
      <c r="C207" s="967" t="s">
        <v>998</v>
      </c>
      <c r="D207" s="968"/>
      <c r="E207" s="229" t="s">
        <v>1003</v>
      </c>
    </row>
    <row r="208" spans="1:5" x14ac:dyDescent="0.25">
      <c r="A208" s="1131" t="s">
        <v>1332</v>
      </c>
      <c r="B208" s="1132"/>
      <c r="C208" s="1106" t="s">
        <v>1333</v>
      </c>
      <c r="D208" s="1108"/>
      <c r="E208" s="313">
        <f>0.81*2.1</f>
        <v>1.7010000000000003</v>
      </c>
    </row>
    <row r="209" spans="1:5" x14ac:dyDescent="0.25">
      <c r="A209" s="1057" t="s">
        <v>1312</v>
      </c>
      <c r="B209" s="1058"/>
      <c r="C209" s="969" t="s">
        <v>1334</v>
      </c>
      <c r="D209" s="970"/>
      <c r="E209" s="232">
        <f>0.8*2.03</f>
        <v>1.6239999999999999</v>
      </c>
    </row>
    <row r="210" spans="1:5" x14ac:dyDescent="0.25">
      <c r="A210" s="1057" t="s">
        <v>1335</v>
      </c>
      <c r="B210" s="1058"/>
      <c r="C210" s="969" t="s">
        <v>1334</v>
      </c>
      <c r="D210" s="970"/>
      <c r="E210" s="232">
        <f>0.8*2.03</f>
        <v>1.6239999999999999</v>
      </c>
    </row>
    <row r="211" spans="1:5" x14ac:dyDescent="0.25">
      <c r="A211" s="1057" t="s">
        <v>1120</v>
      </c>
      <c r="B211" s="1058"/>
      <c r="C211" s="969" t="s">
        <v>1334</v>
      </c>
      <c r="D211" s="970"/>
      <c r="E211" s="232">
        <f>0.8*2.03</f>
        <v>1.6239999999999999</v>
      </c>
    </row>
    <row r="212" spans="1:5" x14ac:dyDescent="0.25">
      <c r="A212" s="1057" t="s">
        <v>1107</v>
      </c>
      <c r="B212" s="1058"/>
      <c r="C212" s="969" t="s">
        <v>1336</v>
      </c>
      <c r="D212" s="970"/>
      <c r="E212" s="232">
        <f>0.6*1.8</f>
        <v>1.08</v>
      </c>
    </row>
    <row r="213" spans="1:5" x14ac:dyDescent="0.25">
      <c r="A213" s="1057" t="s">
        <v>1316</v>
      </c>
      <c r="B213" s="1058"/>
      <c r="C213" s="969" t="s">
        <v>1337</v>
      </c>
      <c r="D213" s="970"/>
      <c r="E213" s="232">
        <f>0.7*2.03</f>
        <v>1.4209999999999998</v>
      </c>
    </row>
    <row r="214" spans="1:5" x14ac:dyDescent="0.25">
      <c r="A214" s="1057" t="s">
        <v>1338</v>
      </c>
      <c r="B214" s="1058"/>
      <c r="C214" s="969" t="s">
        <v>1339</v>
      </c>
      <c r="D214" s="970"/>
      <c r="E214" s="232">
        <f>0.5*2.8</f>
        <v>1.4</v>
      </c>
    </row>
    <row r="215" spans="1:5" x14ac:dyDescent="0.25">
      <c r="A215" s="1057" t="s">
        <v>1340</v>
      </c>
      <c r="B215" s="1058"/>
      <c r="C215" s="969" t="s">
        <v>1334</v>
      </c>
      <c r="D215" s="970"/>
      <c r="E215" s="232">
        <f>0.8*2.03</f>
        <v>1.6239999999999999</v>
      </c>
    </row>
    <row r="216" spans="1:5" x14ac:dyDescent="0.25">
      <c r="A216" s="1057" t="s">
        <v>1318</v>
      </c>
      <c r="B216" s="1058"/>
      <c r="C216" s="969" t="s">
        <v>1341</v>
      </c>
      <c r="D216" s="970"/>
      <c r="E216" s="232">
        <f>0.6*2.03</f>
        <v>1.2179999999999997</v>
      </c>
    </row>
    <row r="217" spans="1:5" x14ac:dyDescent="0.25">
      <c r="A217" s="1057" t="s">
        <v>1110</v>
      </c>
      <c r="B217" s="1058"/>
      <c r="C217" s="969" t="s">
        <v>1342</v>
      </c>
      <c r="D217" s="970"/>
      <c r="E217" s="232">
        <f>(0.64*1.8)*4+(0.9*2.03)</f>
        <v>6.4350000000000005</v>
      </c>
    </row>
    <row r="218" spans="1:5" x14ac:dyDescent="0.25">
      <c r="A218" s="1057" t="s">
        <v>1111</v>
      </c>
      <c r="B218" s="1058"/>
      <c r="C218" s="969" t="s">
        <v>1342</v>
      </c>
      <c r="D218" s="970"/>
      <c r="E218" s="232">
        <f>(0.64*1.8)*4+(0.9*2.03)</f>
        <v>6.4350000000000005</v>
      </c>
    </row>
    <row r="219" spans="1:5" x14ac:dyDescent="0.25">
      <c r="A219" s="1057" t="s">
        <v>1343</v>
      </c>
      <c r="B219" s="1058"/>
      <c r="C219" s="969" t="s">
        <v>1344</v>
      </c>
      <c r="D219" s="970"/>
      <c r="E219" s="232">
        <f>(0.87*2.1)*2</f>
        <v>3.6539999999999999</v>
      </c>
    </row>
    <row r="220" spans="1:5" x14ac:dyDescent="0.25">
      <c r="A220" s="1057" t="s">
        <v>1345</v>
      </c>
      <c r="B220" s="1058"/>
      <c r="C220" s="969" t="s">
        <v>1346</v>
      </c>
      <c r="D220" s="970"/>
      <c r="E220" s="232">
        <f>(0.65*2.1)*2</f>
        <v>2.7300000000000004</v>
      </c>
    </row>
    <row r="221" spans="1:5" x14ac:dyDescent="0.25">
      <c r="A221" s="1057" t="s">
        <v>1098</v>
      </c>
      <c r="B221" s="1058"/>
      <c r="C221" s="969" t="s">
        <v>1347</v>
      </c>
      <c r="D221" s="970"/>
      <c r="E221" s="232">
        <f>0.65*2.1</f>
        <v>1.3650000000000002</v>
      </c>
    </row>
    <row r="222" spans="1:5" x14ac:dyDescent="0.25">
      <c r="A222" s="1057" t="s">
        <v>1094</v>
      </c>
      <c r="B222" s="1058"/>
      <c r="C222" s="969" t="s">
        <v>1347</v>
      </c>
      <c r="D222" s="970"/>
      <c r="E222" s="232">
        <f>0.65*2.1</f>
        <v>1.3650000000000002</v>
      </c>
    </row>
    <row r="223" spans="1:5" x14ac:dyDescent="0.25">
      <c r="A223" s="971" t="s">
        <v>1164</v>
      </c>
      <c r="B223" s="972"/>
      <c r="C223" s="972"/>
      <c r="D223" s="973"/>
      <c r="E223" s="238">
        <f>SUM(E208:E222)</f>
        <v>35.300000000000004</v>
      </c>
    </row>
    <row r="224" spans="1:5" x14ac:dyDescent="0.25">
      <c r="A224" s="995" t="s">
        <v>1270</v>
      </c>
      <c r="B224" s="996"/>
      <c r="C224" s="996"/>
      <c r="D224" s="997"/>
      <c r="E224" s="233">
        <f>E223</f>
        <v>35.300000000000004</v>
      </c>
    </row>
    <row r="225" spans="1:5" x14ac:dyDescent="0.25">
      <c r="A225" s="974" t="s">
        <v>1348</v>
      </c>
      <c r="B225" s="975"/>
      <c r="C225" s="975"/>
      <c r="D225" s="976"/>
      <c r="E225" s="977"/>
    </row>
    <row r="226" spans="1:5" x14ac:dyDescent="0.25">
      <c r="A226" s="978" t="s">
        <v>997</v>
      </c>
      <c r="B226" s="978"/>
      <c r="C226" s="978"/>
      <c r="D226" s="978"/>
      <c r="E226" s="978"/>
    </row>
    <row r="227" spans="1:5" x14ac:dyDescent="0.25">
      <c r="A227" s="979" t="s">
        <v>1349</v>
      </c>
      <c r="B227" s="979"/>
      <c r="C227" s="979"/>
      <c r="D227" s="979"/>
      <c r="E227" s="979"/>
    </row>
    <row r="228" spans="1:5" x14ac:dyDescent="0.25">
      <c r="A228" s="979"/>
      <c r="B228" s="979"/>
      <c r="C228" s="979"/>
      <c r="D228" s="979"/>
      <c r="E228" s="979"/>
    </row>
    <row r="229" spans="1:5" x14ac:dyDescent="0.25">
      <c r="A229" s="979"/>
      <c r="B229" s="979"/>
      <c r="C229" s="979"/>
      <c r="D229" s="979"/>
      <c r="E229" s="979"/>
    </row>
    <row r="230" spans="1:5" x14ac:dyDescent="0.25">
      <c r="A230" s="979"/>
      <c r="B230" s="979"/>
      <c r="C230" s="979"/>
      <c r="D230" s="979"/>
      <c r="E230" s="979"/>
    </row>
    <row r="231" spans="1:5" x14ac:dyDescent="0.25">
      <c r="A231" s="979"/>
      <c r="B231" s="979"/>
      <c r="C231" s="979"/>
      <c r="D231" s="979"/>
      <c r="E231" s="979"/>
    </row>
    <row r="232" spans="1:5" x14ac:dyDescent="0.25">
      <c r="A232" s="979"/>
      <c r="B232" s="979"/>
      <c r="C232" s="979"/>
      <c r="D232" s="979"/>
      <c r="E232" s="979"/>
    </row>
    <row r="233" spans="1:5" x14ac:dyDescent="0.25">
      <c r="A233" s="979"/>
      <c r="B233" s="979"/>
      <c r="C233" s="979"/>
      <c r="D233" s="979"/>
      <c r="E233" s="979"/>
    </row>
    <row r="234" spans="1:5" x14ac:dyDescent="0.25">
      <c r="A234" s="979"/>
      <c r="B234" s="979"/>
      <c r="C234" s="979"/>
      <c r="D234" s="979"/>
      <c r="E234" s="979"/>
    </row>
    <row r="235" spans="1:5" x14ac:dyDescent="0.25">
      <c r="A235" s="979"/>
      <c r="B235" s="979"/>
      <c r="C235" s="979"/>
      <c r="D235" s="979"/>
      <c r="E235" s="979"/>
    </row>
    <row r="236" spans="1:5" x14ac:dyDescent="0.25">
      <c r="A236" s="979"/>
      <c r="B236" s="979"/>
      <c r="C236" s="979"/>
      <c r="D236" s="979"/>
      <c r="E236" s="979"/>
    </row>
    <row r="237" spans="1:5" x14ac:dyDescent="0.25">
      <c r="A237" s="979"/>
      <c r="B237" s="979"/>
      <c r="C237" s="979"/>
      <c r="D237" s="979"/>
      <c r="E237" s="979"/>
    </row>
    <row r="238" spans="1:5" x14ac:dyDescent="0.25">
      <c r="A238" s="979"/>
      <c r="B238" s="979"/>
      <c r="C238" s="979"/>
      <c r="D238" s="979"/>
      <c r="E238" s="979"/>
    </row>
    <row r="239" spans="1:5" x14ac:dyDescent="0.25">
      <c r="A239" s="979"/>
      <c r="B239" s="979"/>
      <c r="C239" s="979"/>
      <c r="D239" s="979"/>
      <c r="E239" s="979"/>
    </row>
    <row r="240" spans="1:5" x14ac:dyDescent="0.25">
      <c r="A240" s="979"/>
      <c r="B240" s="979"/>
      <c r="C240" s="979"/>
      <c r="D240" s="979"/>
      <c r="E240" s="979"/>
    </row>
    <row r="241" spans="1:5" x14ac:dyDescent="0.25">
      <c r="A241" s="979"/>
      <c r="B241" s="979"/>
      <c r="C241" s="979"/>
      <c r="D241" s="979"/>
      <c r="E241" s="979"/>
    </row>
    <row r="242" spans="1:5" x14ac:dyDescent="0.25">
      <c r="A242" s="979"/>
      <c r="B242" s="979"/>
      <c r="C242" s="979"/>
      <c r="D242" s="979"/>
      <c r="E242" s="979"/>
    </row>
    <row r="243" spans="1:5" x14ac:dyDescent="0.25">
      <c r="A243" s="979"/>
      <c r="B243" s="979"/>
      <c r="C243" s="979"/>
      <c r="D243" s="979"/>
      <c r="E243" s="979"/>
    </row>
    <row r="244" spans="1:5" x14ac:dyDescent="0.25">
      <c r="A244" s="979"/>
      <c r="B244" s="979"/>
      <c r="C244" s="979"/>
      <c r="D244" s="979"/>
      <c r="E244" s="979"/>
    </row>
    <row r="245" spans="1:5" x14ac:dyDescent="0.25">
      <c r="A245" s="979"/>
      <c r="B245" s="979"/>
      <c r="C245" s="979"/>
      <c r="D245" s="979"/>
      <c r="E245" s="979"/>
    </row>
    <row r="246" spans="1:5" x14ac:dyDescent="0.25">
      <c r="A246" s="979"/>
      <c r="B246" s="979"/>
      <c r="C246" s="979"/>
      <c r="D246" s="979"/>
      <c r="E246" s="979"/>
    </row>
    <row r="247" spans="1:5" x14ac:dyDescent="0.25">
      <c r="A247" s="979"/>
      <c r="B247" s="979"/>
      <c r="C247" s="979"/>
      <c r="D247" s="979"/>
      <c r="E247" s="979"/>
    </row>
    <row r="248" spans="1:5" x14ac:dyDescent="0.25">
      <c r="A248" s="979"/>
      <c r="B248" s="979"/>
      <c r="C248" s="979"/>
      <c r="D248" s="979"/>
      <c r="E248" s="979"/>
    </row>
    <row r="249" spans="1:5" x14ac:dyDescent="0.25">
      <c r="A249" s="966" t="s">
        <v>1348</v>
      </c>
      <c r="B249" s="966"/>
      <c r="C249" s="966"/>
      <c r="D249" s="966"/>
      <c r="E249" s="966"/>
    </row>
    <row r="250" spans="1:5" x14ac:dyDescent="0.25">
      <c r="A250" s="967" t="s">
        <v>1087</v>
      </c>
      <c r="B250" s="968"/>
      <c r="C250" s="967" t="s">
        <v>998</v>
      </c>
      <c r="D250" s="968"/>
      <c r="E250" s="229" t="s">
        <v>1003</v>
      </c>
    </row>
    <row r="251" spans="1:5" x14ac:dyDescent="0.25">
      <c r="A251" s="1131" t="s">
        <v>1350</v>
      </c>
      <c r="B251" s="1132"/>
      <c r="C251" s="1106" t="s">
        <v>1351</v>
      </c>
      <c r="D251" s="1108"/>
      <c r="E251" s="315">
        <f>3.14*1.38</f>
        <v>4.3331999999999997</v>
      </c>
    </row>
    <row r="252" spans="1:5" x14ac:dyDescent="0.25">
      <c r="A252" s="1057" t="s">
        <v>1352</v>
      </c>
      <c r="B252" s="1058"/>
      <c r="C252" s="969" t="s">
        <v>1353</v>
      </c>
      <c r="D252" s="970"/>
      <c r="E252" s="316">
        <f>4.825*1.38</f>
        <v>6.6585000000000001</v>
      </c>
    </row>
    <row r="253" spans="1:5" x14ac:dyDescent="0.25">
      <c r="A253" s="1057" t="s">
        <v>1354</v>
      </c>
      <c r="B253" s="1058"/>
      <c r="C253" s="969" t="s">
        <v>1353</v>
      </c>
      <c r="D253" s="970"/>
      <c r="E253" s="316">
        <f>4.825*1.38</f>
        <v>6.6585000000000001</v>
      </c>
    </row>
    <row r="254" spans="1:5" x14ac:dyDescent="0.25">
      <c r="A254" s="1057" t="s">
        <v>1094</v>
      </c>
      <c r="B254" s="1058"/>
      <c r="C254" s="1106" t="s">
        <v>1351</v>
      </c>
      <c r="D254" s="1108"/>
      <c r="E254" s="315">
        <f>3.14*1.38</f>
        <v>4.3331999999999997</v>
      </c>
    </row>
    <row r="255" spans="1:5" x14ac:dyDescent="0.25">
      <c r="A255" s="1057" t="s">
        <v>1335</v>
      </c>
      <c r="B255" s="1058"/>
      <c r="C255" s="1106" t="s">
        <v>1355</v>
      </c>
      <c r="D255" s="1108"/>
      <c r="E255" s="316">
        <f>1.73*1</f>
        <v>1.73</v>
      </c>
    </row>
    <row r="256" spans="1:5" x14ac:dyDescent="0.25">
      <c r="A256" s="1057" t="s">
        <v>1312</v>
      </c>
      <c r="B256" s="1058"/>
      <c r="C256" s="1106" t="s">
        <v>1355</v>
      </c>
      <c r="D256" s="1108"/>
      <c r="E256" s="316">
        <f>1.73*1</f>
        <v>1.73</v>
      </c>
    </row>
    <row r="257" spans="1:5" x14ac:dyDescent="0.25">
      <c r="A257" s="1057" t="s">
        <v>1120</v>
      </c>
      <c r="B257" s="1058"/>
      <c r="C257" s="1106" t="s">
        <v>1356</v>
      </c>
      <c r="D257" s="1108"/>
      <c r="E257" s="316">
        <f>(2.705*0.435)+(1.6*1)</f>
        <v>2.776675</v>
      </c>
    </row>
    <row r="258" spans="1:5" x14ac:dyDescent="0.25">
      <c r="A258" s="1057" t="s">
        <v>1105</v>
      </c>
      <c r="B258" s="1058"/>
      <c r="C258" s="1106" t="s">
        <v>1357</v>
      </c>
      <c r="D258" s="1108"/>
      <c r="E258" s="316">
        <f>1.6*1</f>
        <v>1.6</v>
      </c>
    </row>
    <row r="259" spans="1:5" x14ac:dyDescent="0.25">
      <c r="A259" s="1057" t="s">
        <v>1316</v>
      </c>
      <c r="B259" s="1058"/>
      <c r="C259" s="1106" t="s">
        <v>1358</v>
      </c>
      <c r="D259" s="1108"/>
      <c r="E259" s="316">
        <f>1*0.7</f>
        <v>0.7</v>
      </c>
    </row>
    <row r="260" spans="1:5" x14ac:dyDescent="0.25">
      <c r="A260" s="1057" t="s">
        <v>1338</v>
      </c>
      <c r="B260" s="1058"/>
      <c r="C260" s="1106" t="s">
        <v>1359</v>
      </c>
      <c r="D260" s="1108"/>
      <c r="E260" s="316">
        <f>(0.95*1)*2</f>
        <v>1.9</v>
      </c>
    </row>
    <row r="261" spans="1:5" x14ac:dyDescent="0.25">
      <c r="A261" s="1057" t="s">
        <v>1107</v>
      </c>
      <c r="B261" s="1058"/>
      <c r="C261" s="1106" t="s">
        <v>1360</v>
      </c>
      <c r="D261" s="1108"/>
      <c r="E261" s="316">
        <f>0.64*0.44</f>
        <v>0.28160000000000002</v>
      </c>
    </row>
    <row r="262" spans="1:5" x14ac:dyDescent="0.25">
      <c r="A262" s="1057" t="s">
        <v>1361</v>
      </c>
      <c r="B262" s="1058"/>
      <c r="C262" s="1106" t="s">
        <v>1362</v>
      </c>
      <c r="D262" s="1108"/>
      <c r="E262" s="316">
        <f>0.9*0.45</f>
        <v>0.40500000000000003</v>
      </c>
    </row>
    <row r="263" spans="1:5" x14ac:dyDescent="0.25">
      <c r="A263" s="1057" t="s">
        <v>1110</v>
      </c>
      <c r="B263" s="1058"/>
      <c r="C263" s="1106" t="s">
        <v>1363</v>
      </c>
      <c r="D263" s="1108"/>
      <c r="E263" s="316">
        <f>1.74*1</f>
        <v>1.74</v>
      </c>
    </row>
    <row r="264" spans="1:5" x14ac:dyDescent="0.25">
      <c r="A264" s="971" t="s">
        <v>1164</v>
      </c>
      <c r="B264" s="972"/>
      <c r="C264" s="972"/>
      <c r="D264" s="973"/>
      <c r="E264" s="238">
        <f>SUM(E251:E263)</f>
        <v>34.846674999999998</v>
      </c>
    </row>
    <row r="265" spans="1:5" x14ac:dyDescent="0.25">
      <c r="A265" s="995" t="s">
        <v>1270</v>
      </c>
      <c r="B265" s="996"/>
      <c r="C265" s="996"/>
      <c r="D265" s="997"/>
      <c r="E265" s="233">
        <f>E264</f>
        <v>34.846674999999998</v>
      </c>
    </row>
    <row r="266" spans="1:5" x14ac:dyDescent="0.25">
      <c r="A266" s="974" t="s">
        <v>1364</v>
      </c>
      <c r="B266" s="975"/>
      <c r="C266" s="975"/>
      <c r="D266" s="976"/>
      <c r="E266" s="977"/>
    </row>
    <row r="267" spans="1:5" x14ac:dyDescent="0.25">
      <c r="A267" s="978" t="s">
        <v>997</v>
      </c>
      <c r="B267" s="978"/>
      <c r="C267" s="978"/>
      <c r="D267" s="978"/>
      <c r="E267" s="978"/>
    </row>
    <row r="268" spans="1:5" x14ac:dyDescent="0.25">
      <c r="A268" s="979"/>
      <c r="B268" s="979"/>
      <c r="C268" s="979"/>
      <c r="D268" s="979"/>
      <c r="E268" s="979"/>
    </row>
    <row r="269" spans="1:5" x14ac:dyDescent="0.25">
      <c r="A269" s="979"/>
      <c r="B269" s="979"/>
      <c r="C269" s="979"/>
      <c r="D269" s="979"/>
      <c r="E269" s="979"/>
    </row>
    <row r="270" spans="1:5" x14ac:dyDescent="0.25">
      <c r="A270" s="979"/>
      <c r="B270" s="979"/>
      <c r="C270" s="979"/>
      <c r="D270" s="979"/>
      <c r="E270" s="979"/>
    </row>
    <row r="271" spans="1:5" x14ac:dyDescent="0.25">
      <c r="A271" s="979"/>
      <c r="B271" s="979"/>
      <c r="C271" s="979"/>
      <c r="D271" s="979"/>
      <c r="E271" s="979"/>
    </row>
    <row r="272" spans="1:5" x14ac:dyDescent="0.25">
      <c r="A272" s="979"/>
      <c r="B272" s="979"/>
      <c r="C272" s="979"/>
      <c r="D272" s="979"/>
      <c r="E272" s="979"/>
    </row>
    <row r="273" spans="1:5" x14ac:dyDescent="0.25">
      <c r="A273" s="979"/>
      <c r="B273" s="979"/>
      <c r="C273" s="979"/>
      <c r="D273" s="979"/>
      <c r="E273" s="979"/>
    </row>
    <row r="274" spans="1:5" x14ac:dyDescent="0.25">
      <c r="A274" s="979"/>
      <c r="B274" s="979"/>
      <c r="C274" s="979"/>
      <c r="D274" s="979"/>
      <c r="E274" s="979"/>
    </row>
    <row r="275" spans="1:5" x14ac:dyDescent="0.25">
      <c r="A275" s="979"/>
      <c r="B275" s="979"/>
      <c r="C275" s="979"/>
      <c r="D275" s="979"/>
      <c r="E275" s="979"/>
    </row>
    <row r="276" spans="1:5" x14ac:dyDescent="0.25">
      <c r="A276" s="979"/>
      <c r="B276" s="979"/>
      <c r="C276" s="979"/>
      <c r="D276" s="979"/>
      <c r="E276" s="979"/>
    </row>
    <row r="277" spans="1:5" x14ac:dyDescent="0.25">
      <c r="A277" s="979"/>
      <c r="B277" s="979"/>
      <c r="C277" s="979"/>
      <c r="D277" s="979"/>
      <c r="E277" s="979"/>
    </row>
    <row r="278" spans="1:5" x14ac:dyDescent="0.25">
      <c r="A278" s="979"/>
      <c r="B278" s="979"/>
      <c r="C278" s="979"/>
      <c r="D278" s="979"/>
      <c r="E278" s="979"/>
    </row>
    <row r="279" spans="1:5" x14ac:dyDescent="0.25">
      <c r="A279" s="979"/>
      <c r="B279" s="979"/>
      <c r="C279" s="979"/>
      <c r="D279" s="979"/>
      <c r="E279" s="979"/>
    </row>
    <row r="280" spans="1:5" x14ac:dyDescent="0.25">
      <c r="A280" s="979"/>
      <c r="B280" s="979"/>
      <c r="C280" s="979"/>
      <c r="D280" s="979"/>
      <c r="E280" s="979"/>
    </row>
    <row r="281" spans="1:5" x14ac:dyDescent="0.25">
      <c r="A281" s="979"/>
      <c r="B281" s="979"/>
      <c r="C281" s="979"/>
      <c r="D281" s="979"/>
      <c r="E281" s="979"/>
    </row>
    <row r="282" spans="1:5" x14ac:dyDescent="0.25">
      <c r="A282" s="979"/>
      <c r="B282" s="979"/>
      <c r="C282" s="979"/>
      <c r="D282" s="979"/>
      <c r="E282" s="979"/>
    </row>
    <row r="283" spans="1:5" x14ac:dyDescent="0.25">
      <c r="A283" s="979"/>
      <c r="B283" s="979"/>
      <c r="C283" s="979"/>
      <c r="D283" s="979"/>
      <c r="E283" s="979"/>
    </row>
    <row r="284" spans="1:5" x14ac:dyDescent="0.25">
      <c r="A284" s="979"/>
      <c r="B284" s="979"/>
      <c r="C284" s="979"/>
      <c r="D284" s="979"/>
      <c r="E284" s="979"/>
    </row>
    <row r="285" spans="1:5" x14ac:dyDescent="0.25">
      <c r="A285" s="979"/>
      <c r="B285" s="979"/>
      <c r="C285" s="979"/>
      <c r="D285" s="979"/>
      <c r="E285" s="979"/>
    </row>
    <row r="286" spans="1:5" x14ac:dyDescent="0.25">
      <c r="A286" s="979"/>
      <c r="B286" s="979"/>
      <c r="C286" s="979"/>
      <c r="D286" s="979"/>
      <c r="E286" s="979"/>
    </row>
    <row r="287" spans="1:5" x14ac:dyDescent="0.25">
      <c r="A287" s="979"/>
      <c r="B287" s="979"/>
      <c r="C287" s="979"/>
      <c r="D287" s="979"/>
      <c r="E287" s="979"/>
    </row>
    <row r="288" spans="1:5" x14ac:dyDescent="0.25">
      <c r="A288" s="979"/>
      <c r="B288" s="979"/>
      <c r="C288" s="979"/>
      <c r="D288" s="979"/>
      <c r="E288" s="979"/>
    </row>
    <row r="289" spans="1:5" x14ac:dyDescent="0.25">
      <c r="A289" s="979"/>
      <c r="B289" s="979"/>
      <c r="C289" s="979"/>
      <c r="D289" s="979"/>
      <c r="E289" s="979"/>
    </row>
    <row r="290" spans="1:5" x14ac:dyDescent="0.25">
      <c r="A290" s="966" t="s">
        <v>1364</v>
      </c>
      <c r="B290" s="966"/>
      <c r="C290" s="966"/>
      <c r="D290" s="966"/>
      <c r="E290" s="966"/>
    </row>
    <row r="291" spans="1:5" x14ac:dyDescent="0.25">
      <c r="A291" s="967" t="s">
        <v>1087</v>
      </c>
      <c r="B291" s="968"/>
      <c r="C291" s="967" t="s">
        <v>998</v>
      </c>
      <c r="D291" s="968"/>
      <c r="E291" s="229" t="s">
        <v>1003</v>
      </c>
    </row>
    <row r="292" spans="1:5" x14ac:dyDescent="0.25">
      <c r="A292" s="1131" t="s">
        <v>1294</v>
      </c>
      <c r="B292" s="1132"/>
      <c r="C292" s="1106" t="s">
        <v>1365</v>
      </c>
      <c r="D292" s="1108"/>
      <c r="E292" s="315">
        <f>((0.22+0.87)*(4.73-2.1))+((0.835)*(4.73-1.1))</f>
        <v>5.8977500000000003</v>
      </c>
    </row>
    <row r="293" spans="1:5" x14ac:dyDescent="0.25">
      <c r="A293" s="1131" t="s">
        <v>1296</v>
      </c>
      <c r="B293" s="1132"/>
      <c r="C293" s="969" t="s">
        <v>1366</v>
      </c>
      <c r="D293" s="970"/>
      <c r="E293" s="316">
        <f>((0.87)*(4.73-2.1))+((1.11)*(4.73-1.1))</f>
        <v>6.317400000000001</v>
      </c>
    </row>
    <row r="294" spans="1:5" x14ac:dyDescent="0.25">
      <c r="A294" s="1131" t="s">
        <v>1299</v>
      </c>
      <c r="B294" s="1132"/>
      <c r="C294" s="969" t="s">
        <v>1367</v>
      </c>
      <c r="D294" s="970"/>
      <c r="E294" s="316">
        <f>((0.645)*(4.73-2.1))+((0.81)*(4.73-1.1))</f>
        <v>4.6366500000000013</v>
      </c>
    </row>
    <row r="295" spans="1:5" x14ac:dyDescent="0.25">
      <c r="A295" s="1131" t="s">
        <v>1302</v>
      </c>
      <c r="B295" s="1132"/>
      <c r="C295" s="1106" t="s">
        <v>1368</v>
      </c>
      <c r="D295" s="1108"/>
      <c r="E295" s="315">
        <f>((0.64)*(4.73-2.1))+((4.755)*(4.73-1.1))</f>
        <v>18.943850000000001</v>
      </c>
    </row>
    <row r="296" spans="1:5" x14ac:dyDescent="0.25">
      <c r="A296" s="1057" t="s">
        <v>1098</v>
      </c>
      <c r="B296" s="1058"/>
      <c r="C296" s="1106" t="s">
        <v>1369</v>
      </c>
      <c r="D296" s="1108"/>
      <c r="E296" s="316">
        <f>((1.09+1.63)*(4.73-1.1))+((0.625)*(4.73-2.1))</f>
        <v>11.51735</v>
      </c>
    </row>
    <row r="297" spans="1:5" x14ac:dyDescent="0.25">
      <c r="A297" s="1057" t="s">
        <v>1094</v>
      </c>
      <c r="B297" s="1058"/>
      <c r="C297" s="1106" t="s">
        <v>1370</v>
      </c>
      <c r="D297" s="1108"/>
      <c r="E297" s="316">
        <f>((1.72+1.315)*(4.73-1.1))+((0.66)*(4.73-2.1))</f>
        <v>12.752850000000002</v>
      </c>
    </row>
    <row r="298" spans="1:5" x14ac:dyDescent="0.25">
      <c r="A298" s="971" t="s">
        <v>1164</v>
      </c>
      <c r="B298" s="972"/>
      <c r="C298" s="972"/>
      <c r="D298" s="973"/>
      <c r="E298" s="238">
        <f>SUM(E292:E297)</f>
        <v>60.065850000000012</v>
      </c>
    </row>
    <row r="299" spans="1:5" x14ac:dyDescent="0.25">
      <c r="A299" s="995" t="s">
        <v>1270</v>
      </c>
      <c r="B299" s="996"/>
      <c r="C299" s="996"/>
      <c r="D299" s="997"/>
      <c r="E299" s="233">
        <f>E298</f>
        <v>60.065850000000012</v>
      </c>
    </row>
    <row r="300" spans="1:5" x14ac:dyDescent="0.25">
      <c r="A300" s="974" t="s">
        <v>1371</v>
      </c>
      <c r="B300" s="975"/>
      <c r="C300" s="975"/>
      <c r="D300" s="976"/>
      <c r="E300" s="977"/>
    </row>
    <row r="301" spans="1:5" x14ac:dyDescent="0.25">
      <c r="A301" s="978" t="s">
        <v>997</v>
      </c>
      <c r="B301" s="978"/>
      <c r="C301" s="978"/>
      <c r="D301" s="978"/>
      <c r="E301" s="978"/>
    </row>
    <row r="302" spans="1:5" x14ac:dyDescent="0.25">
      <c r="A302" s="979"/>
      <c r="B302" s="979"/>
      <c r="C302" s="979"/>
      <c r="D302" s="979"/>
      <c r="E302" s="979"/>
    </row>
    <row r="303" spans="1:5" x14ac:dyDescent="0.25">
      <c r="A303" s="979"/>
      <c r="B303" s="979"/>
      <c r="C303" s="979"/>
      <c r="D303" s="979"/>
      <c r="E303" s="979"/>
    </row>
    <row r="304" spans="1:5" x14ac:dyDescent="0.25">
      <c r="A304" s="979"/>
      <c r="B304" s="979"/>
      <c r="C304" s="979"/>
      <c r="D304" s="979"/>
      <c r="E304" s="979"/>
    </row>
    <row r="305" spans="1:5" x14ac:dyDescent="0.25">
      <c r="A305" s="979"/>
      <c r="B305" s="979"/>
      <c r="C305" s="979"/>
      <c r="D305" s="979"/>
      <c r="E305" s="979"/>
    </row>
    <row r="306" spans="1:5" x14ac:dyDescent="0.25">
      <c r="A306" s="979"/>
      <c r="B306" s="979"/>
      <c r="C306" s="979"/>
      <c r="D306" s="979"/>
      <c r="E306" s="979"/>
    </row>
    <row r="307" spans="1:5" x14ac:dyDescent="0.25">
      <c r="A307" s="979"/>
      <c r="B307" s="979"/>
      <c r="C307" s="979"/>
      <c r="D307" s="979"/>
      <c r="E307" s="979"/>
    </row>
    <row r="308" spans="1:5" x14ac:dyDescent="0.25">
      <c r="A308" s="979"/>
      <c r="B308" s="979"/>
      <c r="C308" s="979"/>
      <c r="D308" s="979"/>
      <c r="E308" s="979"/>
    </row>
    <row r="309" spans="1:5" x14ac:dyDescent="0.25">
      <c r="A309" s="979"/>
      <c r="B309" s="979"/>
      <c r="C309" s="979"/>
      <c r="D309" s="979"/>
      <c r="E309" s="979"/>
    </row>
    <row r="310" spans="1:5" x14ac:dyDescent="0.25">
      <c r="A310" s="979"/>
      <c r="B310" s="979"/>
      <c r="C310" s="979"/>
      <c r="D310" s="979"/>
      <c r="E310" s="979"/>
    </row>
    <row r="311" spans="1:5" x14ac:dyDescent="0.25">
      <c r="A311" s="979"/>
      <c r="B311" s="979"/>
      <c r="C311" s="979"/>
      <c r="D311" s="979"/>
      <c r="E311" s="979"/>
    </row>
    <row r="312" spans="1:5" x14ac:dyDescent="0.25">
      <c r="A312" s="979"/>
      <c r="B312" s="979"/>
      <c r="C312" s="979"/>
      <c r="D312" s="979"/>
      <c r="E312" s="979"/>
    </row>
    <row r="313" spans="1:5" x14ac:dyDescent="0.25">
      <c r="A313" s="979"/>
      <c r="B313" s="979"/>
      <c r="C313" s="979"/>
      <c r="D313" s="979"/>
      <c r="E313" s="979"/>
    </row>
    <row r="314" spans="1:5" x14ac:dyDescent="0.25">
      <c r="A314" s="979"/>
      <c r="B314" s="979"/>
      <c r="C314" s="979"/>
      <c r="D314" s="979"/>
      <c r="E314" s="979"/>
    </row>
    <row r="315" spans="1:5" x14ac:dyDescent="0.25">
      <c r="A315" s="979"/>
      <c r="B315" s="979"/>
      <c r="C315" s="979"/>
      <c r="D315" s="979"/>
      <c r="E315" s="979"/>
    </row>
    <row r="316" spans="1:5" x14ac:dyDescent="0.25">
      <c r="A316" s="979"/>
      <c r="B316" s="979"/>
      <c r="C316" s="979"/>
      <c r="D316" s="979"/>
      <c r="E316" s="979"/>
    </row>
    <row r="317" spans="1:5" x14ac:dyDescent="0.25">
      <c r="A317" s="979"/>
      <c r="B317" s="979"/>
      <c r="C317" s="979"/>
      <c r="D317" s="979"/>
      <c r="E317" s="979"/>
    </row>
    <row r="318" spans="1:5" x14ac:dyDescent="0.25">
      <c r="A318" s="979"/>
      <c r="B318" s="979"/>
      <c r="C318" s="979"/>
      <c r="D318" s="979"/>
      <c r="E318" s="979"/>
    </row>
    <row r="319" spans="1:5" x14ac:dyDescent="0.25">
      <c r="A319" s="979"/>
      <c r="B319" s="979"/>
      <c r="C319" s="979"/>
      <c r="D319" s="979"/>
      <c r="E319" s="979"/>
    </row>
    <row r="320" spans="1:5" x14ac:dyDescent="0.25">
      <c r="A320" s="979"/>
      <c r="B320" s="979"/>
      <c r="C320" s="979"/>
      <c r="D320" s="979"/>
      <c r="E320" s="979"/>
    </row>
    <row r="321" spans="1:5" x14ac:dyDescent="0.25">
      <c r="A321" s="979"/>
      <c r="B321" s="979"/>
      <c r="C321" s="979"/>
      <c r="D321" s="979"/>
      <c r="E321" s="979"/>
    </row>
    <row r="322" spans="1:5" x14ac:dyDescent="0.25">
      <c r="A322" s="979"/>
      <c r="B322" s="979"/>
      <c r="C322" s="979"/>
      <c r="D322" s="979"/>
      <c r="E322" s="979"/>
    </row>
    <row r="323" spans="1:5" x14ac:dyDescent="0.25">
      <c r="A323" s="979"/>
      <c r="B323" s="979"/>
      <c r="C323" s="979"/>
      <c r="D323" s="979"/>
      <c r="E323" s="979"/>
    </row>
    <row r="324" spans="1:5" x14ac:dyDescent="0.25">
      <c r="A324" s="966" t="s">
        <v>1372</v>
      </c>
      <c r="B324" s="966"/>
      <c r="C324" s="966"/>
      <c r="D324" s="966"/>
      <c r="E324" s="966"/>
    </row>
    <row r="325" spans="1:5" x14ac:dyDescent="0.25">
      <c r="A325" s="967" t="s">
        <v>1087</v>
      </c>
      <c r="B325" s="968"/>
      <c r="C325" s="967" t="s">
        <v>998</v>
      </c>
      <c r="D325" s="968"/>
      <c r="E325" s="229" t="s">
        <v>1373</v>
      </c>
    </row>
    <row r="326" spans="1:5" x14ac:dyDescent="0.25">
      <c r="A326" s="1131" t="s">
        <v>1332</v>
      </c>
      <c r="B326" s="1132"/>
      <c r="C326" s="1106">
        <v>0</v>
      </c>
      <c r="D326" s="1108"/>
      <c r="E326" s="315">
        <v>0</v>
      </c>
    </row>
    <row r="327" spans="1:5" x14ac:dyDescent="0.25">
      <c r="A327" s="1131" t="s">
        <v>1374</v>
      </c>
      <c r="B327" s="1132"/>
      <c r="C327" s="969" t="s">
        <v>1375</v>
      </c>
      <c r="D327" s="970"/>
      <c r="E327" s="316">
        <v>4</v>
      </c>
    </row>
    <row r="328" spans="1:5" x14ac:dyDescent="0.25">
      <c r="A328" s="1131" t="s">
        <v>1105</v>
      </c>
      <c r="B328" s="1132"/>
      <c r="C328" s="969">
        <v>1</v>
      </c>
      <c r="D328" s="970"/>
      <c r="E328" s="316">
        <v>1</v>
      </c>
    </row>
    <row r="329" spans="1:5" x14ac:dyDescent="0.25">
      <c r="A329" s="1131" t="s">
        <v>1098</v>
      </c>
      <c r="B329" s="1132"/>
      <c r="C329" s="1106">
        <v>1</v>
      </c>
      <c r="D329" s="1108"/>
      <c r="E329" s="315">
        <v>1</v>
      </c>
    </row>
    <row r="330" spans="1:5" x14ac:dyDescent="0.25">
      <c r="A330" s="1057" t="s">
        <v>1094</v>
      </c>
      <c r="B330" s="1058"/>
      <c r="C330" s="1106">
        <v>1</v>
      </c>
      <c r="D330" s="1108"/>
      <c r="E330" s="316">
        <v>1</v>
      </c>
    </row>
    <row r="331" spans="1:5" x14ac:dyDescent="0.25">
      <c r="A331" s="1057" t="s">
        <v>1376</v>
      </c>
      <c r="B331" s="1058"/>
      <c r="C331" s="1106">
        <v>1</v>
      </c>
      <c r="D331" s="1108"/>
      <c r="E331" s="316">
        <v>1</v>
      </c>
    </row>
    <row r="332" spans="1:5" x14ac:dyDescent="0.25">
      <c r="A332" s="1057" t="s">
        <v>1377</v>
      </c>
      <c r="B332" s="1058"/>
      <c r="C332" s="1106">
        <v>1</v>
      </c>
      <c r="D332" s="1108"/>
      <c r="E332" s="316">
        <v>1</v>
      </c>
    </row>
    <row r="333" spans="1:5" x14ac:dyDescent="0.25">
      <c r="A333" s="1057" t="s">
        <v>1335</v>
      </c>
      <c r="B333" s="1058"/>
      <c r="C333" s="1106">
        <v>1</v>
      </c>
      <c r="D333" s="1108"/>
      <c r="E333" s="316">
        <v>1</v>
      </c>
    </row>
    <row r="334" spans="1:5" x14ac:dyDescent="0.25">
      <c r="A334" s="1057" t="s">
        <v>1312</v>
      </c>
      <c r="B334" s="1058"/>
      <c r="C334" s="1106">
        <v>1</v>
      </c>
      <c r="D334" s="1108"/>
      <c r="E334" s="316">
        <v>1</v>
      </c>
    </row>
    <row r="335" spans="1:5" x14ac:dyDescent="0.25">
      <c r="A335" s="1057" t="s">
        <v>1110</v>
      </c>
      <c r="B335" s="1058"/>
      <c r="C335" s="1106">
        <v>1</v>
      </c>
      <c r="D335" s="1108"/>
      <c r="E335" s="316">
        <v>1</v>
      </c>
    </row>
    <row r="336" spans="1:5" x14ac:dyDescent="0.25">
      <c r="A336" s="1057" t="s">
        <v>1111</v>
      </c>
      <c r="B336" s="1058"/>
      <c r="C336" s="1106">
        <v>1</v>
      </c>
      <c r="D336" s="1108"/>
      <c r="E336" s="316">
        <v>1</v>
      </c>
    </row>
    <row r="337" spans="1:5" x14ac:dyDescent="0.25">
      <c r="A337" s="971" t="s">
        <v>1164</v>
      </c>
      <c r="B337" s="972"/>
      <c r="C337" s="972"/>
      <c r="D337" s="973"/>
      <c r="E337" s="238">
        <f>SUM(E326:E336)</f>
        <v>13</v>
      </c>
    </row>
    <row r="338" spans="1:5" x14ac:dyDescent="0.25">
      <c r="A338" s="995" t="s">
        <v>1270</v>
      </c>
      <c r="B338" s="996"/>
      <c r="C338" s="996"/>
      <c r="D338" s="997"/>
      <c r="E338" s="233">
        <f>E337</f>
        <v>13</v>
      </c>
    </row>
    <row r="339" spans="1:5" x14ac:dyDescent="0.25">
      <c r="A339" s="974" t="s">
        <v>1378</v>
      </c>
      <c r="B339" s="975"/>
      <c r="C339" s="975"/>
      <c r="D339" s="976"/>
      <c r="E339" s="977"/>
    </row>
    <row r="340" spans="1:5" x14ac:dyDescent="0.25">
      <c r="A340" s="978" t="s">
        <v>997</v>
      </c>
      <c r="B340" s="978"/>
      <c r="C340" s="978"/>
      <c r="D340" s="978"/>
      <c r="E340" s="978"/>
    </row>
    <row r="341" spans="1:5" x14ac:dyDescent="0.25">
      <c r="A341" s="979"/>
      <c r="B341" s="979"/>
      <c r="C341" s="979"/>
      <c r="D341" s="979"/>
      <c r="E341" s="979"/>
    </row>
    <row r="342" spans="1:5" x14ac:dyDescent="0.25">
      <c r="A342" s="979"/>
      <c r="B342" s="979"/>
      <c r="C342" s="979"/>
      <c r="D342" s="979"/>
      <c r="E342" s="979"/>
    </row>
    <row r="343" spans="1:5" x14ac:dyDescent="0.25">
      <c r="A343" s="979"/>
      <c r="B343" s="979"/>
      <c r="C343" s="979"/>
      <c r="D343" s="979"/>
      <c r="E343" s="979"/>
    </row>
    <row r="344" spans="1:5" x14ac:dyDescent="0.25">
      <c r="A344" s="979"/>
      <c r="B344" s="979"/>
      <c r="C344" s="979"/>
      <c r="D344" s="979"/>
      <c r="E344" s="979"/>
    </row>
    <row r="345" spans="1:5" x14ac:dyDescent="0.25">
      <c r="A345" s="979"/>
      <c r="B345" s="979"/>
      <c r="C345" s="979"/>
      <c r="D345" s="979"/>
      <c r="E345" s="979"/>
    </row>
    <row r="346" spans="1:5" x14ac:dyDescent="0.25">
      <c r="A346" s="979"/>
      <c r="B346" s="979"/>
      <c r="C346" s="979"/>
      <c r="D346" s="979"/>
      <c r="E346" s="979"/>
    </row>
    <row r="347" spans="1:5" x14ac:dyDescent="0.25">
      <c r="A347" s="979"/>
      <c r="B347" s="979"/>
      <c r="C347" s="979"/>
      <c r="D347" s="979"/>
      <c r="E347" s="979"/>
    </row>
    <row r="348" spans="1:5" x14ac:dyDescent="0.25">
      <c r="A348" s="979"/>
      <c r="B348" s="979"/>
      <c r="C348" s="979"/>
      <c r="D348" s="979"/>
      <c r="E348" s="979"/>
    </row>
    <row r="349" spans="1:5" x14ac:dyDescent="0.25">
      <c r="A349" s="979"/>
      <c r="B349" s="979"/>
      <c r="C349" s="979"/>
      <c r="D349" s="979"/>
      <c r="E349" s="979"/>
    </row>
    <row r="350" spans="1:5" x14ac:dyDescent="0.25">
      <c r="A350" s="979"/>
      <c r="B350" s="979"/>
      <c r="C350" s="979"/>
      <c r="D350" s="979"/>
      <c r="E350" s="979"/>
    </row>
    <row r="351" spans="1:5" x14ac:dyDescent="0.25">
      <c r="A351" s="979"/>
      <c r="B351" s="979"/>
      <c r="C351" s="979"/>
      <c r="D351" s="979"/>
      <c r="E351" s="979"/>
    </row>
    <row r="352" spans="1:5" x14ac:dyDescent="0.25">
      <c r="A352" s="979"/>
      <c r="B352" s="979"/>
      <c r="C352" s="979"/>
      <c r="D352" s="979"/>
      <c r="E352" s="979"/>
    </row>
    <row r="353" spans="1:5" x14ac:dyDescent="0.25">
      <c r="A353" s="979"/>
      <c r="B353" s="979"/>
      <c r="C353" s="979"/>
      <c r="D353" s="979"/>
      <c r="E353" s="979"/>
    </row>
    <row r="354" spans="1:5" x14ac:dyDescent="0.25">
      <c r="A354" s="979"/>
      <c r="B354" s="979"/>
      <c r="C354" s="979"/>
      <c r="D354" s="979"/>
      <c r="E354" s="979"/>
    </row>
    <row r="355" spans="1:5" x14ac:dyDescent="0.25">
      <c r="A355" s="979"/>
      <c r="B355" s="979"/>
      <c r="C355" s="979"/>
      <c r="D355" s="979"/>
      <c r="E355" s="979"/>
    </row>
    <row r="356" spans="1:5" x14ac:dyDescent="0.25">
      <c r="A356" s="979"/>
      <c r="B356" s="979"/>
      <c r="C356" s="979"/>
      <c r="D356" s="979"/>
      <c r="E356" s="979"/>
    </row>
    <row r="357" spans="1:5" x14ac:dyDescent="0.25">
      <c r="A357" s="979"/>
      <c r="B357" s="979"/>
      <c r="C357" s="979"/>
      <c r="D357" s="979"/>
      <c r="E357" s="979"/>
    </row>
    <row r="358" spans="1:5" x14ac:dyDescent="0.25">
      <c r="A358" s="979"/>
      <c r="B358" s="979"/>
      <c r="C358" s="979"/>
      <c r="D358" s="979"/>
      <c r="E358" s="979"/>
    </row>
    <row r="359" spans="1:5" x14ac:dyDescent="0.25">
      <c r="A359" s="979"/>
      <c r="B359" s="979"/>
      <c r="C359" s="979"/>
      <c r="D359" s="979"/>
      <c r="E359" s="979"/>
    </row>
    <row r="360" spans="1:5" x14ac:dyDescent="0.25">
      <c r="A360" s="979"/>
      <c r="B360" s="979"/>
      <c r="C360" s="979"/>
      <c r="D360" s="979"/>
      <c r="E360" s="979"/>
    </row>
    <row r="361" spans="1:5" x14ac:dyDescent="0.25">
      <c r="A361" s="979"/>
      <c r="B361" s="979"/>
      <c r="C361" s="979"/>
      <c r="D361" s="979"/>
      <c r="E361" s="979"/>
    </row>
    <row r="362" spans="1:5" x14ac:dyDescent="0.25">
      <c r="A362" s="979"/>
      <c r="B362" s="979"/>
      <c r="C362" s="979"/>
      <c r="D362" s="979"/>
      <c r="E362" s="979"/>
    </row>
    <row r="363" spans="1:5" x14ac:dyDescent="0.25">
      <c r="A363" s="966" t="s">
        <v>1378</v>
      </c>
      <c r="B363" s="966"/>
      <c r="C363" s="966"/>
      <c r="D363" s="966"/>
      <c r="E363" s="966"/>
    </row>
    <row r="364" spans="1:5" x14ac:dyDescent="0.25">
      <c r="A364" s="1105" t="s">
        <v>1087</v>
      </c>
      <c r="B364" s="1105"/>
      <c r="C364" s="1105" t="s">
        <v>998</v>
      </c>
      <c r="D364" s="1105"/>
      <c r="E364" s="229" t="s">
        <v>1293</v>
      </c>
    </row>
    <row r="365" spans="1:5" ht="14.45" customHeight="1" x14ac:dyDescent="0.25">
      <c r="A365" s="1131" t="s">
        <v>1105</v>
      </c>
      <c r="B365" s="1132"/>
      <c r="C365" s="1106" t="s">
        <v>1379</v>
      </c>
      <c r="D365" s="1108"/>
      <c r="E365" s="1114">
        <f>((1.58*0.2*0.3)*4)+((1.34*0.2*0.3)*9)+(1.35*1.965*0.2)+(2.01*1.35*0.2)</f>
        <v>2.17605</v>
      </c>
    </row>
    <row r="366" spans="1:5" ht="14.45" customHeight="1" x14ac:dyDescent="0.25">
      <c r="A366" s="1133"/>
      <c r="B366" s="1134"/>
      <c r="C366" s="1124"/>
      <c r="D366" s="1126"/>
      <c r="E366" s="1127"/>
    </row>
    <row r="367" spans="1:5" x14ac:dyDescent="0.25">
      <c r="A367" s="1135"/>
      <c r="B367" s="1136"/>
      <c r="C367" s="1109"/>
      <c r="D367" s="1111"/>
      <c r="E367" s="1115"/>
    </row>
    <row r="368" spans="1:5" x14ac:dyDescent="0.25">
      <c r="A368" s="1104" t="s">
        <v>1164</v>
      </c>
      <c r="B368" s="1104"/>
      <c r="C368" s="1104"/>
      <c r="D368" s="1104"/>
      <c r="E368" s="317">
        <f>SUM(E365:E365)</f>
        <v>2.17605</v>
      </c>
    </row>
    <row r="369" spans="1:5" x14ac:dyDescent="0.25">
      <c r="A369" s="1093" t="s">
        <v>1270</v>
      </c>
      <c r="B369" s="1093"/>
      <c r="C369" s="1093"/>
      <c r="D369" s="1093"/>
      <c r="E369" s="233">
        <f>E368</f>
        <v>2.17605</v>
      </c>
    </row>
    <row r="370" spans="1:5" x14ac:dyDescent="0.25">
      <c r="A370" s="974" t="s">
        <v>1380</v>
      </c>
      <c r="B370" s="975"/>
      <c r="C370" s="975"/>
      <c r="D370" s="976"/>
      <c r="E370" s="977"/>
    </row>
    <row r="371" spans="1:5" x14ac:dyDescent="0.25">
      <c r="A371" s="978" t="s">
        <v>997</v>
      </c>
      <c r="B371" s="978"/>
      <c r="C371" s="978"/>
      <c r="D371" s="978"/>
      <c r="E371" s="978"/>
    </row>
    <row r="372" spans="1:5" x14ac:dyDescent="0.25">
      <c r="A372" s="979"/>
      <c r="B372" s="979"/>
      <c r="C372" s="979"/>
      <c r="D372" s="979"/>
      <c r="E372" s="979"/>
    </row>
    <row r="373" spans="1:5" x14ac:dyDescent="0.25">
      <c r="A373" s="979"/>
      <c r="B373" s="979"/>
      <c r="C373" s="979"/>
      <c r="D373" s="979"/>
      <c r="E373" s="979"/>
    </row>
    <row r="374" spans="1:5" x14ac:dyDescent="0.25">
      <c r="A374" s="979"/>
      <c r="B374" s="979"/>
      <c r="C374" s="979"/>
      <c r="D374" s="979"/>
      <c r="E374" s="979"/>
    </row>
    <row r="375" spans="1:5" x14ac:dyDescent="0.25">
      <c r="A375" s="979"/>
      <c r="B375" s="979"/>
      <c r="C375" s="979"/>
      <c r="D375" s="979"/>
      <c r="E375" s="979"/>
    </row>
    <row r="376" spans="1:5" x14ac:dyDescent="0.25">
      <c r="A376" s="979"/>
      <c r="B376" s="979"/>
      <c r="C376" s="979"/>
      <c r="D376" s="979"/>
      <c r="E376" s="979"/>
    </row>
    <row r="377" spans="1:5" x14ac:dyDescent="0.25">
      <c r="A377" s="979"/>
      <c r="B377" s="979"/>
      <c r="C377" s="979"/>
      <c r="D377" s="979"/>
      <c r="E377" s="979"/>
    </row>
    <row r="378" spans="1:5" x14ac:dyDescent="0.25">
      <c r="A378" s="979"/>
      <c r="B378" s="979"/>
      <c r="C378" s="979"/>
      <c r="D378" s="979"/>
      <c r="E378" s="979"/>
    </row>
    <row r="379" spans="1:5" x14ac:dyDescent="0.25">
      <c r="A379" s="979"/>
      <c r="B379" s="979"/>
      <c r="C379" s="979"/>
      <c r="D379" s="979"/>
      <c r="E379" s="979"/>
    </row>
    <row r="380" spans="1:5" x14ac:dyDescent="0.25">
      <c r="A380" s="979"/>
      <c r="B380" s="979"/>
      <c r="C380" s="979"/>
      <c r="D380" s="979"/>
      <c r="E380" s="979"/>
    </row>
    <row r="381" spans="1:5" x14ac:dyDescent="0.25">
      <c r="A381" s="979"/>
      <c r="B381" s="979"/>
      <c r="C381" s="979"/>
      <c r="D381" s="979"/>
      <c r="E381" s="979"/>
    </row>
    <row r="382" spans="1:5" x14ac:dyDescent="0.25">
      <c r="A382" s="979"/>
      <c r="B382" s="979"/>
      <c r="C382" s="979"/>
      <c r="D382" s="979"/>
      <c r="E382" s="979"/>
    </row>
    <row r="383" spans="1:5" x14ac:dyDescent="0.25">
      <c r="A383" s="979"/>
      <c r="B383" s="979"/>
      <c r="C383" s="979"/>
      <c r="D383" s="979"/>
      <c r="E383" s="979"/>
    </row>
    <row r="384" spans="1:5" x14ac:dyDescent="0.25">
      <c r="A384" s="979"/>
      <c r="B384" s="979"/>
      <c r="C384" s="979"/>
      <c r="D384" s="979"/>
      <c r="E384" s="979"/>
    </row>
    <row r="385" spans="1:5" x14ac:dyDescent="0.25">
      <c r="A385" s="979"/>
      <c r="B385" s="979"/>
      <c r="C385" s="979"/>
      <c r="D385" s="979"/>
      <c r="E385" s="979"/>
    </row>
    <row r="386" spans="1:5" x14ac:dyDescent="0.25">
      <c r="A386" s="979"/>
      <c r="B386" s="979"/>
      <c r="C386" s="979"/>
      <c r="D386" s="979"/>
      <c r="E386" s="979"/>
    </row>
    <row r="387" spans="1:5" x14ac:dyDescent="0.25">
      <c r="A387" s="979"/>
      <c r="B387" s="979"/>
      <c r="C387" s="979"/>
      <c r="D387" s="979"/>
      <c r="E387" s="979"/>
    </row>
    <row r="388" spans="1:5" x14ac:dyDescent="0.25">
      <c r="A388" s="979"/>
      <c r="B388" s="979"/>
      <c r="C388" s="979"/>
      <c r="D388" s="979"/>
      <c r="E388" s="979"/>
    </row>
    <row r="389" spans="1:5" x14ac:dyDescent="0.25">
      <c r="A389" s="979"/>
      <c r="B389" s="979"/>
      <c r="C389" s="979"/>
      <c r="D389" s="979"/>
      <c r="E389" s="979"/>
    </row>
    <row r="390" spans="1:5" x14ac:dyDescent="0.25">
      <c r="A390" s="979"/>
      <c r="B390" s="979"/>
      <c r="C390" s="979"/>
      <c r="D390" s="979"/>
      <c r="E390" s="979"/>
    </row>
    <row r="391" spans="1:5" x14ac:dyDescent="0.25">
      <c r="A391" s="979"/>
      <c r="B391" s="979"/>
      <c r="C391" s="979"/>
      <c r="D391" s="979"/>
      <c r="E391" s="979"/>
    </row>
    <row r="392" spans="1:5" x14ac:dyDescent="0.25">
      <c r="A392" s="979"/>
      <c r="B392" s="979"/>
      <c r="C392" s="979"/>
      <c r="D392" s="979"/>
      <c r="E392" s="979"/>
    </row>
    <row r="393" spans="1:5" x14ac:dyDescent="0.25">
      <c r="A393" s="979"/>
      <c r="B393" s="979"/>
      <c r="C393" s="979"/>
      <c r="D393" s="979"/>
      <c r="E393" s="979"/>
    </row>
    <row r="394" spans="1:5" x14ac:dyDescent="0.25">
      <c r="A394" s="966" t="s">
        <v>1380</v>
      </c>
      <c r="B394" s="966"/>
      <c r="C394" s="966"/>
      <c r="D394" s="966"/>
      <c r="E394" s="966"/>
    </row>
    <row r="395" spans="1:5" x14ac:dyDescent="0.25">
      <c r="A395" s="1105" t="s">
        <v>1087</v>
      </c>
      <c r="B395" s="1105"/>
      <c r="C395" s="1105" t="s">
        <v>998</v>
      </c>
      <c r="D395" s="1105"/>
      <c r="E395" s="229" t="s">
        <v>1293</v>
      </c>
    </row>
    <row r="396" spans="1:5" ht="14.45" customHeight="1" x14ac:dyDescent="0.25">
      <c r="A396" s="1131" t="s">
        <v>1105</v>
      </c>
      <c r="B396" s="1132"/>
      <c r="C396" s="1106" t="s">
        <v>1381</v>
      </c>
      <c r="D396" s="1108"/>
      <c r="E396" s="1114">
        <f>(0.15*1.685*1.1)+(0.15*1.34*1.1)+(0.24*1.575*1.1)+(0.15*2.54*1.1)</f>
        <v>1.334025</v>
      </c>
    </row>
    <row r="397" spans="1:5" x14ac:dyDescent="0.25">
      <c r="A397" s="1135"/>
      <c r="B397" s="1136"/>
      <c r="C397" s="1109"/>
      <c r="D397" s="1111"/>
      <c r="E397" s="1115"/>
    </row>
    <row r="398" spans="1:5" x14ac:dyDescent="0.25">
      <c r="A398" s="1104" t="s">
        <v>1164</v>
      </c>
      <c r="B398" s="1104"/>
      <c r="C398" s="1104"/>
      <c r="D398" s="1104"/>
      <c r="E398" s="317">
        <f>SUM(E396:E396)</f>
        <v>1.334025</v>
      </c>
    </row>
    <row r="399" spans="1:5" x14ac:dyDescent="0.25">
      <c r="A399" s="1093" t="s">
        <v>1270</v>
      </c>
      <c r="B399" s="1093"/>
      <c r="C399" s="1093"/>
      <c r="D399" s="1093"/>
      <c r="E399" s="233">
        <f>E398</f>
        <v>1.334025</v>
      </c>
    </row>
    <row r="400" spans="1:5" x14ac:dyDescent="0.25">
      <c r="A400" s="974" t="s">
        <v>1382</v>
      </c>
      <c r="B400" s="975"/>
      <c r="C400" s="975"/>
      <c r="D400" s="976"/>
      <c r="E400" s="977"/>
    </row>
    <row r="401" spans="1:5" x14ac:dyDescent="0.25">
      <c r="A401" s="978" t="s">
        <v>997</v>
      </c>
      <c r="B401" s="978"/>
      <c r="C401" s="978"/>
      <c r="D401" s="978"/>
      <c r="E401" s="978"/>
    </row>
    <row r="402" spans="1:5" x14ac:dyDescent="0.25">
      <c r="A402" s="979"/>
      <c r="B402" s="979"/>
      <c r="C402" s="979"/>
      <c r="D402" s="979"/>
      <c r="E402" s="979"/>
    </row>
    <row r="403" spans="1:5" x14ac:dyDescent="0.25">
      <c r="A403" s="979"/>
      <c r="B403" s="979"/>
      <c r="C403" s="979"/>
      <c r="D403" s="979"/>
      <c r="E403" s="979"/>
    </row>
    <row r="404" spans="1:5" x14ac:dyDescent="0.25">
      <c r="A404" s="979"/>
      <c r="B404" s="979"/>
      <c r="C404" s="979"/>
      <c r="D404" s="979"/>
      <c r="E404" s="979"/>
    </row>
    <row r="405" spans="1:5" x14ac:dyDescent="0.25">
      <c r="A405" s="979"/>
      <c r="B405" s="979"/>
      <c r="C405" s="979"/>
      <c r="D405" s="979"/>
      <c r="E405" s="979"/>
    </row>
    <row r="406" spans="1:5" x14ac:dyDescent="0.25">
      <c r="A406" s="979"/>
      <c r="B406" s="979"/>
      <c r="C406" s="979"/>
      <c r="D406" s="979"/>
      <c r="E406" s="979"/>
    </row>
    <row r="407" spans="1:5" x14ac:dyDescent="0.25">
      <c r="A407" s="979"/>
      <c r="B407" s="979"/>
      <c r="C407" s="979"/>
      <c r="D407" s="979"/>
      <c r="E407" s="979"/>
    </row>
    <row r="408" spans="1:5" x14ac:dyDescent="0.25">
      <c r="A408" s="979"/>
      <c r="B408" s="979"/>
      <c r="C408" s="979"/>
      <c r="D408" s="979"/>
      <c r="E408" s="979"/>
    </row>
    <row r="409" spans="1:5" x14ac:dyDescent="0.25">
      <c r="A409" s="979"/>
      <c r="B409" s="979"/>
      <c r="C409" s="979"/>
      <c r="D409" s="979"/>
      <c r="E409" s="979"/>
    </row>
    <row r="410" spans="1:5" x14ac:dyDescent="0.25">
      <c r="A410" s="979"/>
      <c r="B410" s="979"/>
      <c r="C410" s="979"/>
      <c r="D410" s="979"/>
      <c r="E410" s="979"/>
    </row>
    <row r="411" spans="1:5" x14ac:dyDescent="0.25">
      <c r="A411" s="979"/>
      <c r="B411" s="979"/>
      <c r="C411" s="979"/>
      <c r="D411" s="979"/>
      <c r="E411" s="979"/>
    </row>
    <row r="412" spans="1:5" x14ac:dyDescent="0.25">
      <c r="A412" s="979"/>
      <c r="B412" s="979"/>
      <c r="C412" s="979"/>
      <c r="D412" s="979"/>
      <c r="E412" s="979"/>
    </row>
    <row r="413" spans="1:5" x14ac:dyDescent="0.25">
      <c r="A413" s="979"/>
      <c r="B413" s="979"/>
      <c r="C413" s="979"/>
      <c r="D413" s="979"/>
      <c r="E413" s="979"/>
    </row>
    <row r="414" spans="1:5" x14ac:dyDescent="0.25">
      <c r="A414" s="979"/>
      <c r="B414" s="979"/>
      <c r="C414" s="979"/>
      <c r="D414" s="979"/>
      <c r="E414" s="979"/>
    </row>
    <row r="415" spans="1:5" x14ac:dyDescent="0.25">
      <c r="A415" s="979"/>
      <c r="B415" s="979"/>
      <c r="C415" s="979"/>
      <c r="D415" s="979"/>
      <c r="E415" s="979"/>
    </row>
    <row r="416" spans="1:5" x14ac:dyDescent="0.25">
      <c r="A416" s="979"/>
      <c r="B416" s="979"/>
      <c r="C416" s="979"/>
      <c r="D416" s="979"/>
      <c r="E416" s="979"/>
    </row>
    <row r="417" spans="1:5" x14ac:dyDescent="0.25">
      <c r="A417" s="979"/>
      <c r="B417" s="979"/>
      <c r="C417" s="979"/>
      <c r="D417" s="979"/>
      <c r="E417" s="979"/>
    </row>
    <row r="418" spans="1:5" x14ac:dyDescent="0.25">
      <c r="A418" s="979"/>
      <c r="B418" s="979"/>
      <c r="C418" s="979"/>
      <c r="D418" s="979"/>
      <c r="E418" s="979"/>
    </row>
    <row r="419" spans="1:5" x14ac:dyDescent="0.25">
      <c r="A419" s="979"/>
      <c r="B419" s="979"/>
      <c r="C419" s="979"/>
      <c r="D419" s="979"/>
      <c r="E419" s="979"/>
    </row>
    <row r="420" spans="1:5" x14ac:dyDescent="0.25">
      <c r="A420" s="979"/>
      <c r="B420" s="979"/>
      <c r="C420" s="979"/>
      <c r="D420" s="979"/>
      <c r="E420" s="979"/>
    </row>
    <row r="421" spans="1:5" x14ac:dyDescent="0.25">
      <c r="A421" s="979"/>
      <c r="B421" s="979"/>
      <c r="C421" s="979"/>
      <c r="D421" s="979"/>
      <c r="E421" s="979"/>
    </row>
    <row r="422" spans="1:5" x14ac:dyDescent="0.25">
      <c r="A422" s="979"/>
      <c r="B422" s="979"/>
      <c r="C422" s="979"/>
      <c r="D422" s="979"/>
      <c r="E422" s="979"/>
    </row>
    <row r="423" spans="1:5" x14ac:dyDescent="0.25">
      <c r="A423" s="979"/>
      <c r="B423" s="979"/>
      <c r="C423" s="979"/>
      <c r="D423" s="979"/>
      <c r="E423" s="979"/>
    </row>
    <row r="424" spans="1:5" x14ac:dyDescent="0.25">
      <c r="A424" s="966" t="s">
        <v>1382</v>
      </c>
      <c r="B424" s="966"/>
      <c r="C424" s="966"/>
      <c r="D424" s="966"/>
      <c r="E424" s="966"/>
    </row>
    <row r="425" spans="1:5" x14ac:dyDescent="0.25">
      <c r="A425" s="1105" t="s">
        <v>1087</v>
      </c>
      <c r="B425" s="1105"/>
      <c r="C425" s="1105" t="s">
        <v>998</v>
      </c>
      <c r="D425" s="1105"/>
      <c r="E425" s="229"/>
    </row>
    <row r="426" spans="1:5" x14ac:dyDescent="0.25">
      <c r="A426" s="1131" t="s">
        <v>1383</v>
      </c>
      <c r="B426" s="1132"/>
      <c r="C426" s="1106" t="s">
        <v>1384</v>
      </c>
      <c r="D426" s="1108"/>
      <c r="E426" s="1114">
        <f>((0.5)*(1.8*6))*(0.45)</f>
        <v>2.4300000000000002</v>
      </c>
    </row>
    <row r="427" spans="1:5" x14ac:dyDescent="0.25">
      <c r="A427" s="1135"/>
      <c r="B427" s="1136"/>
      <c r="C427" s="1109"/>
      <c r="D427" s="1111"/>
      <c r="E427" s="1115"/>
    </row>
    <row r="428" spans="1:5" x14ac:dyDescent="0.25">
      <c r="A428" s="1104" t="s">
        <v>1164</v>
      </c>
      <c r="B428" s="1104"/>
      <c r="C428" s="1104"/>
      <c r="D428" s="1104"/>
      <c r="E428" s="317">
        <f>SUM(E426:E426)</f>
        <v>2.4300000000000002</v>
      </c>
    </row>
    <row r="429" spans="1:5" x14ac:dyDescent="0.25">
      <c r="A429" s="1093" t="s">
        <v>1270</v>
      </c>
      <c r="B429" s="1093"/>
      <c r="C429" s="1093"/>
      <c r="D429" s="1093"/>
      <c r="E429" s="233">
        <f>E428</f>
        <v>2.4300000000000002</v>
      </c>
    </row>
    <row r="430" spans="1:5" x14ac:dyDescent="0.25">
      <c r="A430" s="974" t="s">
        <v>1385</v>
      </c>
      <c r="B430" s="975"/>
      <c r="C430" s="975"/>
      <c r="D430" s="976"/>
      <c r="E430" s="977"/>
    </row>
    <row r="431" spans="1:5" x14ac:dyDescent="0.25">
      <c r="A431" s="978" t="s">
        <v>997</v>
      </c>
      <c r="B431" s="978"/>
      <c r="C431" s="978"/>
      <c r="D431" s="978"/>
      <c r="E431" s="978"/>
    </row>
    <row r="432" spans="1:5" x14ac:dyDescent="0.25">
      <c r="A432" s="979"/>
      <c r="B432" s="979"/>
      <c r="C432" s="979"/>
      <c r="D432" s="979"/>
      <c r="E432" s="979"/>
    </row>
    <row r="433" spans="1:5" x14ac:dyDescent="0.25">
      <c r="A433" s="979"/>
      <c r="B433" s="979"/>
      <c r="C433" s="979"/>
      <c r="D433" s="979"/>
      <c r="E433" s="979"/>
    </row>
    <row r="434" spans="1:5" x14ac:dyDescent="0.25">
      <c r="A434" s="979"/>
      <c r="B434" s="979"/>
      <c r="C434" s="979"/>
      <c r="D434" s="979"/>
      <c r="E434" s="979"/>
    </row>
    <row r="435" spans="1:5" x14ac:dyDescent="0.25">
      <c r="A435" s="979"/>
      <c r="B435" s="979"/>
      <c r="C435" s="979"/>
      <c r="D435" s="979"/>
      <c r="E435" s="979"/>
    </row>
    <row r="436" spans="1:5" x14ac:dyDescent="0.25">
      <c r="A436" s="979"/>
      <c r="B436" s="979"/>
      <c r="C436" s="979"/>
      <c r="D436" s="979"/>
      <c r="E436" s="979"/>
    </row>
    <row r="437" spans="1:5" x14ac:dyDescent="0.25">
      <c r="A437" s="979"/>
      <c r="B437" s="979"/>
      <c r="C437" s="979"/>
      <c r="D437" s="979"/>
      <c r="E437" s="979"/>
    </row>
    <row r="438" spans="1:5" x14ac:dyDescent="0.25">
      <c r="A438" s="979"/>
      <c r="B438" s="979"/>
      <c r="C438" s="979"/>
      <c r="D438" s="979"/>
      <c r="E438" s="979"/>
    </row>
    <row r="439" spans="1:5" x14ac:dyDescent="0.25">
      <c r="A439" s="979"/>
      <c r="B439" s="979"/>
      <c r="C439" s="979"/>
      <c r="D439" s="979"/>
      <c r="E439" s="979"/>
    </row>
    <row r="440" spans="1:5" x14ac:dyDescent="0.25">
      <c r="A440" s="979"/>
      <c r="B440" s="979"/>
      <c r="C440" s="979"/>
      <c r="D440" s="979"/>
      <c r="E440" s="979"/>
    </row>
    <row r="441" spans="1:5" x14ac:dyDescent="0.25">
      <c r="A441" s="979"/>
      <c r="B441" s="979"/>
      <c r="C441" s="979"/>
      <c r="D441" s="979"/>
      <c r="E441" s="979"/>
    </row>
    <row r="442" spans="1:5" x14ac:dyDescent="0.25">
      <c r="A442" s="979"/>
      <c r="B442" s="979"/>
      <c r="C442" s="979"/>
      <c r="D442" s="979"/>
      <c r="E442" s="979"/>
    </row>
    <row r="443" spans="1:5" x14ac:dyDescent="0.25">
      <c r="A443" s="979"/>
      <c r="B443" s="979"/>
      <c r="C443" s="979"/>
      <c r="D443" s="979"/>
      <c r="E443" s="979"/>
    </row>
    <row r="444" spans="1:5" x14ac:dyDescent="0.25">
      <c r="A444" s="979"/>
      <c r="B444" s="979"/>
      <c r="C444" s="979"/>
      <c r="D444" s="979"/>
      <c r="E444" s="979"/>
    </row>
    <row r="445" spans="1:5" x14ac:dyDescent="0.25">
      <c r="A445" s="979"/>
      <c r="B445" s="979"/>
      <c r="C445" s="979"/>
      <c r="D445" s="979"/>
      <c r="E445" s="979"/>
    </row>
    <row r="446" spans="1:5" x14ac:dyDescent="0.25">
      <c r="A446" s="979"/>
      <c r="B446" s="979"/>
      <c r="C446" s="979"/>
      <c r="D446" s="979"/>
      <c r="E446" s="979"/>
    </row>
    <row r="447" spans="1:5" x14ac:dyDescent="0.25">
      <c r="A447" s="979"/>
      <c r="B447" s="979"/>
      <c r="C447" s="979"/>
      <c r="D447" s="979"/>
      <c r="E447" s="979"/>
    </row>
    <row r="448" spans="1:5" x14ac:dyDescent="0.25">
      <c r="A448" s="979"/>
      <c r="B448" s="979"/>
      <c r="C448" s="979"/>
      <c r="D448" s="979"/>
      <c r="E448" s="979"/>
    </row>
    <row r="449" spans="1:5" x14ac:dyDescent="0.25">
      <c r="A449" s="979"/>
      <c r="B449" s="979"/>
      <c r="C449" s="979"/>
      <c r="D449" s="979"/>
      <c r="E449" s="979"/>
    </row>
    <row r="450" spans="1:5" x14ac:dyDescent="0.25">
      <c r="A450" s="979"/>
      <c r="B450" s="979"/>
      <c r="C450" s="979"/>
      <c r="D450" s="979"/>
      <c r="E450" s="979"/>
    </row>
    <row r="451" spans="1:5" x14ac:dyDescent="0.25">
      <c r="A451" s="979"/>
      <c r="B451" s="979"/>
      <c r="C451" s="979"/>
      <c r="D451" s="979"/>
      <c r="E451" s="979"/>
    </row>
    <row r="452" spans="1:5" x14ac:dyDescent="0.25">
      <c r="A452" s="979"/>
      <c r="B452" s="979"/>
      <c r="C452" s="979"/>
      <c r="D452" s="979"/>
      <c r="E452" s="979"/>
    </row>
    <row r="453" spans="1:5" x14ac:dyDescent="0.25">
      <c r="A453" s="979"/>
      <c r="B453" s="979"/>
      <c r="C453" s="979"/>
      <c r="D453" s="979"/>
      <c r="E453" s="979"/>
    </row>
    <row r="454" spans="1:5" x14ac:dyDescent="0.25">
      <c r="A454" s="966" t="s">
        <v>1385</v>
      </c>
      <c r="B454" s="966"/>
      <c r="C454" s="966"/>
      <c r="D454" s="966"/>
      <c r="E454" s="966"/>
    </row>
    <row r="455" spans="1:5" x14ac:dyDescent="0.25">
      <c r="A455" s="1105" t="s">
        <v>1087</v>
      </c>
      <c r="B455" s="1105"/>
      <c r="C455" s="1105" t="s">
        <v>998</v>
      </c>
      <c r="D455" s="1105"/>
      <c r="E455" s="229"/>
    </row>
    <row r="456" spans="1:5" x14ac:dyDescent="0.25">
      <c r="A456" s="1131" t="s">
        <v>1386</v>
      </c>
      <c r="B456" s="1132"/>
      <c r="C456" s="1106" t="s">
        <v>1387</v>
      </c>
      <c r="D456" s="1108"/>
      <c r="E456" s="1114">
        <f>4*((0.2*0.45)*(4.73-0.5))</f>
        <v>1.5228000000000004</v>
      </c>
    </row>
    <row r="457" spans="1:5" x14ac:dyDescent="0.25">
      <c r="A457" s="1135"/>
      <c r="B457" s="1136"/>
      <c r="C457" s="1109"/>
      <c r="D457" s="1111"/>
      <c r="E457" s="1115"/>
    </row>
    <row r="458" spans="1:5" x14ac:dyDescent="0.25">
      <c r="A458" s="1104" t="s">
        <v>1164</v>
      </c>
      <c r="B458" s="1104"/>
      <c r="C458" s="1104"/>
      <c r="D458" s="1104"/>
      <c r="E458" s="317">
        <f>SUM(E456:E456)</f>
        <v>1.5228000000000004</v>
      </c>
    </row>
    <row r="459" spans="1:5" x14ac:dyDescent="0.25">
      <c r="A459" s="1093" t="s">
        <v>1270</v>
      </c>
      <c r="B459" s="1093"/>
      <c r="C459" s="1093"/>
      <c r="D459" s="1093"/>
      <c r="E459" s="233">
        <f>E458</f>
        <v>1.5228000000000004</v>
      </c>
    </row>
    <row r="460" spans="1:5" x14ac:dyDescent="0.25">
      <c r="A460" s="974" t="s">
        <v>1388</v>
      </c>
      <c r="B460" s="975"/>
      <c r="C460" s="975"/>
      <c r="D460" s="976"/>
      <c r="E460" s="977"/>
    </row>
    <row r="461" spans="1:5" x14ac:dyDescent="0.25">
      <c r="A461" s="978" t="s">
        <v>997</v>
      </c>
      <c r="B461" s="978"/>
      <c r="C461" s="978"/>
      <c r="D461" s="978"/>
      <c r="E461" s="978"/>
    </row>
    <row r="462" spans="1:5" x14ac:dyDescent="0.25">
      <c r="A462" s="979"/>
      <c r="B462" s="979"/>
      <c r="C462" s="979"/>
      <c r="D462" s="979"/>
      <c r="E462" s="979"/>
    </row>
    <row r="463" spans="1:5" x14ac:dyDescent="0.25">
      <c r="A463" s="979"/>
      <c r="B463" s="979"/>
      <c r="C463" s="979"/>
      <c r="D463" s="979"/>
      <c r="E463" s="979"/>
    </row>
    <row r="464" spans="1:5" x14ac:dyDescent="0.25">
      <c r="A464" s="979"/>
      <c r="B464" s="979"/>
      <c r="C464" s="979"/>
      <c r="D464" s="979"/>
      <c r="E464" s="979"/>
    </row>
    <row r="465" spans="1:11" x14ac:dyDescent="0.25">
      <c r="A465" s="979"/>
      <c r="B465" s="979"/>
      <c r="C465" s="979"/>
      <c r="D465" s="979"/>
      <c r="E465" s="979"/>
    </row>
    <row r="466" spans="1:11" x14ac:dyDescent="0.25">
      <c r="A466" s="979"/>
      <c r="B466" s="979"/>
      <c r="C466" s="979"/>
      <c r="D466" s="979"/>
      <c r="E466" s="979"/>
    </row>
    <row r="467" spans="1:11" x14ac:dyDescent="0.25">
      <c r="A467" s="979"/>
      <c r="B467" s="979"/>
      <c r="C467" s="979"/>
      <c r="D467" s="979"/>
      <c r="E467" s="979"/>
    </row>
    <row r="468" spans="1:11" x14ac:dyDescent="0.25">
      <c r="A468" s="979"/>
      <c r="B468" s="979"/>
      <c r="C468" s="979"/>
      <c r="D468" s="979"/>
      <c r="E468" s="979"/>
    </row>
    <row r="469" spans="1:11" x14ac:dyDescent="0.25">
      <c r="A469" s="979"/>
      <c r="B469" s="979"/>
      <c r="C469" s="979"/>
      <c r="D469" s="979"/>
      <c r="E469" s="979"/>
    </row>
    <row r="470" spans="1:11" x14ac:dyDescent="0.25">
      <c r="A470" s="979"/>
      <c r="B470" s="979"/>
      <c r="C470" s="979"/>
      <c r="D470" s="979"/>
      <c r="E470" s="979"/>
    </row>
    <row r="471" spans="1:11" x14ac:dyDescent="0.25">
      <c r="A471" s="979"/>
      <c r="B471" s="979"/>
      <c r="C471" s="979"/>
      <c r="D471" s="979"/>
      <c r="E471" s="979"/>
    </row>
    <row r="472" spans="1:11" x14ac:dyDescent="0.25">
      <c r="A472" s="979"/>
      <c r="B472" s="979"/>
      <c r="C472" s="979"/>
      <c r="D472" s="979"/>
      <c r="E472" s="979"/>
    </row>
    <row r="473" spans="1:11" x14ac:dyDescent="0.25">
      <c r="A473" s="979"/>
      <c r="B473" s="979"/>
      <c r="C473" s="979"/>
      <c r="D473" s="979"/>
      <c r="E473" s="979"/>
    </row>
    <row r="474" spans="1:11" x14ac:dyDescent="0.25">
      <c r="A474" s="979"/>
      <c r="B474" s="979"/>
      <c r="C474" s="979"/>
      <c r="D474" s="979"/>
      <c r="E474" s="979"/>
    </row>
    <row r="475" spans="1:11" x14ac:dyDescent="0.25">
      <c r="A475" s="979"/>
      <c r="B475" s="979"/>
      <c r="C475" s="979"/>
      <c r="D475" s="979"/>
      <c r="E475" s="979"/>
    </row>
    <row r="476" spans="1:11" x14ac:dyDescent="0.25">
      <c r="A476" s="979"/>
      <c r="B476" s="979"/>
      <c r="C476" s="979"/>
      <c r="D476" s="979"/>
      <c r="E476" s="979"/>
    </row>
    <row r="477" spans="1:11" x14ac:dyDescent="0.25">
      <c r="A477" s="979"/>
      <c r="B477" s="979"/>
      <c r="C477" s="979"/>
      <c r="D477" s="979"/>
      <c r="E477" s="979"/>
    </row>
    <row r="478" spans="1:11" x14ac:dyDescent="0.25">
      <c r="A478" s="979"/>
      <c r="B478" s="979"/>
      <c r="C478" s="979"/>
      <c r="D478" s="979"/>
      <c r="E478" s="979"/>
    </row>
    <row r="479" spans="1:11" x14ac:dyDescent="0.25">
      <c r="A479" s="979"/>
      <c r="B479" s="979"/>
      <c r="C479" s="979"/>
      <c r="D479" s="979"/>
      <c r="E479" s="979"/>
      <c r="K479" s="322"/>
    </row>
    <row r="480" spans="1:11" x14ac:dyDescent="0.25">
      <c r="A480" s="979"/>
      <c r="B480" s="979"/>
      <c r="C480" s="979"/>
      <c r="D480" s="979"/>
      <c r="E480" s="979"/>
    </row>
    <row r="481" spans="1:5" x14ac:dyDescent="0.25">
      <c r="A481" s="979"/>
      <c r="B481" s="979"/>
      <c r="C481" s="979"/>
      <c r="D481" s="979"/>
      <c r="E481" s="979"/>
    </row>
    <row r="482" spans="1:5" x14ac:dyDescent="0.25">
      <c r="A482" s="979"/>
      <c r="B482" s="979"/>
      <c r="C482" s="979"/>
      <c r="D482" s="979"/>
      <c r="E482" s="979"/>
    </row>
    <row r="483" spans="1:5" x14ac:dyDescent="0.25">
      <c r="A483" s="979"/>
      <c r="B483" s="979"/>
      <c r="C483" s="979"/>
      <c r="D483" s="979"/>
      <c r="E483" s="979"/>
    </row>
    <row r="484" spans="1:5" x14ac:dyDescent="0.25">
      <c r="A484" s="966" t="s">
        <v>1389</v>
      </c>
      <c r="B484" s="966"/>
      <c r="C484" s="966"/>
      <c r="D484" s="966"/>
      <c r="E484" s="966"/>
    </row>
    <row r="485" spans="1:5" x14ac:dyDescent="0.25">
      <c r="A485" s="319" t="s">
        <v>1087</v>
      </c>
      <c r="B485" s="319" t="s">
        <v>283</v>
      </c>
      <c r="C485" s="1105" t="s">
        <v>998</v>
      </c>
      <c r="D485" s="1105"/>
      <c r="E485" s="229" t="s">
        <v>1390</v>
      </c>
    </row>
    <row r="486" spans="1:5" ht="14.45" customHeight="1" x14ac:dyDescent="0.25">
      <c r="A486" s="318" t="s">
        <v>1094</v>
      </c>
      <c r="B486" s="320" t="s">
        <v>1391</v>
      </c>
      <c r="C486" s="1137" t="s">
        <v>1392</v>
      </c>
      <c r="D486" s="1138"/>
      <c r="E486" s="321">
        <v>1.6</v>
      </c>
    </row>
    <row r="487" spans="1:5" ht="14.45" customHeight="1" x14ac:dyDescent="0.25">
      <c r="A487" s="318" t="s">
        <v>1094</v>
      </c>
      <c r="B487" s="323" t="s">
        <v>1393</v>
      </c>
      <c r="C487" s="1102">
        <v>1</v>
      </c>
      <c r="D487" s="1103"/>
      <c r="E487" s="324">
        <v>1</v>
      </c>
    </row>
    <row r="488" spans="1:5" ht="14.45" customHeight="1" x14ac:dyDescent="0.25">
      <c r="A488" s="318" t="s">
        <v>1394</v>
      </c>
      <c r="B488" s="323" t="s">
        <v>1395</v>
      </c>
      <c r="C488" s="1102">
        <v>1</v>
      </c>
      <c r="D488" s="1103"/>
      <c r="E488" s="324">
        <v>1</v>
      </c>
    </row>
    <row r="489" spans="1:5" ht="14.45" customHeight="1" x14ac:dyDescent="0.25">
      <c r="A489" s="318" t="s">
        <v>1338</v>
      </c>
      <c r="B489" s="325" t="s">
        <v>1396</v>
      </c>
      <c r="C489" s="1094" t="s">
        <v>1397</v>
      </c>
      <c r="D489" s="1095"/>
      <c r="E489" s="326">
        <v>2</v>
      </c>
    </row>
    <row r="490" spans="1:5" ht="14.45" customHeight="1" x14ac:dyDescent="0.25">
      <c r="A490" s="329" t="s">
        <v>1338</v>
      </c>
      <c r="B490" s="323" t="s">
        <v>1398</v>
      </c>
      <c r="C490" s="1102" t="s">
        <v>1397</v>
      </c>
      <c r="D490" s="1103"/>
      <c r="E490" s="324">
        <v>2</v>
      </c>
    </row>
    <row r="491" spans="1:5" ht="14.45" customHeight="1" x14ac:dyDescent="0.25">
      <c r="A491" s="318" t="s">
        <v>1110</v>
      </c>
      <c r="B491" s="325" t="s">
        <v>1396</v>
      </c>
      <c r="C491" s="1096" t="s">
        <v>1399</v>
      </c>
      <c r="D491" s="1097"/>
      <c r="E491" s="326">
        <v>3</v>
      </c>
    </row>
    <row r="492" spans="1:5" ht="14.45" customHeight="1" x14ac:dyDescent="0.25">
      <c r="A492" s="329" t="s">
        <v>1110</v>
      </c>
      <c r="B492" s="323" t="s">
        <v>1398</v>
      </c>
      <c r="C492" s="1102" t="s">
        <v>1399</v>
      </c>
      <c r="D492" s="1103"/>
      <c r="E492" s="324">
        <v>3</v>
      </c>
    </row>
    <row r="493" spans="1:5" ht="14.45" customHeight="1" x14ac:dyDescent="0.25">
      <c r="A493" s="318" t="s">
        <v>1111</v>
      </c>
      <c r="B493" s="325" t="s">
        <v>1396</v>
      </c>
      <c r="C493" s="1096" t="s">
        <v>1399</v>
      </c>
      <c r="D493" s="1097"/>
      <c r="E493" s="326">
        <v>3</v>
      </c>
    </row>
    <row r="494" spans="1:5" x14ac:dyDescent="0.25">
      <c r="A494" s="329" t="s">
        <v>1111</v>
      </c>
      <c r="B494" s="323" t="s">
        <v>1398</v>
      </c>
      <c r="C494" s="1102" t="s">
        <v>1399</v>
      </c>
      <c r="D494" s="1103"/>
      <c r="E494" s="324">
        <v>3</v>
      </c>
    </row>
    <row r="495" spans="1:5" x14ac:dyDescent="0.25">
      <c r="A495" s="1098"/>
      <c r="B495" s="1099"/>
      <c r="C495" s="1099"/>
      <c r="D495" s="1099"/>
      <c r="E495" s="1100"/>
    </row>
    <row r="496" spans="1:5" x14ac:dyDescent="0.25">
      <c r="A496" s="1104" t="s">
        <v>1400</v>
      </c>
      <c r="B496" s="1104"/>
      <c r="C496" s="1104"/>
      <c r="D496" s="1104"/>
      <c r="E496" s="317">
        <f>E486</f>
        <v>1.6</v>
      </c>
    </row>
    <row r="497" spans="1:5" x14ac:dyDescent="0.25">
      <c r="A497" s="1101" t="s">
        <v>1401</v>
      </c>
      <c r="B497" s="1101"/>
      <c r="C497" s="1101"/>
      <c r="D497" s="1101"/>
      <c r="E497" s="328">
        <f>SUM(E487+E488+E490+E492+E494)</f>
        <v>10</v>
      </c>
    </row>
    <row r="498" spans="1:5" x14ac:dyDescent="0.25">
      <c r="A498" s="1079" t="s">
        <v>1402</v>
      </c>
      <c r="B498" s="1079"/>
      <c r="C498" s="1079"/>
      <c r="D498" s="1079"/>
      <c r="E498" s="327">
        <f>SUM(E489+E491+E493)</f>
        <v>8</v>
      </c>
    </row>
    <row r="499" spans="1:5" x14ac:dyDescent="0.25">
      <c r="A499" s="995" t="s">
        <v>1403</v>
      </c>
      <c r="B499" s="996"/>
      <c r="C499" s="996"/>
      <c r="D499" s="997"/>
      <c r="E499" s="233">
        <f>E496</f>
        <v>1.6</v>
      </c>
    </row>
    <row r="500" spans="1:5" x14ac:dyDescent="0.25">
      <c r="A500" s="1093" t="s">
        <v>1404</v>
      </c>
      <c r="B500" s="1093"/>
      <c r="C500" s="1093"/>
      <c r="D500" s="1093"/>
      <c r="E500" s="233">
        <f>E497</f>
        <v>10</v>
      </c>
    </row>
    <row r="501" spans="1:5" x14ac:dyDescent="0.25">
      <c r="A501" s="1093" t="s">
        <v>1405</v>
      </c>
      <c r="B501" s="1093"/>
      <c r="C501" s="1093"/>
      <c r="D501" s="1093"/>
      <c r="E501" s="233">
        <f>E498</f>
        <v>8</v>
      </c>
    </row>
    <row r="502" spans="1:5" x14ac:dyDescent="0.25">
      <c r="A502" s="1010"/>
      <c r="B502" s="1011"/>
      <c r="C502" s="1011"/>
      <c r="D502" s="1011"/>
      <c r="E502" s="1012"/>
    </row>
    <row r="503" spans="1:5" x14ac:dyDescent="0.25">
      <c r="A503" s="1013"/>
      <c r="B503" s="1014"/>
      <c r="C503" s="1014"/>
      <c r="D503" s="1014"/>
      <c r="E503" s="1015"/>
    </row>
    <row r="504" spans="1:5" x14ac:dyDescent="0.25">
      <c r="A504" s="1013"/>
      <c r="B504" s="1014"/>
      <c r="C504" s="1014"/>
      <c r="D504" s="1014"/>
      <c r="E504" s="1015"/>
    </row>
    <row r="505" spans="1:5" x14ac:dyDescent="0.25">
      <c r="A505" s="1013"/>
      <c r="B505" s="1014"/>
      <c r="C505" s="1014"/>
      <c r="D505" s="1014"/>
      <c r="E505" s="1015"/>
    </row>
    <row r="506" spans="1:5" x14ac:dyDescent="0.25">
      <c r="A506" s="1013"/>
      <c r="B506" s="1014"/>
      <c r="C506" s="1014"/>
      <c r="D506" s="1014"/>
      <c r="E506" s="1015"/>
    </row>
    <row r="507" spans="1:5" x14ac:dyDescent="0.25">
      <c r="A507" s="1013"/>
      <c r="B507" s="1014"/>
      <c r="C507" s="1014"/>
      <c r="D507" s="1014"/>
      <c r="E507" s="1015"/>
    </row>
    <row r="508" spans="1:5" x14ac:dyDescent="0.25">
      <c r="A508" s="1013"/>
      <c r="B508" s="1014"/>
      <c r="C508" s="1014"/>
      <c r="D508" s="1014"/>
      <c r="E508" s="1015"/>
    </row>
    <row r="509" spans="1:5" x14ac:dyDescent="0.25">
      <c r="A509" s="1013"/>
      <c r="B509" s="1014"/>
      <c r="C509" s="1014"/>
      <c r="D509" s="1014"/>
      <c r="E509" s="1015"/>
    </row>
    <row r="510" spans="1:5" x14ac:dyDescent="0.25">
      <c r="A510" s="1013"/>
      <c r="B510" s="1014"/>
      <c r="C510" s="1014"/>
      <c r="D510" s="1014"/>
      <c r="E510" s="1015"/>
    </row>
    <row r="511" spans="1:5" x14ac:dyDescent="0.25">
      <c r="A511" s="1013"/>
      <c r="B511" s="1014"/>
      <c r="C511" s="1014"/>
      <c r="D511" s="1014"/>
      <c r="E511" s="1015"/>
    </row>
    <row r="512" spans="1:5" x14ac:dyDescent="0.25">
      <c r="A512" s="1016"/>
      <c r="B512" s="1017"/>
      <c r="C512" s="1017"/>
      <c r="D512" s="1017"/>
      <c r="E512" s="1018"/>
    </row>
  </sheetData>
  <mergeCells count="271">
    <mergeCell ref="A502:E512"/>
    <mergeCell ref="A426:B427"/>
    <mergeCell ref="C426:D427"/>
    <mergeCell ref="E426:E427"/>
    <mergeCell ref="A428:D428"/>
    <mergeCell ref="A429:D429"/>
    <mergeCell ref="A400:E400"/>
    <mergeCell ref="A401:E401"/>
    <mergeCell ref="A402:E423"/>
    <mergeCell ref="A424:E424"/>
    <mergeCell ref="A425:B425"/>
    <mergeCell ref="C425:D425"/>
    <mergeCell ref="A430:E430"/>
    <mergeCell ref="A431:E431"/>
    <mergeCell ref="A432:E453"/>
    <mergeCell ref="A454:E454"/>
    <mergeCell ref="A455:B455"/>
    <mergeCell ref="C455:D455"/>
    <mergeCell ref="A456:B457"/>
    <mergeCell ref="C456:D457"/>
    <mergeCell ref="E456:E457"/>
    <mergeCell ref="C486:D486"/>
    <mergeCell ref="C494:D494"/>
    <mergeCell ref="C487:D487"/>
    <mergeCell ref="A399:D399"/>
    <mergeCell ref="C365:D367"/>
    <mergeCell ref="A365:B367"/>
    <mergeCell ref="E365:E367"/>
    <mergeCell ref="C396:D397"/>
    <mergeCell ref="A396:B397"/>
    <mergeCell ref="E396:E397"/>
    <mergeCell ref="A395:B395"/>
    <mergeCell ref="C395:D395"/>
    <mergeCell ref="A398:D398"/>
    <mergeCell ref="A369:D369"/>
    <mergeCell ref="A370:E370"/>
    <mergeCell ref="A371:E371"/>
    <mergeCell ref="A372:E393"/>
    <mergeCell ref="A394:E394"/>
    <mergeCell ref="A368:D368"/>
    <mergeCell ref="A339:E339"/>
    <mergeCell ref="A340:E340"/>
    <mergeCell ref="A341:E362"/>
    <mergeCell ref="A363:E363"/>
    <mergeCell ref="A364:B364"/>
    <mergeCell ref="C364:D364"/>
    <mergeCell ref="A338:D338"/>
    <mergeCell ref="A331:B331"/>
    <mergeCell ref="C331:D331"/>
    <mergeCell ref="A332:B332"/>
    <mergeCell ref="C332:D332"/>
    <mergeCell ref="A333:B333"/>
    <mergeCell ref="C333:D333"/>
    <mergeCell ref="A334:B334"/>
    <mergeCell ref="C334:D334"/>
    <mergeCell ref="A335:B335"/>
    <mergeCell ref="C335:D335"/>
    <mergeCell ref="A336:B336"/>
    <mergeCell ref="C336:D336"/>
    <mergeCell ref="A330:B330"/>
    <mergeCell ref="C330:D330"/>
    <mergeCell ref="A337:D337"/>
    <mergeCell ref="A327:B327"/>
    <mergeCell ref="C327:D327"/>
    <mergeCell ref="A328:B328"/>
    <mergeCell ref="C328:D328"/>
    <mergeCell ref="A329:B329"/>
    <mergeCell ref="C329:D329"/>
    <mergeCell ref="A324:E324"/>
    <mergeCell ref="A325:B325"/>
    <mergeCell ref="C325:D325"/>
    <mergeCell ref="A326:B326"/>
    <mergeCell ref="C326:D326"/>
    <mergeCell ref="A298:D298"/>
    <mergeCell ref="A299:D299"/>
    <mergeCell ref="A300:E300"/>
    <mergeCell ref="A301:E301"/>
    <mergeCell ref="A302:E323"/>
    <mergeCell ref="A296:B296"/>
    <mergeCell ref="C296:D296"/>
    <mergeCell ref="A297:B297"/>
    <mergeCell ref="C297:D297"/>
    <mergeCell ref="A293:B293"/>
    <mergeCell ref="C293:D293"/>
    <mergeCell ref="A294:B294"/>
    <mergeCell ref="C294:D294"/>
    <mergeCell ref="A295:B295"/>
    <mergeCell ref="C295:D295"/>
    <mergeCell ref="A290:E290"/>
    <mergeCell ref="A291:B291"/>
    <mergeCell ref="C291:D291"/>
    <mergeCell ref="A292:B292"/>
    <mergeCell ref="C292:D292"/>
    <mergeCell ref="A262:B262"/>
    <mergeCell ref="A263:B263"/>
    <mergeCell ref="A266:E266"/>
    <mergeCell ref="A267:E267"/>
    <mergeCell ref="A268:E289"/>
    <mergeCell ref="A255:B255"/>
    <mergeCell ref="C255:D255"/>
    <mergeCell ref="C256:D256"/>
    <mergeCell ref="A256:B256"/>
    <mergeCell ref="A264:D264"/>
    <mergeCell ref="A265:D265"/>
    <mergeCell ref="A214:B214"/>
    <mergeCell ref="C214:D214"/>
    <mergeCell ref="A216:B216"/>
    <mergeCell ref="C216:D216"/>
    <mergeCell ref="A217:B217"/>
    <mergeCell ref="C217:D217"/>
    <mergeCell ref="A218:B218"/>
    <mergeCell ref="C218:D218"/>
    <mergeCell ref="A222:B222"/>
    <mergeCell ref="C222:D222"/>
    <mergeCell ref="A219:B219"/>
    <mergeCell ref="C219:D219"/>
    <mergeCell ref="A220:B220"/>
    <mergeCell ref="C220:D220"/>
    <mergeCell ref="A254:B254"/>
    <mergeCell ref="C254:D254"/>
    <mergeCell ref="A261:B261"/>
    <mergeCell ref="C261:D261"/>
    <mergeCell ref="C257:D257"/>
    <mergeCell ref="C258:D258"/>
    <mergeCell ref="C259:D259"/>
    <mergeCell ref="C260:D260"/>
    <mergeCell ref="C262:D262"/>
    <mergeCell ref="C263:D263"/>
    <mergeCell ref="A257:B257"/>
    <mergeCell ref="A258:B258"/>
    <mergeCell ref="A259:B259"/>
    <mergeCell ref="A260:B260"/>
    <mergeCell ref="A251:B251"/>
    <mergeCell ref="C251:D251"/>
    <mergeCell ref="A252:B252"/>
    <mergeCell ref="C252:D252"/>
    <mergeCell ref="A253:B253"/>
    <mergeCell ref="C253:D253"/>
    <mergeCell ref="A225:E225"/>
    <mergeCell ref="A226:E226"/>
    <mergeCell ref="A227:E248"/>
    <mergeCell ref="A249:E249"/>
    <mergeCell ref="A250:B250"/>
    <mergeCell ref="C250:D250"/>
    <mergeCell ref="A223:D223"/>
    <mergeCell ref="A224:D224"/>
    <mergeCell ref="A208:B208"/>
    <mergeCell ref="C208:D208"/>
    <mergeCell ref="A209:B209"/>
    <mergeCell ref="A210:B210"/>
    <mergeCell ref="C209:D209"/>
    <mergeCell ref="C210:D210"/>
    <mergeCell ref="C211:D211"/>
    <mergeCell ref="C212:D212"/>
    <mergeCell ref="C213:D213"/>
    <mergeCell ref="A211:B211"/>
    <mergeCell ref="A212:B212"/>
    <mergeCell ref="A213:B213"/>
    <mergeCell ref="A221:B221"/>
    <mergeCell ref="C221:D221"/>
    <mergeCell ref="A215:B215"/>
    <mergeCell ref="C215:D215"/>
    <mergeCell ref="A182:E182"/>
    <mergeCell ref="A183:E183"/>
    <mergeCell ref="A184:E205"/>
    <mergeCell ref="A206:E206"/>
    <mergeCell ref="A207:B207"/>
    <mergeCell ref="C207:D207"/>
    <mergeCell ref="A181:D181"/>
    <mergeCell ref="C174:D176"/>
    <mergeCell ref="A174:B176"/>
    <mergeCell ref="E174:E176"/>
    <mergeCell ref="C177:D179"/>
    <mergeCell ref="A177:B179"/>
    <mergeCell ref="E177:E179"/>
    <mergeCell ref="A180:D180"/>
    <mergeCell ref="A148:E148"/>
    <mergeCell ref="A149:E149"/>
    <mergeCell ref="A150:E171"/>
    <mergeCell ref="A172:E172"/>
    <mergeCell ref="A173:B173"/>
    <mergeCell ref="C173:D173"/>
    <mergeCell ref="A1:E2"/>
    <mergeCell ref="A3:C3"/>
    <mergeCell ref="D3:D8"/>
    <mergeCell ref="A4:C8"/>
    <mergeCell ref="E4:E5"/>
    <mergeCell ref="E7:E8"/>
    <mergeCell ref="C36:D36"/>
    <mergeCell ref="A37:D37"/>
    <mergeCell ref="A38:D38"/>
    <mergeCell ref="A36:B36"/>
    <mergeCell ref="A9:E9"/>
    <mergeCell ref="A10:E10"/>
    <mergeCell ref="A11:E32"/>
    <mergeCell ref="A33:E33"/>
    <mergeCell ref="C34:D34"/>
    <mergeCell ref="C35:D35"/>
    <mergeCell ref="A34:B34"/>
    <mergeCell ref="A35:B35"/>
    <mergeCell ref="A39:E39"/>
    <mergeCell ref="A40:E40"/>
    <mergeCell ref="A41:E62"/>
    <mergeCell ref="A63:E63"/>
    <mergeCell ref="A64:B64"/>
    <mergeCell ref="C64:D64"/>
    <mergeCell ref="A69:E69"/>
    <mergeCell ref="A70:E70"/>
    <mergeCell ref="A71:E92"/>
    <mergeCell ref="A93:E93"/>
    <mergeCell ref="A65:B65"/>
    <mergeCell ref="C65:D65"/>
    <mergeCell ref="A66:B66"/>
    <mergeCell ref="C66:D66"/>
    <mergeCell ref="A67:D67"/>
    <mergeCell ref="A68:D68"/>
    <mergeCell ref="B94:D94"/>
    <mergeCell ref="B95:D95"/>
    <mergeCell ref="B96:D96"/>
    <mergeCell ref="B97:D97"/>
    <mergeCell ref="B98:D98"/>
    <mergeCell ref="B99:D99"/>
    <mergeCell ref="B100:D100"/>
    <mergeCell ref="B102:D102"/>
    <mergeCell ref="B101:D101"/>
    <mergeCell ref="A105:E105"/>
    <mergeCell ref="A103:D103"/>
    <mergeCell ref="A104:D104"/>
    <mergeCell ref="A106:E106"/>
    <mergeCell ref="A107:E128"/>
    <mergeCell ref="A129:E129"/>
    <mergeCell ref="B130:D130"/>
    <mergeCell ref="B131:D131"/>
    <mergeCell ref="A146:D146"/>
    <mergeCell ref="A147:D147"/>
    <mergeCell ref="B145:D145"/>
    <mergeCell ref="B140:D141"/>
    <mergeCell ref="A140:A141"/>
    <mergeCell ref="E140:E141"/>
    <mergeCell ref="E132:E133"/>
    <mergeCell ref="B132:D133"/>
    <mergeCell ref="A132:A133"/>
    <mergeCell ref="B142:D144"/>
    <mergeCell ref="E142:E144"/>
    <mergeCell ref="A142:A144"/>
    <mergeCell ref="B134:D134"/>
    <mergeCell ref="B135:D135"/>
    <mergeCell ref="B136:D136"/>
    <mergeCell ref="B137:D137"/>
    <mergeCell ref="B138:D138"/>
    <mergeCell ref="B139:D139"/>
    <mergeCell ref="C488:D488"/>
    <mergeCell ref="C490:D490"/>
    <mergeCell ref="A496:D496"/>
    <mergeCell ref="A458:D458"/>
    <mergeCell ref="A459:D459"/>
    <mergeCell ref="A460:E460"/>
    <mergeCell ref="A461:E461"/>
    <mergeCell ref="A462:E483"/>
    <mergeCell ref="A484:E484"/>
    <mergeCell ref="C485:D485"/>
    <mergeCell ref="A500:D500"/>
    <mergeCell ref="C489:D489"/>
    <mergeCell ref="C491:D491"/>
    <mergeCell ref="A498:D498"/>
    <mergeCell ref="C493:D493"/>
    <mergeCell ref="A501:D501"/>
    <mergeCell ref="A495:E495"/>
    <mergeCell ref="A497:D497"/>
    <mergeCell ref="A499:D499"/>
    <mergeCell ref="C492:D492"/>
  </mergeCells>
  <phoneticPr fontId="10" type="noConversion"/>
  <pageMargins left="0.7" right="0.7" top="0.75" bottom="0.75" header="0.3" footer="0.3"/>
  <pageSetup paperSize="9" scale="66" orientation="portrait" horizontalDpi="4294967293"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AEB36-0591-4F07-83B4-86F9EDE69690}">
  <sheetPr>
    <tabColor theme="1" tint="0.34998626667073579"/>
  </sheetPr>
  <dimension ref="A1:G654"/>
  <sheetViews>
    <sheetView view="pageBreakPreview" zoomScaleNormal="100" zoomScaleSheetLayoutView="100" workbookViewId="0">
      <selection activeCell="E413" sqref="E413"/>
    </sheetView>
  </sheetViews>
  <sheetFormatPr defaultRowHeight="15" x14ac:dyDescent="0.25"/>
  <cols>
    <col min="1" max="1" width="31.42578125" customWidth="1"/>
    <col min="2" max="2" width="18" customWidth="1"/>
    <col min="3" max="3" width="18.7109375" customWidth="1"/>
    <col min="4" max="4" width="29.285156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1406</v>
      </c>
      <c r="B3" s="987"/>
      <c r="C3" s="988"/>
      <c r="D3" s="989"/>
      <c r="E3" s="228" t="s">
        <v>993</v>
      </c>
    </row>
    <row r="4" spans="1:5" ht="15" customHeight="1" x14ac:dyDescent="0.25">
      <c r="A4" s="992" t="s">
        <v>983</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x14ac:dyDescent="0.25">
      <c r="A9" s="974" t="s">
        <v>1407</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79"/>
      <c r="B27" s="979"/>
      <c r="C27" s="979"/>
      <c r="D27" s="979"/>
      <c r="E27" s="979"/>
    </row>
    <row r="28" spans="1:5" x14ac:dyDescent="0.25">
      <c r="A28" s="979"/>
      <c r="B28" s="979"/>
      <c r="C28" s="979"/>
      <c r="D28" s="979"/>
      <c r="E28" s="979"/>
    </row>
    <row r="29" spans="1:5" x14ac:dyDescent="0.25">
      <c r="A29" s="979"/>
      <c r="B29" s="979"/>
      <c r="C29" s="979"/>
      <c r="D29" s="979"/>
      <c r="E29" s="979"/>
    </row>
    <row r="30" spans="1:5" x14ac:dyDescent="0.25">
      <c r="A30" s="979"/>
      <c r="B30" s="979"/>
      <c r="C30" s="979"/>
      <c r="D30" s="979"/>
      <c r="E30" s="979"/>
    </row>
    <row r="31" spans="1:5" x14ac:dyDescent="0.25">
      <c r="A31" s="979"/>
      <c r="B31" s="979"/>
      <c r="C31" s="979"/>
      <c r="D31" s="979"/>
      <c r="E31" s="979"/>
    </row>
    <row r="32" spans="1:5" x14ac:dyDescent="0.25">
      <c r="A32" s="979"/>
      <c r="B32" s="979"/>
      <c r="C32" s="979"/>
      <c r="D32" s="979"/>
      <c r="E32" s="979"/>
    </row>
    <row r="33" spans="1:7" x14ac:dyDescent="0.25">
      <c r="A33" s="966" t="s">
        <v>1407</v>
      </c>
      <c r="B33" s="966"/>
      <c r="C33" s="966"/>
      <c r="D33" s="966"/>
      <c r="E33" s="966"/>
    </row>
    <row r="34" spans="1:7" x14ac:dyDescent="0.25">
      <c r="A34" s="229" t="s">
        <v>1105</v>
      </c>
      <c r="B34" s="239" t="s">
        <v>1408</v>
      </c>
      <c r="C34" s="967" t="s">
        <v>998</v>
      </c>
      <c r="D34" s="968"/>
      <c r="E34" s="229" t="s">
        <v>1003</v>
      </c>
    </row>
    <row r="35" spans="1:7" ht="15" customHeight="1" x14ac:dyDescent="0.25">
      <c r="A35" s="230" t="s">
        <v>1173</v>
      </c>
      <c r="B35" s="231" t="s">
        <v>1409</v>
      </c>
      <c r="C35" s="969" t="s">
        <v>1288</v>
      </c>
      <c r="D35" s="970"/>
      <c r="E35" s="232">
        <v>10.54</v>
      </c>
      <c r="F35" s="248"/>
      <c r="G35" t="s">
        <v>747</v>
      </c>
    </row>
    <row r="36" spans="1:7" ht="15" customHeight="1" x14ac:dyDescent="0.25">
      <c r="A36" s="230" t="s">
        <v>1174</v>
      </c>
      <c r="B36" s="231" t="s">
        <v>1409</v>
      </c>
      <c r="C36" s="969" t="s">
        <v>1288</v>
      </c>
      <c r="D36" s="970"/>
      <c r="E36" s="232">
        <v>18.559999999999999</v>
      </c>
      <c r="F36" s="248">
        <v>102041</v>
      </c>
      <c r="G36" t="s">
        <v>747</v>
      </c>
    </row>
    <row r="37" spans="1:7" ht="15" customHeight="1" x14ac:dyDescent="0.25">
      <c r="A37" s="230" t="s">
        <v>1176</v>
      </c>
      <c r="B37" s="231" t="s">
        <v>1410</v>
      </c>
      <c r="C37" s="969" t="s">
        <v>1288</v>
      </c>
      <c r="D37" s="970"/>
      <c r="E37" s="232">
        <v>10.01</v>
      </c>
    </row>
    <row r="38" spans="1:7" x14ac:dyDescent="0.25">
      <c r="A38" s="230" t="s">
        <v>1178</v>
      </c>
      <c r="B38" s="231" t="s">
        <v>1409</v>
      </c>
      <c r="C38" s="969" t="s">
        <v>1288</v>
      </c>
      <c r="D38" s="970"/>
      <c r="E38" s="232">
        <v>9.75</v>
      </c>
    </row>
    <row r="39" spans="1:7" ht="15" customHeight="1" x14ac:dyDescent="0.25">
      <c r="A39" s="971" t="s">
        <v>1411</v>
      </c>
      <c r="B39" s="972"/>
      <c r="C39" s="972"/>
      <c r="D39" s="973"/>
      <c r="E39" s="238">
        <f>E37</f>
        <v>10.01</v>
      </c>
    </row>
    <row r="40" spans="1:7" ht="14.45" customHeight="1" x14ac:dyDescent="0.25">
      <c r="A40" s="971" t="s">
        <v>1412</v>
      </c>
      <c r="B40" s="972"/>
      <c r="C40" s="972"/>
      <c r="D40" s="973"/>
      <c r="E40" s="238">
        <f>SUM(E35+E36+E38)</f>
        <v>38.849999999999994</v>
      </c>
    </row>
    <row r="41" spans="1:7" x14ac:dyDescent="0.25">
      <c r="A41" s="995" t="s">
        <v>1270</v>
      </c>
      <c r="B41" s="996"/>
      <c r="C41" s="996"/>
      <c r="D41" s="997"/>
      <c r="E41" s="233">
        <f>SUM(E35:E38)</f>
        <v>48.86</v>
      </c>
      <c r="F41" s="290">
        <f>SUM(E39:E40)</f>
        <v>48.859999999999992</v>
      </c>
    </row>
    <row r="42" spans="1:7" x14ac:dyDescent="0.25">
      <c r="A42" s="1066" t="s">
        <v>1413</v>
      </c>
      <c r="B42" s="976"/>
      <c r="C42" s="976"/>
      <c r="D42" s="976"/>
      <c r="E42" s="977"/>
    </row>
    <row r="43" spans="1:7" x14ac:dyDescent="0.25">
      <c r="A43" s="978" t="s">
        <v>997</v>
      </c>
      <c r="B43" s="978"/>
      <c r="C43" s="978"/>
      <c r="D43" s="978"/>
      <c r="E43" s="978"/>
    </row>
    <row r="44" spans="1:7" x14ac:dyDescent="0.25">
      <c r="A44" s="979"/>
      <c r="B44" s="979"/>
      <c r="C44" s="979"/>
      <c r="D44" s="979"/>
      <c r="E44" s="979"/>
    </row>
    <row r="45" spans="1:7" x14ac:dyDescent="0.25">
      <c r="A45" s="979"/>
      <c r="B45" s="979"/>
      <c r="C45" s="979"/>
      <c r="D45" s="979"/>
      <c r="E45" s="979"/>
    </row>
    <row r="46" spans="1:7" x14ac:dyDescent="0.25">
      <c r="A46" s="979"/>
      <c r="B46" s="979"/>
      <c r="C46" s="979"/>
      <c r="D46" s="979"/>
      <c r="E46" s="979"/>
    </row>
    <row r="47" spans="1:7" x14ac:dyDescent="0.25">
      <c r="A47" s="979"/>
      <c r="B47" s="979"/>
      <c r="C47" s="979"/>
      <c r="D47" s="979"/>
      <c r="E47" s="979"/>
    </row>
    <row r="48" spans="1:7" x14ac:dyDescent="0.25">
      <c r="A48" s="979"/>
      <c r="B48" s="979"/>
      <c r="C48" s="979"/>
      <c r="D48" s="979"/>
      <c r="E48" s="979"/>
    </row>
    <row r="49" spans="1:5" x14ac:dyDescent="0.25">
      <c r="A49" s="979"/>
      <c r="B49" s="979"/>
      <c r="C49" s="979"/>
      <c r="D49" s="979"/>
      <c r="E49" s="979"/>
    </row>
    <row r="50" spans="1:5" x14ac:dyDescent="0.25">
      <c r="A50" s="979"/>
      <c r="B50" s="979"/>
      <c r="C50" s="979"/>
      <c r="D50" s="979"/>
      <c r="E50" s="979"/>
    </row>
    <row r="51" spans="1:5" x14ac:dyDescent="0.25">
      <c r="A51" s="979"/>
      <c r="B51" s="979"/>
      <c r="C51" s="979"/>
      <c r="D51" s="979"/>
      <c r="E51" s="979"/>
    </row>
    <row r="52" spans="1:5" x14ac:dyDescent="0.25">
      <c r="A52" s="979"/>
      <c r="B52" s="979"/>
      <c r="C52" s="979"/>
      <c r="D52" s="979"/>
      <c r="E52" s="979"/>
    </row>
    <row r="53" spans="1:5" x14ac:dyDescent="0.25">
      <c r="A53" s="979"/>
      <c r="B53" s="979"/>
      <c r="C53" s="979"/>
      <c r="D53" s="979"/>
      <c r="E53" s="979"/>
    </row>
    <row r="54" spans="1:5" x14ac:dyDescent="0.25">
      <c r="A54" s="979"/>
      <c r="B54" s="979"/>
      <c r="C54" s="979"/>
      <c r="D54" s="979"/>
      <c r="E54" s="979"/>
    </row>
    <row r="55" spans="1:5" x14ac:dyDescent="0.25">
      <c r="A55" s="979"/>
      <c r="B55" s="979"/>
      <c r="C55" s="979"/>
      <c r="D55" s="979"/>
      <c r="E55" s="979"/>
    </row>
    <row r="56" spans="1:5" x14ac:dyDescent="0.25">
      <c r="A56" s="979"/>
      <c r="B56" s="979"/>
      <c r="C56" s="979"/>
      <c r="D56" s="979"/>
      <c r="E56" s="979"/>
    </row>
    <row r="57" spans="1:5" x14ac:dyDescent="0.25">
      <c r="A57" s="979"/>
      <c r="B57" s="979"/>
      <c r="C57" s="979"/>
      <c r="D57" s="979"/>
      <c r="E57" s="979"/>
    </row>
    <row r="58" spans="1:5" x14ac:dyDescent="0.25">
      <c r="A58" s="979"/>
      <c r="B58" s="979"/>
      <c r="C58" s="979"/>
      <c r="D58" s="979"/>
      <c r="E58" s="979"/>
    </row>
    <row r="59" spans="1:5" x14ac:dyDescent="0.25">
      <c r="A59" s="979"/>
      <c r="B59" s="979"/>
      <c r="C59" s="979"/>
      <c r="D59" s="979"/>
      <c r="E59" s="979"/>
    </row>
    <row r="60" spans="1:5" x14ac:dyDescent="0.25">
      <c r="A60" s="979"/>
      <c r="B60" s="979"/>
      <c r="C60" s="979"/>
      <c r="D60" s="979"/>
      <c r="E60" s="979"/>
    </row>
    <row r="61" spans="1:5" x14ac:dyDescent="0.25">
      <c r="A61" s="979"/>
      <c r="B61" s="979"/>
      <c r="C61" s="979"/>
      <c r="D61" s="979"/>
      <c r="E61" s="979"/>
    </row>
    <row r="62" spans="1:5" x14ac:dyDescent="0.25">
      <c r="A62" s="979"/>
      <c r="B62" s="979"/>
      <c r="C62" s="979"/>
      <c r="D62" s="979"/>
      <c r="E62" s="979"/>
    </row>
    <row r="63" spans="1:5" x14ac:dyDescent="0.25">
      <c r="A63" s="979"/>
      <c r="B63" s="979"/>
      <c r="C63" s="979"/>
      <c r="D63" s="979"/>
      <c r="E63" s="979"/>
    </row>
    <row r="64" spans="1:5" x14ac:dyDescent="0.25">
      <c r="A64" s="979"/>
      <c r="B64" s="979"/>
      <c r="C64" s="979"/>
      <c r="D64" s="979"/>
      <c r="E64" s="979"/>
    </row>
    <row r="65" spans="1:7" x14ac:dyDescent="0.25">
      <c r="A65" s="979"/>
      <c r="B65" s="979"/>
      <c r="C65" s="979"/>
      <c r="D65" s="979"/>
      <c r="E65" s="979"/>
    </row>
    <row r="66" spans="1:7" ht="14.45" customHeight="1" x14ac:dyDescent="0.25">
      <c r="A66" s="966" t="s">
        <v>1414</v>
      </c>
      <c r="B66" s="966"/>
      <c r="C66" s="966"/>
      <c r="D66" s="966"/>
      <c r="E66" s="966"/>
    </row>
    <row r="67" spans="1:7" ht="14.45" customHeight="1" x14ac:dyDescent="0.25">
      <c r="A67" s="229" t="s">
        <v>1105</v>
      </c>
      <c r="B67" s="239" t="s">
        <v>1415</v>
      </c>
      <c r="C67" s="967" t="s">
        <v>998</v>
      </c>
      <c r="D67" s="968"/>
      <c r="E67" s="229" t="s">
        <v>1416</v>
      </c>
    </row>
    <row r="68" spans="1:7" ht="14.45" customHeight="1" x14ac:dyDescent="0.25">
      <c r="A68" s="230" t="s">
        <v>1173</v>
      </c>
      <c r="B68" s="249" t="s">
        <v>1417</v>
      </c>
      <c r="C68" s="1165">
        <v>76</v>
      </c>
      <c r="D68" s="1166"/>
      <c r="E68" s="250">
        <v>76</v>
      </c>
    </row>
    <row r="69" spans="1:7" ht="14.45" customHeight="1" x14ac:dyDescent="0.25">
      <c r="A69" s="230" t="s">
        <v>1173</v>
      </c>
      <c r="B69" s="254" t="s">
        <v>1418</v>
      </c>
      <c r="C69" s="1096">
        <v>136</v>
      </c>
      <c r="D69" s="1097"/>
      <c r="E69" s="255">
        <v>136</v>
      </c>
    </row>
    <row r="70" spans="1:7" ht="14.45" customHeight="1" x14ac:dyDescent="0.25">
      <c r="A70" s="230" t="s">
        <v>1174</v>
      </c>
      <c r="B70" s="249" t="s">
        <v>1417</v>
      </c>
      <c r="C70" s="1165">
        <v>82</v>
      </c>
      <c r="D70" s="1166"/>
      <c r="E70" s="250">
        <v>82</v>
      </c>
    </row>
    <row r="71" spans="1:7" ht="14.45" customHeight="1" x14ac:dyDescent="0.25">
      <c r="A71" s="230" t="s">
        <v>1174</v>
      </c>
      <c r="B71" s="252" t="s">
        <v>1419</v>
      </c>
      <c r="C71" s="1167">
        <v>148</v>
      </c>
      <c r="D71" s="1168"/>
      <c r="E71" s="253">
        <v>148</v>
      </c>
    </row>
    <row r="72" spans="1:7" ht="14.45" customHeight="1" x14ac:dyDescent="0.25">
      <c r="A72" s="230" t="s">
        <v>1176</v>
      </c>
      <c r="B72" s="249" t="s">
        <v>1417</v>
      </c>
      <c r="C72" s="1165">
        <v>33</v>
      </c>
      <c r="D72" s="1166"/>
      <c r="E72" s="250">
        <v>33</v>
      </c>
    </row>
    <row r="73" spans="1:7" ht="14.45" customHeight="1" x14ac:dyDescent="0.25">
      <c r="A73" s="230" t="s">
        <v>1176</v>
      </c>
      <c r="B73" s="252" t="s">
        <v>1419</v>
      </c>
      <c r="C73" s="1167">
        <v>104</v>
      </c>
      <c r="D73" s="1168"/>
      <c r="E73" s="253">
        <v>104</v>
      </c>
    </row>
    <row r="74" spans="1:7" ht="14.45" customHeight="1" x14ac:dyDescent="0.25">
      <c r="A74" s="268" t="s">
        <v>1178</v>
      </c>
      <c r="B74" s="271" t="s">
        <v>1417</v>
      </c>
      <c r="C74" s="1169">
        <v>65</v>
      </c>
      <c r="D74" s="1170"/>
      <c r="E74" s="272">
        <v>65</v>
      </c>
    </row>
    <row r="75" spans="1:7" ht="14.45" customHeight="1" x14ac:dyDescent="0.25">
      <c r="A75" s="269" t="s">
        <v>1178</v>
      </c>
      <c r="B75" s="261" t="s">
        <v>1420</v>
      </c>
      <c r="C75" s="1171">
        <v>171</v>
      </c>
      <c r="D75" s="1171"/>
      <c r="E75" s="270">
        <v>171</v>
      </c>
    </row>
    <row r="76" spans="1:7" ht="14.45" customHeight="1" x14ac:dyDescent="0.25">
      <c r="A76" s="1156"/>
      <c r="B76" s="1157"/>
      <c r="C76" s="1157"/>
      <c r="D76" s="1157"/>
      <c r="E76" s="1158"/>
    </row>
    <row r="77" spans="1:7" ht="14.45" customHeight="1" x14ac:dyDescent="0.25">
      <c r="A77" s="1172" t="s">
        <v>1421</v>
      </c>
      <c r="B77" s="1172"/>
      <c r="C77" s="1172"/>
      <c r="D77" s="1172"/>
      <c r="E77" s="273">
        <f>SUM(E68+E70+E72+E74)</f>
        <v>256</v>
      </c>
      <c r="F77" s="248">
        <v>95945</v>
      </c>
      <c r="G77" s="248"/>
    </row>
    <row r="78" spans="1:7" ht="14.45" customHeight="1" x14ac:dyDescent="0.25">
      <c r="A78" s="1162" t="s">
        <v>1422</v>
      </c>
      <c r="B78" s="1163"/>
      <c r="C78" s="1163"/>
      <c r="D78" s="1164"/>
      <c r="E78" s="257">
        <f>SUM(E71+E73)</f>
        <v>252</v>
      </c>
      <c r="F78" s="248">
        <v>95946</v>
      </c>
    </row>
    <row r="79" spans="1:7" ht="14.45" customHeight="1" x14ac:dyDescent="0.25">
      <c r="A79" s="1005" t="s">
        <v>1423</v>
      </c>
      <c r="B79" s="1006"/>
      <c r="C79" s="1006"/>
      <c r="D79" s="1007"/>
      <c r="E79" s="256">
        <f>E69</f>
        <v>136</v>
      </c>
      <c r="F79">
        <v>95948</v>
      </c>
      <c r="G79" s="248"/>
    </row>
    <row r="80" spans="1:7" ht="14.45" customHeight="1" x14ac:dyDescent="0.25">
      <c r="A80" s="998" t="s">
        <v>1424</v>
      </c>
      <c r="B80" s="999"/>
      <c r="C80" s="999"/>
      <c r="D80" s="1000"/>
      <c r="E80" s="258">
        <f>E75</f>
        <v>171</v>
      </c>
    </row>
    <row r="81" spans="1:5" ht="14.45" customHeight="1" x14ac:dyDescent="0.25">
      <c r="A81" s="995" t="s">
        <v>1270</v>
      </c>
      <c r="B81" s="996"/>
      <c r="C81" s="996"/>
      <c r="D81" s="997"/>
      <c r="E81" s="233">
        <f>SUM(E68:E75)</f>
        <v>815</v>
      </c>
    </row>
    <row r="82" spans="1:5" ht="14.45" customHeight="1" x14ac:dyDescent="0.25">
      <c r="A82" s="1066" t="s">
        <v>1425</v>
      </c>
      <c r="B82" s="976"/>
      <c r="C82" s="976"/>
      <c r="D82" s="976"/>
      <c r="E82" s="977"/>
    </row>
    <row r="83" spans="1:5" ht="14.45" customHeight="1" x14ac:dyDescent="0.25">
      <c r="A83" s="978" t="s">
        <v>997</v>
      </c>
      <c r="B83" s="978"/>
      <c r="C83" s="978"/>
      <c r="D83" s="978"/>
      <c r="E83" s="978"/>
    </row>
    <row r="84" spans="1:5" ht="14.45" customHeight="1" x14ac:dyDescent="0.25">
      <c r="A84" s="979"/>
      <c r="B84" s="979"/>
      <c r="C84" s="979"/>
      <c r="D84" s="979"/>
      <c r="E84" s="979"/>
    </row>
    <row r="85" spans="1:5" x14ac:dyDescent="0.25">
      <c r="A85" s="979"/>
      <c r="B85" s="979"/>
      <c r="C85" s="979"/>
      <c r="D85" s="979"/>
      <c r="E85" s="979"/>
    </row>
    <row r="86" spans="1:5" x14ac:dyDescent="0.25">
      <c r="A86" s="979"/>
      <c r="B86" s="979"/>
      <c r="C86" s="979"/>
      <c r="D86" s="979"/>
      <c r="E86" s="979"/>
    </row>
    <row r="87" spans="1:5" x14ac:dyDescent="0.25">
      <c r="A87" s="979"/>
      <c r="B87" s="979"/>
      <c r="C87" s="979"/>
      <c r="D87" s="979"/>
      <c r="E87" s="979"/>
    </row>
    <row r="88" spans="1:5" x14ac:dyDescent="0.25">
      <c r="A88" s="979"/>
      <c r="B88" s="979"/>
      <c r="C88" s="979"/>
      <c r="D88" s="979"/>
      <c r="E88" s="979"/>
    </row>
    <row r="89" spans="1:5" x14ac:dyDescent="0.25">
      <c r="A89" s="979"/>
      <c r="B89" s="979"/>
      <c r="C89" s="979"/>
      <c r="D89" s="979"/>
      <c r="E89" s="979"/>
    </row>
    <row r="90" spans="1:5" x14ac:dyDescent="0.25">
      <c r="A90" s="979"/>
      <c r="B90" s="979"/>
      <c r="C90" s="979"/>
      <c r="D90" s="979"/>
      <c r="E90" s="979"/>
    </row>
    <row r="91" spans="1:5" x14ac:dyDescent="0.25">
      <c r="A91" s="979"/>
      <c r="B91" s="979"/>
      <c r="C91" s="979"/>
      <c r="D91" s="979"/>
      <c r="E91" s="979"/>
    </row>
    <row r="92" spans="1:5" x14ac:dyDescent="0.25">
      <c r="A92" s="979"/>
      <c r="B92" s="979"/>
      <c r="C92" s="979"/>
      <c r="D92" s="979"/>
      <c r="E92" s="979"/>
    </row>
    <row r="93" spans="1:5" x14ac:dyDescent="0.25">
      <c r="A93" s="979"/>
      <c r="B93" s="979"/>
      <c r="C93" s="979"/>
      <c r="D93" s="979"/>
      <c r="E93" s="979"/>
    </row>
    <row r="94" spans="1:5" x14ac:dyDescent="0.25">
      <c r="A94" s="979"/>
      <c r="B94" s="979"/>
      <c r="C94" s="979"/>
      <c r="D94" s="979"/>
      <c r="E94" s="979"/>
    </row>
    <row r="95" spans="1:5" x14ac:dyDescent="0.25">
      <c r="A95" s="979"/>
      <c r="B95" s="979"/>
      <c r="C95" s="979"/>
      <c r="D95" s="979"/>
      <c r="E95" s="979"/>
    </row>
    <row r="96" spans="1:5" x14ac:dyDescent="0.25">
      <c r="A96" s="979"/>
      <c r="B96" s="979"/>
      <c r="C96" s="979"/>
      <c r="D96" s="979"/>
      <c r="E96" s="979"/>
    </row>
    <row r="97" spans="1:7" x14ac:dyDescent="0.25">
      <c r="A97" s="979"/>
      <c r="B97" s="979"/>
      <c r="C97" s="979"/>
      <c r="D97" s="979"/>
      <c r="E97" s="979"/>
    </row>
    <row r="98" spans="1:7" x14ac:dyDescent="0.25">
      <c r="A98" s="979"/>
      <c r="B98" s="979"/>
      <c r="C98" s="979"/>
      <c r="D98" s="979"/>
      <c r="E98" s="979"/>
    </row>
    <row r="99" spans="1:7" x14ac:dyDescent="0.25">
      <c r="A99" s="979"/>
      <c r="B99" s="979"/>
      <c r="C99" s="979"/>
      <c r="D99" s="979"/>
      <c r="E99" s="979"/>
    </row>
    <row r="100" spans="1:7" x14ac:dyDescent="0.25">
      <c r="A100" s="979"/>
      <c r="B100" s="979"/>
      <c r="C100" s="979"/>
      <c r="D100" s="979"/>
      <c r="E100" s="979"/>
    </row>
    <row r="101" spans="1:7" x14ac:dyDescent="0.25">
      <c r="A101" s="979"/>
      <c r="B101" s="979"/>
      <c r="C101" s="979"/>
      <c r="D101" s="979"/>
      <c r="E101" s="979"/>
    </row>
    <row r="102" spans="1:7" x14ac:dyDescent="0.25">
      <c r="A102" s="979"/>
      <c r="B102" s="979"/>
      <c r="C102" s="979"/>
      <c r="D102" s="979"/>
      <c r="E102" s="979"/>
    </row>
    <row r="103" spans="1:7" x14ac:dyDescent="0.25">
      <c r="A103" s="979"/>
      <c r="B103" s="979"/>
      <c r="C103" s="979"/>
      <c r="D103" s="979"/>
      <c r="E103" s="979"/>
    </row>
    <row r="104" spans="1:7" x14ac:dyDescent="0.25">
      <c r="A104" s="979"/>
      <c r="B104" s="979"/>
      <c r="C104" s="979"/>
      <c r="D104" s="979"/>
      <c r="E104" s="979"/>
    </row>
    <row r="105" spans="1:7" x14ac:dyDescent="0.25">
      <c r="A105" s="979"/>
      <c r="B105" s="979"/>
      <c r="C105" s="979"/>
      <c r="D105" s="979"/>
      <c r="E105" s="979"/>
    </row>
    <row r="106" spans="1:7" x14ac:dyDescent="0.25">
      <c r="A106" s="966" t="s">
        <v>1425</v>
      </c>
      <c r="B106" s="966"/>
      <c r="C106" s="966"/>
      <c r="D106" s="966"/>
      <c r="E106" s="966"/>
    </row>
    <row r="107" spans="1:7" x14ac:dyDescent="0.25">
      <c r="A107" s="967" t="s">
        <v>1105</v>
      </c>
      <c r="B107" s="968"/>
      <c r="C107" s="967" t="s">
        <v>998</v>
      </c>
      <c r="D107" s="968"/>
      <c r="E107" s="229" t="s">
        <v>1293</v>
      </c>
    </row>
    <row r="108" spans="1:7" ht="15" customHeight="1" x14ac:dyDescent="0.25">
      <c r="A108" s="1129" t="s">
        <v>1173</v>
      </c>
      <c r="B108" s="1130"/>
      <c r="C108" s="969" t="s">
        <v>1288</v>
      </c>
      <c r="D108" s="970"/>
      <c r="E108" s="232">
        <v>2.0099999999999998</v>
      </c>
      <c r="F108" s="248">
        <v>103686</v>
      </c>
      <c r="G108" s="248"/>
    </row>
    <row r="109" spans="1:7" ht="15" customHeight="1" x14ac:dyDescent="0.25">
      <c r="A109" s="1129" t="s">
        <v>1174</v>
      </c>
      <c r="B109" s="1130"/>
      <c r="C109" s="969" t="s">
        <v>1288</v>
      </c>
      <c r="D109" s="970"/>
      <c r="E109" s="232">
        <v>3.49</v>
      </c>
      <c r="F109" s="248">
        <v>103686</v>
      </c>
    </row>
    <row r="110" spans="1:7" ht="15" customHeight="1" x14ac:dyDescent="0.25">
      <c r="A110" s="1129" t="s">
        <v>1176</v>
      </c>
      <c r="B110" s="1130"/>
      <c r="C110" s="969" t="s">
        <v>1288</v>
      </c>
      <c r="D110" s="970"/>
      <c r="E110" s="232">
        <v>1.74</v>
      </c>
      <c r="F110" s="248">
        <v>103686</v>
      </c>
    </row>
    <row r="111" spans="1:7" ht="15" customHeight="1" x14ac:dyDescent="0.25">
      <c r="A111" s="1129" t="s">
        <v>1178</v>
      </c>
      <c r="B111" s="1130"/>
      <c r="C111" s="969" t="s">
        <v>1288</v>
      </c>
      <c r="D111" s="970"/>
      <c r="E111" s="232">
        <v>1.83</v>
      </c>
      <c r="F111" s="248">
        <v>103686</v>
      </c>
    </row>
    <row r="112" spans="1:7" x14ac:dyDescent="0.25">
      <c r="A112" s="971" t="s">
        <v>1001</v>
      </c>
      <c r="B112" s="972"/>
      <c r="C112" s="972"/>
      <c r="D112" s="973"/>
      <c r="E112" s="238">
        <f>SUM(E107:E111)</f>
        <v>9.07</v>
      </c>
    </row>
    <row r="113" spans="1:5" x14ac:dyDescent="0.25">
      <c r="A113" s="995" t="s">
        <v>1270</v>
      </c>
      <c r="B113" s="996"/>
      <c r="C113" s="996"/>
      <c r="D113" s="997"/>
      <c r="E113" s="233">
        <f>E112</f>
        <v>9.07</v>
      </c>
    </row>
    <row r="114" spans="1:5" x14ac:dyDescent="0.25">
      <c r="A114" s="1066" t="s">
        <v>1426</v>
      </c>
      <c r="B114" s="976"/>
      <c r="C114" s="976"/>
      <c r="D114" s="976"/>
      <c r="E114" s="977"/>
    </row>
    <row r="115" spans="1:5" x14ac:dyDescent="0.25">
      <c r="A115" s="978" t="s">
        <v>997</v>
      </c>
      <c r="B115" s="978"/>
      <c r="C115" s="978"/>
      <c r="D115" s="978"/>
      <c r="E115" s="978"/>
    </row>
    <row r="116" spans="1:5" x14ac:dyDescent="0.25">
      <c r="A116" s="979"/>
      <c r="B116" s="979"/>
      <c r="C116" s="979"/>
      <c r="D116" s="979"/>
      <c r="E116" s="979"/>
    </row>
    <row r="117" spans="1:5" x14ac:dyDescent="0.25">
      <c r="A117" s="979"/>
      <c r="B117" s="979"/>
      <c r="C117" s="979"/>
      <c r="D117" s="979"/>
      <c r="E117" s="979"/>
    </row>
    <row r="118" spans="1:5" x14ac:dyDescent="0.25">
      <c r="A118" s="979"/>
      <c r="B118" s="979"/>
      <c r="C118" s="979"/>
      <c r="D118" s="979"/>
      <c r="E118" s="979"/>
    </row>
    <row r="119" spans="1:5" x14ac:dyDescent="0.25">
      <c r="A119" s="979"/>
      <c r="B119" s="979"/>
      <c r="C119" s="979"/>
      <c r="D119" s="979"/>
      <c r="E119" s="979"/>
    </row>
    <row r="120" spans="1:5" x14ac:dyDescent="0.25">
      <c r="A120" s="979"/>
      <c r="B120" s="979"/>
      <c r="C120" s="979"/>
      <c r="D120" s="979"/>
      <c r="E120" s="979"/>
    </row>
    <row r="121" spans="1:5" x14ac:dyDescent="0.25">
      <c r="A121" s="979"/>
      <c r="B121" s="979"/>
      <c r="C121" s="979"/>
      <c r="D121" s="979"/>
      <c r="E121" s="979"/>
    </row>
    <row r="122" spans="1:5" x14ac:dyDescent="0.25">
      <c r="A122" s="979"/>
      <c r="B122" s="979"/>
      <c r="C122" s="979"/>
      <c r="D122" s="979"/>
      <c r="E122" s="979"/>
    </row>
    <row r="123" spans="1:5" x14ac:dyDescent="0.25">
      <c r="A123" s="979"/>
      <c r="B123" s="979"/>
      <c r="C123" s="979"/>
      <c r="D123" s="979"/>
      <c r="E123" s="979"/>
    </row>
    <row r="124" spans="1:5" x14ac:dyDescent="0.25">
      <c r="A124" s="979"/>
      <c r="B124" s="979"/>
      <c r="C124" s="979"/>
      <c r="D124" s="979"/>
      <c r="E124" s="979"/>
    </row>
    <row r="125" spans="1:5" x14ac:dyDescent="0.25">
      <c r="A125" s="979"/>
      <c r="B125" s="979"/>
      <c r="C125" s="979"/>
      <c r="D125" s="979"/>
      <c r="E125" s="979"/>
    </row>
    <row r="126" spans="1:5" x14ac:dyDescent="0.25">
      <c r="A126" s="979"/>
      <c r="B126" s="979"/>
      <c r="C126" s="979"/>
      <c r="D126" s="979"/>
      <c r="E126" s="979"/>
    </row>
    <row r="127" spans="1:5" x14ac:dyDescent="0.25">
      <c r="A127" s="979"/>
      <c r="B127" s="979"/>
      <c r="C127" s="979"/>
      <c r="D127" s="979"/>
      <c r="E127" s="979"/>
    </row>
    <row r="128" spans="1:5" x14ac:dyDescent="0.25">
      <c r="A128" s="979"/>
      <c r="B128" s="979"/>
      <c r="C128" s="979"/>
      <c r="D128" s="979"/>
      <c r="E128" s="979"/>
    </row>
    <row r="129" spans="1:5" x14ac:dyDescent="0.25">
      <c r="A129" s="979"/>
      <c r="B129" s="979"/>
      <c r="C129" s="979"/>
      <c r="D129" s="979"/>
      <c r="E129" s="979"/>
    </row>
    <row r="130" spans="1:5" x14ac:dyDescent="0.25">
      <c r="A130" s="979"/>
      <c r="B130" s="979"/>
      <c r="C130" s="979"/>
      <c r="D130" s="979"/>
      <c r="E130" s="979"/>
    </row>
    <row r="131" spans="1:5" x14ac:dyDescent="0.25">
      <c r="A131" s="979"/>
      <c r="B131" s="979"/>
      <c r="C131" s="979"/>
      <c r="D131" s="979"/>
      <c r="E131" s="979"/>
    </row>
    <row r="132" spans="1:5" x14ac:dyDescent="0.25">
      <c r="A132" s="979"/>
      <c r="B132" s="979"/>
      <c r="C132" s="979"/>
      <c r="D132" s="979"/>
      <c r="E132" s="979"/>
    </row>
    <row r="133" spans="1:5" x14ac:dyDescent="0.25">
      <c r="A133" s="979"/>
      <c r="B133" s="979"/>
      <c r="C133" s="979"/>
      <c r="D133" s="979"/>
      <c r="E133" s="979"/>
    </row>
    <row r="134" spans="1:5" x14ac:dyDescent="0.25">
      <c r="A134" s="979"/>
      <c r="B134" s="979"/>
      <c r="C134" s="979"/>
      <c r="D134" s="979"/>
      <c r="E134" s="979"/>
    </row>
    <row r="135" spans="1:5" x14ac:dyDescent="0.25">
      <c r="A135" s="979"/>
      <c r="B135" s="979"/>
      <c r="C135" s="979"/>
      <c r="D135" s="979"/>
      <c r="E135" s="979"/>
    </row>
    <row r="136" spans="1:5" x14ac:dyDescent="0.25">
      <c r="A136" s="979"/>
      <c r="B136" s="979"/>
      <c r="C136" s="979"/>
      <c r="D136" s="979"/>
      <c r="E136" s="979"/>
    </row>
    <row r="137" spans="1:5" x14ac:dyDescent="0.25">
      <c r="A137" s="979"/>
      <c r="B137" s="979"/>
      <c r="C137" s="979"/>
      <c r="D137" s="979"/>
      <c r="E137" s="979"/>
    </row>
    <row r="138" spans="1:5" x14ac:dyDescent="0.25">
      <c r="A138" s="966" t="s">
        <v>1426</v>
      </c>
      <c r="B138" s="966"/>
      <c r="C138" s="966"/>
      <c r="D138" s="966"/>
      <c r="E138" s="966"/>
    </row>
    <row r="139" spans="1:5" x14ac:dyDescent="0.25">
      <c r="A139" s="229" t="s">
        <v>1105</v>
      </c>
      <c r="B139" s="239" t="s">
        <v>1427</v>
      </c>
      <c r="C139" s="967" t="s">
        <v>998</v>
      </c>
      <c r="D139" s="968"/>
      <c r="E139" s="229" t="s">
        <v>1003</v>
      </c>
    </row>
    <row r="140" spans="1:5" ht="15" customHeight="1" x14ac:dyDescent="0.25">
      <c r="A140" s="230" t="s">
        <v>1173</v>
      </c>
      <c r="B140" s="231" t="s">
        <v>1428</v>
      </c>
      <c r="C140" s="969" t="s">
        <v>1288</v>
      </c>
      <c r="D140" s="970"/>
      <c r="E140" s="232">
        <v>2.95</v>
      </c>
    </row>
    <row r="141" spans="1:5" ht="15" customHeight="1" x14ac:dyDescent="0.25">
      <c r="A141" s="230" t="s">
        <v>1174</v>
      </c>
      <c r="B141" s="231" t="s">
        <v>1428</v>
      </c>
      <c r="C141" s="969" t="s">
        <v>1288</v>
      </c>
      <c r="D141" s="970"/>
      <c r="E141" s="232">
        <v>3.52</v>
      </c>
    </row>
    <row r="142" spans="1:5" ht="15" customHeight="1" x14ac:dyDescent="0.25">
      <c r="A142" s="230" t="s">
        <v>1174</v>
      </c>
      <c r="B142" s="231" t="s">
        <v>1429</v>
      </c>
      <c r="C142" s="969" t="s">
        <v>1288</v>
      </c>
      <c r="D142" s="970"/>
      <c r="E142" s="232">
        <v>6.82</v>
      </c>
    </row>
    <row r="143" spans="1:5" ht="15" customHeight="1" x14ac:dyDescent="0.25">
      <c r="A143" s="230" t="s">
        <v>1176</v>
      </c>
      <c r="B143" s="231" t="s">
        <v>1428</v>
      </c>
      <c r="C143" s="969" t="s">
        <v>1288</v>
      </c>
      <c r="D143" s="970"/>
      <c r="E143" s="232">
        <v>2.02</v>
      </c>
    </row>
    <row r="144" spans="1:5" ht="15" customHeight="1" x14ac:dyDescent="0.25">
      <c r="A144" s="230" t="s">
        <v>1178</v>
      </c>
      <c r="B144" s="231" t="s">
        <v>1428</v>
      </c>
      <c r="C144" s="969" t="s">
        <v>1288</v>
      </c>
      <c r="D144" s="970"/>
      <c r="E144" s="232">
        <v>2.72</v>
      </c>
    </row>
    <row r="145" spans="1:5" x14ac:dyDescent="0.25">
      <c r="A145" s="971" t="s">
        <v>1001</v>
      </c>
      <c r="B145" s="972"/>
      <c r="C145" s="972"/>
      <c r="D145" s="973"/>
      <c r="E145" s="238">
        <f>SUM(E139:E144)</f>
        <v>18.03</v>
      </c>
    </row>
    <row r="146" spans="1:5" x14ac:dyDescent="0.25">
      <c r="A146" s="995" t="s">
        <v>1270</v>
      </c>
      <c r="B146" s="996"/>
      <c r="C146" s="996"/>
      <c r="D146" s="997"/>
      <c r="E146" s="233">
        <f>E145</f>
        <v>18.03</v>
      </c>
    </row>
    <row r="147" spans="1:5" x14ac:dyDescent="0.25">
      <c r="A147" s="1066" t="s">
        <v>1430</v>
      </c>
      <c r="B147" s="976"/>
      <c r="C147" s="976"/>
      <c r="D147" s="976"/>
      <c r="E147" s="977"/>
    </row>
    <row r="148" spans="1:5" x14ac:dyDescent="0.25">
      <c r="A148" s="978" t="s">
        <v>997</v>
      </c>
      <c r="B148" s="978"/>
      <c r="C148" s="978"/>
      <c r="D148" s="978"/>
      <c r="E148" s="978"/>
    </row>
    <row r="149" spans="1:5" x14ac:dyDescent="0.25">
      <c r="A149" s="1070"/>
      <c r="B149" s="1071"/>
      <c r="C149" s="1071"/>
      <c r="D149" s="1071"/>
      <c r="E149" s="1072"/>
    </row>
    <row r="150" spans="1:5" x14ac:dyDescent="0.25">
      <c r="A150" s="1073"/>
      <c r="B150" s="1074"/>
      <c r="C150" s="1074"/>
      <c r="D150" s="1074"/>
      <c r="E150" s="1075"/>
    </row>
    <row r="151" spans="1:5" x14ac:dyDescent="0.25">
      <c r="A151" s="1073"/>
      <c r="B151" s="1074"/>
      <c r="C151" s="1074"/>
      <c r="D151" s="1074"/>
      <c r="E151" s="1075"/>
    </row>
    <row r="152" spans="1:5" x14ac:dyDescent="0.25">
      <c r="A152" s="1073"/>
      <c r="B152" s="1074"/>
      <c r="C152" s="1074"/>
      <c r="D152" s="1074"/>
      <c r="E152" s="1075"/>
    </row>
    <row r="153" spans="1:5" x14ac:dyDescent="0.25">
      <c r="A153" s="1073"/>
      <c r="B153" s="1074"/>
      <c r="C153" s="1074"/>
      <c r="D153" s="1074"/>
      <c r="E153" s="1075"/>
    </row>
    <row r="154" spans="1:5" x14ac:dyDescent="0.25">
      <c r="A154" s="1073"/>
      <c r="B154" s="1074"/>
      <c r="C154" s="1074"/>
      <c r="D154" s="1074"/>
      <c r="E154" s="1075"/>
    </row>
    <row r="155" spans="1:5" x14ac:dyDescent="0.25">
      <c r="A155" s="1073"/>
      <c r="B155" s="1074"/>
      <c r="C155" s="1074"/>
      <c r="D155" s="1074"/>
      <c r="E155" s="1075"/>
    </row>
    <row r="156" spans="1:5" x14ac:dyDescent="0.25">
      <c r="A156" s="1073"/>
      <c r="B156" s="1074"/>
      <c r="C156" s="1074"/>
      <c r="D156" s="1074"/>
      <c r="E156" s="1075"/>
    </row>
    <row r="157" spans="1:5" x14ac:dyDescent="0.25">
      <c r="A157" s="1073"/>
      <c r="B157" s="1074"/>
      <c r="C157" s="1074"/>
      <c r="D157" s="1074"/>
      <c r="E157" s="1075"/>
    </row>
    <row r="158" spans="1:5" x14ac:dyDescent="0.25">
      <c r="A158" s="1073"/>
      <c r="B158" s="1074"/>
      <c r="C158" s="1074"/>
      <c r="D158" s="1074"/>
      <c r="E158" s="1075"/>
    </row>
    <row r="159" spans="1:5" x14ac:dyDescent="0.25">
      <c r="A159" s="1073"/>
      <c r="B159" s="1074"/>
      <c r="C159" s="1074"/>
      <c r="D159" s="1074"/>
      <c r="E159" s="1075"/>
    </row>
    <row r="160" spans="1:5" x14ac:dyDescent="0.25">
      <c r="A160" s="1073"/>
      <c r="B160" s="1074"/>
      <c r="C160" s="1074"/>
      <c r="D160" s="1074"/>
      <c r="E160" s="1075"/>
    </row>
    <row r="161" spans="1:6" x14ac:dyDescent="0.25">
      <c r="A161" s="1073"/>
      <c r="B161" s="1074"/>
      <c r="C161" s="1074"/>
      <c r="D161" s="1074"/>
      <c r="E161" s="1075"/>
    </row>
    <row r="162" spans="1:6" x14ac:dyDescent="0.25">
      <c r="A162" s="1073"/>
      <c r="B162" s="1074"/>
      <c r="C162" s="1074"/>
      <c r="D162" s="1074"/>
      <c r="E162" s="1075"/>
    </row>
    <row r="163" spans="1:6" x14ac:dyDescent="0.25">
      <c r="A163" s="1073"/>
      <c r="B163" s="1074"/>
      <c r="C163" s="1074"/>
      <c r="D163" s="1074"/>
      <c r="E163" s="1075"/>
    </row>
    <row r="164" spans="1:6" x14ac:dyDescent="0.25">
      <c r="A164" s="1073"/>
      <c r="B164" s="1074"/>
      <c r="C164" s="1074"/>
      <c r="D164" s="1074"/>
      <c r="E164" s="1075"/>
    </row>
    <row r="165" spans="1:6" x14ac:dyDescent="0.25">
      <c r="A165" s="1073"/>
      <c r="B165" s="1074"/>
      <c r="C165" s="1074"/>
      <c r="D165" s="1074"/>
      <c r="E165" s="1075"/>
    </row>
    <row r="166" spans="1:6" x14ac:dyDescent="0.25">
      <c r="A166" s="1073"/>
      <c r="B166" s="1074"/>
      <c r="C166" s="1074"/>
      <c r="D166" s="1074"/>
      <c r="E166" s="1075"/>
      <c r="F166" s="248">
        <v>92762</v>
      </c>
    </row>
    <row r="167" spans="1:6" x14ac:dyDescent="0.25">
      <c r="A167" s="1073"/>
      <c r="B167" s="1074"/>
      <c r="C167" s="1074"/>
      <c r="D167" s="1074"/>
      <c r="E167" s="1075"/>
      <c r="F167" s="248">
        <v>92759</v>
      </c>
    </row>
    <row r="168" spans="1:6" x14ac:dyDescent="0.25">
      <c r="A168" s="1073"/>
      <c r="B168" s="1074"/>
      <c r="C168" s="1074"/>
      <c r="D168" s="1074"/>
      <c r="E168" s="1075"/>
    </row>
    <row r="169" spans="1:6" x14ac:dyDescent="0.25">
      <c r="A169" s="1073"/>
      <c r="B169" s="1074"/>
      <c r="C169" s="1074"/>
      <c r="D169" s="1074"/>
      <c r="E169" s="1075"/>
    </row>
    <row r="170" spans="1:6" x14ac:dyDescent="0.25">
      <c r="A170" s="1073"/>
      <c r="B170" s="1074"/>
      <c r="C170" s="1074"/>
      <c r="D170" s="1074"/>
      <c r="E170" s="1075"/>
    </row>
    <row r="171" spans="1:6" x14ac:dyDescent="0.25">
      <c r="A171" s="1073"/>
      <c r="B171" s="1074"/>
      <c r="C171" s="1074"/>
      <c r="D171" s="1074"/>
      <c r="E171" s="1075"/>
    </row>
    <row r="172" spans="1:6" x14ac:dyDescent="0.25">
      <c r="A172" s="1073"/>
      <c r="B172" s="1074"/>
      <c r="C172" s="1074"/>
      <c r="D172" s="1074"/>
      <c r="E172" s="1075"/>
    </row>
    <row r="173" spans="1:6" x14ac:dyDescent="0.25">
      <c r="A173" s="1073"/>
      <c r="B173" s="1074"/>
      <c r="C173" s="1074"/>
      <c r="D173" s="1074"/>
      <c r="E173" s="1075"/>
    </row>
    <row r="174" spans="1:6" x14ac:dyDescent="0.25">
      <c r="A174" s="1073"/>
      <c r="B174" s="1074"/>
      <c r="C174" s="1074"/>
      <c r="D174" s="1074"/>
      <c r="E174" s="1075"/>
    </row>
    <row r="175" spans="1:6" x14ac:dyDescent="0.25">
      <c r="A175" s="1073"/>
      <c r="B175" s="1074"/>
      <c r="C175" s="1074"/>
      <c r="D175" s="1074"/>
      <c r="E175" s="1075"/>
    </row>
    <row r="176" spans="1:6" x14ac:dyDescent="0.25">
      <c r="A176" s="1073"/>
      <c r="B176" s="1074"/>
      <c r="C176" s="1074"/>
      <c r="D176" s="1074"/>
      <c r="E176" s="1075"/>
    </row>
    <row r="177" spans="1:5" x14ac:dyDescent="0.25">
      <c r="A177" s="1073"/>
      <c r="B177" s="1074"/>
      <c r="C177" s="1074"/>
      <c r="D177" s="1074"/>
      <c r="E177" s="1075"/>
    </row>
    <row r="178" spans="1:5" x14ac:dyDescent="0.25">
      <c r="A178" s="1073"/>
      <c r="B178" s="1074"/>
      <c r="C178" s="1074"/>
      <c r="D178" s="1074"/>
      <c r="E178" s="1075"/>
    </row>
    <row r="179" spans="1:5" x14ac:dyDescent="0.25">
      <c r="A179" s="1073"/>
      <c r="B179" s="1074"/>
      <c r="C179" s="1074"/>
      <c r="D179" s="1074"/>
      <c r="E179" s="1075"/>
    </row>
    <row r="180" spans="1:5" x14ac:dyDescent="0.25">
      <c r="A180" s="1073"/>
      <c r="B180" s="1074"/>
      <c r="C180" s="1074"/>
      <c r="D180" s="1074"/>
      <c r="E180" s="1075"/>
    </row>
    <row r="181" spans="1:5" x14ac:dyDescent="0.25">
      <c r="A181" s="1073"/>
      <c r="B181" s="1074"/>
      <c r="C181" s="1074"/>
      <c r="D181" s="1074"/>
      <c r="E181" s="1075"/>
    </row>
    <row r="182" spans="1:5" x14ac:dyDescent="0.25">
      <c r="A182" s="1076"/>
      <c r="B182" s="1077"/>
      <c r="C182" s="1077"/>
      <c r="D182" s="1077"/>
      <c r="E182" s="1078"/>
    </row>
    <row r="183" spans="1:5" x14ac:dyDescent="0.25">
      <c r="A183" s="966" t="s">
        <v>1431</v>
      </c>
      <c r="B183" s="966"/>
      <c r="C183" s="966"/>
      <c r="D183" s="966"/>
      <c r="E183" s="966"/>
    </row>
    <row r="184" spans="1:5" x14ac:dyDescent="0.25">
      <c r="A184" s="229" t="s">
        <v>1105</v>
      </c>
      <c r="B184" s="239" t="s">
        <v>1432</v>
      </c>
      <c r="C184" s="260" t="s">
        <v>1433</v>
      </c>
      <c r="D184" s="260" t="s">
        <v>1434</v>
      </c>
      <c r="E184" s="229" t="s">
        <v>1416</v>
      </c>
    </row>
    <row r="185" spans="1:5" x14ac:dyDescent="0.25">
      <c r="A185" s="230" t="s">
        <v>1173</v>
      </c>
      <c r="B185" s="259">
        <v>1</v>
      </c>
      <c r="C185" s="262" t="s">
        <v>1435</v>
      </c>
      <c r="D185" s="263">
        <v>5</v>
      </c>
      <c r="E185" s="264">
        <v>5</v>
      </c>
    </row>
    <row r="186" spans="1:5" x14ac:dyDescent="0.25">
      <c r="A186" s="230" t="s">
        <v>1173</v>
      </c>
      <c r="B186" s="259">
        <v>1</v>
      </c>
      <c r="C186" s="265" t="s">
        <v>1436</v>
      </c>
      <c r="D186" s="266">
        <v>1</v>
      </c>
      <c r="E186" s="250">
        <v>1</v>
      </c>
    </row>
    <row r="187" spans="1:5" x14ac:dyDescent="0.25">
      <c r="A187" s="230" t="s">
        <v>1173</v>
      </c>
      <c r="B187" s="259">
        <v>101</v>
      </c>
      <c r="C187" s="262" t="s">
        <v>1435</v>
      </c>
      <c r="D187" s="263">
        <v>5</v>
      </c>
      <c r="E187" s="264">
        <v>5</v>
      </c>
    </row>
    <row r="188" spans="1:5" x14ac:dyDescent="0.25">
      <c r="A188" s="230" t="s">
        <v>1173</v>
      </c>
      <c r="B188" s="259">
        <v>101</v>
      </c>
      <c r="C188" s="265" t="s">
        <v>1436</v>
      </c>
      <c r="D188" s="266">
        <v>1</v>
      </c>
      <c r="E188" s="250">
        <v>1</v>
      </c>
    </row>
    <row r="189" spans="1:5" x14ac:dyDescent="0.25">
      <c r="A189" s="230" t="s">
        <v>1174</v>
      </c>
      <c r="B189" s="231">
        <v>1</v>
      </c>
      <c r="C189" s="262" t="s">
        <v>1435</v>
      </c>
      <c r="D189" s="263">
        <v>6</v>
      </c>
      <c r="E189" s="253">
        <v>6</v>
      </c>
    </row>
    <row r="190" spans="1:5" x14ac:dyDescent="0.25">
      <c r="A190" s="230" t="s">
        <v>1174</v>
      </c>
      <c r="B190" s="231">
        <v>1</v>
      </c>
      <c r="C190" s="265" t="s">
        <v>1436</v>
      </c>
      <c r="D190" s="266">
        <v>1</v>
      </c>
      <c r="E190" s="250">
        <v>1</v>
      </c>
    </row>
    <row r="191" spans="1:5" x14ac:dyDescent="0.25">
      <c r="A191" s="230" t="s">
        <v>1174</v>
      </c>
      <c r="B191" s="231">
        <v>101</v>
      </c>
      <c r="C191" s="262" t="s">
        <v>1435</v>
      </c>
      <c r="D191" s="263">
        <v>6</v>
      </c>
      <c r="E191" s="253">
        <v>6</v>
      </c>
    </row>
    <row r="192" spans="1:5" x14ac:dyDescent="0.25">
      <c r="A192" s="230" t="s">
        <v>1174</v>
      </c>
      <c r="B192" s="231">
        <v>101</v>
      </c>
      <c r="C192" s="265" t="s">
        <v>1436</v>
      </c>
      <c r="D192" s="266">
        <v>1</v>
      </c>
      <c r="E192" s="250">
        <v>1</v>
      </c>
    </row>
    <row r="193" spans="1:6" x14ac:dyDescent="0.25">
      <c r="A193" s="230" t="s">
        <v>1174</v>
      </c>
      <c r="B193" s="231" t="s">
        <v>1429</v>
      </c>
      <c r="C193" s="262" t="s">
        <v>1435</v>
      </c>
      <c r="D193" s="263">
        <v>21.74</v>
      </c>
      <c r="E193" s="264">
        <v>21.74</v>
      </c>
    </row>
    <row r="194" spans="1:6" x14ac:dyDescent="0.25">
      <c r="A194" s="230" t="s">
        <v>1174</v>
      </c>
      <c r="B194" s="231" t="s">
        <v>1429</v>
      </c>
      <c r="C194" s="265" t="s">
        <v>1436</v>
      </c>
      <c r="D194" s="266">
        <v>11.72</v>
      </c>
      <c r="E194" s="267">
        <v>11.72</v>
      </c>
    </row>
    <row r="195" spans="1:6" x14ac:dyDescent="0.25">
      <c r="A195" s="230" t="s">
        <v>1176</v>
      </c>
      <c r="B195" s="231">
        <v>1</v>
      </c>
      <c r="C195" s="262" t="s">
        <v>1435</v>
      </c>
      <c r="D195" s="263">
        <v>4</v>
      </c>
      <c r="E195" s="264">
        <v>4</v>
      </c>
    </row>
    <row r="196" spans="1:6" x14ac:dyDescent="0.25">
      <c r="A196" s="230" t="s">
        <v>1176</v>
      </c>
      <c r="B196" s="231">
        <v>1</v>
      </c>
      <c r="C196" s="265" t="s">
        <v>1436</v>
      </c>
      <c r="D196" s="266">
        <v>1</v>
      </c>
      <c r="E196" s="267">
        <v>1</v>
      </c>
    </row>
    <row r="197" spans="1:6" x14ac:dyDescent="0.25">
      <c r="A197" s="230" t="s">
        <v>1176</v>
      </c>
      <c r="B197" s="231">
        <v>101</v>
      </c>
      <c r="C197" s="262" t="s">
        <v>1435</v>
      </c>
      <c r="D197" s="263">
        <v>4</v>
      </c>
      <c r="E197" s="264">
        <v>4</v>
      </c>
    </row>
    <row r="198" spans="1:6" x14ac:dyDescent="0.25">
      <c r="A198" s="230" t="s">
        <v>1176</v>
      </c>
      <c r="B198" s="231">
        <v>101</v>
      </c>
      <c r="C198" s="265" t="s">
        <v>1436</v>
      </c>
      <c r="D198" s="266">
        <v>1</v>
      </c>
      <c r="E198" s="249">
        <v>1</v>
      </c>
    </row>
    <row r="199" spans="1:6" x14ac:dyDescent="0.25">
      <c r="A199" s="230" t="s">
        <v>1178</v>
      </c>
      <c r="B199" s="231">
        <v>1</v>
      </c>
      <c r="C199" s="262" t="s">
        <v>1435</v>
      </c>
      <c r="D199" s="263">
        <v>5</v>
      </c>
      <c r="E199" s="252">
        <v>5</v>
      </c>
    </row>
    <row r="200" spans="1:6" x14ac:dyDescent="0.25">
      <c r="A200" s="230" t="s">
        <v>1178</v>
      </c>
      <c r="B200" s="231">
        <v>1</v>
      </c>
      <c r="C200" s="265" t="s">
        <v>1436</v>
      </c>
      <c r="D200" s="266">
        <v>1</v>
      </c>
      <c r="E200" s="249">
        <v>1</v>
      </c>
    </row>
    <row r="201" spans="1:6" x14ac:dyDescent="0.25">
      <c r="A201" s="230" t="s">
        <v>1178</v>
      </c>
      <c r="B201" s="231">
        <v>101</v>
      </c>
      <c r="C201" s="262" t="s">
        <v>1435</v>
      </c>
      <c r="D201" s="263">
        <v>5</v>
      </c>
      <c r="E201" s="252">
        <v>5</v>
      </c>
    </row>
    <row r="202" spans="1:6" x14ac:dyDescent="0.25">
      <c r="A202" s="230" t="s">
        <v>1178</v>
      </c>
      <c r="B202" s="231">
        <v>101</v>
      </c>
      <c r="C202" s="265" t="s">
        <v>1436</v>
      </c>
      <c r="D202" s="266">
        <v>1</v>
      </c>
      <c r="E202" s="249">
        <v>1</v>
      </c>
    </row>
    <row r="203" spans="1:6" x14ac:dyDescent="0.25">
      <c r="A203" s="1124"/>
      <c r="B203" s="1125"/>
      <c r="C203" s="1125"/>
      <c r="D203" s="1125"/>
      <c r="E203" s="1126"/>
    </row>
    <row r="204" spans="1:6" x14ac:dyDescent="0.25">
      <c r="A204" s="1155" t="s">
        <v>1437</v>
      </c>
      <c r="B204" s="1155"/>
      <c r="C204" s="1155"/>
      <c r="D204" s="1155"/>
      <c r="E204" s="274">
        <f>SUM(E185+E187+E189+E191+E193+E195+E197+E199+E201)</f>
        <v>61.739999999999995</v>
      </c>
    </row>
    <row r="205" spans="1:6" x14ac:dyDescent="0.25">
      <c r="A205" s="1159" t="s">
        <v>1438</v>
      </c>
      <c r="B205" s="1160"/>
      <c r="C205" s="1160"/>
      <c r="D205" s="1161"/>
      <c r="E205" s="251">
        <f>SUM(E186+E188+E190+E192+E194+E196+E198+E200+E202)</f>
        <v>19.72</v>
      </c>
    </row>
    <row r="206" spans="1:6" x14ac:dyDescent="0.25">
      <c r="A206" s="995" t="s">
        <v>1270</v>
      </c>
      <c r="B206" s="996"/>
      <c r="C206" s="996"/>
      <c r="D206" s="997"/>
      <c r="E206" s="233">
        <f>SUM(E185:E202)</f>
        <v>81.459999999999994</v>
      </c>
      <c r="F206" s="290">
        <f>SUM(E204:E205)</f>
        <v>81.459999999999994</v>
      </c>
    </row>
    <row r="207" spans="1:6" x14ac:dyDescent="0.25">
      <c r="A207" s="1066" t="s">
        <v>1439</v>
      </c>
      <c r="B207" s="976"/>
      <c r="C207" s="976"/>
      <c r="D207" s="976"/>
      <c r="E207" s="977"/>
    </row>
    <row r="208" spans="1:6" x14ac:dyDescent="0.25">
      <c r="A208" s="978" t="s">
        <v>997</v>
      </c>
      <c r="B208" s="978"/>
      <c r="C208" s="978"/>
      <c r="D208" s="978"/>
      <c r="E208" s="978"/>
    </row>
    <row r="209" spans="1:5" x14ac:dyDescent="0.25">
      <c r="A209" s="979"/>
      <c r="B209" s="979"/>
      <c r="C209" s="979"/>
      <c r="D209" s="979"/>
      <c r="E209" s="979"/>
    </row>
    <row r="210" spans="1:5" x14ac:dyDescent="0.25">
      <c r="A210" s="979"/>
      <c r="B210" s="979"/>
      <c r="C210" s="979"/>
      <c r="D210" s="979"/>
      <c r="E210" s="979"/>
    </row>
    <row r="211" spans="1:5" x14ac:dyDescent="0.25">
      <c r="A211" s="979"/>
      <c r="B211" s="979"/>
      <c r="C211" s="979"/>
      <c r="D211" s="979"/>
      <c r="E211" s="979"/>
    </row>
    <row r="212" spans="1:5" x14ac:dyDescent="0.25">
      <c r="A212" s="979"/>
      <c r="B212" s="979"/>
      <c r="C212" s="979"/>
      <c r="D212" s="979"/>
      <c r="E212" s="979"/>
    </row>
    <row r="213" spans="1:5" x14ac:dyDescent="0.25">
      <c r="A213" s="979"/>
      <c r="B213" s="979"/>
      <c r="C213" s="979"/>
      <c r="D213" s="979"/>
      <c r="E213" s="979"/>
    </row>
    <row r="214" spans="1:5" x14ac:dyDescent="0.25">
      <c r="A214" s="979"/>
      <c r="B214" s="979"/>
      <c r="C214" s="979"/>
      <c r="D214" s="979"/>
      <c r="E214" s="979"/>
    </row>
    <row r="215" spans="1:5" x14ac:dyDescent="0.25">
      <c r="A215" s="979"/>
      <c r="B215" s="979"/>
      <c r="C215" s="979"/>
      <c r="D215" s="979"/>
      <c r="E215" s="979"/>
    </row>
    <row r="216" spans="1:5" x14ac:dyDescent="0.25">
      <c r="A216" s="979"/>
      <c r="B216" s="979"/>
      <c r="C216" s="979"/>
      <c r="D216" s="979"/>
      <c r="E216" s="979"/>
    </row>
    <row r="217" spans="1:5" x14ac:dyDescent="0.25">
      <c r="A217" s="979"/>
      <c r="B217" s="979"/>
      <c r="C217" s="979"/>
      <c r="D217" s="979"/>
      <c r="E217" s="979"/>
    </row>
    <row r="218" spans="1:5" x14ac:dyDescent="0.25">
      <c r="A218" s="979"/>
      <c r="B218" s="979"/>
      <c r="C218" s="979"/>
      <c r="D218" s="979"/>
      <c r="E218" s="979"/>
    </row>
    <row r="219" spans="1:5" x14ac:dyDescent="0.25">
      <c r="A219" s="979"/>
      <c r="B219" s="979"/>
      <c r="C219" s="979"/>
      <c r="D219" s="979"/>
      <c r="E219" s="979"/>
    </row>
    <row r="220" spans="1:5" x14ac:dyDescent="0.25">
      <c r="A220" s="979"/>
      <c r="B220" s="979"/>
      <c r="C220" s="979"/>
      <c r="D220" s="979"/>
      <c r="E220" s="979"/>
    </row>
    <row r="221" spans="1:5" x14ac:dyDescent="0.25">
      <c r="A221" s="979"/>
      <c r="B221" s="979"/>
      <c r="C221" s="979"/>
      <c r="D221" s="979"/>
      <c r="E221" s="979"/>
    </row>
    <row r="222" spans="1:5" x14ac:dyDescent="0.25">
      <c r="A222" s="979"/>
      <c r="B222" s="979"/>
      <c r="C222" s="979"/>
      <c r="D222" s="979"/>
      <c r="E222" s="979"/>
    </row>
    <row r="223" spans="1:5" x14ac:dyDescent="0.25">
      <c r="A223" s="979"/>
      <c r="B223" s="979"/>
      <c r="C223" s="979"/>
      <c r="D223" s="979"/>
      <c r="E223" s="979"/>
    </row>
    <row r="224" spans="1:5" x14ac:dyDescent="0.25">
      <c r="A224" s="979"/>
      <c r="B224" s="979"/>
      <c r="C224" s="979"/>
      <c r="D224" s="979"/>
      <c r="E224" s="979"/>
    </row>
    <row r="225" spans="1:5" x14ac:dyDescent="0.25">
      <c r="A225" s="979"/>
      <c r="B225" s="979"/>
      <c r="C225" s="979"/>
      <c r="D225" s="979"/>
      <c r="E225" s="979"/>
    </row>
    <row r="226" spans="1:5" x14ac:dyDescent="0.25">
      <c r="A226" s="979"/>
      <c r="B226" s="979"/>
      <c r="C226" s="979"/>
      <c r="D226" s="979"/>
      <c r="E226" s="979"/>
    </row>
    <row r="227" spans="1:5" x14ac:dyDescent="0.25">
      <c r="A227" s="979"/>
      <c r="B227" s="979"/>
      <c r="C227" s="979"/>
      <c r="D227" s="979"/>
      <c r="E227" s="979"/>
    </row>
    <row r="228" spans="1:5" x14ac:dyDescent="0.25">
      <c r="A228" s="979"/>
      <c r="B228" s="979"/>
      <c r="C228" s="979"/>
      <c r="D228" s="979"/>
      <c r="E228" s="979"/>
    </row>
    <row r="229" spans="1:5" x14ac:dyDescent="0.25">
      <c r="A229" s="979"/>
      <c r="B229" s="979"/>
      <c r="C229" s="979"/>
      <c r="D229" s="979"/>
      <c r="E229" s="979"/>
    </row>
    <row r="230" spans="1:5" x14ac:dyDescent="0.25">
      <c r="A230" s="979"/>
      <c r="B230" s="979"/>
      <c r="C230" s="979"/>
      <c r="D230" s="979"/>
      <c r="E230" s="979"/>
    </row>
    <row r="231" spans="1:5" x14ac:dyDescent="0.25">
      <c r="A231" s="966" t="s">
        <v>1440</v>
      </c>
      <c r="B231" s="966"/>
      <c r="C231" s="966"/>
      <c r="D231" s="966"/>
      <c r="E231" s="966"/>
    </row>
    <row r="232" spans="1:5" x14ac:dyDescent="0.25">
      <c r="A232" s="229" t="s">
        <v>1105</v>
      </c>
      <c r="B232" s="239" t="s">
        <v>1427</v>
      </c>
      <c r="C232" s="967" t="s">
        <v>998</v>
      </c>
      <c r="D232" s="968"/>
      <c r="E232" s="229" t="s">
        <v>1003</v>
      </c>
    </row>
    <row r="233" spans="1:5" x14ac:dyDescent="0.25">
      <c r="A233" s="230" t="s">
        <v>1173</v>
      </c>
      <c r="B233" s="231" t="s">
        <v>1428</v>
      </c>
      <c r="C233" s="969" t="s">
        <v>1288</v>
      </c>
      <c r="D233" s="970"/>
      <c r="E233" s="232">
        <v>0.26</v>
      </c>
    </row>
    <row r="234" spans="1:5" ht="15" customHeight="1" x14ac:dyDescent="0.25">
      <c r="A234" s="230" t="s">
        <v>1174</v>
      </c>
      <c r="B234" s="231" t="s">
        <v>1428</v>
      </c>
      <c r="C234" s="969" t="s">
        <v>1288</v>
      </c>
      <c r="D234" s="970"/>
      <c r="E234" s="232">
        <v>0.33</v>
      </c>
    </row>
    <row r="235" spans="1:5" ht="15" customHeight="1" x14ac:dyDescent="0.25">
      <c r="A235" s="230" t="s">
        <v>1174</v>
      </c>
      <c r="B235" s="231" t="s">
        <v>1429</v>
      </c>
      <c r="C235" s="969" t="s">
        <v>1288</v>
      </c>
      <c r="D235" s="970"/>
      <c r="E235" s="232">
        <v>0.65</v>
      </c>
    </row>
    <row r="236" spans="1:5" ht="15" customHeight="1" x14ac:dyDescent="0.25">
      <c r="A236" s="230" t="s">
        <v>1176</v>
      </c>
      <c r="B236" s="231" t="s">
        <v>1428</v>
      </c>
      <c r="C236" s="969" t="s">
        <v>1288</v>
      </c>
      <c r="D236" s="970"/>
      <c r="E236" s="232">
        <v>0.17</v>
      </c>
    </row>
    <row r="237" spans="1:5" ht="15" customHeight="1" x14ac:dyDescent="0.25">
      <c r="A237" s="230" t="s">
        <v>1176</v>
      </c>
      <c r="B237" s="231" t="s">
        <v>1441</v>
      </c>
      <c r="C237" s="969" t="s">
        <v>1288</v>
      </c>
      <c r="D237" s="970"/>
      <c r="E237" s="232">
        <v>0.01</v>
      </c>
    </row>
    <row r="238" spans="1:5" ht="15" customHeight="1" x14ac:dyDescent="0.25">
      <c r="A238" s="230" t="s">
        <v>1178</v>
      </c>
      <c r="B238" s="231" t="s">
        <v>1428</v>
      </c>
      <c r="C238" s="969" t="s">
        <v>1288</v>
      </c>
      <c r="D238" s="970"/>
      <c r="E238" s="232">
        <v>0.24</v>
      </c>
    </row>
    <row r="239" spans="1:5" x14ac:dyDescent="0.25">
      <c r="A239" s="971" t="s">
        <v>1001</v>
      </c>
      <c r="B239" s="972"/>
      <c r="C239" s="972"/>
      <c r="D239" s="973"/>
      <c r="E239" s="238">
        <f>SUM(E232:E238)</f>
        <v>1.6600000000000001</v>
      </c>
    </row>
    <row r="240" spans="1:5" x14ac:dyDescent="0.25">
      <c r="A240" s="995" t="s">
        <v>1270</v>
      </c>
      <c r="B240" s="996"/>
      <c r="C240" s="996"/>
      <c r="D240" s="997"/>
      <c r="E240" s="233">
        <f>E239</f>
        <v>1.6600000000000001</v>
      </c>
    </row>
    <row r="241" spans="1:5" x14ac:dyDescent="0.25">
      <c r="A241" s="1066" t="s">
        <v>1442</v>
      </c>
      <c r="B241" s="976"/>
      <c r="C241" s="976"/>
      <c r="D241" s="976"/>
      <c r="E241" s="977"/>
    </row>
    <row r="242" spans="1:5" x14ac:dyDescent="0.25">
      <c r="A242" s="978" t="s">
        <v>997</v>
      </c>
      <c r="B242" s="978"/>
      <c r="C242" s="978"/>
      <c r="D242" s="978"/>
      <c r="E242" s="978"/>
    </row>
    <row r="243" spans="1:5" x14ac:dyDescent="0.25">
      <c r="A243" s="979"/>
      <c r="B243" s="979"/>
      <c r="C243" s="979"/>
      <c r="D243" s="979"/>
      <c r="E243" s="979"/>
    </row>
    <row r="244" spans="1:5" x14ac:dyDescent="0.25">
      <c r="A244" s="979"/>
      <c r="B244" s="979"/>
      <c r="C244" s="979"/>
      <c r="D244" s="979"/>
      <c r="E244" s="979"/>
    </row>
    <row r="245" spans="1:5" x14ac:dyDescent="0.25">
      <c r="A245" s="979"/>
      <c r="B245" s="979"/>
      <c r="C245" s="979"/>
      <c r="D245" s="979"/>
      <c r="E245" s="979"/>
    </row>
    <row r="246" spans="1:5" x14ac:dyDescent="0.25">
      <c r="A246" s="979"/>
      <c r="B246" s="979"/>
      <c r="C246" s="979"/>
      <c r="D246" s="979"/>
      <c r="E246" s="979"/>
    </row>
    <row r="247" spans="1:5" x14ac:dyDescent="0.25">
      <c r="A247" s="979"/>
      <c r="B247" s="979"/>
      <c r="C247" s="979"/>
      <c r="D247" s="979"/>
      <c r="E247" s="979"/>
    </row>
    <row r="248" spans="1:5" x14ac:dyDescent="0.25">
      <c r="A248" s="979"/>
      <c r="B248" s="979"/>
      <c r="C248" s="979"/>
      <c r="D248" s="979"/>
      <c r="E248" s="979"/>
    </row>
    <row r="249" spans="1:5" x14ac:dyDescent="0.25">
      <c r="A249" s="979"/>
      <c r="B249" s="979"/>
      <c r="C249" s="979"/>
      <c r="D249" s="979"/>
      <c r="E249" s="979"/>
    </row>
    <row r="250" spans="1:5" x14ac:dyDescent="0.25">
      <c r="A250" s="979"/>
      <c r="B250" s="979"/>
      <c r="C250" s="979"/>
      <c r="D250" s="979"/>
      <c r="E250" s="979"/>
    </row>
    <row r="251" spans="1:5" x14ac:dyDescent="0.25">
      <c r="A251" s="979"/>
      <c r="B251" s="979"/>
      <c r="C251" s="979"/>
      <c r="D251" s="979"/>
      <c r="E251" s="979"/>
    </row>
    <row r="252" spans="1:5" x14ac:dyDescent="0.25">
      <c r="A252" s="979"/>
      <c r="B252" s="979"/>
      <c r="C252" s="979"/>
      <c r="D252" s="979"/>
      <c r="E252" s="979"/>
    </row>
    <row r="253" spans="1:5" x14ac:dyDescent="0.25">
      <c r="A253" s="979"/>
      <c r="B253" s="979"/>
      <c r="C253" s="979"/>
      <c r="D253" s="979"/>
      <c r="E253" s="979"/>
    </row>
    <row r="254" spans="1:5" x14ac:dyDescent="0.25">
      <c r="A254" s="979"/>
      <c r="B254" s="979"/>
      <c r="C254" s="979"/>
      <c r="D254" s="979"/>
      <c r="E254" s="979"/>
    </row>
    <row r="255" spans="1:5" x14ac:dyDescent="0.25">
      <c r="A255" s="979"/>
      <c r="B255" s="979"/>
      <c r="C255" s="979"/>
      <c r="D255" s="979"/>
      <c r="E255" s="979"/>
    </row>
    <row r="256" spans="1:5" x14ac:dyDescent="0.25">
      <c r="A256" s="979"/>
      <c r="B256" s="979"/>
      <c r="C256" s="979"/>
      <c r="D256" s="979"/>
      <c r="E256" s="979"/>
    </row>
    <row r="257" spans="1:5" x14ac:dyDescent="0.25">
      <c r="A257" s="979"/>
      <c r="B257" s="979"/>
      <c r="C257" s="979"/>
      <c r="D257" s="979"/>
      <c r="E257" s="979"/>
    </row>
    <row r="258" spans="1:5" x14ac:dyDescent="0.25">
      <c r="A258" s="979"/>
      <c r="B258" s="979"/>
      <c r="C258" s="979"/>
      <c r="D258" s="979"/>
      <c r="E258" s="979"/>
    </row>
    <row r="259" spans="1:5" x14ac:dyDescent="0.25">
      <c r="A259" s="979"/>
      <c r="B259" s="979"/>
      <c r="C259" s="979"/>
      <c r="D259" s="979"/>
      <c r="E259" s="979"/>
    </row>
    <row r="260" spans="1:5" x14ac:dyDescent="0.25">
      <c r="A260" s="979"/>
      <c r="B260" s="979"/>
      <c r="C260" s="979"/>
      <c r="D260" s="979"/>
      <c r="E260" s="979"/>
    </row>
    <row r="261" spans="1:5" x14ac:dyDescent="0.25">
      <c r="A261" s="979"/>
      <c r="B261" s="979"/>
      <c r="C261" s="979"/>
      <c r="D261" s="979"/>
      <c r="E261" s="979"/>
    </row>
    <row r="262" spans="1:5" x14ac:dyDescent="0.25">
      <c r="A262" s="979"/>
      <c r="B262" s="979"/>
      <c r="C262" s="979"/>
      <c r="D262" s="979"/>
      <c r="E262" s="979"/>
    </row>
    <row r="263" spans="1:5" x14ac:dyDescent="0.25">
      <c r="A263" s="979"/>
      <c r="B263" s="979"/>
      <c r="C263" s="979"/>
      <c r="D263" s="979"/>
      <c r="E263" s="979"/>
    </row>
    <row r="264" spans="1:5" x14ac:dyDescent="0.25">
      <c r="A264" s="1148"/>
      <c r="B264" s="1148"/>
      <c r="C264" s="1148"/>
      <c r="D264" s="1148"/>
      <c r="E264" s="1148"/>
    </row>
    <row r="265" spans="1:5" x14ac:dyDescent="0.25">
      <c r="A265" s="1149" t="s">
        <v>1442</v>
      </c>
      <c r="B265" s="1149"/>
      <c r="C265" s="1149"/>
      <c r="D265" s="1149"/>
      <c r="E265" s="1149"/>
    </row>
    <row r="266" spans="1:5" x14ac:dyDescent="0.25">
      <c r="A266" s="276" t="s">
        <v>1105</v>
      </c>
      <c r="B266" s="277" t="s">
        <v>1443</v>
      </c>
      <c r="C266" s="1152" t="s">
        <v>998</v>
      </c>
      <c r="D266" s="1153"/>
      <c r="E266" s="276" t="s">
        <v>680</v>
      </c>
    </row>
    <row r="267" spans="1:5" x14ac:dyDescent="0.25">
      <c r="A267" s="280" t="s">
        <v>1173</v>
      </c>
      <c r="B267" s="281" t="s">
        <v>822</v>
      </c>
      <c r="C267" s="1173" t="s">
        <v>822</v>
      </c>
      <c r="D267" s="1174"/>
      <c r="E267" s="283">
        <v>0</v>
      </c>
    </row>
    <row r="268" spans="1:5" x14ac:dyDescent="0.25">
      <c r="A268" s="230" t="s">
        <v>1174</v>
      </c>
      <c r="B268" s="259" t="s">
        <v>1149</v>
      </c>
      <c r="C268" s="1173" t="s">
        <v>1288</v>
      </c>
      <c r="D268" s="1174"/>
      <c r="E268" s="275">
        <v>4.17</v>
      </c>
    </row>
    <row r="269" spans="1:5" x14ac:dyDescent="0.25">
      <c r="A269" s="230" t="s">
        <v>1176</v>
      </c>
      <c r="B269" s="259" t="s">
        <v>1444</v>
      </c>
      <c r="C269" s="1173" t="s">
        <v>1288</v>
      </c>
      <c r="D269" s="1174"/>
      <c r="E269" s="275">
        <v>4.96</v>
      </c>
    </row>
    <row r="270" spans="1:5" ht="30" x14ac:dyDescent="0.25">
      <c r="A270" s="230" t="s">
        <v>1176</v>
      </c>
      <c r="B270" s="259" t="s">
        <v>1441</v>
      </c>
      <c r="C270" s="1173" t="s">
        <v>1288</v>
      </c>
      <c r="D270" s="1174"/>
      <c r="E270" s="275">
        <v>0.12</v>
      </c>
    </row>
    <row r="271" spans="1:5" x14ac:dyDescent="0.25">
      <c r="A271" s="230" t="s">
        <v>1178</v>
      </c>
      <c r="B271" s="259" t="s">
        <v>822</v>
      </c>
      <c r="C271" s="1173" t="s">
        <v>822</v>
      </c>
      <c r="D271" s="1174"/>
      <c r="E271" s="275">
        <v>0</v>
      </c>
    </row>
    <row r="272" spans="1:5" x14ac:dyDescent="0.25">
      <c r="A272" s="971" t="s">
        <v>1001</v>
      </c>
      <c r="B272" s="972"/>
      <c r="C272" s="1143"/>
      <c r="D272" s="1144"/>
      <c r="E272" s="238">
        <f>SUM(E266:E271)</f>
        <v>9.2499999999999982</v>
      </c>
    </row>
    <row r="273" spans="1:5" x14ac:dyDescent="0.25">
      <c r="A273" s="995" t="s">
        <v>1270</v>
      </c>
      <c r="B273" s="996"/>
      <c r="C273" s="996"/>
      <c r="D273" s="997"/>
      <c r="E273" s="233">
        <f>E272</f>
        <v>9.2499999999999982</v>
      </c>
    </row>
    <row r="274" spans="1:5" x14ac:dyDescent="0.25">
      <c r="A274" s="1066" t="s">
        <v>1445</v>
      </c>
      <c r="B274" s="976"/>
      <c r="C274" s="976"/>
      <c r="D274" s="976"/>
      <c r="E274" s="977"/>
    </row>
    <row r="275" spans="1:5" x14ac:dyDescent="0.25">
      <c r="A275" s="978" t="s">
        <v>997</v>
      </c>
      <c r="B275" s="978"/>
      <c r="C275" s="978"/>
      <c r="D275" s="978"/>
      <c r="E275" s="978"/>
    </row>
    <row r="276" spans="1:5" x14ac:dyDescent="0.25">
      <c r="A276" s="979"/>
      <c r="B276" s="979"/>
      <c r="C276" s="979"/>
      <c r="D276" s="979"/>
      <c r="E276" s="979"/>
    </row>
    <row r="277" spans="1:5" x14ac:dyDescent="0.25">
      <c r="A277" s="979"/>
      <c r="B277" s="979"/>
      <c r="C277" s="979"/>
      <c r="D277" s="979"/>
      <c r="E277" s="979"/>
    </row>
    <row r="278" spans="1:5" x14ac:dyDescent="0.25">
      <c r="A278" s="979"/>
      <c r="B278" s="979"/>
      <c r="C278" s="979"/>
      <c r="D278" s="979"/>
      <c r="E278" s="979"/>
    </row>
    <row r="279" spans="1:5" x14ac:dyDescent="0.25">
      <c r="A279" s="979"/>
      <c r="B279" s="979"/>
      <c r="C279" s="979"/>
      <c r="D279" s="979"/>
      <c r="E279" s="979"/>
    </row>
    <row r="280" spans="1:5" x14ac:dyDescent="0.25">
      <c r="A280" s="979"/>
      <c r="B280" s="979"/>
      <c r="C280" s="979"/>
      <c r="D280" s="979"/>
      <c r="E280" s="979"/>
    </row>
    <row r="281" spans="1:5" x14ac:dyDescent="0.25">
      <c r="A281" s="979"/>
      <c r="B281" s="979"/>
      <c r="C281" s="979"/>
      <c r="D281" s="979"/>
      <c r="E281" s="979"/>
    </row>
    <row r="282" spans="1:5" x14ac:dyDescent="0.25">
      <c r="A282" s="979"/>
      <c r="B282" s="979"/>
      <c r="C282" s="979"/>
      <c r="D282" s="979"/>
      <c r="E282" s="979"/>
    </row>
    <row r="283" spans="1:5" x14ac:dyDescent="0.25">
      <c r="A283" s="979"/>
      <c r="B283" s="979"/>
      <c r="C283" s="979"/>
      <c r="D283" s="979"/>
      <c r="E283" s="979"/>
    </row>
    <row r="284" spans="1:5" x14ac:dyDescent="0.25">
      <c r="A284" s="979"/>
      <c r="B284" s="979"/>
      <c r="C284" s="979"/>
      <c r="D284" s="979"/>
      <c r="E284" s="979"/>
    </row>
    <row r="285" spans="1:5" x14ac:dyDescent="0.25">
      <c r="A285" s="979"/>
      <c r="B285" s="979"/>
      <c r="C285" s="979"/>
      <c r="D285" s="979"/>
      <c r="E285" s="979"/>
    </row>
    <row r="286" spans="1:5" x14ac:dyDescent="0.25">
      <c r="A286" s="979"/>
      <c r="B286" s="979"/>
      <c r="C286" s="979"/>
      <c r="D286" s="979"/>
      <c r="E286" s="979"/>
    </row>
    <row r="287" spans="1:5" x14ac:dyDescent="0.25">
      <c r="A287" s="979"/>
      <c r="B287" s="979"/>
      <c r="C287" s="979"/>
      <c r="D287" s="979"/>
      <c r="E287" s="979"/>
    </row>
    <row r="288" spans="1:5" x14ac:dyDescent="0.25">
      <c r="A288" s="979"/>
      <c r="B288" s="979"/>
      <c r="C288" s="979"/>
      <c r="D288" s="979"/>
      <c r="E288" s="979"/>
    </row>
    <row r="289" spans="1:5" x14ac:dyDescent="0.25">
      <c r="A289" s="979"/>
      <c r="B289" s="979"/>
      <c r="C289" s="979"/>
      <c r="D289" s="979"/>
      <c r="E289" s="979"/>
    </row>
    <row r="290" spans="1:5" x14ac:dyDescent="0.25">
      <c r="A290" s="979"/>
      <c r="B290" s="979"/>
      <c r="C290" s="979"/>
      <c r="D290" s="979"/>
      <c r="E290" s="979"/>
    </row>
    <row r="291" spans="1:5" x14ac:dyDescent="0.25">
      <c r="A291" s="979"/>
      <c r="B291" s="979"/>
      <c r="C291" s="979"/>
      <c r="D291" s="979"/>
      <c r="E291" s="979"/>
    </row>
    <row r="292" spans="1:5" x14ac:dyDescent="0.25">
      <c r="A292" s="979"/>
      <c r="B292" s="979"/>
      <c r="C292" s="979"/>
      <c r="D292" s="979"/>
      <c r="E292" s="979"/>
    </row>
    <row r="293" spans="1:5" x14ac:dyDescent="0.25">
      <c r="A293" s="979"/>
      <c r="B293" s="979"/>
      <c r="C293" s="979"/>
      <c r="D293" s="979"/>
      <c r="E293" s="979"/>
    </row>
    <row r="294" spans="1:5" x14ac:dyDescent="0.25">
      <c r="A294" s="979"/>
      <c r="B294" s="979"/>
      <c r="C294" s="979"/>
      <c r="D294" s="979"/>
      <c r="E294" s="979"/>
    </row>
    <row r="295" spans="1:5" x14ac:dyDescent="0.25">
      <c r="A295" s="979"/>
      <c r="B295" s="979"/>
      <c r="C295" s="979"/>
      <c r="D295" s="979"/>
      <c r="E295" s="979"/>
    </row>
    <row r="296" spans="1:5" x14ac:dyDescent="0.25">
      <c r="A296" s="979"/>
      <c r="B296" s="979"/>
      <c r="C296" s="979"/>
      <c r="D296" s="979"/>
      <c r="E296" s="979"/>
    </row>
    <row r="297" spans="1:5" x14ac:dyDescent="0.25">
      <c r="A297" s="979"/>
      <c r="B297" s="979"/>
      <c r="C297" s="979"/>
      <c r="D297" s="979"/>
      <c r="E297" s="979"/>
    </row>
    <row r="298" spans="1:5" x14ac:dyDescent="0.25">
      <c r="A298" s="966" t="s">
        <v>1445</v>
      </c>
      <c r="B298" s="966"/>
      <c r="C298" s="966"/>
      <c r="D298" s="966"/>
      <c r="E298" s="966"/>
    </row>
    <row r="299" spans="1:5" x14ac:dyDescent="0.25">
      <c r="A299" s="276" t="s">
        <v>1105</v>
      </c>
      <c r="B299" s="277" t="s">
        <v>1443</v>
      </c>
      <c r="C299" s="277" t="s">
        <v>1415</v>
      </c>
      <c r="D299" s="277" t="s">
        <v>998</v>
      </c>
      <c r="E299" s="276" t="s">
        <v>199</v>
      </c>
    </row>
    <row r="300" spans="1:5" x14ac:dyDescent="0.25">
      <c r="A300" s="280" t="s">
        <v>1173</v>
      </c>
      <c r="B300" s="281" t="s">
        <v>822</v>
      </c>
      <c r="C300" s="284" t="s">
        <v>822</v>
      </c>
      <c r="D300" s="282" t="s">
        <v>822</v>
      </c>
      <c r="E300" s="283">
        <v>0</v>
      </c>
    </row>
    <row r="301" spans="1:5" ht="30" x14ac:dyDescent="0.25">
      <c r="A301" s="230" t="s">
        <v>1174</v>
      </c>
      <c r="B301" s="259" t="s">
        <v>1149</v>
      </c>
      <c r="C301" s="288" t="s">
        <v>1435</v>
      </c>
      <c r="D301" s="289" t="s">
        <v>1288</v>
      </c>
      <c r="E301" s="264">
        <v>14.15</v>
      </c>
    </row>
    <row r="302" spans="1:5" ht="30" x14ac:dyDescent="0.25">
      <c r="A302" s="230" t="s">
        <v>1174</v>
      </c>
      <c r="B302" s="259" t="s">
        <v>1149</v>
      </c>
      <c r="C302" s="286" t="s">
        <v>1446</v>
      </c>
      <c r="D302" s="287" t="s">
        <v>1288</v>
      </c>
      <c r="E302" s="267">
        <v>4.62</v>
      </c>
    </row>
    <row r="303" spans="1:5" ht="30" x14ac:dyDescent="0.25">
      <c r="A303" s="230" t="s">
        <v>1176</v>
      </c>
      <c r="B303" s="259" t="s">
        <v>1447</v>
      </c>
      <c r="C303" s="288" t="s">
        <v>1435</v>
      </c>
      <c r="D303" s="289" t="s">
        <v>1288</v>
      </c>
      <c r="E303" s="264">
        <f>4.4 + (4.4)*10%</f>
        <v>4.8400000000000007</v>
      </c>
    </row>
    <row r="304" spans="1:5" ht="30" x14ac:dyDescent="0.25">
      <c r="A304" s="230" t="s">
        <v>1176</v>
      </c>
      <c r="B304" s="259" t="s">
        <v>1447</v>
      </c>
      <c r="C304" s="286" t="s">
        <v>1446</v>
      </c>
      <c r="D304" s="287" t="s">
        <v>1288</v>
      </c>
      <c r="E304" s="267">
        <f>(0.5*10%)+0.5</f>
        <v>0.55000000000000004</v>
      </c>
    </row>
    <row r="305" spans="1:6" ht="30" x14ac:dyDescent="0.25">
      <c r="A305" s="230" t="s">
        <v>1176</v>
      </c>
      <c r="B305" s="259" t="s">
        <v>1448</v>
      </c>
      <c r="C305" s="288" t="s">
        <v>1435</v>
      </c>
      <c r="D305" s="289" t="s">
        <v>1288</v>
      </c>
      <c r="E305" s="264">
        <f>5.6+(1.7+1.7+2.2)*10%</f>
        <v>6.1599999999999993</v>
      </c>
    </row>
    <row r="306" spans="1:6" ht="30" x14ac:dyDescent="0.25">
      <c r="A306" s="230" t="s">
        <v>1176</v>
      </c>
      <c r="B306" s="259" t="s">
        <v>1448</v>
      </c>
      <c r="C306" s="286" t="s">
        <v>1446</v>
      </c>
      <c r="D306" s="287" t="s">
        <v>1288</v>
      </c>
      <c r="E306" s="267">
        <f>(0.5*10%)+0.5</f>
        <v>0.55000000000000004</v>
      </c>
    </row>
    <row r="307" spans="1:6" ht="30" x14ac:dyDescent="0.25">
      <c r="A307" s="230" t="s">
        <v>1176</v>
      </c>
      <c r="B307" s="259" t="s">
        <v>1444</v>
      </c>
      <c r="C307" s="288" t="s">
        <v>1435</v>
      </c>
      <c r="D307" s="289" t="s">
        <v>1288</v>
      </c>
      <c r="E307" s="264">
        <v>17</v>
      </c>
    </row>
    <row r="308" spans="1:6" ht="30" x14ac:dyDescent="0.25">
      <c r="A308" s="230" t="s">
        <v>1176</v>
      </c>
      <c r="B308" s="259" t="s">
        <v>1444</v>
      </c>
      <c r="C308" s="286" t="s">
        <v>1446</v>
      </c>
      <c r="D308" s="287" t="s">
        <v>1288</v>
      </c>
      <c r="E308" s="267">
        <v>9</v>
      </c>
    </row>
    <row r="309" spans="1:6" ht="30" x14ac:dyDescent="0.25">
      <c r="A309" s="230" t="s">
        <v>1176</v>
      </c>
      <c r="B309" s="259" t="s">
        <v>1441</v>
      </c>
      <c r="C309" s="288" t="s">
        <v>1435</v>
      </c>
      <c r="D309" s="289" t="s">
        <v>1288</v>
      </c>
      <c r="E309" s="264">
        <f>3.1 + (1.5+1.6)*10%</f>
        <v>3.41</v>
      </c>
    </row>
    <row r="310" spans="1:6" ht="30" x14ac:dyDescent="0.25">
      <c r="A310" s="230" t="s">
        <v>1176</v>
      </c>
      <c r="B310" s="259" t="s">
        <v>1441</v>
      </c>
      <c r="C310" s="286" t="s">
        <v>1446</v>
      </c>
      <c r="D310" s="287" t="s">
        <v>1288</v>
      </c>
      <c r="E310" s="267">
        <f>(0.5*10%)+0.5</f>
        <v>0.55000000000000004</v>
      </c>
    </row>
    <row r="311" spans="1:6" x14ac:dyDescent="0.25">
      <c r="A311" s="230" t="s">
        <v>1178</v>
      </c>
      <c r="B311" s="259" t="s">
        <v>822</v>
      </c>
      <c r="C311" s="285"/>
      <c r="D311" s="279" t="s">
        <v>822</v>
      </c>
      <c r="E311" s="275">
        <v>0</v>
      </c>
    </row>
    <row r="312" spans="1:6" ht="28.5" customHeight="1" x14ac:dyDescent="0.25">
      <c r="A312" s="1162" t="s">
        <v>1449</v>
      </c>
      <c r="B312" s="1163"/>
      <c r="C312" s="1163"/>
      <c r="D312" s="1164"/>
      <c r="E312" s="257">
        <f>SUM(E301+E303+E305+E307+E309)</f>
        <v>45.56</v>
      </c>
    </row>
    <row r="313" spans="1:6" x14ac:dyDescent="0.25">
      <c r="A313" s="1029" t="s">
        <v>1450</v>
      </c>
      <c r="B313" s="1030"/>
      <c r="C313" s="1030"/>
      <c r="D313" s="1031"/>
      <c r="E313" s="251">
        <f>SUM(E302+E304+E306+E308+E310)</f>
        <v>15.27</v>
      </c>
    </row>
    <row r="314" spans="1:6" x14ac:dyDescent="0.25">
      <c r="A314" s="995" t="s">
        <v>1270</v>
      </c>
      <c r="B314" s="996"/>
      <c r="C314" s="996"/>
      <c r="D314" s="997"/>
      <c r="E314" s="233">
        <f>SUM(E300:E311)</f>
        <v>60.83</v>
      </c>
      <c r="F314" s="290">
        <f>SUM(E312:E313)</f>
        <v>60.83</v>
      </c>
    </row>
    <row r="315" spans="1:6" x14ac:dyDescent="0.25">
      <c r="A315" s="1066" t="s">
        <v>1451</v>
      </c>
      <c r="B315" s="976"/>
      <c r="C315" s="976"/>
      <c r="D315" s="976"/>
      <c r="E315" s="977"/>
    </row>
    <row r="316" spans="1:6" x14ac:dyDescent="0.25">
      <c r="A316" s="978" t="s">
        <v>997</v>
      </c>
      <c r="B316" s="978"/>
      <c r="C316" s="978"/>
      <c r="D316" s="978"/>
      <c r="E316" s="978"/>
    </row>
    <row r="317" spans="1:6" x14ac:dyDescent="0.25">
      <c r="A317" s="1070"/>
      <c r="B317" s="1071"/>
      <c r="C317" s="1071"/>
      <c r="D317" s="1071"/>
      <c r="E317" s="1072"/>
    </row>
    <row r="318" spans="1:6" x14ac:dyDescent="0.25">
      <c r="A318" s="1073"/>
      <c r="B318" s="1074"/>
      <c r="C318" s="1074"/>
      <c r="D318" s="1074"/>
      <c r="E318" s="1075"/>
    </row>
    <row r="319" spans="1:6" x14ac:dyDescent="0.25">
      <c r="A319" s="1073"/>
      <c r="B319" s="1074"/>
      <c r="C319" s="1074"/>
      <c r="D319" s="1074"/>
      <c r="E319" s="1075"/>
    </row>
    <row r="320" spans="1:6" x14ac:dyDescent="0.25">
      <c r="A320" s="1073"/>
      <c r="B320" s="1074"/>
      <c r="C320" s="1074"/>
      <c r="D320" s="1074"/>
      <c r="E320" s="1075"/>
    </row>
    <row r="321" spans="1:5" x14ac:dyDescent="0.25">
      <c r="A321" s="1073"/>
      <c r="B321" s="1074"/>
      <c r="C321" s="1074"/>
      <c r="D321" s="1074"/>
      <c r="E321" s="1075"/>
    </row>
    <row r="322" spans="1:5" x14ac:dyDescent="0.25">
      <c r="A322" s="1073"/>
      <c r="B322" s="1074"/>
      <c r="C322" s="1074"/>
      <c r="D322" s="1074"/>
      <c r="E322" s="1075"/>
    </row>
    <row r="323" spans="1:5" x14ac:dyDescent="0.25">
      <c r="A323" s="1073"/>
      <c r="B323" s="1074"/>
      <c r="C323" s="1074"/>
      <c r="D323" s="1074"/>
      <c r="E323" s="1075"/>
    </row>
    <row r="324" spans="1:5" x14ac:dyDescent="0.25">
      <c r="A324" s="1073"/>
      <c r="B324" s="1074"/>
      <c r="C324" s="1074"/>
      <c r="D324" s="1074"/>
      <c r="E324" s="1075"/>
    </row>
    <row r="325" spans="1:5" x14ac:dyDescent="0.25">
      <c r="A325" s="1073"/>
      <c r="B325" s="1074"/>
      <c r="C325" s="1074"/>
      <c r="D325" s="1074"/>
      <c r="E325" s="1075"/>
    </row>
    <row r="326" spans="1:5" x14ac:dyDescent="0.25">
      <c r="A326" s="1073"/>
      <c r="B326" s="1074"/>
      <c r="C326" s="1074"/>
      <c r="D326" s="1074"/>
      <c r="E326" s="1075"/>
    </row>
    <row r="327" spans="1:5" x14ac:dyDescent="0.25">
      <c r="A327" s="1073"/>
      <c r="B327" s="1074"/>
      <c r="C327" s="1074"/>
      <c r="D327" s="1074"/>
      <c r="E327" s="1075"/>
    </row>
    <row r="328" spans="1:5" x14ac:dyDescent="0.25">
      <c r="A328" s="1073"/>
      <c r="B328" s="1074"/>
      <c r="C328" s="1074"/>
      <c r="D328" s="1074"/>
      <c r="E328" s="1075"/>
    </row>
    <row r="329" spans="1:5" x14ac:dyDescent="0.25">
      <c r="A329" s="1073"/>
      <c r="B329" s="1074"/>
      <c r="C329" s="1074"/>
      <c r="D329" s="1074"/>
      <c r="E329" s="1075"/>
    </row>
    <row r="330" spans="1:5" x14ac:dyDescent="0.25">
      <c r="A330" s="1073"/>
      <c r="B330" s="1074"/>
      <c r="C330" s="1074"/>
      <c r="D330" s="1074"/>
      <c r="E330" s="1075"/>
    </row>
    <row r="331" spans="1:5" x14ac:dyDescent="0.25">
      <c r="A331" s="1073"/>
      <c r="B331" s="1074"/>
      <c r="C331" s="1074"/>
      <c r="D331" s="1074"/>
      <c r="E331" s="1075"/>
    </row>
    <row r="332" spans="1:5" x14ac:dyDescent="0.25">
      <c r="A332" s="1073"/>
      <c r="B332" s="1074"/>
      <c r="C332" s="1074"/>
      <c r="D332" s="1074"/>
      <c r="E332" s="1075"/>
    </row>
    <row r="333" spans="1:5" x14ac:dyDescent="0.25">
      <c r="A333" s="1073"/>
      <c r="B333" s="1074"/>
      <c r="C333" s="1074"/>
      <c r="D333" s="1074"/>
      <c r="E333" s="1075"/>
    </row>
    <row r="334" spans="1:5" x14ac:dyDescent="0.25">
      <c r="A334" s="1073"/>
      <c r="B334" s="1074"/>
      <c r="C334" s="1074"/>
      <c r="D334" s="1074"/>
      <c r="E334" s="1075"/>
    </row>
    <row r="335" spans="1:5" x14ac:dyDescent="0.25">
      <c r="A335" s="1073"/>
      <c r="B335" s="1074"/>
      <c r="C335" s="1074"/>
      <c r="D335" s="1074"/>
      <c r="E335" s="1075"/>
    </row>
    <row r="336" spans="1:5" x14ac:dyDescent="0.25">
      <c r="A336" s="1073"/>
      <c r="B336" s="1074"/>
      <c r="C336" s="1074"/>
      <c r="D336" s="1074"/>
      <c r="E336" s="1075"/>
    </row>
    <row r="337" spans="1:5" x14ac:dyDescent="0.25">
      <c r="A337" s="1073"/>
      <c r="B337" s="1074"/>
      <c r="C337" s="1074"/>
      <c r="D337" s="1074"/>
      <c r="E337" s="1075"/>
    </row>
    <row r="338" spans="1:5" x14ac:dyDescent="0.25">
      <c r="A338" s="1076"/>
      <c r="B338" s="1077"/>
      <c r="C338" s="1077"/>
      <c r="D338" s="1077"/>
      <c r="E338" s="1078"/>
    </row>
    <row r="339" spans="1:5" x14ac:dyDescent="0.25">
      <c r="A339" s="966" t="s">
        <v>1440</v>
      </c>
      <c r="B339" s="966"/>
      <c r="C339" s="966"/>
      <c r="D339" s="966"/>
      <c r="E339" s="966"/>
    </row>
    <row r="340" spans="1:5" x14ac:dyDescent="0.25">
      <c r="A340" s="229" t="s">
        <v>1105</v>
      </c>
      <c r="B340" s="239" t="s">
        <v>1427</v>
      </c>
      <c r="C340" s="967" t="s">
        <v>998</v>
      </c>
      <c r="D340" s="968"/>
      <c r="E340" s="229" t="s">
        <v>1293</v>
      </c>
    </row>
    <row r="341" spans="1:5" x14ac:dyDescent="0.25">
      <c r="A341" s="230" t="s">
        <v>1173</v>
      </c>
      <c r="B341" s="281" t="s">
        <v>822</v>
      </c>
      <c r="C341" s="969" t="s">
        <v>1288</v>
      </c>
      <c r="D341" s="970"/>
      <c r="E341" s="232">
        <v>0</v>
      </c>
    </row>
    <row r="342" spans="1:5" x14ac:dyDescent="0.25">
      <c r="A342" s="230" t="s">
        <v>1174</v>
      </c>
      <c r="B342" s="259" t="s">
        <v>1149</v>
      </c>
      <c r="C342" s="969" t="s">
        <v>1288</v>
      </c>
      <c r="D342" s="970"/>
      <c r="E342" s="232">
        <v>0.21</v>
      </c>
    </row>
    <row r="343" spans="1:5" x14ac:dyDescent="0.25">
      <c r="A343" s="230" t="s">
        <v>1176</v>
      </c>
      <c r="B343" s="259" t="s">
        <v>1444</v>
      </c>
      <c r="C343" s="969" t="s">
        <v>1288</v>
      </c>
      <c r="D343" s="970"/>
      <c r="E343" s="232">
        <v>0.23</v>
      </c>
    </row>
    <row r="344" spans="1:5" ht="30" x14ac:dyDescent="0.25">
      <c r="A344" s="230" t="s">
        <v>1176</v>
      </c>
      <c r="B344" s="259" t="s">
        <v>1441</v>
      </c>
      <c r="C344" s="969" t="s">
        <v>1288</v>
      </c>
      <c r="D344" s="970"/>
      <c r="E344" s="232">
        <v>0.01</v>
      </c>
    </row>
    <row r="345" spans="1:5" x14ac:dyDescent="0.25">
      <c r="A345" s="230" t="s">
        <v>1178</v>
      </c>
      <c r="B345" s="259" t="s">
        <v>822</v>
      </c>
      <c r="C345" s="969" t="s">
        <v>1288</v>
      </c>
      <c r="D345" s="970"/>
      <c r="E345" s="232">
        <v>0</v>
      </c>
    </row>
    <row r="346" spans="1:5" x14ac:dyDescent="0.25">
      <c r="A346" s="971" t="s">
        <v>1001</v>
      </c>
      <c r="B346" s="972"/>
      <c r="C346" s="972"/>
      <c r="D346" s="973"/>
      <c r="E346" s="238">
        <f>SUM(E340:E345)</f>
        <v>0.45</v>
      </c>
    </row>
    <row r="347" spans="1:5" x14ac:dyDescent="0.25">
      <c r="A347" s="995" t="s">
        <v>1270</v>
      </c>
      <c r="B347" s="996"/>
      <c r="C347" s="996"/>
      <c r="D347" s="997"/>
      <c r="E347" s="233">
        <f>E346</f>
        <v>0.45</v>
      </c>
    </row>
    <row r="348" spans="1:5" x14ac:dyDescent="0.25">
      <c r="A348" s="1066" t="s">
        <v>1452</v>
      </c>
      <c r="B348" s="976"/>
      <c r="C348" s="976"/>
      <c r="D348" s="976"/>
      <c r="E348" s="977"/>
    </row>
    <row r="349" spans="1:5" x14ac:dyDescent="0.25">
      <c r="A349" s="978" t="s">
        <v>997</v>
      </c>
      <c r="B349" s="978"/>
      <c r="C349" s="978"/>
      <c r="D349" s="978"/>
      <c r="E349" s="978"/>
    </row>
    <row r="350" spans="1:5" x14ac:dyDescent="0.25">
      <c r="A350" s="979"/>
      <c r="B350" s="979"/>
      <c r="C350" s="979"/>
      <c r="D350" s="979"/>
      <c r="E350" s="979"/>
    </row>
    <row r="351" spans="1:5" x14ac:dyDescent="0.25">
      <c r="A351" s="979"/>
      <c r="B351" s="979"/>
      <c r="C351" s="979"/>
      <c r="D351" s="979"/>
      <c r="E351" s="979"/>
    </row>
    <row r="352" spans="1:5" x14ac:dyDescent="0.25">
      <c r="A352" s="979"/>
      <c r="B352" s="979"/>
      <c r="C352" s="979"/>
      <c r="D352" s="979"/>
      <c r="E352" s="979"/>
    </row>
    <row r="353" spans="1:5" x14ac:dyDescent="0.25">
      <c r="A353" s="979"/>
      <c r="B353" s="979"/>
      <c r="C353" s="979"/>
      <c r="D353" s="979"/>
      <c r="E353" s="979"/>
    </row>
    <row r="354" spans="1:5" x14ac:dyDescent="0.25">
      <c r="A354" s="979"/>
      <c r="B354" s="979"/>
      <c r="C354" s="979"/>
      <c r="D354" s="979"/>
      <c r="E354" s="979"/>
    </row>
    <row r="355" spans="1:5" x14ac:dyDescent="0.25">
      <c r="A355" s="979"/>
      <c r="B355" s="979"/>
      <c r="C355" s="979"/>
      <c r="D355" s="979"/>
      <c r="E355" s="979"/>
    </row>
    <row r="356" spans="1:5" x14ac:dyDescent="0.25">
      <c r="A356" s="979"/>
      <c r="B356" s="979"/>
      <c r="C356" s="979"/>
      <c r="D356" s="979"/>
      <c r="E356" s="979"/>
    </row>
    <row r="357" spans="1:5" x14ac:dyDescent="0.25">
      <c r="A357" s="979"/>
      <c r="B357" s="979"/>
      <c r="C357" s="979"/>
      <c r="D357" s="979"/>
      <c r="E357" s="979"/>
    </row>
    <row r="358" spans="1:5" x14ac:dyDescent="0.25">
      <c r="A358" s="979"/>
      <c r="B358" s="979"/>
      <c r="C358" s="979"/>
      <c r="D358" s="979"/>
      <c r="E358" s="979"/>
    </row>
    <row r="359" spans="1:5" x14ac:dyDescent="0.25">
      <c r="A359" s="979"/>
      <c r="B359" s="979"/>
      <c r="C359" s="979"/>
      <c r="D359" s="979"/>
      <c r="E359" s="979"/>
    </row>
    <row r="360" spans="1:5" x14ac:dyDescent="0.25">
      <c r="A360" s="979"/>
      <c r="B360" s="979"/>
      <c r="C360" s="979"/>
      <c r="D360" s="979"/>
      <c r="E360" s="979"/>
    </row>
    <row r="361" spans="1:5" x14ac:dyDescent="0.25">
      <c r="A361" s="979"/>
      <c r="B361" s="979"/>
      <c r="C361" s="979"/>
      <c r="D361" s="979"/>
      <c r="E361" s="979"/>
    </row>
    <row r="362" spans="1:5" x14ac:dyDescent="0.25">
      <c r="A362" s="979"/>
      <c r="B362" s="979"/>
      <c r="C362" s="979"/>
      <c r="D362" s="979"/>
      <c r="E362" s="979"/>
    </row>
    <row r="363" spans="1:5" x14ac:dyDescent="0.25">
      <c r="A363" s="979"/>
      <c r="B363" s="979"/>
      <c r="C363" s="979"/>
      <c r="D363" s="979"/>
      <c r="E363" s="979"/>
    </row>
    <row r="364" spans="1:5" x14ac:dyDescent="0.25">
      <c r="A364" s="979"/>
      <c r="B364" s="979"/>
      <c r="C364" s="979"/>
      <c r="D364" s="979"/>
      <c r="E364" s="979"/>
    </row>
    <row r="365" spans="1:5" x14ac:dyDescent="0.25">
      <c r="A365" s="979"/>
      <c r="B365" s="979"/>
      <c r="C365" s="979"/>
      <c r="D365" s="979"/>
      <c r="E365" s="979"/>
    </row>
    <row r="366" spans="1:5" x14ac:dyDescent="0.25">
      <c r="A366" s="979"/>
      <c r="B366" s="979"/>
      <c r="C366" s="979"/>
      <c r="D366" s="979"/>
      <c r="E366" s="979"/>
    </row>
    <row r="367" spans="1:5" x14ac:dyDescent="0.25">
      <c r="A367" s="979"/>
      <c r="B367" s="979"/>
      <c r="C367" s="979"/>
      <c r="D367" s="979"/>
      <c r="E367" s="979"/>
    </row>
    <row r="368" spans="1:5" x14ac:dyDescent="0.25">
      <c r="A368" s="979"/>
      <c r="B368" s="979"/>
      <c r="C368" s="979"/>
      <c r="D368" s="979"/>
      <c r="E368" s="979"/>
    </row>
    <row r="369" spans="1:7" x14ac:dyDescent="0.25">
      <c r="A369" s="979"/>
      <c r="B369" s="979"/>
      <c r="C369" s="979"/>
      <c r="D369" s="979"/>
      <c r="E369" s="979"/>
    </row>
    <row r="370" spans="1:7" x14ac:dyDescent="0.25">
      <c r="A370" s="979"/>
      <c r="B370" s="979"/>
      <c r="C370" s="979"/>
      <c r="D370" s="979"/>
      <c r="E370" s="979"/>
    </row>
    <row r="371" spans="1:7" x14ac:dyDescent="0.25">
      <c r="A371" s="979"/>
      <c r="B371" s="979"/>
      <c r="C371" s="979"/>
      <c r="D371" s="979"/>
      <c r="E371" s="979"/>
    </row>
    <row r="372" spans="1:7" x14ac:dyDescent="0.25">
      <c r="A372" s="966" t="s">
        <v>1452</v>
      </c>
      <c r="B372" s="966"/>
      <c r="C372" s="966"/>
      <c r="D372" s="966"/>
      <c r="E372" s="966"/>
    </row>
    <row r="373" spans="1:7" x14ac:dyDescent="0.25">
      <c r="A373" s="1178" t="s">
        <v>1105</v>
      </c>
      <c r="B373" s="1179"/>
      <c r="C373" s="277" t="s">
        <v>1415</v>
      </c>
      <c r="D373" s="277" t="s">
        <v>998</v>
      </c>
      <c r="E373" s="276" t="s">
        <v>199</v>
      </c>
    </row>
    <row r="374" spans="1:7" x14ac:dyDescent="0.25">
      <c r="A374" s="1180" t="s">
        <v>1173</v>
      </c>
      <c r="B374" s="1181"/>
      <c r="C374" s="284" t="s">
        <v>822</v>
      </c>
      <c r="D374" s="282" t="s">
        <v>822</v>
      </c>
      <c r="E374" s="283">
        <v>0</v>
      </c>
    </row>
    <row r="375" spans="1:7" ht="30" x14ac:dyDescent="0.25">
      <c r="A375" s="1057" t="s">
        <v>1174</v>
      </c>
      <c r="B375" s="1182"/>
      <c r="C375" s="288" t="s">
        <v>1435</v>
      </c>
      <c r="D375" s="289" t="s">
        <v>1288</v>
      </c>
      <c r="E375" s="264">
        <v>27.36</v>
      </c>
    </row>
    <row r="376" spans="1:7" ht="30" x14ac:dyDescent="0.25">
      <c r="A376" s="1057" t="s">
        <v>1174</v>
      </c>
      <c r="B376" s="1182"/>
      <c r="C376" s="286" t="s">
        <v>1446</v>
      </c>
      <c r="D376" s="287" t="s">
        <v>1288</v>
      </c>
      <c r="E376" s="267">
        <v>7.89</v>
      </c>
      <c r="G376" s="290"/>
    </row>
    <row r="377" spans="1:7" x14ac:dyDescent="0.25">
      <c r="A377" s="1057" t="s">
        <v>1176</v>
      </c>
      <c r="B377" s="1182"/>
      <c r="C377" s="285" t="s">
        <v>822</v>
      </c>
      <c r="D377" s="291" t="s">
        <v>822</v>
      </c>
      <c r="E377" s="292">
        <v>0</v>
      </c>
    </row>
    <row r="378" spans="1:7" ht="30" x14ac:dyDescent="0.25">
      <c r="A378" s="1057" t="s">
        <v>1178</v>
      </c>
      <c r="B378" s="1182"/>
      <c r="C378" s="288" t="s">
        <v>1435</v>
      </c>
      <c r="D378" s="289" t="s">
        <v>1288</v>
      </c>
      <c r="E378" s="264">
        <v>38.409999999999997</v>
      </c>
    </row>
    <row r="379" spans="1:7" ht="30" x14ac:dyDescent="0.25">
      <c r="A379" s="1057" t="s">
        <v>1178</v>
      </c>
      <c r="B379" s="1182"/>
      <c r="C379" s="286" t="s">
        <v>1446</v>
      </c>
      <c r="D379" s="287" t="s">
        <v>1288</v>
      </c>
      <c r="E379" s="267">
        <v>10.49</v>
      </c>
    </row>
    <row r="380" spans="1:7" x14ac:dyDescent="0.25">
      <c r="A380" s="1175" t="s">
        <v>1449</v>
      </c>
      <c r="B380" s="1176"/>
      <c r="C380" s="1176"/>
      <c r="D380" s="1177"/>
      <c r="E380" s="257">
        <f>SUM(E375+E378)</f>
        <v>65.77</v>
      </c>
    </row>
    <row r="381" spans="1:7" x14ac:dyDescent="0.25">
      <c r="A381" s="1029" t="s">
        <v>1450</v>
      </c>
      <c r="B381" s="1030"/>
      <c r="C381" s="1030"/>
      <c r="D381" s="1031"/>
      <c r="E381" s="251">
        <f>SUM(E376+E379)</f>
        <v>18.38</v>
      </c>
    </row>
    <row r="382" spans="1:7" x14ac:dyDescent="0.25">
      <c r="A382" s="995" t="s">
        <v>1270</v>
      </c>
      <c r="B382" s="996"/>
      <c r="C382" s="996"/>
      <c r="D382" s="997"/>
      <c r="E382" s="233">
        <f>SUM(E374:E379)</f>
        <v>84.149999999999991</v>
      </c>
      <c r="F382" s="290">
        <f>SUM(E380+E381)</f>
        <v>84.149999999999991</v>
      </c>
    </row>
    <row r="383" spans="1:7" x14ac:dyDescent="0.25">
      <c r="A383" s="1066" t="s">
        <v>1453</v>
      </c>
      <c r="B383" s="976"/>
      <c r="C383" s="976"/>
      <c r="D383" s="976"/>
      <c r="E383" s="977"/>
    </row>
    <row r="384" spans="1:7" x14ac:dyDescent="0.25">
      <c r="A384" s="978" t="s">
        <v>997</v>
      </c>
      <c r="B384" s="978"/>
      <c r="C384" s="978"/>
      <c r="D384" s="978"/>
      <c r="E384" s="978"/>
    </row>
    <row r="385" spans="1:5" x14ac:dyDescent="0.25">
      <c r="A385" s="1070"/>
      <c r="B385" s="1071"/>
      <c r="C385" s="1071"/>
      <c r="D385" s="1071"/>
      <c r="E385" s="1072"/>
    </row>
    <row r="386" spans="1:5" x14ac:dyDescent="0.25">
      <c r="A386" s="1073"/>
      <c r="B386" s="1074"/>
      <c r="C386" s="1074"/>
      <c r="D386" s="1074"/>
      <c r="E386" s="1075"/>
    </row>
    <row r="387" spans="1:5" x14ac:dyDescent="0.25">
      <c r="A387" s="1073"/>
      <c r="B387" s="1074"/>
      <c r="C387" s="1074"/>
      <c r="D387" s="1074"/>
      <c r="E387" s="1075"/>
    </row>
    <row r="388" spans="1:5" x14ac:dyDescent="0.25">
      <c r="A388" s="1073"/>
      <c r="B388" s="1074"/>
      <c r="C388" s="1074"/>
      <c r="D388" s="1074"/>
      <c r="E388" s="1075"/>
    </row>
    <row r="389" spans="1:5" x14ac:dyDescent="0.25">
      <c r="A389" s="1073"/>
      <c r="B389" s="1074"/>
      <c r="C389" s="1074"/>
      <c r="D389" s="1074"/>
      <c r="E389" s="1075"/>
    </row>
    <row r="390" spans="1:5" x14ac:dyDescent="0.25">
      <c r="A390" s="1073"/>
      <c r="B390" s="1074"/>
      <c r="C390" s="1074"/>
      <c r="D390" s="1074"/>
      <c r="E390" s="1075"/>
    </row>
    <row r="391" spans="1:5" x14ac:dyDescent="0.25">
      <c r="A391" s="1073"/>
      <c r="B391" s="1074"/>
      <c r="C391" s="1074"/>
      <c r="D391" s="1074"/>
      <c r="E391" s="1075"/>
    </row>
    <row r="392" spans="1:5" x14ac:dyDescent="0.25">
      <c r="A392" s="1073"/>
      <c r="B392" s="1074"/>
      <c r="C392" s="1074"/>
      <c r="D392" s="1074"/>
      <c r="E392" s="1075"/>
    </row>
    <row r="393" spans="1:5" x14ac:dyDescent="0.25">
      <c r="A393" s="1073"/>
      <c r="B393" s="1074"/>
      <c r="C393" s="1074"/>
      <c r="D393" s="1074"/>
      <c r="E393" s="1075"/>
    </row>
    <row r="394" spans="1:5" x14ac:dyDescent="0.25">
      <c r="A394" s="1073"/>
      <c r="B394" s="1074"/>
      <c r="C394" s="1074"/>
      <c r="D394" s="1074"/>
      <c r="E394" s="1075"/>
    </row>
    <row r="395" spans="1:5" x14ac:dyDescent="0.25">
      <c r="A395" s="1073"/>
      <c r="B395" s="1074"/>
      <c r="C395" s="1074"/>
      <c r="D395" s="1074"/>
      <c r="E395" s="1075"/>
    </row>
    <row r="396" spans="1:5" x14ac:dyDescent="0.25">
      <c r="A396" s="1073"/>
      <c r="B396" s="1074"/>
      <c r="C396" s="1074"/>
      <c r="D396" s="1074"/>
      <c r="E396" s="1075"/>
    </row>
    <row r="397" spans="1:5" x14ac:dyDescent="0.25">
      <c r="A397" s="1073"/>
      <c r="B397" s="1074"/>
      <c r="C397" s="1074"/>
      <c r="D397" s="1074"/>
      <c r="E397" s="1075"/>
    </row>
    <row r="398" spans="1:5" x14ac:dyDescent="0.25">
      <c r="A398" s="1073"/>
      <c r="B398" s="1074"/>
      <c r="C398" s="1074"/>
      <c r="D398" s="1074"/>
      <c r="E398" s="1075"/>
    </row>
    <row r="399" spans="1:5" x14ac:dyDescent="0.25">
      <c r="A399" s="1073"/>
      <c r="B399" s="1074"/>
      <c r="C399" s="1074"/>
      <c r="D399" s="1074"/>
      <c r="E399" s="1075"/>
    </row>
    <row r="400" spans="1:5" x14ac:dyDescent="0.25">
      <c r="A400" s="1073"/>
      <c r="B400" s="1074"/>
      <c r="C400" s="1074"/>
      <c r="D400" s="1074"/>
      <c r="E400" s="1075"/>
    </row>
    <row r="401" spans="1:5" x14ac:dyDescent="0.25">
      <c r="A401" s="1073"/>
      <c r="B401" s="1074"/>
      <c r="C401" s="1074"/>
      <c r="D401" s="1074"/>
      <c r="E401" s="1075"/>
    </row>
    <row r="402" spans="1:5" x14ac:dyDescent="0.25">
      <c r="A402" s="1073"/>
      <c r="B402" s="1074"/>
      <c r="C402" s="1074"/>
      <c r="D402" s="1074"/>
      <c r="E402" s="1075"/>
    </row>
    <row r="403" spans="1:5" x14ac:dyDescent="0.25">
      <c r="A403" s="1073"/>
      <c r="B403" s="1074"/>
      <c r="C403" s="1074"/>
      <c r="D403" s="1074"/>
      <c r="E403" s="1075"/>
    </row>
    <row r="404" spans="1:5" x14ac:dyDescent="0.25">
      <c r="A404" s="1073"/>
      <c r="B404" s="1074"/>
      <c r="C404" s="1074"/>
      <c r="D404" s="1074"/>
      <c r="E404" s="1075"/>
    </row>
    <row r="405" spans="1:5" x14ac:dyDescent="0.25">
      <c r="A405" s="1073"/>
      <c r="B405" s="1074"/>
      <c r="C405" s="1074"/>
      <c r="D405" s="1074"/>
      <c r="E405" s="1075"/>
    </row>
    <row r="406" spans="1:5" x14ac:dyDescent="0.25">
      <c r="A406" s="1076"/>
      <c r="B406" s="1077"/>
      <c r="C406" s="1077"/>
      <c r="D406" s="1077"/>
      <c r="E406" s="1078"/>
    </row>
    <row r="407" spans="1:5" x14ac:dyDescent="0.25">
      <c r="A407" s="966" t="s">
        <v>1454</v>
      </c>
      <c r="B407" s="966"/>
      <c r="C407" s="966"/>
      <c r="D407" s="966"/>
      <c r="E407" s="966"/>
    </row>
    <row r="408" spans="1:5" x14ac:dyDescent="0.25">
      <c r="A408" s="967" t="s">
        <v>1105</v>
      </c>
      <c r="B408" s="968"/>
      <c r="C408" s="967" t="s">
        <v>998</v>
      </c>
      <c r="D408" s="968"/>
      <c r="E408" s="229" t="s">
        <v>1293</v>
      </c>
    </row>
    <row r="409" spans="1:5" x14ac:dyDescent="0.25">
      <c r="A409" s="1057" t="s">
        <v>1173</v>
      </c>
      <c r="B409" s="1058"/>
      <c r="C409" s="969" t="s">
        <v>1288</v>
      </c>
      <c r="D409" s="970"/>
      <c r="E409" s="232">
        <v>0</v>
      </c>
    </row>
    <row r="410" spans="1:5" x14ac:dyDescent="0.25">
      <c r="A410" s="1057" t="s">
        <v>1174</v>
      </c>
      <c r="B410" s="1058"/>
      <c r="C410" s="969" t="s">
        <v>1288</v>
      </c>
      <c r="D410" s="970"/>
      <c r="E410" s="232">
        <v>0.28000000000000003</v>
      </c>
    </row>
    <row r="411" spans="1:5" x14ac:dyDescent="0.25">
      <c r="A411" s="1057" t="s">
        <v>1176</v>
      </c>
      <c r="B411" s="1058"/>
      <c r="C411" s="969" t="s">
        <v>1288</v>
      </c>
      <c r="D411" s="970"/>
      <c r="E411" s="232">
        <v>0</v>
      </c>
    </row>
    <row r="412" spans="1:5" x14ac:dyDescent="0.25">
      <c r="A412" s="1057" t="s">
        <v>1178</v>
      </c>
      <c r="B412" s="1058"/>
      <c r="C412" s="969" t="s">
        <v>1288</v>
      </c>
      <c r="D412" s="970"/>
      <c r="E412" s="232">
        <v>0.38</v>
      </c>
    </row>
    <row r="413" spans="1:5" x14ac:dyDescent="0.25">
      <c r="A413" s="971" t="s">
        <v>1001</v>
      </c>
      <c r="B413" s="972"/>
      <c r="C413" s="972"/>
      <c r="D413" s="973"/>
      <c r="E413" s="238">
        <f>SUM(E408:E412)</f>
        <v>0.66</v>
      </c>
    </row>
    <row r="414" spans="1:5" x14ac:dyDescent="0.25">
      <c r="A414" s="995" t="s">
        <v>1270</v>
      </c>
      <c r="B414" s="996"/>
      <c r="C414" s="996"/>
      <c r="D414" s="997"/>
      <c r="E414" s="233">
        <f>E413</f>
        <v>0.66</v>
      </c>
    </row>
    <row r="415" spans="1:5" x14ac:dyDescent="0.25">
      <c r="A415" s="1066" t="s">
        <v>1455</v>
      </c>
      <c r="B415" s="976"/>
      <c r="C415" s="976"/>
      <c r="D415" s="976"/>
      <c r="E415" s="977"/>
    </row>
    <row r="416" spans="1:5" x14ac:dyDescent="0.25">
      <c r="A416" s="978" t="s">
        <v>997</v>
      </c>
      <c r="B416" s="978"/>
      <c r="C416" s="978"/>
      <c r="D416" s="978"/>
      <c r="E416" s="978"/>
    </row>
    <row r="417" spans="1:5" x14ac:dyDescent="0.25">
      <c r="A417" s="979"/>
      <c r="B417" s="979"/>
      <c r="C417" s="979"/>
      <c r="D417" s="979"/>
      <c r="E417" s="979"/>
    </row>
    <row r="418" spans="1:5" x14ac:dyDescent="0.25">
      <c r="A418" s="979"/>
      <c r="B418" s="979"/>
      <c r="C418" s="979"/>
      <c r="D418" s="979"/>
      <c r="E418" s="979"/>
    </row>
    <row r="419" spans="1:5" x14ac:dyDescent="0.25">
      <c r="A419" s="979"/>
      <c r="B419" s="979"/>
      <c r="C419" s="979"/>
      <c r="D419" s="979"/>
      <c r="E419" s="979"/>
    </row>
    <row r="420" spans="1:5" x14ac:dyDescent="0.25">
      <c r="A420" s="979"/>
      <c r="B420" s="979"/>
      <c r="C420" s="979"/>
      <c r="D420" s="979"/>
      <c r="E420" s="979"/>
    </row>
    <row r="421" spans="1:5" x14ac:dyDescent="0.25">
      <c r="A421" s="979"/>
      <c r="B421" s="979"/>
      <c r="C421" s="979"/>
      <c r="D421" s="979"/>
      <c r="E421" s="979"/>
    </row>
    <row r="422" spans="1:5" x14ac:dyDescent="0.25">
      <c r="A422" s="979"/>
      <c r="B422" s="979"/>
      <c r="C422" s="979"/>
      <c r="D422" s="979"/>
      <c r="E422" s="979"/>
    </row>
    <row r="423" spans="1:5" x14ac:dyDescent="0.25">
      <c r="A423" s="979"/>
      <c r="B423" s="979"/>
      <c r="C423" s="979"/>
      <c r="D423" s="979"/>
      <c r="E423" s="979"/>
    </row>
    <row r="424" spans="1:5" x14ac:dyDescent="0.25">
      <c r="A424" s="979"/>
      <c r="B424" s="979"/>
      <c r="C424" s="979"/>
      <c r="D424" s="979"/>
      <c r="E424" s="979"/>
    </row>
    <row r="425" spans="1:5" x14ac:dyDescent="0.25">
      <c r="A425" s="979"/>
      <c r="B425" s="979"/>
      <c r="C425" s="979"/>
      <c r="D425" s="979"/>
      <c r="E425" s="979"/>
    </row>
    <row r="426" spans="1:5" x14ac:dyDescent="0.25">
      <c r="A426" s="979"/>
      <c r="B426" s="979"/>
      <c r="C426" s="979"/>
      <c r="D426" s="979"/>
      <c r="E426" s="979"/>
    </row>
    <row r="427" spans="1:5" x14ac:dyDescent="0.25">
      <c r="A427" s="979"/>
      <c r="B427" s="979"/>
      <c r="C427" s="979"/>
      <c r="D427" s="979"/>
      <c r="E427" s="979"/>
    </row>
    <row r="428" spans="1:5" x14ac:dyDescent="0.25">
      <c r="A428" s="979"/>
      <c r="B428" s="979"/>
      <c r="C428" s="979"/>
      <c r="D428" s="979"/>
      <c r="E428" s="979"/>
    </row>
    <row r="429" spans="1:5" x14ac:dyDescent="0.25">
      <c r="A429" s="979"/>
      <c r="B429" s="979"/>
      <c r="C429" s="979"/>
      <c r="D429" s="979"/>
      <c r="E429" s="979"/>
    </row>
    <row r="430" spans="1:5" x14ac:dyDescent="0.25">
      <c r="A430" s="979"/>
      <c r="B430" s="979"/>
      <c r="C430" s="979"/>
      <c r="D430" s="979"/>
      <c r="E430" s="979"/>
    </row>
    <row r="431" spans="1:5" x14ac:dyDescent="0.25">
      <c r="A431" s="979"/>
      <c r="B431" s="979"/>
      <c r="C431" s="979"/>
      <c r="D431" s="979"/>
      <c r="E431" s="979"/>
    </row>
    <row r="432" spans="1:5" x14ac:dyDescent="0.25">
      <c r="A432" s="979"/>
      <c r="B432" s="979"/>
      <c r="C432" s="979"/>
      <c r="D432" s="979"/>
      <c r="E432" s="979"/>
    </row>
    <row r="433" spans="1:5" x14ac:dyDescent="0.25">
      <c r="A433" s="979"/>
      <c r="B433" s="979"/>
      <c r="C433" s="979"/>
      <c r="D433" s="979"/>
      <c r="E433" s="979"/>
    </row>
    <row r="434" spans="1:5" x14ac:dyDescent="0.25">
      <c r="A434" s="979"/>
      <c r="B434" s="979"/>
      <c r="C434" s="979"/>
      <c r="D434" s="979"/>
      <c r="E434" s="979"/>
    </row>
    <row r="435" spans="1:5" x14ac:dyDescent="0.25">
      <c r="A435" s="979"/>
      <c r="B435" s="979"/>
      <c r="C435" s="979"/>
      <c r="D435" s="979"/>
      <c r="E435" s="979"/>
    </row>
    <row r="436" spans="1:5" x14ac:dyDescent="0.25">
      <c r="A436" s="979"/>
      <c r="B436" s="979"/>
      <c r="C436" s="979"/>
      <c r="D436" s="979"/>
      <c r="E436" s="979"/>
    </row>
    <row r="437" spans="1:5" x14ac:dyDescent="0.25">
      <c r="A437" s="979"/>
      <c r="B437" s="979"/>
      <c r="C437" s="979"/>
      <c r="D437" s="979"/>
      <c r="E437" s="979"/>
    </row>
    <row r="438" spans="1:5" x14ac:dyDescent="0.25">
      <c r="A438" s="1148"/>
      <c r="B438" s="1148"/>
      <c r="C438" s="1148"/>
      <c r="D438" s="1148"/>
      <c r="E438" s="1148"/>
    </row>
    <row r="439" spans="1:5" x14ac:dyDescent="0.25">
      <c r="A439" s="1149" t="s">
        <v>1455</v>
      </c>
      <c r="B439" s="1149"/>
      <c r="C439" s="1149"/>
      <c r="D439" s="1149"/>
      <c r="E439" s="1149"/>
    </row>
    <row r="440" spans="1:5" x14ac:dyDescent="0.25">
      <c r="A440" s="1150" t="s">
        <v>1105</v>
      </c>
      <c r="B440" s="1151"/>
      <c r="C440" s="1152" t="s">
        <v>998</v>
      </c>
      <c r="D440" s="1153"/>
      <c r="E440" s="276" t="s">
        <v>680</v>
      </c>
    </row>
    <row r="441" spans="1:5" x14ac:dyDescent="0.25">
      <c r="A441" s="1139" t="s">
        <v>1173</v>
      </c>
      <c r="B441" s="1140"/>
      <c r="C441" s="1141" t="s">
        <v>822</v>
      </c>
      <c r="D441" s="1142"/>
      <c r="E441" s="283">
        <v>0</v>
      </c>
    </row>
    <row r="442" spans="1:5" x14ac:dyDescent="0.25">
      <c r="A442" s="1139" t="s">
        <v>1174</v>
      </c>
      <c r="B442" s="1140"/>
      <c r="C442" s="1154" t="s">
        <v>822</v>
      </c>
      <c r="D442" s="1142"/>
      <c r="E442" s="275">
        <v>0</v>
      </c>
    </row>
    <row r="443" spans="1:5" x14ac:dyDescent="0.25">
      <c r="A443" s="1139" t="s">
        <v>1176</v>
      </c>
      <c r="B443" s="1140"/>
      <c r="C443" s="1141" t="s">
        <v>1288</v>
      </c>
      <c r="D443" s="1142"/>
      <c r="E443" s="275">
        <v>1.59</v>
      </c>
    </row>
    <row r="444" spans="1:5" x14ac:dyDescent="0.25">
      <c r="A444" s="1139" t="s">
        <v>1178</v>
      </c>
      <c r="B444" s="1140"/>
      <c r="C444" s="1141" t="s">
        <v>822</v>
      </c>
      <c r="D444" s="1142"/>
      <c r="E444" s="275">
        <v>0</v>
      </c>
    </row>
    <row r="445" spans="1:5" x14ac:dyDescent="0.25">
      <c r="A445" s="971" t="s">
        <v>1001</v>
      </c>
      <c r="B445" s="972"/>
      <c r="C445" s="1143"/>
      <c r="D445" s="1144"/>
      <c r="E445" s="238">
        <f>SUM(E440:E444)</f>
        <v>1.59</v>
      </c>
    </row>
    <row r="446" spans="1:5" x14ac:dyDescent="0.25">
      <c r="A446" s="995" t="s">
        <v>1270</v>
      </c>
      <c r="B446" s="996"/>
      <c r="C446" s="996"/>
      <c r="D446" s="997"/>
      <c r="E446" s="233">
        <f>E445</f>
        <v>1.59</v>
      </c>
    </row>
    <row r="447" spans="1:5" x14ac:dyDescent="0.25">
      <c r="A447" s="1066" t="s">
        <v>1456</v>
      </c>
      <c r="B447" s="976"/>
      <c r="C447" s="976"/>
      <c r="D447" s="976"/>
      <c r="E447" s="977"/>
    </row>
    <row r="448" spans="1:5" x14ac:dyDescent="0.25">
      <c r="A448" s="978" t="s">
        <v>997</v>
      </c>
      <c r="B448" s="978"/>
      <c r="C448" s="978"/>
      <c r="D448" s="978"/>
      <c r="E448" s="978"/>
    </row>
    <row r="449" spans="1:5" x14ac:dyDescent="0.25">
      <c r="A449" s="979"/>
      <c r="B449" s="979"/>
      <c r="C449" s="979"/>
      <c r="D449" s="979"/>
      <c r="E449" s="979"/>
    </row>
    <row r="450" spans="1:5" x14ac:dyDescent="0.25">
      <c r="A450" s="979"/>
      <c r="B450" s="979"/>
      <c r="C450" s="979"/>
      <c r="D450" s="979"/>
      <c r="E450" s="979"/>
    </row>
    <row r="451" spans="1:5" x14ac:dyDescent="0.25">
      <c r="A451" s="979"/>
      <c r="B451" s="979"/>
      <c r="C451" s="979"/>
      <c r="D451" s="979"/>
      <c r="E451" s="979"/>
    </row>
    <row r="452" spans="1:5" x14ac:dyDescent="0.25">
      <c r="A452" s="979"/>
      <c r="B452" s="979"/>
      <c r="C452" s="979"/>
      <c r="D452" s="979"/>
      <c r="E452" s="979"/>
    </row>
    <row r="453" spans="1:5" x14ac:dyDescent="0.25">
      <c r="A453" s="979"/>
      <c r="B453" s="979"/>
      <c r="C453" s="979"/>
      <c r="D453" s="979"/>
      <c r="E453" s="979"/>
    </row>
    <row r="454" spans="1:5" x14ac:dyDescent="0.25">
      <c r="A454" s="979"/>
      <c r="B454" s="979"/>
      <c r="C454" s="979"/>
      <c r="D454" s="979"/>
      <c r="E454" s="979"/>
    </row>
    <row r="455" spans="1:5" x14ac:dyDescent="0.25">
      <c r="A455" s="979"/>
      <c r="B455" s="979"/>
      <c r="C455" s="979"/>
      <c r="D455" s="979"/>
      <c r="E455" s="979"/>
    </row>
    <row r="456" spans="1:5" x14ac:dyDescent="0.25">
      <c r="A456" s="979"/>
      <c r="B456" s="979"/>
      <c r="C456" s="979"/>
      <c r="D456" s="979"/>
      <c r="E456" s="979"/>
    </row>
    <row r="457" spans="1:5" x14ac:dyDescent="0.25">
      <c r="A457" s="979"/>
      <c r="B457" s="979"/>
      <c r="C457" s="979"/>
      <c r="D457" s="979"/>
      <c r="E457" s="979"/>
    </row>
    <row r="458" spans="1:5" x14ac:dyDescent="0.25">
      <c r="A458" s="979"/>
      <c r="B458" s="979"/>
      <c r="C458" s="979"/>
      <c r="D458" s="979"/>
      <c r="E458" s="979"/>
    </row>
    <row r="459" spans="1:5" x14ac:dyDescent="0.25">
      <c r="A459" s="979"/>
      <c r="B459" s="979"/>
      <c r="C459" s="979"/>
      <c r="D459" s="979"/>
      <c r="E459" s="979"/>
    </row>
    <row r="460" spans="1:5" x14ac:dyDescent="0.25">
      <c r="A460" s="979"/>
      <c r="B460" s="979"/>
      <c r="C460" s="979"/>
      <c r="D460" s="979"/>
      <c r="E460" s="979"/>
    </row>
    <row r="461" spans="1:5" x14ac:dyDescent="0.25">
      <c r="A461" s="979"/>
      <c r="B461" s="979"/>
      <c r="C461" s="979"/>
      <c r="D461" s="979"/>
      <c r="E461" s="979"/>
    </row>
    <row r="462" spans="1:5" x14ac:dyDescent="0.25">
      <c r="A462" s="979"/>
      <c r="B462" s="979"/>
      <c r="C462" s="979"/>
      <c r="D462" s="979"/>
      <c r="E462" s="979"/>
    </row>
    <row r="463" spans="1:5" x14ac:dyDescent="0.25">
      <c r="A463" s="979"/>
      <c r="B463" s="979"/>
      <c r="C463" s="979"/>
      <c r="D463" s="979"/>
      <c r="E463" s="979"/>
    </row>
    <row r="464" spans="1:5" x14ac:dyDescent="0.25">
      <c r="A464" s="979"/>
      <c r="B464" s="979"/>
      <c r="C464" s="979"/>
      <c r="D464" s="979"/>
      <c r="E464" s="979"/>
    </row>
    <row r="465" spans="1:6" x14ac:dyDescent="0.25">
      <c r="A465" s="979"/>
      <c r="B465" s="979"/>
      <c r="C465" s="979"/>
      <c r="D465" s="979"/>
      <c r="E465" s="979"/>
    </row>
    <row r="466" spans="1:6" x14ac:dyDescent="0.25">
      <c r="A466" s="979"/>
      <c r="B466" s="979"/>
      <c r="C466" s="979"/>
      <c r="D466" s="979"/>
      <c r="E466" s="979"/>
    </row>
    <row r="467" spans="1:6" x14ac:dyDescent="0.25">
      <c r="A467" s="979"/>
      <c r="B467" s="979"/>
      <c r="C467" s="979"/>
      <c r="D467" s="979"/>
      <c r="E467" s="979"/>
    </row>
    <row r="468" spans="1:6" x14ac:dyDescent="0.25">
      <c r="A468" s="979"/>
      <c r="B468" s="979"/>
      <c r="C468" s="979"/>
      <c r="D468" s="979"/>
      <c r="E468" s="979"/>
    </row>
    <row r="469" spans="1:6" x14ac:dyDescent="0.25">
      <c r="A469" s="979"/>
      <c r="B469" s="979"/>
      <c r="C469" s="979"/>
      <c r="D469" s="979"/>
      <c r="E469" s="979"/>
    </row>
    <row r="470" spans="1:6" x14ac:dyDescent="0.25">
      <c r="A470" s="1148"/>
      <c r="B470" s="1148"/>
      <c r="C470" s="1148"/>
      <c r="D470" s="1148"/>
      <c r="E470" s="1148"/>
    </row>
    <row r="471" spans="1:6" x14ac:dyDescent="0.25">
      <c r="A471" s="1149" t="s">
        <v>1456</v>
      </c>
      <c r="B471" s="1149"/>
      <c r="C471" s="1149"/>
      <c r="D471" s="1149"/>
      <c r="E471" s="1149"/>
    </row>
    <row r="472" spans="1:6" x14ac:dyDescent="0.25">
      <c r="A472" s="1178" t="s">
        <v>1105</v>
      </c>
      <c r="B472" s="1179"/>
      <c r="C472" s="277" t="s">
        <v>1415</v>
      </c>
      <c r="D472" s="277" t="s">
        <v>998</v>
      </c>
      <c r="E472" s="276" t="s">
        <v>199</v>
      </c>
    </row>
    <row r="473" spans="1:6" x14ac:dyDescent="0.25">
      <c r="A473" s="1180" t="s">
        <v>1173</v>
      </c>
      <c r="B473" s="1181"/>
      <c r="C473" s="284" t="s">
        <v>822</v>
      </c>
      <c r="D473" s="282" t="s">
        <v>822</v>
      </c>
      <c r="E473" s="283">
        <v>0</v>
      </c>
    </row>
    <row r="474" spans="1:6" x14ac:dyDescent="0.25">
      <c r="A474" s="1057" t="s">
        <v>1174</v>
      </c>
      <c r="B474" s="1182"/>
      <c r="C474" s="284"/>
      <c r="D474" s="282"/>
      <c r="E474" s="283"/>
    </row>
    <row r="475" spans="1:6" ht="30" x14ac:dyDescent="0.25">
      <c r="A475" s="1057" t="s">
        <v>1176</v>
      </c>
      <c r="B475" s="1182"/>
      <c r="C475" s="288" t="s">
        <v>1435</v>
      </c>
      <c r="D475" s="289" t="s">
        <v>1288</v>
      </c>
      <c r="E475" s="264">
        <v>14</v>
      </c>
    </row>
    <row r="476" spans="1:6" ht="15" customHeight="1" x14ac:dyDescent="0.25">
      <c r="A476" s="1131" t="s">
        <v>1176</v>
      </c>
      <c r="B476" s="1184"/>
      <c r="C476" s="294" t="s">
        <v>1446</v>
      </c>
      <c r="D476" s="295" t="s">
        <v>1288</v>
      </c>
      <c r="E476" s="296">
        <v>2</v>
      </c>
    </row>
    <row r="477" spans="1:6" ht="15" customHeight="1" x14ac:dyDescent="0.25">
      <c r="A477" s="1183" t="s">
        <v>1173</v>
      </c>
      <c r="B477" s="1183"/>
      <c r="C477" s="285" t="s">
        <v>822</v>
      </c>
      <c r="D477" s="278" t="s">
        <v>822</v>
      </c>
      <c r="E477" s="293">
        <v>0</v>
      </c>
    </row>
    <row r="478" spans="1:6" ht="15" customHeight="1" x14ac:dyDescent="0.25">
      <c r="A478" s="1162" t="s">
        <v>1437</v>
      </c>
      <c r="B478" s="1163"/>
      <c r="C478" s="1163"/>
      <c r="D478" s="1164"/>
      <c r="E478" s="257">
        <f>E475</f>
        <v>14</v>
      </c>
    </row>
    <row r="479" spans="1:6" x14ac:dyDescent="0.25">
      <c r="A479" s="1159" t="s">
        <v>1457</v>
      </c>
      <c r="B479" s="1160"/>
      <c r="C479" s="1160"/>
      <c r="D479" s="1161"/>
      <c r="E479" s="251">
        <f>E476</f>
        <v>2</v>
      </c>
    </row>
    <row r="480" spans="1:6" x14ac:dyDescent="0.25">
      <c r="A480" s="995" t="s">
        <v>1270</v>
      </c>
      <c r="B480" s="996"/>
      <c r="C480" s="996"/>
      <c r="D480" s="997"/>
      <c r="E480" s="233">
        <f>SUM(E478:E479)</f>
        <v>16</v>
      </c>
      <c r="F480" s="290">
        <f>SUM(E473:E477)</f>
        <v>16</v>
      </c>
    </row>
    <row r="481" spans="1:5" x14ac:dyDescent="0.25">
      <c r="A481" s="1066" t="s">
        <v>1458</v>
      </c>
      <c r="B481" s="976"/>
      <c r="C481" s="976"/>
      <c r="D481" s="976"/>
      <c r="E481" s="977"/>
    </row>
    <row r="482" spans="1:5" x14ac:dyDescent="0.25">
      <c r="A482" s="978" t="s">
        <v>997</v>
      </c>
      <c r="B482" s="978"/>
      <c r="C482" s="978"/>
      <c r="D482" s="978"/>
      <c r="E482" s="978"/>
    </row>
    <row r="483" spans="1:5" x14ac:dyDescent="0.25">
      <c r="A483" s="979"/>
      <c r="B483" s="979"/>
      <c r="C483" s="979"/>
      <c r="D483" s="979"/>
      <c r="E483" s="979"/>
    </row>
    <row r="484" spans="1:5" x14ac:dyDescent="0.25">
      <c r="A484" s="979"/>
      <c r="B484" s="979"/>
      <c r="C484" s="979"/>
      <c r="D484" s="979"/>
      <c r="E484" s="979"/>
    </row>
    <row r="485" spans="1:5" x14ac:dyDescent="0.25">
      <c r="A485" s="979"/>
      <c r="B485" s="979"/>
      <c r="C485" s="979"/>
      <c r="D485" s="979"/>
      <c r="E485" s="979"/>
    </row>
    <row r="486" spans="1:5" x14ac:dyDescent="0.25">
      <c r="A486" s="979"/>
      <c r="B486" s="979"/>
      <c r="C486" s="979"/>
      <c r="D486" s="979"/>
      <c r="E486" s="979"/>
    </row>
    <row r="487" spans="1:5" x14ac:dyDescent="0.25">
      <c r="A487" s="979"/>
      <c r="B487" s="979"/>
      <c r="C487" s="979"/>
      <c r="D487" s="979"/>
      <c r="E487" s="979"/>
    </row>
    <row r="488" spans="1:5" x14ac:dyDescent="0.25">
      <c r="A488" s="979"/>
      <c r="B488" s="979"/>
      <c r="C488" s="979"/>
      <c r="D488" s="979"/>
      <c r="E488" s="979"/>
    </row>
    <row r="489" spans="1:5" x14ac:dyDescent="0.25">
      <c r="A489" s="979"/>
      <c r="B489" s="979"/>
      <c r="C489" s="979"/>
      <c r="D489" s="979"/>
      <c r="E489" s="979"/>
    </row>
    <row r="490" spans="1:5" x14ac:dyDescent="0.25">
      <c r="A490" s="979"/>
      <c r="B490" s="979"/>
      <c r="C490" s="979"/>
      <c r="D490" s="979"/>
      <c r="E490" s="979"/>
    </row>
    <row r="491" spans="1:5" x14ac:dyDescent="0.25">
      <c r="A491" s="979"/>
      <c r="B491" s="979"/>
      <c r="C491" s="979"/>
      <c r="D491" s="979"/>
      <c r="E491" s="979"/>
    </row>
    <row r="492" spans="1:5" x14ac:dyDescent="0.25">
      <c r="A492" s="979"/>
      <c r="B492" s="979"/>
      <c r="C492" s="979"/>
      <c r="D492" s="979"/>
      <c r="E492" s="979"/>
    </row>
    <row r="493" spans="1:5" x14ac:dyDescent="0.25">
      <c r="A493" s="979"/>
      <c r="B493" s="979"/>
      <c r="C493" s="979"/>
      <c r="D493" s="979"/>
      <c r="E493" s="979"/>
    </row>
    <row r="494" spans="1:5" x14ac:dyDescent="0.25">
      <c r="A494" s="979"/>
      <c r="B494" s="979"/>
      <c r="C494" s="979"/>
      <c r="D494" s="979"/>
      <c r="E494" s="979"/>
    </row>
    <row r="495" spans="1:5" x14ac:dyDescent="0.25">
      <c r="A495" s="979"/>
      <c r="B495" s="979"/>
      <c r="C495" s="979"/>
      <c r="D495" s="979"/>
      <c r="E495" s="979"/>
    </row>
    <row r="496" spans="1:5" x14ac:dyDescent="0.25">
      <c r="A496" s="979"/>
      <c r="B496" s="979"/>
      <c r="C496" s="979"/>
      <c r="D496" s="979"/>
      <c r="E496" s="979"/>
    </row>
    <row r="497" spans="1:5" x14ac:dyDescent="0.25">
      <c r="A497" s="979"/>
      <c r="B497" s="979"/>
      <c r="C497" s="979"/>
      <c r="D497" s="979"/>
      <c r="E497" s="979"/>
    </row>
    <row r="498" spans="1:5" x14ac:dyDescent="0.25">
      <c r="A498" s="979"/>
      <c r="B498" s="979"/>
      <c r="C498" s="979"/>
      <c r="D498" s="979"/>
      <c r="E498" s="979"/>
    </row>
    <row r="499" spans="1:5" x14ac:dyDescent="0.25">
      <c r="A499" s="979"/>
      <c r="B499" s="979"/>
      <c r="C499" s="979"/>
      <c r="D499" s="979"/>
      <c r="E499" s="979"/>
    </row>
    <row r="500" spans="1:5" x14ac:dyDescent="0.25">
      <c r="A500" s="979"/>
      <c r="B500" s="979"/>
      <c r="C500" s="979"/>
      <c r="D500" s="979"/>
      <c r="E500" s="979"/>
    </row>
    <row r="501" spans="1:5" x14ac:dyDescent="0.25">
      <c r="A501" s="979"/>
      <c r="B501" s="979"/>
      <c r="C501" s="979"/>
      <c r="D501" s="979"/>
      <c r="E501" s="979"/>
    </row>
    <row r="502" spans="1:5" x14ac:dyDescent="0.25">
      <c r="A502" s="979"/>
      <c r="B502" s="979"/>
      <c r="C502" s="979"/>
      <c r="D502" s="979"/>
      <c r="E502" s="979"/>
    </row>
    <row r="503" spans="1:5" x14ac:dyDescent="0.25">
      <c r="A503" s="979"/>
      <c r="B503" s="979"/>
      <c r="C503" s="979"/>
      <c r="D503" s="979"/>
      <c r="E503" s="979"/>
    </row>
    <row r="504" spans="1:5" x14ac:dyDescent="0.25">
      <c r="A504" s="1148"/>
      <c r="B504" s="1148"/>
      <c r="C504" s="1148"/>
      <c r="D504" s="1148"/>
      <c r="E504" s="1148"/>
    </row>
    <row r="505" spans="1:5" x14ac:dyDescent="0.25">
      <c r="A505" s="1149" t="s">
        <v>1458</v>
      </c>
      <c r="B505" s="1149"/>
      <c r="C505" s="1149"/>
      <c r="D505" s="1149"/>
      <c r="E505" s="1149"/>
    </row>
    <row r="506" spans="1:5" x14ac:dyDescent="0.25">
      <c r="A506" s="1150" t="s">
        <v>1105</v>
      </c>
      <c r="B506" s="1151"/>
      <c r="C506" s="1152" t="s">
        <v>998</v>
      </c>
      <c r="D506" s="1153"/>
      <c r="E506" s="276" t="s">
        <v>1293</v>
      </c>
    </row>
    <row r="507" spans="1:5" x14ac:dyDescent="0.25">
      <c r="A507" s="1139" t="s">
        <v>1173</v>
      </c>
      <c r="B507" s="1140"/>
      <c r="C507" s="1141" t="s">
        <v>822</v>
      </c>
      <c r="D507" s="1142"/>
      <c r="E507" s="283">
        <v>0</v>
      </c>
    </row>
    <row r="508" spans="1:5" x14ac:dyDescent="0.25">
      <c r="A508" s="1139" t="s">
        <v>1174</v>
      </c>
      <c r="B508" s="1140"/>
      <c r="C508" s="1154" t="s">
        <v>822</v>
      </c>
      <c r="D508" s="1142"/>
      <c r="E508" s="275">
        <v>0</v>
      </c>
    </row>
    <row r="509" spans="1:5" x14ac:dyDescent="0.25">
      <c r="A509" s="1139" t="s">
        <v>1176</v>
      </c>
      <c r="B509" s="1140"/>
      <c r="C509" s="1141" t="s">
        <v>1288</v>
      </c>
      <c r="D509" s="1142"/>
      <c r="E509" s="275">
        <v>0.27</v>
      </c>
    </row>
    <row r="510" spans="1:5" x14ac:dyDescent="0.25">
      <c r="A510" s="1139" t="s">
        <v>1178</v>
      </c>
      <c r="B510" s="1140"/>
      <c r="C510" s="1141" t="s">
        <v>822</v>
      </c>
      <c r="D510" s="1142"/>
      <c r="E510" s="275">
        <v>0</v>
      </c>
    </row>
    <row r="511" spans="1:5" x14ac:dyDescent="0.25">
      <c r="A511" s="971" t="s">
        <v>1001</v>
      </c>
      <c r="B511" s="972"/>
      <c r="C511" s="1143"/>
      <c r="D511" s="1144"/>
      <c r="E511" s="238">
        <f>SUM(E506:E510)</f>
        <v>0.27</v>
      </c>
    </row>
    <row r="512" spans="1:5" x14ac:dyDescent="0.25">
      <c r="A512" s="995" t="s">
        <v>1270</v>
      </c>
      <c r="B512" s="996"/>
      <c r="C512" s="996"/>
      <c r="D512" s="997"/>
      <c r="E512" s="233">
        <f>E511</f>
        <v>0.27</v>
      </c>
    </row>
    <row r="513" spans="1:5" x14ac:dyDescent="0.25">
      <c r="A513" s="1066" t="s">
        <v>1459</v>
      </c>
      <c r="B513" s="976"/>
      <c r="C513" s="976"/>
      <c r="D513" s="976"/>
      <c r="E513" s="977"/>
    </row>
    <row r="514" spans="1:5" x14ac:dyDescent="0.25">
      <c r="A514" s="978" t="s">
        <v>997</v>
      </c>
      <c r="B514" s="978"/>
      <c r="C514" s="978"/>
      <c r="D514" s="978"/>
      <c r="E514" s="978"/>
    </row>
    <row r="515" spans="1:5" x14ac:dyDescent="0.25">
      <c r="A515" s="979"/>
      <c r="B515" s="979"/>
      <c r="C515" s="979"/>
      <c r="D515" s="979"/>
      <c r="E515" s="979"/>
    </row>
    <row r="516" spans="1:5" x14ac:dyDescent="0.25">
      <c r="A516" s="979"/>
      <c r="B516" s="979"/>
      <c r="C516" s="979"/>
      <c r="D516" s="979"/>
      <c r="E516" s="979"/>
    </row>
    <row r="517" spans="1:5" x14ac:dyDescent="0.25">
      <c r="A517" s="979"/>
      <c r="B517" s="979"/>
      <c r="C517" s="979"/>
      <c r="D517" s="979"/>
      <c r="E517" s="979"/>
    </row>
    <row r="518" spans="1:5" x14ac:dyDescent="0.25">
      <c r="A518" s="979"/>
      <c r="B518" s="979"/>
      <c r="C518" s="979"/>
      <c r="D518" s="979"/>
      <c r="E518" s="979"/>
    </row>
    <row r="519" spans="1:5" x14ac:dyDescent="0.25">
      <c r="A519" s="979"/>
      <c r="B519" s="979"/>
      <c r="C519" s="979"/>
      <c r="D519" s="979"/>
      <c r="E519" s="979"/>
    </row>
    <row r="520" spans="1:5" x14ac:dyDescent="0.25">
      <c r="A520" s="979"/>
      <c r="B520" s="979"/>
      <c r="C520" s="979"/>
      <c r="D520" s="979"/>
      <c r="E520" s="979"/>
    </row>
    <row r="521" spans="1:5" x14ac:dyDescent="0.25">
      <c r="A521" s="979"/>
      <c r="B521" s="979"/>
      <c r="C521" s="979"/>
      <c r="D521" s="979"/>
      <c r="E521" s="979"/>
    </row>
    <row r="522" spans="1:5" x14ac:dyDescent="0.25">
      <c r="A522" s="979"/>
      <c r="B522" s="979"/>
      <c r="C522" s="979"/>
      <c r="D522" s="979"/>
      <c r="E522" s="979"/>
    </row>
    <row r="523" spans="1:5" x14ac:dyDescent="0.25">
      <c r="A523" s="979"/>
      <c r="B523" s="979"/>
      <c r="C523" s="979"/>
      <c r="D523" s="979"/>
      <c r="E523" s="979"/>
    </row>
    <row r="524" spans="1:5" x14ac:dyDescent="0.25">
      <c r="A524" s="979"/>
      <c r="B524" s="979"/>
      <c r="C524" s="979"/>
      <c r="D524" s="979"/>
      <c r="E524" s="979"/>
    </row>
    <row r="525" spans="1:5" x14ac:dyDescent="0.25">
      <c r="A525" s="979"/>
      <c r="B525" s="979"/>
      <c r="C525" s="979"/>
      <c r="D525" s="979"/>
      <c r="E525" s="979"/>
    </row>
    <row r="526" spans="1:5" x14ac:dyDescent="0.25">
      <c r="A526" s="979"/>
      <c r="B526" s="979"/>
      <c r="C526" s="979"/>
      <c r="D526" s="979"/>
      <c r="E526" s="979"/>
    </row>
    <row r="527" spans="1:5" x14ac:dyDescent="0.25">
      <c r="A527" s="979"/>
      <c r="B527" s="979"/>
      <c r="C527" s="979"/>
      <c r="D527" s="979"/>
      <c r="E527" s="979"/>
    </row>
    <row r="528" spans="1:5" x14ac:dyDescent="0.25">
      <c r="A528" s="979"/>
      <c r="B528" s="979"/>
      <c r="C528" s="979"/>
      <c r="D528" s="979"/>
      <c r="E528" s="979"/>
    </row>
    <row r="529" spans="1:5" x14ac:dyDescent="0.25">
      <c r="A529" s="979"/>
      <c r="B529" s="979"/>
      <c r="C529" s="979"/>
      <c r="D529" s="979"/>
      <c r="E529" s="979"/>
    </row>
    <row r="530" spans="1:5" x14ac:dyDescent="0.25">
      <c r="A530" s="979"/>
      <c r="B530" s="979"/>
      <c r="C530" s="979"/>
      <c r="D530" s="979"/>
      <c r="E530" s="979"/>
    </row>
    <row r="531" spans="1:5" x14ac:dyDescent="0.25">
      <c r="A531" s="979"/>
      <c r="B531" s="979"/>
      <c r="C531" s="979"/>
      <c r="D531" s="979"/>
      <c r="E531" s="979"/>
    </row>
    <row r="532" spans="1:5" x14ac:dyDescent="0.25">
      <c r="A532" s="979"/>
      <c r="B532" s="979"/>
      <c r="C532" s="979"/>
      <c r="D532" s="979"/>
      <c r="E532" s="979"/>
    </row>
    <row r="533" spans="1:5" x14ac:dyDescent="0.25">
      <c r="A533" s="979"/>
      <c r="B533" s="979"/>
      <c r="C533" s="979"/>
      <c r="D533" s="979"/>
      <c r="E533" s="979"/>
    </row>
    <row r="534" spans="1:5" x14ac:dyDescent="0.25">
      <c r="A534" s="979"/>
      <c r="B534" s="979"/>
      <c r="C534" s="979"/>
      <c r="D534" s="979"/>
      <c r="E534" s="979"/>
    </row>
    <row r="535" spans="1:5" x14ac:dyDescent="0.25">
      <c r="A535" s="979"/>
      <c r="B535" s="979"/>
      <c r="C535" s="979"/>
      <c r="D535" s="979"/>
      <c r="E535" s="979"/>
    </row>
    <row r="536" spans="1:5" x14ac:dyDescent="0.25">
      <c r="A536" s="1148"/>
      <c r="B536" s="1148"/>
      <c r="C536" s="1148"/>
      <c r="D536" s="1148"/>
      <c r="E536" s="1148"/>
    </row>
    <row r="537" spans="1:5" x14ac:dyDescent="0.25">
      <c r="A537" s="1149" t="s">
        <v>1459</v>
      </c>
      <c r="B537" s="1149"/>
      <c r="C537" s="1149"/>
      <c r="D537" s="1149"/>
      <c r="E537" s="1149"/>
    </row>
    <row r="538" spans="1:5" x14ac:dyDescent="0.25">
      <c r="A538" s="1178" t="s">
        <v>1105</v>
      </c>
      <c r="B538" s="1179"/>
      <c r="C538" s="277" t="s">
        <v>1415</v>
      </c>
      <c r="D538" s="277" t="s">
        <v>998</v>
      </c>
      <c r="E538" s="276" t="s">
        <v>199</v>
      </c>
    </row>
    <row r="539" spans="1:5" x14ac:dyDescent="0.25">
      <c r="A539" s="1180" t="s">
        <v>1173</v>
      </c>
      <c r="B539" s="1181"/>
      <c r="C539" s="284" t="s">
        <v>822</v>
      </c>
      <c r="D539" s="282" t="s">
        <v>822</v>
      </c>
      <c r="E539" s="283">
        <v>0</v>
      </c>
    </row>
    <row r="540" spans="1:5" ht="30" x14ac:dyDescent="0.25">
      <c r="A540" s="1057" t="s">
        <v>1174</v>
      </c>
      <c r="B540" s="1182"/>
      <c r="C540" s="297" t="s">
        <v>1460</v>
      </c>
      <c r="D540" s="298" t="s">
        <v>1288</v>
      </c>
      <c r="E540" s="299">
        <v>58.91</v>
      </c>
    </row>
    <row r="541" spans="1:5" ht="30" x14ac:dyDescent="0.25">
      <c r="A541" s="1131" t="s">
        <v>1174</v>
      </c>
      <c r="B541" s="1184"/>
      <c r="C541" s="294" t="s">
        <v>1446</v>
      </c>
      <c r="D541" s="295" t="s">
        <v>1288</v>
      </c>
      <c r="E541" s="296">
        <v>38.65</v>
      </c>
    </row>
    <row r="542" spans="1:5" x14ac:dyDescent="0.25">
      <c r="A542" s="1183" t="s">
        <v>1176</v>
      </c>
      <c r="B542" s="1183"/>
      <c r="C542" s="285" t="s">
        <v>822</v>
      </c>
      <c r="D542" s="278" t="s">
        <v>822</v>
      </c>
      <c r="E542" s="293">
        <v>0</v>
      </c>
    </row>
    <row r="543" spans="1:5" ht="30" x14ac:dyDescent="0.25">
      <c r="A543" s="1135" t="s">
        <v>1178</v>
      </c>
      <c r="B543" s="1186"/>
      <c r="C543" s="301" t="s">
        <v>1460</v>
      </c>
      <c r="D543" s="302" t="s">
        <v>1288</v>
      </c>
      <c r="E543" s="303">
        <v>38.21</v>
      </c>
    </row>
    <row r="544" spans="1:5" ht="30" x14ac:dyDescent="0.25">
      <c r="A544" s="1131" t="s">
        <v>1178</v>
      </c>
      <c r="B544" s="1184"/>
      <c r="C544" s="294" t="s">
        <v>1446</v>
      </c>
      <c r="D544" s="295" t="s">
        <v>1288</v>
      </c>
      <c r="E544" s="296">
        <v>24.77</v>
      </c>
    </row>
    <row r="545" spans="1:6" x14ac:dyDescent="0.25">
      <c r="A545" s="1185" t="s">
        <v>1461</v>
      </c>
      <c r="B545" s="1185"/>
      <c r="C545" s="1185"/>
      <c r="D545" s="1185"/>
      <c r="E545" s="300">
        <f>SUM(E540+E543)</f>
        <v>97.12</v>
      </c>
    </row>
    <row r="546" spans="1:6" x14ac:dyDescent="0.25">
      <c r="A546" s="1159" t="s">
        <v>1457</v>
      </c>
      <c r="B546" s="1160"/>
      <c r="C546" s="1160"/>
      <c r="D546" s="1161"/>
      <c r="E546" s="251">
        <f>SUM(E541+E544)</f>
        <v>63.42</v>
      </c>
    </row>
    <row r="547" spans="1:6" x14ac:dyDescent="0.25">
      <c r="A547" s="995" t="s">
        <v>1270</v>
      </c>
      <c r="B547" s="996"/>
      <c r="C547" s="996"/>
      <c r="D547" s="997"/>
      <c r="E547" s="233">
        <f>SUM(E539:E544)</f>
        <v>160.54000000000002</v>
      </c>
      <c r="F547" s="290">
        <f>SUM(E545:E546)</f>
        <v>160.54000000000002</v>
      </c>
    </row>
    <row r="548" spans="1:6" x14ac:dyDescent="0.25">
      <c r="A548" s="1066" t="s">
        <v>1462</v>
      </c>
      <c r="B548" s="976"/>
      <c r="C548" s="976"/>
      <c r="D548" s="976"/>
      <c r="E548" s="977"/>
    </row>
    <row r="549" spans="1:6" x14ac:dyDescent="0.25">
      <c r="A549" s="978" t="s">
        <v>997</v>
      </c>
      <c r="B549" s="978"/>
      <c r="C549" s="978"/>
      <c r="D549" s="978"/>
      <c r="E549" s="978"/>
    </row>
    <row r="550" spans="1:6" x14ac:dyDescent="0.25">
      <c r="A550" s="979"/>
      <c r="B550" s="979"/>
      <c r="C550" s="979"/>
      <c r="D550" s="979"/>
      <c r="E550" s="979"/>
    </row>
    <row r="551" spans="1:6" x14ac:dyDescent="0.25">
      <c r="A551" s="979"/>
      <c r="B551" s="979"/>
      <c r="C551" s="979"/>
      <c r="D551" s="979"/>
      <c r="E551" s="979"/>
    </row>
    <row r="552" spans="1:6" x14ac:dyDescent="0.25">
      <c r="A552" s="979"/>
      <c r="B552" s="979"/>
      <c r="C552" s="979"/>
      <c r="D552" s="979"/>
      <c r="E552" s="979"/>
    </row>
    <row r="553" spans="1:6" x14ac:dyDescent="0.25">
      <c r="A553" s="979"/>
      <c r="B553" s="979"/>
      <c r="C553" s="979"/>
      <c r="D553" s="979"/>
      <c r="E553" s="979"/>
    </row>
    <row r="554" spans="1:6" x14ac:dyDescent="0.25">
      <c r="A554" s="979"/>
      <c r="B554" s="979"/>
      <c r="C554" s="979"/>
      <c r="D554" s="979"/>
      <c r="E554" s="979"/>
    </row>
    <row r="555" spans="1:6" x14ac:dyDescent="0.25">
      <c r="A555" s="979"/>
      <c r="B555" s="979"/>
      <c r="C555" s="979"/>
      <c r="D555" s="979"/>
      <c r="E555" s="979"/>
    </row>
    <row r="556" spans="1:6" x14ac:dyDescent="0.25">
      <c r="A556" s="979"/>
      <c r="B556" s="979"/>
      <c r="C556" s="979"/>
      <c r="D556" s="979"/>
      <c r="E556" s="979"/>
    </row>
    <row r="557" spans="1:6" x14ac:dyDescent="0.25">
      <c r="A557" s="979"/>
      <c r="B557" s="979"/>
      <c r="C557" s="979"/>
      <c r="D557" s="979"/>
      <c r="E557" s="979"/>
    </row>
    <row r="558" spans="1:6" x14ac:dyDescent="0.25">
      <c r="A558" s="979"/>
      <c r="B558" s="979"/>
      <c r="C558" s="979"/>
      <c r="D558" s="979"/>
      <c r="E558" s="979"/>
    </row>
    <row r="559" spans="1:6" x14ac:dyDescent="0.25">
      <c r="A559" s="979"/>
      <c r="B559" s="979"/>
      <c r="C559" s="979"/>
      <c r="D559" s="979"/>
      <c r="E559" s="979"/>
    </row>
    <row r="560" spans="1:6" x14ac:dyDescent="0.25">
      <c r="A560" s="979"/>
      <c r="B560" s="979"/>
      <c r="C560" s="979"/>
      <c r="D560" s="979"/>
      <c r="E560" s="979"/>
    </row>
    <row r="561" spans="1:5" x14ac:dyDescent="0.25">
      <c r="A561" s="979"/>
      <c r="B561" s="979"/>
      <c r="C561" s="979"/>
      <c r="D561" s="979"/>
      <c r="E561" s="979"/>
    </row>
    <row r="562" spans="1:5" x14ac:dyDescent="0.25">
      <c r="A562" s="979"/>
      <c r="B562" s="979"/>
      <c r="C562" s="979"/>
      <c r="D562" s="979"/>
      <c r="E562" s="979"/>
    </row>
    <row r="563" spans="1:5" x14ac:dyDescent="0.25">
      <c r="A563" s="979"/>
      <c r="B563" s="979"/>
      <c r="C563" s="979"/>
      <c r="D563" s="979"/>
      <c r="E563" s="979"/>
    </row>
    <row r="564" spans="1:5" x14ac:dyDescent="0.25">
      <c r="A564" s="979"/>
      <c r="B564" s="979"/>
      <c r="C564" s="979"/>
      <c r="D564" s="979"/>
      <c r="E564" s="979"/>
    </row>
    <row r="565" spans="1:5" x14ac:dyDescent="0.25">
      <c r="A565" s="979"/>
      <c r="B565" s="979"/>
      <c r="C565" s="979"/>
      <c r="D565" s="979"/>
      <c r="E565" s="979"/>
    </row>
    <row r="566" spans="1:5" x14ac:dyDescent="0.25">
      <c r="A566" s="979"/>
      <c r="B566" s="979"/>
      <c r="C566" s="979"/>
      <c r="D566" s="979"/>
      <c r="E566" s="979"/>
    </row>
    <row r="567" spans="1:5" x14ac:dyDescent="0.25">
      <c r="A567" s="979"/>
      <c r="B567" s="979"/>
      <c r="C567" s="979"/>
      <c r="D567" s="979"/>
      <c r="E567" s="979"/>
    </row>
    <row r="568" spans="1:5" x14ac:dyDescent="0.25">
      <c r="A568" s="979"/>
      <c r="B568" s="979"/>
      <c r="C568" s="979"/>
      <c r="D568" s="979"/>
      <c r="E568" s="979"/>
    </row>
    <row r="569" spans="1:5" x14ac:dyDescent="0.25">
      <c r="A569" s="979"/>
      <c r="B569" s="979"/>
      <c r="C569" s="979"/>
      <c r="D569" s="979"/>
      <c r="E569" s="979"/>
    </row>
    <row r="570" spans="1:5" x14ac:dyDescent="0.25">
      <c r="A570" s="979"/>
      <c r="B570" s="979"/>
      <c r="C570" s="979"/>
      <c r="D570" s="979"/>
      <c r="E570" s="979"/>
    </row>
    <row r="571" spans="1:5" x14ac:dyDescent="0.25">
      <c r="A571" s="1148"/>
      <c r="B571" s="1148"/>
      <c r="C571" s="1148"/>
      <c r="D571" s="1148"/>
      <c r="E571" s="1148"/>
    </row>
    <row r="572" spans="1:5" x14ac:dyDescent="0.25">
      <c r="A572" s="1149" t="s">
        <v>1462</v>
      </c>
      <c r="B572" s="1149"/>
      <c r="C572" s="1149"/>
      <c r="D572" s="1149"/>
      <c r="E572" s="1149"/>
    </row>
    <row r="573" spans="1:5" x14ac:dyDescent="0.25">
      <c r="A573" s="1150" t="s">
        <v>1105</v>
      </c>
      <c r="B573" s="1151"/>
      <c r="C573" s="1152" t="s">
        <v>998</v>
      </c>
      <c r="D573" s="1153"/>
      <c r="E573" s="276" t="s">
        <v>1293</v>
      </c>
    </row>
    <row r="574" spans="1:5" x14ac:dyDescent="0.25">
      <c r="A574" s="1139" t="s">
        <v>1173</v>
      </c>
      <c r="B574" s="1140"/>
      <c r="C574" s="1141" t="s">
        <v>822</v>
      </c>
      <c r="D574" s="1142"/>
      <c r="E574" s="283">
        <v>0</v>
      </c>
    </row>
    <row r="575" spans="1:5" x14ac:dyDescent="0.25">
      <c r="A575" s="1139" t="s">
        <v>1174</v>
      </c>
      <c r="B575" s="1140"/>
      <c r="C575" s="1141" t="s">
        <v>1288</v>
      </c>
      <c r="D575" s="1142"/>
      <c r="E575" s="275">
        <v>0.93</v>
      </c>
    </row>
    <row r="576" spans="1:5" x14ac:dyDescent="0.25">
      <c r="A576" s="1139" t="s">
        <v>1176</v>
      </c>
      <c r="B576" s="1140"/>
      <c r="C576" s="1141" t="s">
        <v>822</v>
      </c>
      <c r="D576" s="1142"/>
      <c r="E576" s="275">
        <v>0</v>
      </c>
    </row>
    <row r="577" spans="1:5" x14ac:dyDescent="0.25">
      <c r="A577" s="1139" t="s">
        <v>1178</v>
      </c>
      <c r="B577" s="1140"/>
      <c r="C577" s="1141" t="s">
        <v>1288</v>
      </c>
      <c r="D577" s="1142"/>
      <c r="E577" s="275">
        <v>0.63</v>
      </c>
    </row>
    <row r="578" spans="1:5" x14ac:dyDescent="0.25">
      <c r="A578" s="971" t="s">
        <v>1001</v>
      </c>
      <c r="B578" s="972"/>
      <c r="C578" s="1143"/>
      <c r="D578" s="1144"/>
      <c r="E578" s="238">
        <f>SUM(E573:E577)</f>
        <v>1.56</v>
      </c>
    </row>
    <row r="579" spans="1:5" x14ac:dyDescent="0.25">
      <c r="A579" s="1145" t="s">
        <v>1270</v>
      </c>
      <c r="B579" s="1146"/>
      <c r="C579" s="1146"/>
      <c r="D579" s="1147"/>
      <c r="E579" s="304">
        <f>E578</f>
        <v>1.56</v>
      </c>
    </row>
    <row r="580" spans="1:5" x14ac:dyDescent="0.25">
      <c r="A580" s="1066" t="s">
        <v>1463</v>
      </c>
      <c r="B580" s="976"/>
      <c r="C580" s="976"/>
      <c r="D580" s="976"/>
      <c r="E580" s="977"/>
    </row>
    <row r="581" spans="1:5" x14ac:dyDescent="0.25">
      <c r="A581" s="978" t="s">
        <v>997</v>
      </c>
      <c r="B581" s="978"/>
      <c r="C581" s="978"/>
      <c r="D581" s="978"/>
      <c r="E581" s="978"/>
    </row>
    <row r="582" spans="1:5" x14ac:dyDescent="0.25">
      <c r="A582" s="979"/>
      <c r="B582" s="979"/>
      <c r="C582" s="979"/>
      <c r="D582" s="979"/>
      <c r="E582" s="979"/>
    </row>
    <row r="583" spans="1:5" x14ac:dyDescent="0.25">
      <c r="A583" s="979"/>
      <c r="B583" s="979"/>
      <c r="C583" s="979"/>
      <c r="D583" s="979"/>
      <c r="E583" s="979"/>
    </row>
    <row r="584" spans="1:5" x14ac:dyDescent="0.25">
      <c r="A584" s="979"/>
      <c r="B584" s="979"/>
      <c r="C584" s="979"/>
      <c r="D584" s="979"/>
      <c r="E584" s="979"/>
    </row>
    <row r="585" spans="1:5" x14ac:dyDescent="0.25">
      <c r="A585" s="979"/>
      <c r="B585" s="979"/>
      <c r="C585" s="979"/>
      <c r="D585" s="979"/>
      <c r="E585" s="979"/>
    </row>
    <row r="586" spans="1:5" x14ac:dyDescent="0.25">
      <c r="A586" s="979"/>
      <c r="B586" s="979"/>
      <c r="C586" s="979"/>
      <c r="D586" s="979"/>
      <c r="E586" s="979"/>
    </row>
    <row r="587" spans="1:5" x14ac:dyDescent="0.25">
      <c r="A587" s="979"/>
      <c r="B587" s="979"/>
      <c r="C587" s="979"/>
      <c r="D587" s="979"/>
      <c r="E587" s="979"/>
    </row>
    <row r="588" spans="1:5" x14ac:dyDescent="0.25">
      <c r="A588" s="979"/>
      <c r="B588" s="979"/>
      <c r="C588" s="979"/>
      <c r="D588" s="979"/>
      <c r="E588" s="979"/>
    </row>
    <row r="589" spans="1:5" x14ac:dyDescent="0.25">
      <c r="A589" s="979"/>
      <c r="B589" s="979"/>
      <c r="C589" s="979"/>
      <c r="D589" s="979"/>
      <c r="E589" s="979"/>
    </row>
    <row r="590" spans="1:5" x14ac:dyDescent="0.25">
      <c r="A590" s="979"/>
      <c r="B590" s="979"/>
      <c r="C590" s="979"/>
      <c r="D590" s="979"/>
      <c r="E590" s="979"/>
    </row>
    <row r="591" spans="1:5" x14ac:dyDescent="0.25">
      <c r="A591" s="979"/>
      <c r="B591" s="979"/>
      <c r="C591" s="979"/>
      <c r="D591" s="979"/>
      <c r="E591" s="979"/>
    </row>
    <row r="592" spans="1:5" x14ac:dyDescent="0.25">
      <c r="A592" s="979"/>
      <c r="B592" s="979"/>
      <c r="C592" s="979"/>
      <c r="D592" s="979"/>
      <c r="E592" s="979"/>
    </row>
    <row r="593" spans="1:5" x14ac:dyDescent="0.25">
      <c r="A593" s="979"/>
      <c r="B593" s="979"/>
      <c r="C593" s="979"/>
      <c r="D593" s="979"/>
      <c r="E593" s="979"/>
    </row>
    <row r="594" spans="1:5" x14ac:dyDescent="0.25">
      <c r="A594" s="979"/>
      <c r="B594" s="979"/>
      <c r="C594" s="979"/>
      <c r="D594" s="979"/>
      <c r="E594" s="979"/>
    </row>
    <row r="595" spans="1:5" x14ac:dyDescent="0.25">
      <c r="A595" s="979"/>
      <c r="B595" s="979"/>
      <c r="C595" s="979"/>
      <c r="D595" s="979"/>
      <c r="E595" s="979"/>
    </row>
    <row r="596" spans="1:5" x14ac:dyDescent="0.25">
      <c r="A596" s="979"/>
      <c r="B596" s="979"/>
      <c r="C596" s="979"/>
      <c r="D596" s="979"/>
      <c r="E596" s="979"/>
    </row>
    <row r="597" spans="1:5" x14ac:dyDescent="0.25">
      <c r="A597" s="979"/>
      <c r="B597" s="979"/>
      <c r="C597" s="979"/>
      <c r="D597" s="979"/>
      <c r="E597" s="979"/>
    </row>
    <row r="598" spans="1:5" x14ac:dyDescent="0.25">
      <c r="A598" s="979"/>
      <c r="B598" s="979"/>
      <c r="C598" s="979"/>
      <c r="D598" s="979"/>
      <c r="E598" s="979"/>
    </row>
    <row r="599" spans="1:5" x14ac:dyDescent="0.25">
      <c r="A599" s="979"/>
      <c r="B599" s="979"/>
      <c r="C599" s="979"/>
      <c r="D599" s="979"/>
      <c r="E599" s="979"/>
    </row>
    <row r="600" spans="1:5" x14ac:dyDescent="0.25">
      <c r="A600" s="979"/>
      <c r="B600" s="979"/>
      <c r="C600" s="979"/>
      <c r="D600" s="979"/>
      <c r="E600" s="979"/>
    </row>
    <row r="601" spans="1:5" x14ac:dyDescent="0.25">
      <c r="A601" s="979"/>
      <c r="B601" s="979"/>
      <c r="C601" s="979"/>
      <c r="D601" s="979"/>
      <c r="E601" s="979"/>
    </row>
    <row r="602" spans="1:5" x14ac:dyDescent="0.25">
      <c r="A602" s="979"/>
      <c r="B602" s="979"/>
      <c r="C602" s="979"/>
      <c r="D602" s="979"/>
      <c r="E602" s="979"/>
    </row>
    <row r="603" spans="1:5" x14ac:dyDescent="0.25">
      <c r="A603" s="1148"/>
      <c r="B603" s="1148"/>
      <c r="C603" s="1148"/>
      <c r="D603" s="1148"/>
      <c r="E603" s="1148"/>
    </row>
    <row r="604" spans="1:5" x14ac:dyDescent="0.25">
      <c r="A604" s="1149" t="s">
        <v>1463</v>
      </c>
      <c r="B604" s="1149"/>
      <c r="C604" s="1149"/>
      <c r="D604" s="1149"/>
      <c r="E604" s="1149"/>
    </row>
    <row r="605" spans="1:5" x14ac:dyDescent="0.25">
      <c r="A605" s="1150" t="s">
        <v>1105</v>
      </c>
      <c r="B605" s="1151"/>
      <c r="C605" s="1152" t="s">
        <v>998</v>
      </c>
      <c r="D605" s="1153"/>
      <c r="E605" s="276" t="s">
        <v>1464</v>
      </c>
    </row>
    <row r="606" spans="1:5" x14ac:dyDescent="0.25">
      <c r="A606" s="1139" t="s">
        <v>1173</v>
      </c>
      <c r="B606" s="1140"/>
      <c r="C606" s="1141" t="s">
        <v>822</v>
      </c>
      <c r="D606" s="1142"/>
      <c r="E606" s="283">
        <v>0</v>
      </c>
    </row>
    <row r="607" spans="1:5" x14ac:dyDescent="0.25">
      <c r="A607" s="1139" t="s">
        <v>1174</v>
      </c>
      <c r="B607" s="1140"/>
      <c r="C607" s="1141" t="s">
        <v>1288</v>
      </c>
      <c r="D607" s="1142"/>
      <c r="E607" s="275">
        <v>11.59</v>
      </c>
    </row>
    <row r="608" spans="1:5" x14ac:dyDescent="0.25">
      <c r="A608" s="1139" t="s">
        <v>1176</v>
      </c>
      <c r="B608" s="1140"/>
      <c r="C608" s="1141" t="s">
        <v>822</v>
      </c>
      <c r="D608" s="1142"/>
      <c r="E608" s="275">
        <v>0</v>
      </c>
    </row>
    <row r="609" spans="1:5" x14ac:dyDescent="0.25">
      <c r="A609" s="1139" t="s">
        <v>1178</v>
      </c>
      <c r="B609" s="1140"/>
      <c r="C609" s="1141" t="s">
        <v>1288</v>
      </c>
      <c r="D609" s="1142"/>
      <c r="E609" s="275">
        <v>7.9</v>
      </c>
    </row>
    <row r="610" spans="1:5" x14ac:dyDescent="0.25">
      <c r="A610" s="971" t="s">
        <v>1001</v>
      </c>
      <c r="B610" s="972"/>
      <c r="C610" s="1143"/>
      <c r="D610" s="1144"/>
      <c r="E610" s="238">
        <f>SUM(E605:E609)</f>
        <v>19.490000000000002</v>
      </c>
    </row>
    <row r="611" spans="1:5" x14ac:dyDescent="0.25">
      <c r="A611" s="1145" t="s">
        <v>1270</v>
      </c>
      <c r="B611" s="1146"/>
      <c r="C611" s="1146"/>
      <c r="D611" s="1147"/>
      <c r="E611" s="304">
        <f>E610</f>
        <v>19.490000000000002</v>
      </c>
    </row>
    <row r="612" spans="1:5" x14ac:dyDescent="0.25">
      <c r="A612" s="1066" t="s">
        <v>1465</v>
      </c>
      <c r="B612" s="976"/>
      <c r="C612" s="976"/>
      <c r="D612" s="976"/>
      <c r="E612" s="977"/>
    </row>
    <row r="613" spans="1:5" x14ac:dyDescent="0.25">
      <c r="A613" s="978" t="s">
        <v>997</v>
      </c>
      <c r="B613" s="978"/>
      <c r="C613" s="978"/>
      <c r="D613" s="978"/>
      <c r="E613" s="978"/>
    </row>
    <row r="614" spans="1:5" x14ac:dyDescent="0.25">
      <c r="A614" s="979"/>
      <c r="B614" s="979"/>
      <c r="C614" s="979"/>
      <c r="D614" s="979"/>
      <c r="E614" s="979"/>
    </row>
    <row r="615" spans="1:5" x14ac:dyDescent="0.25">
      <c r="A615" s="979"/>
      <c r="B615" s="979"/>
      <c r="C615" s="979"/>
      <c r="D615" s="979"/>
      <c r="E615" s="979"/>
    </row>
    <row r="616" spans="1:5" x14ac:dyDescent="0.25">
      <c r="A616" s="979"/>
      <c r="B616" s="979"/>
      <c r="C616" s="979"/>
      <c r="D616" s="979"/>
      <c r="E616" s="979"/>
    </row>
    <row r="617" spans="1:5" x14ac:dyDescent="0.25">
      <c r="A617" s="979"/>
      <c r="B617" s="979"/>
      <c r="C617" s="979"/>
      <c r="D617" s="979"/>
      <c r="E617" s="979"/>
    </row>
    <row r="618" spans="1:5" x14ac:dyDescent="0.25">
      <c r="A618" s="979"/>
      <c r="B618" s="979"/>
      <c r="C618" s="979"/>
      <c r="D618" s="979"/>
      <c r="E618" s="979"/>
    </row>
    <row r="619" spans="1:5" x14ac:dyDescent="0.25">
      <c r="A619" s="979"/>
      <c r="B619" s="979"/>
      <c r="C619" s="979"/>
      <c r="D619" s="979"/>
      <c r="E619" s="979"/>
    </row>
    <row r="620" spans="1:5" x14ac:dyDescent="0.25">
      <c r="A620" s="979"/>
      <c r="B620" s="979"/>
      <c r="C620" s="979"/>
      <c r="D620" s="979"/>
      <c r="E620" s="979"/>
    </row>
    <row r="621" spans="1:5" x14ac:dyDescent="0.25">
      <c r="A621" s="979"/>
      <c r="B621" s="979"/>
      <c r="C621" s="979"/>
      <c r="D621" s="979"/>
      <c r="E621" s="979"/>
    </row>
    <row r="622" spans="1:5" x14ac:dyDescent="0.25">
      <c r="A622" s="979"/>
      <c r="B622" s="979"/>
      <c r="C622" s="979"/>
      <c r="D622" s="979"/>
      <c r="E622" s="979"/>
    </row>
    <row r="623" spans="1:5" x14ac:dyDescent="0.25">
      <c r="A623" s="979"/>
      <c r="B623" s="979"/>
      <c r="C623" s="979"/>
      <c r="D623" s="979"/>
      <c r="E623" s="979"/>
    </row>
    <row r="624" spans="1:5" x14ac:dyDescent="0.25">
      <c r="A624" s="979"/>
      <c r="B624" s="979"/>
      <c r="C624" s="979"/>
      <c r="D624" s="979"/>
      <c r="E624" s="979"/>
    </row>
    <row r="625" spans="1:5" x14ac:dyDescent="0.25">
      <c r="A625" s="979"/>
      <c r="B625" s="979"/>
      <c r="C625" s="979"/>
      <c r="D625" s="979"/>
      <c r="E625" s="979"/>
    </row>
    <row r="626" spans="1:5" x14ac:dyDescent="0.25">
      <c r="A626" s="979"/>
      <c r="B626" s="979"/>
      <c r="C626" s="979"/>
      <c r="D626" s="979"/>
      <c r="E626" s="979"/>
    </row>
    <row r="627" spans="1:5" x14ac:dyDescent="0.25">
      <c r="A627" s="979"/>
      <c r="B627" s="979"/>
      <c r="C627" s="979"/>
      <c r="D627" s="979"/>
      <c r="E627" s="979"/>
    </row>
    <row r="628" spans="1:5" x14ac:dyDescent="0.25">
      <c r="A628" s="979"/>
      <c r="B628" s="979"/>
      <c r="C628" s="979"/>
      <c r="D628" s="979"/>
      <c r="E628" s="979"/>
    </row>
    <row r="629" spans="1:5" x14ac:dyDescent="0.25">
      <c r="A629" s="979"/>
      <c r="B629" s="979"/>
      <c r="C629" s="979"/>
      <c r="D629" s="979"/>
      <c r="E629" s="979"/>
    </row>
    <row r="630" spans="1:5" x14ac:dyDescent="0.25">
      <c r="A630" s="979"/>
      <c r="B630" s="979"/>
      <c r="C630" s="979"/>
      <c r="D630" s="979"/>
      <c r="E630" s="979"/>
    </row>
    <row r="631" spans="1:5" x14ac:dyDescent="0.25">
      <c r="A631" s="979"/>
      <c r="B631" s="979"/>
      <c r="C631" s="979"/>
      <c r="D631" s="979"/>
      <c r="E631" s="979"/>
    </row>
    <row r="632" spans="1:5" x14ac:dyDescent="0.25">
      <c r="A632" s="979"/>
      <c r="B632" s="979"/>
      <c r="C632" s="979"/>
      <c r="D632" s="979"/>
      <c r="E632" s="979"/>
    </row>
    <row r="633" spans="1:5" x14ac:dyDescent="0.25">
      <c r="A633" s="979"/>
      <c r="B633" s="979"/>
      <c r="C633" s="979"/>
      <c r="D633" s="979"/>
      <c r="E633" s="979"/>
    </row>
    <row r="634" spans="1:5" x14ac:dyDescent="0.25">
      <c r="A634" s="979"/>
      <c r="B634" s="979"/>
      <c r="C634" s="979"/>
      <c r="D634" s="979"/>
      <c r="E634" s="979"/>
    </row>
    <row r="635" spans="1:5" x14ac:dyDescent="0.25">
      <c r="A635" s="1148"/>
      <c r="B635" s="1148"/>
      <c r="C635" s="1148"/>
      <c r="D635" s="1148"/>
      <c r="E635" s="1148"/>
    </row>
    <row r="636" spans="1:5" x14ac:dyDescent="0.25">
      <c r="A636" s="1149" t="s">
        <v>1465</v>
      </c>
      <c r="B636" s="1149"/>
      <c r="C636" s="1149"/>
      <c r="D636" s="1149"/>
      <c r="E636" s="1149"/>
    </row>
    <row r="637" spans="1:5" x14ac:dyDescent="0.25">
      <c r="A637" s="1150" t="s">
        <v>1105</v>
      </c>
      <c r="B637" s="1151"/>
      <c r="C637" s="1152" t="s">
        <v>998</v>
      </c>
      <c r="D637" s="1153"/>
      <c r="E637" s="276" t="s">
        <v>1293</v>
      </c>
    </row>
    <row r="638" spans="1:5" x14ac:dyDescent="0.25">
      <c r="A638" s="1139" t="s">
        <v>1173</v>
      </c>
      <c r="B638" s="1140"/>
      <c r="C638" s="1141" t="s">
        <v>822</v>
      </c>
      <c r="D638" s="1142"/>
      <c r="E638" s="283">
        <v>0</v>
      </c>
    </row>
    <row r="639" spans="1:5" x14ac:dyDescent="0.25">
      <c r="A639" s="1139" t="s">
        <v>1174</v>
      </c>
      <c r="B639" s="1140"/>
      <c r="C639" s="1154" t="s">
        <v>822</v>
      </c>
      <c r="D639" s="1142"/>
      <c r="E639" s="275">
        <v>0</v>
      </c>
    </row>
    <row r="640" spans="1:5" x14ac:dyDescent="0.25">
      <c r="A640" s="1139" t="s">
        <v>1176</v>
      </c>
      <c r="B640" s="1140"/>
      <c r="C640" s="1141" t="s">
        <v>1466</v>
      </c>
      <c r="D640" s="1142"/>
      <c r="E640" s="275">
        <f>(3.1*0.5*0.65)+(3.1*0.75*0.75)</f>
        <v>2.7512500000000002</v>
      </c>
    </row>
    <row r="641" spans="1:5" x14ac:dyDescent="0.25">
      <c r="A641" s="1139" t="s">
        <v>1178</v>
      </c>
      <c r="B641" s="1140"/>
      <c r="C641" s="1141" t="s">
        <v>822</v>
      </c>
      <c r="D641" s="1142"/>
      <c r="E641" s="275">
        <v>0</v>
      </c>
    </row>
    <row r="642" spans="1:5" x14ac:dyDescent="0.25">
      <c r="A642" s="971" t="s">
        <v>1001</v>
      </c>
      <c r="B642" s="972"/>
      <c r="C642" s="1143"/>
      <c r="D642" s="1144"/>
      <c r="E642" s="238">
        <f>SUM(E637:E641)</f>
        <v>2.7512500000000002</v>
      </c>
    </row>
    <row r="643" spans="1:5" x14ac:dyDescent="0.25">
      <c r="A643" s="1145" t="s">
        <v>1270</v>
      </c>
      <c r="B643" s="1146"/>
      <c r="C643" s="1146"/>
      <c r="D643" s="1147"/>
      <c r="E643" s="304">
        <f>E642</f>
        <v>2.7512500000000002</v>
      </c>
    </row>
    <row r="644" spans="1:5" x14ac:dyDescent="0.25">
      <c r="A644" s="1014"/>
      <c r="B644" s="1014"/>
      <c r="C644" s="1014"/>
      <c r="D644" s="1014"/>
      <c r="E644" s="1014"/>
    </row>
    <row r="645" spans="1:5" x14ac:dyDescent="0.25">
      <c r="A645" s="1014"/>
      <c r="B645" s="1014"/>
      <c r="C645" s="1014"/>
      <c r="D645" s="1014"/>
      <c r="E645" s="1014"/>
    </row>
    <row r="646" spans="1:5" x14ac:dyDescent="0.25">
      <c r="A646" s="1014"/>
      <c r="B646" s="1014"/>
      <c r="C646" s="1014"/>
      <c r="D646" s="1014"/>
      <c r="E646" s="1014"/>
    </row>
    <row r="647" spans="1:5" x14ac:dyDescent="0.25">
      <c r="A647" s="1014"/>
      <c r="B647" s="1014"/>
      <c r="C647" s="1014"/>
      <c r="D647" s="1014"/>
      <c r="E647" s="1014"/>
    </row>
    <row r="648" spans="1:5" x14ac:dyDescent="0.25">
      <c r="A648" s="1014"/>
      <c r="B648" s="1014"/>
      <c r="C648" s="1014"/>
      <c r="D648" s="1014"/>
      <c r="E648" s="1014"/>
    </row>
    <row r="649" spans="1:5" x14ac:dyDescent="0.25">
      <c r="A649" s="1014"/>
      <c r="B649" s="1014"/>
      <c r="C649" s="1014"/>
      <c r="D649" s="1014"/>
      <c r="E649" s="1014"/>
    </row>
    <row r="650" spans="1:5" x14ac:dyDescent="0.25">
      <c r="A650" s="1014"/>
      <c r="B650" s="1014"/>
      <c r="C650" s="1014"/>
      <c r="D650" s="1014"/>
      <c r="E650" s="1014"/>
    </row>
    <row r="651" spans="1:5" x14ac:dyDescent="0.25">
      <c r="A651" s="1014"/>
      <c r="B651" s="1014"/>
      <c r="C651" s="1014"/>
      <c r="D651" s="1014"/>
      <c r="E651" s="1014"/>
    </row>
    <row r="652" spans="1:5" x14ac:dyDescent="0.25">
      <c r="A652" s="1014"/>
      <c r="B652" s="1014"/>
      <c r="C652" s="1014"/>
      <c r="D652" s="1014"/>
      <c r="E652" s="1014"/>
    </row>
    <row r="653" spans="1:5" x14ac:dyDescent="0.25">
      <c r="A653" s="1014"/>
      <c r="B653" s="1014"/>
      <c r="C653" s="1014"/>
      <c r="D653" s="1014"/>
      <c r="E653" s="1014"/>
    </row>
    <row r="654" spans="1:5" x14ac:dyDescent="0.25">
      <c r="A654" s="1014"/>
      <c r="B654" s="1014"/>
      <c r="C654" s="1014"/>
      <c r="D654" s="1014"/>
      <c r="E654" s="1014"/>
    </row>
  </sheetData>
  <mergeCells count="255">
    <mergeCell ref="A39:D39"/>
    <mergeCell ref="A577:B577"/>
    <mergeCell ref="C577:D577"/>
    <mergeCell ref="A578:D578"/>
    <mergeCell ref="A579:D579"/>
    <mergeCell ref="A574:B574"/>
    <mergeCell ref="C574:D574"/>
    <mergeCell ref="A575:B575"/>
    <mergeCell ref="C575:D575"/>
    <mergeCell ref="A576:B576"/>
    <mergeCell ref="C576:D576"/>
    <mergeCell ref="A549:E549"/>
    <mergeCell ref="A550:E571"/>
    <mergeCell ref="A572:E572"/>
    <mergeCell ref="A573:B573"/>
    <mergeCell ref="C573:D573"/>
    <mergeCell ref="A546:D546"/>
    <mergeCell ref="A547:D547"/>
    <mergeCell ref="A541:B541"/>
    <mergeCell ref="A542:B542"/>
    <mergeCell ref="A548:E548"/>
    <mergeCell ref="A540:B540"/>
    <mergeCell ref="A543:B543"/>
    <mergeCell ref="A544:B544"/>
    <mergeCell ref="A545:D545"/>
    <mergeCell ref="A514:E514"/>
    <mergeCell ref="A515:E536"/>
    <mergeCell ref="A537:E537"/>
    <mergeCell ref="A538:B538"/>
    <mergeCell ref="A539:B539"/>
    <mergeCell ref="A510:B510"/>
    <mergeCell ref="C510:D510"/>
    <mergeCell ref="A511:D511"/>
    <mergeCell ref="A512:D512"/>
    <mergeCell ref="A513:E513"/>
    <mergeCell ref="A507:B507"/>
    <mergeCell ref="C507:D507"/>
    <mergeCell ref="A508:B508"/>
    <mergeCell ref="C508:D508"/>
    <mergeCell ref="A509:B509"/>
    <mergeCell ref="C509:D509"/>
    <mergeCell ref="A481:E481"/>
    <mergeCell ref="A482:E482"/>
    <mergeCell ref="A483:E504"/>
    <mergeCell ref="A505:E505"/>
    <mergeCell ref="A506:B506"/>
    <mergeCell ref="C506:D506"/>
    <mergeCell ref="A479:D479"/>
    <mergeCell ref="A480:D480"/>
    <mergeCell ref="A474:B474"/>
    <mergeCell ref="A477:B477"/>
    <mergeCell ref="A478:D478"/>
    <mergeCell ref="A473:B473"/>
    <mergeCell ref="A475:B475"/>
    <mergeCell ref="A476:B476"/>
    <mergeCell ref="A447:E447"/>
    <mergeCell ref="A448:E448"/>
    <mergeCell ref="A449:E470"/>
    <mergeCell ref="A471:E471"/>
    <mergeCell ref="A472:B472"/>
    <mergeCell ref="A445:D445"/>
    <mergeCell ref="A446:D446"/>
    <mergeCell ref="A440:B440"/>
    <mergeCell ref="A441:B441"/>
    <mergeCell ref="A442:B442"/>
    <mergeCell ref="A443:B443"/>
    <mergeCell ref="A444:B444"/>
    <mergeCell ref="C441:D441"/>
    <mergeCell ref="C442:D442"/>
    <mergeCell ref="C443:D443"/>
    <mergeCell ref="C444:D444"/>
    <mergeCell ref="A415:E415"/>
    <mergeCell ref="A416:E416"/>
    <mergeCell ref="A417:E438"/>
    <mergeCell ref="A439:E439"/>
    <mergeCell ref="C440:D440"/>
    <mergeCell ref="A413:D413"/>
    <mergeCell ref="A414:D414"/>
    <mergeCell ref="A408:B408"/>
    <mergeCell ref="A409:B409"/>
    <mergeCell ref="A410:B410"/>
    <mergeCell ref="A411:B411"/>
    <mergeCell ref="A412:B412"/>
    <mergeCell ref="C409:D409"/>
    <mergeCell ref="C410:D410"/>
    <mergeCell ref="C411:D411"/>
    <mergeCell ref="C412:D412"/>
    <mergeCell ref="A383:E383"/>
    <mergeCell ref="A384:E384"/>
    <mergeCell ref="A385:E406"/>
    <mergeCell ref="A407:E407"/>
    <mergeCell ref="C408:D408"/>
    <mergeCell ref="A372:E372"/>
    <mergeCell ref="A380:D380"/>
    <mergeCell ref="A381:D381"/>
    <mergeCell ref="A382:D382"/>
    <mergeCell ref="A373:B373"/>
    <mergeCell ref="A374:B374"/>
    <mergeCell ref="A375:B375"/>
    <mergeCell ref="A376:B376"/>
    <mergeCell ref="A379:B379"/>
    <mergeCell ref="A377:B377"/>
    <mergeCell ref="A378:B378"/>
    <mergeCell ref="A346:D346"/>
    <mergeCell ref="A347:D347"/>
    <mergeCell ref="A348:E348"/>
    <mergeCell ref="A349:E349"/>
    <mergeCell ref="A350:E371"/>
    <mergeCell ref="C341:D341"/>
    <mergeCell ref="C342:D342"/>
    <mergeCell ref="C343:D343"/>
    <mergeCell ref="C344:D344"/>
    <mergeCell ref="C345:D345"/>
    <mergeCell ref="A315:E315"/>
    <mergeCell ref="A316:E316"/>
    <mergeCell ref="A317:E338"/>
    <mergeCell ref="A339:E339"/>
    <mergeCell ref="C340:D340"/>
    <mergeCell ref="A312:D312"/>
    <mergeCell ref="A314:D314"/>
    <mergeCell ref="C266:D266"/>
    <mergeCell ref="C267:D267"/>
    <mergeCell ref="C270:D270"/>
    <mergeCell ref="A313:D313"/>
    <mergeCell ref="A298:E298"/>
    <mergeCell ref="C268:D268"/>
    <mergeCell ref="C269:D269"/>
    <mergeCell ref="A274:E274"/>
    <mergeCell ref="A275:E275"/>
    <mergeCell ref="A276:E297"/>
    <mergeCell ref="C271:D271"/>
    <mergeCell ref="A272:D272"/>
    <mergeCell ref="A273:D273"/>
    <mergeCell ref="A243:E264"/>
    <mergeCell ref="A265:E265"/>
    <mergeCell ref="C75:D75"/>
    <mergeCell ref="A77:D77"/>
    <mergeCell ref="A81:D81"/>
    <mergeCell ref="A241:E241"/>
    <mergeCell ref="A242:E242"/>
    <mergeCell ref="C142:D142"/>
    <mergeCell ref="C235:D235"/>
    <mergeCell ref="A149:E182"/>
    <mergeCell ref="A83:E83"/>
    <mergeCell ref="A84:E105"/>
    <mergeCell ref="A106:E106"/>
    <mergeCell ref="C107:D107"/>
    <mergeCell ref="C108:D108"/>
    <mergeCell ref="A107:B107"/>
    <mergeCell ref="A108:B108"/>
    <mergeCell ref="C110:D110"/>
    <mergeCell ref="C111:D111"/>
    <mergeCell ref="A112:D112"/>
    <mergeCell ref="A113:D113"/>
    <mergeCell ref="A109:B109"/>
    <mergeCell ref="A110:B110"/>
    <mergeCell ref="A111:B111"/>
    <mergeCell ref="A183:E183"/>
    <mergeCell ref="A42:E42"/>
    <mergeCell ref="A43:E43"/>
    <mergeCell ref="C109:D109"/>
    <mergeCell ref="A40:D40"/>
    <mergeCell ref="A41:D41"/>
    <mergeCell ref="A82:E82"/>
    <mergeCell ref="A79:D79"/>
    <mergeCell ref="A78:D78"/>
    <mergeCell ref="A44:E65"/>
    <mergeCell ref="A66:E66"/>
    <mergeCell ref="C67:D67"/>
    <mergeCell ref="C68:D68"/>
    <mergeCell ref="C70:D70"/>
    <mergeCell ref="C69:D69"/>
    <mergeCell ref="C71:D71"/>
    <mergeCell ref="C73:D73"/>
    <mergeCell ref="C74:D74"/>
    <mergeCell ref="A80:D80"/>
    <mergeCell ref="C72:D72"/>
    <mergeCell ref="A1:E2"/>
    <mergeCell ref="A3:C3"/>
    <mergeCell ref="D3:D8"/>
    <mergeCell ref="A4:C8"/>
    <mergeCell ref="E4:E5"/>
    <mergeCell ref="E7:E8"/>
    <mergeCell ref="A9:E9"/>
    <mergeCell ref="A10:E10"/>
    <mergeCell ref="A11:E32"/>
    <mergeCell ref="A33:E33"/>
    <mergeCell ref="A206:D206"/>
    <mergeCell ref="A204:D204"/>
    <mergeCell ref="A76:E76"/>
    <mergeCell ref="A203:E203"/>
    <mergeCell ref="A114:E114"/>
    <mergeCell ref="A115:E115"/>
    <mergeCell ref="A116:E137"/>
    <mergeCell ref="A138:E138"/>
    <mergeCell ref="C140:D140"/>
    <mergeCell ref="A145:D145"/>
    <mergeCell ref="A146:D146"/>
    <mergeCell ref="C143:D143"/>
    <mergeCell ref="C144:D144"/>
    <mergeCell ref="C139:D139"/>
    <mergeCell ref="C141:D141"/>
    <mergeCell ref="C34:D34"/>
    <mergeCell ref="C35:D35"/>
    <mergeCell ref="C36:D36"/>
    <mergeCell ref="C37:D37"/>
    <mergeCell ref="C38:D38"/>
    <mergeCell ref="A205:D205"/>
    <mergeCell ref="A147:E147"/>
    <mergeCell ref="A148:E148"/>
    <mergeCell ref="A207:E207"/>
    <mergeCell ref="A208:E208"/>
    <mergeCell ref="A209:E230"/>
    <mergeCell ref="A231:E231"/>
    <mergeCell ref="C232:D232"/>
    <mergeCell ref="A240:D240"/>
    <mergeCell ref="C237:D237"/>
    <mergeCell ref="C233:D233"/>
    <mergeCell ref="C234:D234"/>
    <mergeCell ref="C236:D236"/>
    <mergeCell ref="C238:D238"/>
    <mergeCell ref="A239:D239"/>
    <mergeCell ref="A613:E613"/>
    <mergeCell ref="A614:E635"/>
    <mergeCell ref="A636:E636"/>
    <mergeCell ref="A637:B637"/>
    <mergeCell ref="C637:D637"/>
    <mergeCell ref="A638:B638"/>
    <mergeCell ref="C638:D638"/>
    <mergeCell ref="A639:B639"/>
    <mergeCell ref="C639:D639"/>
    <mergeCell ref="A640:B640"/>
    <mergeCell ref="C640:D640"/>
    <mergeCell ref="A641:B641"/>
    <mergeCell ref="C641:D641"/>
    <mergeCell ref="A642:D642"/>
    <mergeCell ref="A643:D643"/>
    <mergeCell ref="A644:E654"/>
    <mergeCell ref="A580:E580"/>
    <mergeCell ref="A581:E581"/>
    <mergeCell ref="A582:E603"/>
    <mergeCell ref="A604:E604"/>
    <mergeCell ref="A605:B605"/>
    <mergeCell ref="C605:D605"/>
    <mergeCell ref="A606:B606"/>
    <mergeCell ref="C606:D606"/>
    <mergeCell ref="A607:B607"/>
    <mergeCell ref="C607:D607"/>
    <mergeCell ref="A608:B608"/>
    <mergeCell ref="C608:D608"/>
    <mergeCell ref="A609:B609"/>
    <mergeCell ref="C609:D609"/>
    <mergeCell ref="A610:D610"/>
    <mergeCell ref="A611:D611"/>
    <mergeCell ref="A612:E612"/>
  </mergeCells>
  <pageMargins left="0.7" right="0.7" top="0.75" bottom="0.75" header="0.3" footer="0.3"/>
  <pageSetup paperSize="9" scale="69" fitToWidth="0" fitToHeight="0" orientation="portrait" horizontalDpi="4294967293"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8BD16-7371-4FF5-8581-1D103CF33A68}">
  <sheetPr>
    <tabColor theme="1" tint="0.34998626667073579"/>
    <pageSetUpPr fitToPage="1"/>
  </sheetPr>
  <dimension ref="A1:G357"/>
  <sheetViews>
    <sheetView view="pageBreakPreview" topLeftCell="A103" zoomScaleNormal="90" zoomScaleSheetLayoutView="100" workbookViewId="0">
      <selection activeCell="E272" sqref="E272"/>
    </sheetView>
  </sheetViews>
  <sheetFormatPr defaultRowHeight="15" x14ac:dyDescent="0.25"/>
  <cols>
    <col min="1" max="1" width="31.42578125" customWidth="1"/>
    <col min="2" max="2" width="18" customWidth="1"/>
    <col min="3" max="3" width="18.710937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1467</v>
      </c>
      <c r="B3" s="987"/>
      <c r="C3" s="988"/>
      <c r="D3" s="989"/>
      <c r="E3" s="228" t="s">
        <v>993</v>
      </c>
    </row>
    <row r="4" spans="1:5" ht="15" customHeight="1" x14ac:dyDescent="0.25">
      <c r="A4" s="992" t="s">
        <v>1468</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1469</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79"/>
      <c r="B27" s="979"/>
      <c r="C27" s="979"/>
      <c r="D27" s="979"/>
      <c r="E27" s="979"/>
    </row>
    <row r="28" spans="1:5" x14ac:dyDescent="0.25">
      <c r="A28" s="979"/>
      <c r="B28" s="979"/>
      <c r="C28" s="979"/>
      <c r="D28" s="979"/>
      <c r="E28" s="979"/>
    </row>
    <row r="29" spans="1:5" x14ac:dyDescent="0.25">
      <c r="A29" s="979"/>
      <c r="B29" s="979"/>
      <c r="C29" s="979"/>
      <c r="D29" s="979"/>
      <c r="E29" s="979"/>
    </row>
    <row r="30" spans="1:5" x14ac:dyDescent="0.25">
      <c r="A30" s="979"/>
      <c r="B30" s="979"/>
      <c r="C30" s="979"/>
      <c r="D30" s="979"/>
      <c r="E30" s="979"/>
    </row>
    <row r="31" spans="1:5" x14ac:dyDescent="0.25">
      <c r="A31" s="979"/>
      <c r="B31" s="979"/>
      <c r="C31" s="979"/>
      <c r="D31" s="979"/>
      <c r="E31" s="979"/>
    </row>
    <row r="32" spans="1:5" x14ac:dyDescent="0.25">
      <c r="A32" s="979"/>
      <c r="B32" s="979"/>
      <c r="C32" s="979"/>
      <c r="D32" s="979"/>
      <c r="E32" s="979"/>
    </row>
    <row r="33" spans="1:6" x14ac:dyDescent="0.25">
      <c r="A33" s="966" t="s">
        <v>1469</v>
      </c>
      <c r="B33" s="966"/>
      <c r="C33" s="966"/>
      <c r="D33" s="966"/>
      <c r="E33" s="966"/>
    </row>
    <row r="34" spans="1:6" x14ac:dyDescent="0.25">
      <c r="A34" s="1084" t="s">
        <v>1415</v>
      </c>
      <c r="B34" s="1086"/>
      <c r="C34" s="967" t="s">
        <v>998</v>
      </c>
      <c r="D34" s="968"/>
      <c r="E34" s="229" t="s">
        <v>199</v>
      </c>
    </row>
    <row r="35" spans="1:6" ht="30.75" customHeight="1" x14ac:dyDescent="0.25">
      <c r="A35" s="969" t="s">
        <v>1435</v>
      </c>
      <c r="B35" s="970"/>
      <c r="C35" s="1167" t="s">
        <v>1470</v>
      </c>
      <c r="D35" s="1168"/>
      <c r="E35" s="253">
        <f>((5.4+5.3+5.5)+(5.4+5.3+5.5)*10%)*10</f>
        <v>178.2</v>
      </c>
    </row>
    <row r="36" spans="1:6" ht="30.75" customHeight="1" x14ac:dyDescent="0.25">
      <c r="A36" s="969" t="s">
        <v>1471</v>
      </c>
      <c r="B36" s="970"/>
      <c r="C36" s="1096" t="s">
        <v>1472</v>
      </c>
      <c r="D36" s="1097"/>
      <c r="E36" s="255">
        <f>((0.4+0.4)+(0.4+0.4)*10%)*10</f>
        <v>8.8000000000000007</v>
      </c>
    </row>
    <row r="37" spans="1:6" x14ac:dyDescent="0.25">
      <c r="A37" s="1190"/>
      <c r="B37" s="1190"/>
      <c r="C37" s="1190"/>
      <c r="D37" s="1190"/>
      <c r="E37" s="1190"/>
    </row>
    <row r="38" spans="1:6" ht="15" customHeight="1" x14ac:dyDescent="0.25">
      <c r="A38" s="1005" t="s">
        <v>1449</v>
      </c>
      <c r="B38" s="1006"/>
      <c r="C38" s="1006"/>
      <c r="D38" s="1007"/>
      <c r="E38" s="256">
        <f>E36</f>
        <v>8.8000000000000007</v>
      </c>
    </row>
    <row r="39" spans="1:6" ht="15" customHeight="1" x14ac:dyDescent="0.25">
      <c r="A39" s="1196" t="s">
        <v>1473</v>
      </c>
      <c r="B39" s="1197"/>
      <c r="C39" s="1197"/>
      <c r="D39" s="1198"/>
      <c r="E39" s="306">
        <f>E35</f>
        <v>178.2</v>
      </c>
    </row>
    <row r="40" spans="1:6" x14ac:dyDescent="0.25">
      <c r="A40" s="995" t="s">
        <v>1270</v>
      </c>
      <c r="B40" s="996"/>
      <c r="C40" s="996"/>
      <c r="D40" s="997"/>
      <c r="E40" s="233">
        <f>SUM(E35:E37)</f>
        <v>187</v>
      </c>
      <c r="F40" s="290">
        <f>SUM(E38:E39)</f>
        <v>187</v>
      </c>
    </row>
    <row r="41" spans="1:6" x14ac:dyDescent="0.25">
      <c r="A41" s="974" t="s">
        <v>1474</v>
      </c>
      <c r="B41" s="975"/>
      <c r="C41" s="975"/>
      <c r="D41" s="976"/>
      <c r="E41" s="977"/>
    </row>
    <row r="42" spans="1:6" x14ac:dyDescent="0.25">
      <c r="A42" s="978" t="s">
        <v>997</v>
      </c>
      <c r="B42" s="978"/>
      <c r="C42" s="978"/>
      <c r="D42" s="978"/>
      <c r="E42" s="978"/>
    </row>
    <row r="43" spans="1:6" ht="14.45" customHeight="1" x14ac:dyDescent="0.25">
      <c r="A43" s="979"/>
      <c r="B43" s="979"/>
      <c r="C43" s="979"/>
      <c r="D43" s="979"/>
      <c r="E43" s="979"/>
    </row>
    <row r="44" spans="1:6" x14ac:dyDescent="0.25">
      <c r="A44" s="979"/>
      <c r="B44" s="979"/>
      <c r="C44" s="979"/>
      <c r="D44" s="979"/>
      <c r="E44" s="979"/>
    </row>
    <row r="45" spans="1:6" x14ac:dyDescent="0.25">
      <c r="A45" s="979"/>
      <c r="B45" s="979"/>
      <c r="C45" s="979"/>
      <c r="D45" s="979"/>
      <c r="E45" s="979"/>
    </row>
    <row r="46" spans="1:6" x14ac:dyDescent="0.25">
      <c r="A46" s="979"/>
      <c r="B46" s="979"/>
      <c r="C46" s="979"/>
      <c r="D46" s="979"/>
      <c r="E46" s="979"/>
    </row>
    <row r="47" spans="1:6" x14ac:dyDescent="0.25">
      <c r="A47" s="979"/>
      <c r="B47" s="979"/>
      <c r="C47" s="979"/>
      <c r="D47" s="979"/>
      <c r="E47" s="979"/>
    </row>
    <row r="48" spans="1:6" x14ac:dyDescent="0.25">
      <c r="A48" s="979"/>
      <c r="B48" s="979"/>
      <c r="C48" s="979"/>
      <c r="D48" s="979"/>
      <c r="E48" s="979"/>
    </row>
    <row r="49" spans="1:5" x14ac:dyDescent="0.25">
      <c r="A49" s="979"/>
      <c r="B49" s="979"/>
      <c r="C49" s="979"/>
      <c r="D49" s="979"/>
      <c r="E49" s="979"/>
    </row>
    <row r="50" spans="1:5" x14ac:dyDescent="0.25">
      <c r="A50" s="979"/>
      <c r="B50" s="979"/>
      <c r="C50" s="979"/>
      <c r="D50" s="979"/>
      <c r="E50" s="979"/>
    </row>
    <row r="51" spans="1:5" x14ac:dyDescent="0.25">
      <c r="A51" s="979"/>
      <c r="B51" s="979"/>
      <c r="C51" s="979"/>
      <c r="D51" s="979"/>
      <c r="E51" s="979"/>
    </row>
    <row r="52" spans="1:5" x14ac:dyDescent="0.25">
      <c r="A52" s="979"/>
      <c r="B52" s="979"/>
      <c r="C52" s="979"/>
      <c r="D52" s="979"/>
      <c r="E52" s="979"/>
    </row>
    <row r="53" spans="1:5" x14ac:dyDescent="0.25">
      <c r="A53" s="979"/>
      <c r="B53" s="979"/>
      <c r="C53" s="979"/>
      <c r="D53" s="979"/>
      <c r="E53" s="979"/>
    </row>
    <row r="54" spans="1:5" x14ac:dyDescent="0.25">
      <c r="A54" s="979"/>
      <c r="B54" s="979"/>
      <c r="C54" s="979"/>
      <c r="D54" s="979"/>
      <c r="E54" s="979"/>
    </row>
    <row r="55" spans="1:5" x14ac:dyDescent="0.25">
      <c r="A55" s="979"/>
      <c r="B55" s="979"/>
      <c r="C55" s="979"/>
      <c r="D55" s="979"/>
      <c r="E55" s="979"/>
    </row>
    <row r="56" spans="1:5" x14ac:dyDescent="0.25">
      <c r="A56" s="979"/>
      <c r="B56" s="979"/>
      <c r="C56" s="979"/>
      <c r="D56" s="979"/>
      <c r="E56" s="979"/>
    </row>
    <row r="57" spans="1:5" x14ac:dyDescent="0.25">
      <c r="A57" s="979"/>
      <c r="B57" s="979"/>
      <c r="C57" s="979"/>
      <c r="D57" s="979"/>
      <c r="E57" s="979"/>
    </row>
    <row r="58" spans="1:5" x14ac:dyDescent="0.25">
      <c r="A58" s="979"/>
      <c r="B58" s="979"/>
      <c r="C58" s="979"/>
      <c r="D58" s="979"/>
      <c r="E58" s="979"/>
    </row>
    <row r="59" spans="1:5" x14ac:dyDescent="0.25">
      <c r="A59" s="979"/>
      <c r="B59" s="979"/>
      <c r="C59" s="979"/>
      <c r="D59" s="979"/>
      <c r="E59" s="979"/>
    </row>
    <row r="60" spans="1:5" x14ac:dyDescent="0.25">
      <c r="A60" s="979"/>
      <c r="B60" s="979"/>
      <c r="C60" s="979"/>
      <c r="D60" s="979"/>
      <c r="E60" s="979"/>
    </row>
    <row r="61" spans="1:5" x14ac:dyDescent="0.25">
      <c r="A61" s="979"/>
      <c r="B61" s="979"/>
      <c r="C61" s="979"/>
      <c r="D61" s="979"/>
      <c r="E61" s="979"/>
    </row>
    <row r="62" spans="1:5" x14ac:dyDescent="0.25">
      <c r="A62" s="979"/>
      <c r="B62" s="979"/>
      <c r="C62" s="979"/>
      <c r="D62" s="979"/>
      <c r="E62" s="979"/>
    </row>
    <row r="63" spans="1:5" x14ac:dyDescent="0.25">
      <c r="A63" s="979"/>
      <c r="B63" s="979"/>
      <c r="C63" s="979"/>
      <c r="D63" s="979"/>
      <c r="E63" s="979"/>
    </row>
    <row r="64" spans="1:5" x14ac:dyDescent="0.25">
      <c r="A64" s="979"/>
      <c r="B64" s="979"/>
      <c r="C64" s="979"/>
      <c r="D64" s="979"/>
      <c r="E64" s="979"/>
    </row>
    <row r="65" spans="1:5" x14ac:dyDescent="0.25">
      <c r="A65" s="966" t="s">
        <v>1474</v>
      </c>
      <c r="B65" s="966"/>
      <c r="C65" s="966"/>
      <c r="D65" s="966"/>
      <c r="E65" s="966"/>
    </row>
    <row r="66" spans="1:5" x14ac:dyDescent="0.25">
      <c r="A66" s="1084" t="s">
        <v>998</v>
      </c>
      <c r="B66" s="1085"/>
      <c r="C66" s="1085"/>
      <c r="D66" s="1086"/>
      <c r="E66" s="229" t="s">
        <v>1003</v>
      </c>
    </row>
    <row r="67" spans="1:5" x14ac:dyDescent="0.25">
      <c r="A67" s="969" t="s">
        <v>1288</v>
      </c>
      <c r="B67" s="1087"/>
      <c r="C67" s="1087"/>
      <c r="D67" s="970"/>
      <c r="E67" s="232">
        <v>25.6</v>
      </c>
    </row>
    <row r="68" spans="1:5" x14ac:dyDescent="0.25">
      <c r="A68" s="971" t="s">
        <v>1001</v>
      </c>
      <c r="B68" s="972"/>
      <c r="C68" s="972"/>
      <c r="D68" s="973"/>
      <c r="E68" s="238">
        <f>SUM(E66:E67)</f>
        <v>25.6</v>
      </c>
    </row>
    <row r="69" spans="1:5" x14ac:dyDescent="0.25">
      <c r="A69" s="995" t="s">
        <v>1270</v>
      </c>
      <c r="B69" s="996"/>
      <c r="C69" s="996"/>
      <c r="D69" s="997"/>
      <c r="E69" s="233">
        <f>E68</f>
        <v>25.6</v>
      </c>
    </row>
    <row r="70" spans="1:5" x14ac:dyDescent="0.25">
      <c r="A70" s="974" t="s">
        <v>1475</v>
      </c>
      <c r="B70" s="975"/>
      <c r="C70" s="975"/>
      <c r="D70" s="976"/>
      <c r="E70" s="977"/>
    </row>
    <row r="71" spans="1:5" x14ac:dyDescent="0.25">
      <c r="A71" s="978" t="s">
        <v>997</v>
      </c>
      <c r="B71" s="978"/>
      <c r="C71" s="978"/>
      <c r="D71" s="978"/>
      <c r="E71" s="978"/>
    </row>
    <row r="72" spans="1:5" x14ac:dyDescent="0.25">
      <c r="A72" s="979"/>
      <c r="B72" s="979"/>
      <c r="C72" s="979"/>
      <c r="D72" s="979"/>
      <c r="E72" s="979"/>
    </row>
    <row r="73" spans="1:5" x14ac:dyDescent="0.25">
      <c r="A73" s="979"/>
      <c r="B73" s="979"/>
      <c r="C73" s="979"/>
      <c r="D73" s="979"/>
      <c r="E73" s="979"/>
    </row>
    <row r="74" spans="1:5" x14ac:dyDescent="0.25">
      <c r="A74" s="979"/>
      <c r="B74" s="979"/>
      <c r="C74" s="979"/>
      <c r="D74" s="979"/>
      <c r="E74" s="979"/>
    </row>
    <row r="75" spans="1:5" x14ac:dyDescent="0.25">
      <c r="A75" s="979"/>
      <c r="B75" s="979"/>
      <c r="C75" s="979"/>
      <c r="D75" s="979"/>
      <c r="E75" s="979"/>
    </row>
    <row r="76" spans="1:5" x14ac:dyDescent="0.25">
      <c r="A76" s="979"/>
      <c r="B76" s="979"/>
      <c r="C76" s="979"/>
      <c r="D76" s="979"/>
      <c r="E76" s="979"/>
    </row>
    <row r="77" spans="1:5" x14ac:dyDescent="0.25">
      <c r="A77" s="979"/>
      <c r="B77" s="979"/>
      <c r="C77" s="979"/>
      <c r="D77" s="979"/>
      <c r="E77" s="979"/>
    </row>
    <row r="78" spans="1:5" x14ac:dyDescent="0.25">
      <c r="A78" s="979"/>
      <c r="B78" s="979"/>
      <c r="C78" s="979"/>
      <c r="D78" s="979"/>
      <c r="E78" s="979"/>
    </row>
    <row r="79" spans="1:5" x14ac:dyDescent="0.25">
      <c r="A79" s="979"/>
      <c r="B79" s="979"/>
      <c r="C79" s="979"/>
      <c r="D79" s="979"/>
      <c r="E79" s="979"/>
    </row>
    <row r="80" spans="1:5" x14ac:dyDescent="0.25">
      <c r="A80" s="979"/>
      <c r="B80" s="979"/>
      <c r="C80" s="979"/>
      <c r="D80" s="979"/>
      <c r="E80" s="979"/>
    </row>
    <row r="81" spans="1:5" x14ac:dyDescent="0.25">
      <c r="A81" s="979"/>
      <c r="B81" s="979"/>
      <c r="C81" s="979"/>
      <c r="D81" s="979"/>
      <c r="E81" s="979"/>
    </row>
    <row r="82" spans="1:5" x14ac:dyDescent="0.25">
      <c r="A82" s="979"/>
      <c r="B82" s="979"/>
      <c r="C82" s="979"/>
      <c r="D82" s="979"/>
      <c r="E82" s="979"/>
    </row>
    <row r="83" spans="1:5" x14ac:dyDescent="0.25">
      <c r="A83" s="979"/>
      <c r="B83" s="979"/>
      <c r="C83" s="979"/>
      <c r="D83" s="979"/>
      <c r="E83" s="979"/>
    </row>
    <row r="84" spans="1:5" x14ac:dyDescent="0.25">
      <c r="A84" s="979"/>
      <c r="B84" s="979"/>
      <c r="C84" s="979"/>
      <c r="D84" s="979"/>
      <c r="E84" s="979"/>
    </row>
    <row r="85" spans="1:5" x14ac:dyDescent="0.25">
      <c r="A85" s="979"/>
      <c r="B85" s="979"/>
      <c r="C85" s="979"/>
      <c r="D85" s="979"/>
      <c r="E85" s="979"/>
    </row>
    <row r="86" spans="1:5" x14ac:dyDescent="0.25">
      <c r="A86" s="979"/>
      <c r="B86" s="979"/>
      <c r="C86" s="979"/>
      <c r="D86" s="979"/>
      <c r="E86" s="979"/>
    </row>
    <row r="87" spans="1:5" x14ac:dyDescent="0.25">
      <c r="A87" s="979"/>
      <c r="B87" s="979"/>
      <c r="C87" s="979"/>
      <c r="D87" s="979"/>
      <c r="E87" s="979"/>
    </row>
    <row r="88" spans="1:5" x14ac:dyDescent="0.25">
      <c r="A88" s="979"/>
      <c r="B88" s="979"/>
      <c r="C88" s="979"/>
      <c r="D88" s="979"/>
      <c r="E88" s="979"/>
    </row>
    <row r="89" spans="1:5" x14ac:dyDescent="0.25">
      <c r="A89" s="979"/>
      <c r="B89" s="979"/>
      <c r="C89" s="979"/>
      <c r="D89" s="979"/>
      <c r="E89" s="979"/>
    </row>
    <row r="90" spans="1:5" x14ac:dyDescent="0.25">
      <c r="A90" s="979"/>
      <c r="B90" s="979"/>
      <c r="C90" s="979"/>
      <c r="D90" s="979"/>
      <c r="E90" s="979"/>
    </row>
    <row r="91" spans="1:5" x14ac:dyDescent="0.25">
      <c r="A91" s="979"/>
      <c r="B91" s="979"/>
      <c r="C91" s="979"/>
      <c r="D91" s="979"/>
      <c r="E91" s="979"/>
    </row>
    <row r="92" spans="1:5" x14ac:dyDescent="0.25">
      <c r="A92" s="979"/>
      <c r="B92" s="979"/>
      <c r="C92" s="979"/>
      <c r="D92" s="979"/>
      <c r="E92" s="979"/>
    </row>
    <row r="93" spans="1:5" x14ac:dyDescent="0.25">
      <c r="A93" s="979"/>
      <c r="B93" s="979"/>
      <c r="C93" s="979"/>
      <c r="D93" s="979"/>
      <c r="E93" s="979"/>
    </row>
    <row r="94" spans="1:5" x14ac:dyDescent="0.25">
      <c r="A94" s="966" t="s">
        <v>1475</v>
      </c>
      <c r="B94" s="966"/>
      <c r="C94" s="966"/>
      <c r="D94" s="966"/>
      <c r="E94" s="966"/>
    </row>
    <row r="95" spans="1:5" x14ac:dyDescent="0.25">
      <c r="A95" s="967" t="s">
        <v>998</v>
      </c>
      <c r="B95" s="1019"/>
      <c r="C95" s="1019"/>
      <c r="D95" s="968"/>
      <c r="E95" s="229" t="s">
        <v>1293</v>
      </c>
    </row>
    <row r="96" spans="1:5" x14ac:dyDescent="0.25">
      <c r="A96" s="969" t="s">
        <v>1288</v>
      </c>
      <c r="B96" s="1087"/>
      <c r="C96" s="1087"/>
      <c r="D96" s="970"/>
      <c r="E96" s="232">
        <v>5.12</v>
      </c>
    </row>
    <row r="97" spans="1:5" x14ac:dyDescent="0.25">
      <c r="A97" s="971" t="s">
        <v>1001</v>
      </c>
      <c r="B97" s="972"/>
      <c r="C97" s="972"/>
      <c r="D97" s="973"/>
      <c r="E97" s="238">
        <f>SUM(E95:E96)</f>
        <v>5.12</v>
      </c>
    </row>
    <row r="98" spans="1:5" x14ac:dyDescent="0.25">
      <c r="A98" s="995" t="s">
        <v>1270</v>
      </c>
      <c r="B98" s="996"/>
      <c r="C98" s="996"/>
      <c r="D98" s="997"/>
      <c r="E98" s="233">
        <f>E97</f>
        <v>5.12</v>
      </c>
    </row>
    <row r="99" spans="1:5" x14ac:dyDescent="0.25">
      <c r="A99" s="974" t="s">
        <v>1476</v>
      </c>
      <c r="B99" s="975"/>
      <c r="C99" s="975"/>
      <c r="D99" s="976"/>
      <c r="E99" s="977"/>
    </row>
    <row r="100" spans="1:5" x14ac:dyDescent="0.25">
      <c r="A100" s="978" t="s">
        <v>997</v>
      </c>
      <c r="B100" s="978"/>
      <c r="C100" s="978"/>
      <c r="D100" s="978"/>
      <c r="E100" s="978"/>
    </row>
    <row r="101" spans="1:5" x14ac:dyDescent="0.25">
      <c r="A101" s="979"/>
      <c r="B101" s="979"/>
      <c r="C101" s="979"/>
      <c r="D101" s="979"/>
      <c r="E101" s="979"/>
    </row>
    <row r="102" spans="1:5" x14ac:dyDescent="0.25">
      <c r="A102" s="979"/>
      <c r="B102" s="979"/>
      <c r="C102" s="979"/>
      <c r="D102" s="979"/>
      <c r="E102" s="979"/>
    </row>
    <row r="103" spans="1:5" x14ac:dyDescent="0.25">
      <c r="A103" s="979"/>
      <c r="B103" s="979"/>
      <c r="C103" s="979"/>
      <c r="D103" s="979"/>
      <c r="E103" s="979"/>
    </row>
    <row r="104" spans="1:5" x14ac:dyDescent="0.25">
      <c r="A104" s="979"/>
      <c r="B104" s="979"/>
      <c r="C104" s="979"/>
      <c r="D104" s="979"/>
      <c r="E104" s="979"/>
    </row>
    <row r="105" spans="1:5" x14ac:dyDescent="0.25">
      <c r="A105" s="979"/>
      <c r="B105" s="979"/>
      <c r="C105" s="979"/>
      <c r="D105" s="979"/>
      <c r="E105" s="979"/>
    </row>
    <row r="106" spans="1:5" x14ac:dyDescent="0.25">
      <c r="A106" s="979"/>
      <c r="B106" s="979"/>
      <c r="C106" s="979"/>
      <c r="D106" s="979"/>
      <c r="E106" s="979"/>
    </row>
    <row r="107" spans="1:5" x14ac:dyDescent="0.25">
      <c r="A107" s="979"/>
      <c r="B107" s="979"/>
      <c r="C107" s="979"/>
      <c r="D107" s="979"/>
      <c r="E107" s="979"/>
    </row>
    <row r="108" spans="1:5" x14ac:dyDescent="0.25">
      <c r="A108" s="979"/>
      <c r="B108" s="979"/>
      <c r="C108" s="979"/>
      <c r="D108" s="979"/>
      <c r="E108" s="979"/>
    </row>
    <row r="109" spans="1:5" x14ac:dyDescent="0.25">
      <c r="A109" s="979"/>
      <c r="B109" s="979"/>
      <c r="C109" s="979"/>
      <c r="D109" s="979"/>
      <c r="E109" s="979"/>
    </row>
    <row r="110" spans="1:5" x14ac:dyDescent="0.25">
      <c r="A110" s="979"/>
      <c r="B110" s="979"/>
      <c r="C110" s="979"/>
      <c r="D110" s="979"/>
      <c r="E110" s="979"/>
    </row>
    <row r="111" spans="1:5" x14ac:dyDescent="0.25">
      <c r="A111" s="979"/>
      <c r="B111" s="979"/>
      <c r="C111" s="979"/>
      <c r="D111" s="979"/>
      <c r="E111" s="979"/>
    </row>
    <row r="112" spans="1:5" x14ac:dyDescent="0.25">
      <c r="A112" s="979"/>
      <c r="B112" s="979"/>
      <c r="C112" s="979"/>
      <c r="D112" s="979"/>
      <c r="E112" s="979"/>
    </row>
    <row r="113" spans="1:5" x14ac:dyDescent="0.25">
      <c r="A113" s="979"/>
      <c r="B113" s="979"/>
      <c r="C113" s="979"/>
      <c r="D113" s="979"/>
      <c r="E113" s="979"/>
    </row>
    <row r="114" spans="1:5" x14ac:dyDescent="0.25">
      <c r="A114" s="979"/>
      <c r="B114" s="979"/>
      <c r="C114" s="979"/>
      <c r="D114" s="979"/>
      <c r="E114" s="979"/>
    </row>
    <row r="115" spans="1:5" x14ac:dyDescent="0.25">
      <c r="A115" s="979"/>
      <c r="B115" s="979"/>
      <c r="C115" s="979"/>
      <c r="D115" s="979"/>
      <c r="E115" s="979"/>
    </row>
    <row r="116" spans="1:5" x14ac:dyDescent="0.25">
      <c r="A116" s="979"/>
      <c r="B116" s="979"/>
      <c r="C116" s="979"/>
      <c r="D116" s="979"/>
      <c r="E116" s="979"/>
    </row>
    <row r="117" spans="1:5" x14ac:dyDescent="0.25">
      <c r="A117" s="979"/>
      <c r="B117" s="979"/>
      <c r="C117" s="979"/>
      <c r="D117" s="979"/>
      <c r="E117" s="979"/>
    </row>
    <row r="118" spans="1:5" x14ac:dyDescent="0.25">
      <c r="A118" s="979"/>
      <c r="B118" s="979"/>
      <c r="C118" s="979"/>
      <c r="D118" s="979"/>
      <c r="E118" s="979"/>
    </row>
    <row r="119" spans="1:5" x14ac:dyDescent="0.25">
      <c r="A119" s="979"/>
      <c r="B119" s="979"/>
      <c r="C119" s="979"/>
      <c r="D119" s="979"/>
      <c r="E119" s="979"/>
    </row>
    <row r="120" spans="1:5" x14ac:dyDescent="0.25">
      <c r="A120" s="979"/>
      <c r="B120" s="979"/>
      <c r="C120" s="979"/>
      <c r="D120" s="979"/>
      <c r="E120" s="979"/>
    </row>
    <row r="121" spans="1:5" x14ac:dyDescent="0.25">
      <c r="A121" s="979"/>
      <c r="B121" s="979"/>
      <c r="C121" s="979"/>
      <c r="D121" s="979"/>
      <c r="E121" s="979"/>
    </row>
    <row r="122" spans="1:5" x14ac:dyDescent="0.25">
      <c r="A122" s="979"/>
      <c r="B122" s="979"/>
      <c r="C122" s="979"/>
      <c r="D122" s="979"/>
      <c r="E122" s="979"/>
    </row>
    <row r="123" spans="1:5" x14ac:dyDescent="0.25">
      <c r="A123" s="966" t="s">
        <v>1476</v>
      </c>
      <c r="B123" s="966"/>
      <c r="C123" s="966"/>
      <c r="D123" s="966"/>
      <c r="E123" s="966"/>
    </row>
    <row r="124" spans="1:5" x14ac:dyDescent="0.25">
      <c r="A124" s="1084" t="s">
        <v>1415</v>
      </c>
      <c r="B124" s="1086"/>
      <c r="C124" s="967" t="s">
        <v>998</v>
      </c>
      <c r="D124" s="968"/>
      <c r="E124" s="229" t="s">
        <v>199</v>
      </c>
    </row>
    <row r="125" spans="1:5" x14ac:dyDescent="0.25">
      <c r="A125" s="969" t="s">
        <v>1477</v>
      </c>
      <c r="B125" s="970"/>
      <c r="C125" s="1165" t="s">
        <v>1288</v>
      </c>
      <c r="D125" s="1166"/>
      <c r="E125" s="250">
        <v>70</v>
      </c>
    </row>
    <row r="126" spans="1:5" x14ac:dyDescent="0.25">
      <c r="A126" s="969" t="s">
        <v>1478</v>
      </c>
      <c r="B126" s="970"/>
      <c r="C126" s="1194" t="s">
        <v>1288</v>
      </c>
      <c r="D126" s="1195"/>
      <c r="E126" s="305">
        <v>297</v>
      </c>
    </row>
    <row r="127" spans="1:5" x14ac:dyDescent="0.25">
      <c r="A127" s="1190"/>
      <c r="B127" s="1190"/>
      <c r="C127" s="1190"/>
      <c r="D127" s="1190"/>
      <c r="E127" s="1190"/>
    </row>
    <row r="128" spans="1:5" x14ac:dyDescent="0.25">
      <c r="A128" s="1029" t="s">
        <v>1479</v>
      </c>
      <c r="B128" s="1030"/>
      <c r="C128" s="1030"/>
      <c r="D128" s="1031"/>
      <c r="E128" s="251">
        <f>E126</f>
        <v>297</v>
      </c>
    </row>
    <row r="129" spans="1:6" x14ac:dyDescent="0.25">
      <c r="A129" s="1187" t="s">
        <v>1480</v>
      </c>
      <c r="B129" s="1188"/>
      <c r="C129" s="1188"/>
      <c r="D129" s="1189"/>
      <c r="E129" s="307">
        <f>E125</f>
        <v>70</v>
      </c>
    </row>
    <row r="130" spans="1:6" x14ac:dyDescent="0.25">
      <c r="A130" s="995" t="s">
        <v>1270</v>
      </c>
      <c r="B130" s="996"/>
      <c r="C130" s="996"/>
      <c r="D130" s="997"/>
      <c r="E130" s="233">
        <f>SUM(E125:E127)</f>
        <v>367</v>
      </c>
      <c r="F130" s="290">
        <f>SUM(E128:E129)</f>
        <v>367</v>
      </c>
    </row>
    <row r="131" spans="1:6" x14ac:dyDescent="0.25">
      <c r="A131" s="974" t="s">
        <v>1481</v>
      </c>
      <c r="B131" s="975"/>
      <c r="C131" s="975"/>
      <c r="D131" s="976"/>
      <c r="E131" s="977"/>
    </row>
    <row r="132" spans="1:6" x14ac:dyDescent="0.25">
      <c r="A132" s="978" t="s">
        <v>997</v>
      </c>
      <c r="B132" s="978"/>
      <c r="C132" s="978"/>
      <c r="D132" s="978"/>
      <c r="E132" s="978"/>
    </row>
    <row r="133" spans="1:6" x14ac:dyDescent="0.25">
      <c r="A133" s="979"/>
      <c r="B133" s="979"/>
      <c r="C133" s="979"/>
      <c r="D133" s="979"/>
      <c r="E133" s="979"/>
    </row>
    <row r="134" spans="1:6" x14ac:dyDescent="0.25">
      <c r="A134" s="979"/>
      <c r="B134" s="979"/>
      <c r="C134" s="979"/>
      <c r="D134" s="979"/>
      <c r="E134" s="979"/>
    </row>
    <row r="135" spans="1:6" x14ac:dyDescent="0.25">
      <c r="A135" s="979"/>
      <c r="B135" s="979"/>
      <c r="C135" s="979"/>
      <c r="D135" s="979"/>
      <c r="E135" s="979"/>
    </row>
    <row r="136" spans="1:6" x14ac:dyDescent="0.25">
      <c r="A136" s="979"/>
      <c r="B136" s="979"/>
      <c r="C136" s="979"/>
      <c r="D136" s="979"/>
      <c r="E136" s="979"/>
    </row>
    <row r="137" spans="1:6" x14ac:dyDescent="0.25">
      <c r="A137" s="979"/>
      <c r="B137" s="979"/>
      <c r="C137" s="979"/>
      <c r="D137" s="979"/>
      <c r="E137" s="979"/>
    </row>
    <row r="138" spans="1:6" x14ac:dyDescent="0.25">
      <c r="A138" s="979"/>
      <c r="B138" s="979"/>
      <c r="C138" s="979"/>
      <c r="D138" s="979"/>
      <c r="E138" s="979"/>
    </row>
    <row r="139" spans="1:6" x14ac:dyDescent="0.25">
      <c r="A139" s="979"/>
      <c r="B139" s="979"/>
      <c r="C139" s="979"/>
      <c r="D139" s="979"/>
      <c r="E139" s="979"/>
    </row>
    <row r="140" spans="1:6" x14ac:dyDescent="0.25">
      <c r="A140" s="979"/>
      <c r="B140" s="979"/>
      <c r="C140" s="979"/>
      <c r="D140" s="979"/>
      <c r="E140" s="979"/>
    </row>
    <row r="141" spans="1:6" x14ac:dyDescent="0.25">
      <c r="A141" s="979"/>
      <c r="B141" s="979"/>
      <c r="C141" s="979"/>
      <c r="D141" s="979"/>
      <c r="E141" s="979"/>
    </row>
    <row r="142" spans="1:6" x14ac:dyDescent="0.25">
      <c r="A142" s="979"/>
      <c r="B142" s="979"/>
      <c r="C142" s="979"/>
      <c r="D142" s="979"/>
      <c r="E142" s="979"/>
    </row>
    <row r="143" spans="1:6" x14ac:dyDescent="0.25">
      <c r="A143" s="979"/>
      <c r="B143" s="979"/>
      <c r="C143" s="979"/>
      <c r="D143" s="979"/>
      <c r="E143" s="979"/>
    </row>
    <row r="144" spans="1:6" x14ac:dyDescent="0.25">
      <c r="A144" s="979"/>
      <c r="B144" s="979"/>
      <c r="C144" s="979"/>
      <c r="D144" s="979"/>
      <c r="E144" s="979"/>
    </row>
    <row r="145" spans="1:5" x14ac:dyDescent="0.25">
      <c r="A145" s="979"/>
      <c r="B145" s="979"/>
      <c r="C145" s="979"/>
      <c r="D145" s="979"/>
      <c r="E145" s="979"/>
    </row>
    <row r="146" spans="1:5" x14ac:dyDescent="0.25">
      <c r="A146" s="979"/>
      <c r="B146" s="979"/>
      <c r="C146" s="979"/>
      <c r="D146" s="979"/>
      <c r="E146" s="979"/>
    </row>
    <row r="147" spans="1:5" x14ac:dyDescent="0.25">
      <c r="A147" s="979"/>
      <c r="B147" s="979"/>
      <c r="C147" s="979"/>
      <c r="D147" s="979"/>
      <c r="E147" s="979"/>
    </row>
    <row r="148" spans="1:5" x14ac:dyDescent="0.25">
      <c r="A148" s="979"/>
      <c r="B148" s="979"/>
      <c r="C148" s="979"/>
      <c r="D148" s="979"/>
      <c r="E148" s="979"/>
    </row>
    <row r="149" spans="1:5" x14ac:dyDescent="0.25">
      <c r="A149" s="979"/>
      <c r="B149" s="979"/>
      <c r="C149" s="979"/>
      <c r="D149" s="979"/>
      <c r="E149" s="979"/>
    </row>
    <row r="150" spans="1:5" x14ac:dyDescent="0.25">
      <c r="A150" s="979"/>
      <c r="B150" s="979"/>
      <c r="C150" s="979"/>
      <c r="D150" s="979"/>
      <c r="E150" s="979"/>
    </row>
    <row r="151" spans="1:5" x14ac:dyDescent="0.25">
      <c r="A151" s="966" t="s">
        <v>1481</v>
      </c>
      <c r="B151" s="966"/>
      <c r="C151" s="966"/>
      <c r="D151" s="966"/>
      <c r="E151" s="966"/>
    </row>
    <row r="152" spans="1:5" x14ac:dyDescent="0.25">
      <c r="A152" s="967" t="s">
        <v>998</v>
      </c>
      <c r="B152" s="1019"/>
      <c r="C152" s="1019"/>
      <c r="D152" s="968"/>
      <c r="E152" s="229" t="s">
        <v>1293</v>
      </c>
    </row>
    <row r="153" spans="1:5" x14ac:dyDescent="0.25">
      <c r="A153" s="969" t="s">
        <v>1288</v>
      </c>
      <c r="B153" s="1087"/>
      <c r="C153" s="1087"/>
      <c r="D153" s="970"/>
      <c r="E153" s="232">
        <v>8.48</v>
      </c>
    </row>
    <row r="154" spans="1:5" x14ac:dyDescent="0.25">
      <c r="A154" s="971" t="s">
        <v>1001</v>
      </c>
      <c r="B154" s="972"/>
      <c r="C154" s="972"/>
      <c r="D154" s="973"/>
      <c r="E154" s="238">
        <f>SUM(E152:E153)</f>
        <v>8.48</v>
      </c>
    </row>
    <row r="155" spans="1:5" x14ac:dyDescent="0.25">
      <c r="A155" s="995" t="s">
        <v>1270</v>
      </c>
      <c r="B155" s="996"/>
      <c r="C155" s="996"/>
      <c r="D155" s="997"/>
      <c r="E155" s="233">
        <f>E154</f>
        <v>8.48</v>
      </c>
    </row>
    <row r="156" spans="1:5" x14ac:dyDescent="0.25">
      <c r="A156" s="974" t="s">
        <v>1482</v>
      </c>
      <c r="B156" s="975"/>
      <c r="C156" s="975"/>
      <c r="D156" s="976"/>
      <c r="E156" s="977"/>
    </row>
    <row r="157" spans="1:5" x14ac:dyDescent="0.25">
      <c r="A157" s="978" t="s">
        <v>997</v>
      </c>
      <c r="B157" s="978"/>
      <c r="C157" s="978"/>
      <c r="D157" s="978"/>
      <c r="E157" s="978"/>
    </row>
    <row r="158" spans="1:5" x14ac:dyDescent="0.25">
      <c r="A158" s="979"/>
      <c r="B158" s="979"/>
      <c r="C158" s="979"/>
      <c r="D158" s="979"/>
      <c r="E158" s="979"/>
    </row>
    <row r="159" spans="1:5" x14ac:dyDescent="0.25">
      <c r="A159" s="979"/>
      <c r="B159" s="979"/>
      <c r="C159" s="979"/>
      <c r="D159" s="979"/>
      <c r="E159" s="979"/>
    </row>
    <row r="160" spans="1:5" x14ac:dyDescent="0.25">
      <c r="A160" s="979"/>
      <c r="B160" s="979"/>
      <c r="C160" s="979"/>
      <c r="D160" s="979"/>
      <c r="E160" s="979"/>
    </row>
    <row r="161" spans="1:5" x14ac:dyDescent="0.25">
      <c r="A161" s="979"/>
      <c r="B161" s="979"/>
      <c r="C161" s="979"/>
      <c r="D161" s="979"/>
      <c r="E161" s="979"/>
    </row>
    <row r="162" spans="1:5" x14ac:dyDescent="0.25">
      <c r="A162" s="979"/>
      <c r="B162" s="979"/>
      <c r="C162" s="979"/>
      <c r="D162" s="979"/>
      <c r="E162" s="979"/>
    </row>
    <row r="163" spans="1:5" x14ac:dyDescent="0.25">
      <c r="A163" s="979"/>
      <c r="B163" s="979"/>
      <c r="C163" s="979"/>
      <c r="D163" s="979"/>
      <c r="E163" s="979"/>
    </row>
    <row r="164" spans="1:5" x14ac:dyDescent="0.25">
      <c r="A164" s="979"/>
      <c r="B164" s="979"/>
      <c r="C164" s="979"/>
      <c r="D164" s="979"/>
      <c r="E164" s="979"/>
    </row>
    <row r="165" spans="1:5" x14ac:dyDescent="0.25">
      <c r="A165" s="979"/>
      <c r="B165" s="979"/>
      <c r="C165" s="979"/>
      <c r="D165" s="979"/>
      <c r="E165" s="979"/>
    </row>
    <row r="166" spans="1:5" x14ac:dyDescent="0.25">
      <c r="A166" s="979"/>
      <c r="B166" s="979"/>
      <c r="C166" s="979"/>
      <c r="D166" s="979"/>
      <c r="E166" s="979"/>
    </row>
    <row r="167" spans="1:5" x14ac:dyDescent="0.25">
      <c r="A167" s="979"/>
      <c r="B167" s="979"/>
      <c r="C167" s="979"/>
      <c r="D167" s="979"/>
      <c r="E167" s="979"/>
    </row>
    <row r="168" spans="1:5" x14ac:dyDescent="0.25">
      <c r="A168" s="979"/>
      <c r="B168" s="979"/>
      <c r="C168" s="979"/>
      <c r="D168" s="979"/>
      <c r="E168" s="979"/>
    </row>
    <row r="169" spans="1:5" x14ac:dyDescent="0.25">
      <c r="A169" s="979"/>
      <c r="B169" s="979"/>
      <c r="C169" s="979"/>
      <c r="D169" s="979"/>
      <c r="E169" s="979"/>
    </row>
    <row r="170" spans="1:5" x14ac:dyDescent="0.25">
      <c r="A170" s="979"/>
      <c r="B170" s="979"/>
      <c r="C170" s="979"/>
      <c r="D170" s="979"/>
      <c r="E170" s="979"/>
    </row>
    <row r="171" spans="1:5" x14ac:dyDescent="0.25">
      <c r="A171" s="979"/>
      <c r="B171" s="979"/>
      <c r="C171" s="979"/>
      <c r="D171" s="979"/>
      <c r="E171" s="979"/>
    </row>
    <row r="172" spans="1:5" x14ac:dyDescent="0.25">
      <c r="A172" s="979"/>
      <c r="B172" s="979"/>
      <c r="C172" s="979"/>
      <c r="D172" s="979"/>
      <c r="E172" s="979"/>
    </row>
    <row r="173" spans="1:5" x14ac:dyDescent="0.25">
      <c r="A173" s="979"/>
      <c r="B173" s="979"/>
      <c r="C173" s="979"/>
      <c r="D173" s="979"/>
      <c r="E173" s="979"/>
    </row>
    <row r="174" spans="1:5" x14ac:dyDescent="0.25">
      <c r="A174" s="979"/>
      <c r="B174" s="979"/>
      <c r="C174" s="979"/>
      <c r="D174" s="979"/>
      <c r="E174" s="979"/>
    </row>
    <row r="175" spans="1:5" x14ac:dyDescent="0.25">
      <c r="A175" s="979"/>
      <c r="B175" s="979"/>
      <c r="C175" s="979"/>
      <c r="D175" s="979"/>
      <c r="E175" s="979"/>
    </row>
    <row r="176" spans="1:5" x14ac:dyDescent="0.25">
      <c r="A176" s="979"/>
      <c r="B176" s="979"/>
      <c r="C176" s="979"/>
      <c r="D176" s="979"/>
      <c r="E176" s="979"/>
    </row>
    <row r="177" spans="1:5" x14ac:dyDescent="0.25">
      <c r="A177" s="979"/>
      <c r="B177" s="979"/>
      <c r="C177" s="979"/>
      <c r="D177" s="979"/>
      <c r="E177" s="979"/>
    </row>
    <row r="178" spans="1:5" x14ac:dyDescent="0.25">
      <c r="A178" s="979"/>
      <c r="B178" s="979"/>
      <c r="C178" s="979"/>
      <c r="D178" s="979"/>
      <c r="E178" s="979"/>
    </row>
    <row r="179" spans="1:5" x14ac:dyDescent="0.25">
      <c r="A179" s="979"/>
      <c r="B179" s="979"/>
      <c r="C179" s="979"/>
      <c r="D179" s="979"/>
      <c r="E179" s="979"/>
    </row>
    <row r="180" spans="1:5" x14ac:dyDescent="0.25">
      <c r="A180" s="966" t="s">
        <v>1482</v>
      </c>
      <c r="B180" s="966"/>
      <c r="C180" s="966"/>
      <c r="D180" s="966"/>
      <c r="E180" s="966"/>
    </row>
    <row r="181" spans="1:5" x14ac:dyDescent="0.25">
      <c r="A181" s="1084" t="s">
        <v>1415</v>
      </c>
      <c r="B181" s="1086"/>
      <c r="C181" s="967" t="s">
        <v>998</v>
      </c>
      <c r="D181" s="968"/>
      <c r="E181" s="229" t="s">
        <v>199</v>
      </c>
    </row>
    <row r="182" spans="1:5" x14ac:dyDescent="0.25">
      <c r="A182" s="969" t="s">
        <v>1478</v>
      </c>
      <c r="B182" s="970"/>
      <c r="C182" s="1194" t="s">
        <v>1483</v>
      </c>
      <c r="D182" s="1195"/>
      <c r="E182" s="305">
        <f>179.2+(179.2*10%)</f>
        <v>197.11999999999998</v>
      </c>
    </row>
    <row r="183" spans="1:5" x14ac:dyDescent="0.25">
      <c r="A183" s="969" t="s">
        <v>1477</v>
      </c>
      <c r="B183" s="970"/>
      <c r="C183" s="1165" t="s">
        <v>1484</v>
      </c>
      <c r="D183" s="1166"/>
      <c r="E183" s="250">
        <f>53.17+(53.17*10%)</f>
        <v>58.487000000000002</v>
      </c>
    </row>
    <row r="184" spans="1:5" x14ac:dyDescent="0.25">
      <c r="A184" s="1190"/>
      <c r="B184" s="1190"/>
      <c r="C184" s="1190"/>
      <c r="D184" s="1190"/>
      <c r="E184" s="1190"/>
    </row>
    <row r="185" spans="1:5" x14ac:dyDescent="0.25">
      <c r="A185" s="998" t="s">
        <v>1480</v>
      </c>
      <c r="B185" s="999"/>
      <c r="C185" s="999"/>
      <c r="D185" s="1000"/>
      <c r="E185" s="258">
        <f>E183</f>
        <v>58.487000000000002</v>
      </c>
    </row>
    <row r="186" spans="1:5" x14ac:dyDescent="0.25">
      <c r="A186" s="1191" t="s">
        <v>1479</v>
      </c>
      <c r="B186" s="1192"/>
      <c r="C186" s="1192"/>
      <c r="D186" s="1193"/>
      <c r="E186" s="308">
        <f>E182</f>
        <v>197.11999999999998</v>
      </c>
    </row>
    <row r="187" spans="1:5" x14ac:dyDescent="0.25">
      <c r="A187" s="995" t="s">
        <v>1270</v>
      </c>
      <c r="B187" s="996"/>
      <c r="C187" s="996"/>
      <c r="D187" s="997"/>
      <c r="E187" s="233">
        <f>SUM(E182:E184)</f>
        <v>255.60699999999997</v>
      </c>
    </row>
    <row r="188" spans="1:5" x14ac:dyDescent="0.25">
      <c r="A188" s="974" t="s">
        <v>1485</v>
      </c>
      <c r="B188" s="975"/>
      <c r="C188" s="975"/>
      <c r="D188" s="976"/>
      <c r="E188" s="977"/>
    </row>
    <row r="189" spans="1:5" x14ac:dyDescent="0.25">
      <c r="A189" s="978" t="s">
        <v>997</v>
      </c>
      <c r="B189" s="978"/>
      <c r="C189" s="978"/>
      <c r="D189" s="978"/>
      <c r="E189" s="978"/>
    </row>
    <row r="190" spans="1:5" x14ac:dyDescent="0.25">
      <c r="A190" s="979"/>
      <c r="B190" s="979"/>
      <c r="C190" s="979"/>
      <c r="D190" s="979"/>
      <c r="E190" s="979"/>
    </row>
    <row r="191" spans="1:5" x14ac:dyDescent="0.25">
      <c r="A191" s="979"/>
      <c r="B191" s="979"/>
      <c r="C191" s="979"/>
      <c r="D191" s="979"/>
      <c r="E191" s="979"/>
    </row>
    <row r="192" spans="1:5" x14ac:dyDescent="0.25">
      <c r="A192" s="979"/>
      <c r="B192" s="979"/>
      <c r="C192" s="979"/>
      <c r="D192" s="979"/>
      <c r="E192" s="979"/>
    </row>
    <row r="193" spans="1:5" x14ac:dyDescent="0.25">
      <c r="A193" s="979"/>
      <c r="B193" s="979"/>
      <c r="C193" s="979"/>
      <c r="D193" s="979"/>
      <c r="E193" s="979"/>
    </row>
    <row r="194" spans="1:5" x14ac:dyDescent="0.25">
      <c r="A194" s="979"/>
      <c r="B194" s="979"/>
      <c r="C194" s="979"/>
      <c r="D194" s="979"/>
      <c r="E194" s="979"/>
    </row>
    <row r="195" spans="1:5" x14ac:dyDescent="0.25">
      <c r="A195" s="979"/>
      <c r="B195" s="979"/>
      <c r="C195" s="979"/>
      <c r="D195" s="979"/>
      <c r="E195" s="979"/>
    </row>
    <row r="196" spans="1:5" x14ac:dyDescent="0.25">
      <c r="A196" s="979"/>
      <c r="B196" s="979"/>
      <c r="C196" s="979"/>
      <c r="D196" s="979"/>
      <c r="E196" s="979"/>
    </row>
    <row r="197" spans="1:5" x14ac:dyDescent="0.25">
      <c r="A197" s="979"/>
      <c r="B197" s="979"/>
      <c r="C197" s="979"/>
      <c r="D197" s="979"/>
      <c r="E197" s="979"/>
    </row>
    <row r="198" spans="1:5" x14ac:dyDescent="0.25">
      <c r="A198" s="979"/>
      <c r="B198" s="979"/>
      <c r="C198" s="979"/>
      <c r="D198" s="979"/>
      <c r="E198" s="979"/>
    </row>
    <row r="199" spans="1:5" x14ac:dyDescent="0.25">
      <c r="A199" s="979"/>
      <c r="B199" s="979"/>
      <c r="C199" s="979"/>
      <c r="D199" s="979"/>
      <c r="E199" s="979"/>
    </row>
    <row r="200" spans="1:5" x14ac:dyDescent="0.25">
      <c r="A200" s="979"/>
      <c r="B200" s="979"/>
      <c r="C200" s="979"/>
      <c r="D200" s="979"/>
      <c r="E200" s="979"/>
    </row>
    <row r="201" spans="1:5" x14ac:dyDescent="0.25">
      <c r="A201" s="979"/>
      <c r="B201" s="979"/>
      <c r="C201" s="979"/>
      <c r="D201" s="979"/>
      <c r="E201" s="979"/>
    </row>
    <row r="202" spans="1:5" x14ac:dyDescent="0.25">
      <c r="A202" s="979"/>
      <c r="B202" s="979"/>
      <c r="C202" s="979"/>
      <c r="D202" s="979"/>
      <c r="E202" s="979"/>
    </row>
    <row r="203" spans="1:5" x14ac:dyDescent="0.25">
      <c r="A203" s="979"/>
      <c r="B203" s="979"/>
      <c r="C203" s="979"/>
      <c r="D203" s="979"/>
      <c r="E203" s="979"/>
    </row>
    <row r="204" spans="1:5" x14ac:dyDescent="0.25">
      <c r="A204" s="979"/>
      <c r="B204" s="979"/>
      <c r="C204" s="979"/>
      <c r="D204" s="979"/>
      <c r="E204" s="979"/>
    </row>
    <row r="205" spans="1:5" x14ac:dyDescent="0.25">
      <c r="A205" s="979"/>
      <c r="B205" s="979"/>
      <c r="C205" s="979"/>
      <c r="D205" s="979"/>
      <c r="E205" s="979"/>
    </row>
    <row r="206" spans="1:5" x14ac:dyDescent="0.25">
      <c r="A206" s="979"/>
      <c r="B206" s="979"/>
      <c r="C206" s="979"/>
      <c r="D206" s="979"/>
      <c r="E206" s="979"/>
    </row>
    <row r="207" spans="1:5" x14ac:dyDescent="0.25">
      <c r="A207" s="979"/>
      <c r="B207" s="979"/>
      <c r="C207" s="979"/>
      <c r="D207" s="979"/>
      <c r="E207" s="979"/>
    </row>
    <row r="208" spans="1:5" x14ac:dyDescent="0.25">
      <c r="A208" s="979"/>
      <c r="B208" s="979"/>
      <c r="C208" s="979"/>
      <c r="D208" s="979"/>
      <c r="E208" s="979"/>
    </row>
    <row r="209" spans="1:5" x14ac:dyDescent="0.25">
      <c r="A209" s="979"/>
      <c r="B209" s="979"/>
      <c r="C209" s="979"/>
      <c r="D209" s="979"/>
      <c r="E209" s="979"/>
    </row>
    <row r="210" spans="1:5" x14ac:dyDescent="0.25">
      <c r="A210" s="979"/>
      <c r="B210" s="979"/>
      <c r="C210" s="979"/>
      <c r="D210" s="979"/>
      <c r="E210" s="979"/>
    </row>
    <row r="211" spans="1:5" x14ac:dyDescent="0.25">
      <c r="A211" s="979"/>
      <c r="B211" s="979"/>
      <c r="C211" s="979"/>
      <c r="D211" s="979"/>
      <c r="E211" s="979"/>
    </row>
    <row r="212" spans="1:5" x14ac:dyDescent="0.25">
      <c r="A212" s="966" t="s">
        <v>1485</v>
      </c>
      <c r="B212" s="966"/>
      <c r="C212" s="966"/>
      <c r="D212" s="966"/>
      <c r="E212" s="966"/>
    </row>
    <row r="213" spans="1:5" x14ac:dyDescent="0.25">
      <c r="A213" s="967" t="s">
        <v>998</v>
      </c>
      <c r="B213" s="1019"/>
      <c r="C213" s="1019"/>
      <c r="D213" s="968"/>
      <c r="E213" s="229" t="s">
        <v>1003</v>
      </c>
    </row>
    <row r="214" spans="1:5" x14ac:dyDescent="0.25">
      <c r="A214" s="969" t="s">
        <v>1288</v>
      </c>
      <c r="B214" s="1087"/>
      <c r="C214" s="1087"/>
      <c r="D214" s="970"/>
      <c r="E214" s="232">
        <v>24.8</v>
      </c>
    </row>
    <row r="215" spans="1:5" x14ac:dyDescent="0.25">
      <c r="A215" s="971" t="s">
        <v>1001</v>
      </c>
      <c r="B215" s="972"/>
      <c r="C215" s="972"/>
      <c r="D215" s="973"/>
      <c r="E215" s="238">
        <f>SUM(E213:E214)</f>
        <v>24.8</v>
      </c>
    </row>
    <row r="216" spans="1:5" x14ac:dyDescent="0.25">
      <c r="A216" s="995" t="s">
        <v>1270</v>
      </c>
      <c r="B216" s="996"/>
      <c r="C216" s="996"/>
      <c r="D216" s="997"/>
      <c r="E216" s="233">
        <f>E215</f>
        <v>24.8</v>
      </c>
    </row>
    <row r="217" spans="1:5" x14ac:dyDescent="0.25">
      <c r="A217" s="974" t="s">
        <v>1486</v>
      </c>
      <c r="B217" s="975"/>
      <c r="C217" s="975"/>
      <c r="D217" s="976"/>
      <c r="E217" s="977"/>
    </row>
    <row r="218" spans="1:5" x14ac:dyDescent="0.25">
      <c r="A218" s="978" t="s">
        <v>997</v>
      </c>
      <c r="B218" s="978"/>
      <c r="C218" s="978"/>
      <c r="D218" s="978"/>
      <c r="E218" s="978"/>
    </row>
    <row r="219" spans="1:5" x14ac:dyDescent="0.25">
      <c r="A219" s="979"/>
      <c r="B219" s="979"/>
      <c r="C219" s="979"/>
      <c r="D219" s="979"/>
      <c r="E219" s="979"/>
    </row>
    <row r="220" spans="1:5" x14ac:dyDescent="0.25">
      <c r="A220" s="979"/>
      <c r="B220" s="979"/>
      <c r="C220" s="979"/>
      <c r="D220" s="979"/>
      <c r="E220" s="979"/>
    </row>
    <row r="221" spans="1:5" x14ac:dyDescent="0.25">
      <c r="A221" s="979"/>
      <c r="B221" s="979"/>
      <c r="C221" s="979"/>
      <c r="D221" s="979"/>
      <c r="E221" s="979"/>
    </row>
    <row r="222" spans="1:5" x14ac:dyDescent="0.25">
      <c r="A222" s="979"/>
      <c r="B222" s="979"/>
      <c r="C222" s="979"/>
      <c r="D222" s="979"/>
      <c r="E222" s="979"/>
    </row>
    <row r="223" spans="1:5" x14ac:dyDescent="0.25">
      <c r="A223" s="979"/>
      <c r="B223" s="979"/>
      <c r="C223" s="979"/>
      <c r="D223" s="979"/>
      <c r="E223" s="979"/>
    </row>
    <row r="224" spans="1:5" x14ac:dyDescent="0.25">
      <c r="A224" s="979"/>
      <c r="B224" s="979"/>
      <c r="C224" s="979"/>
      <c r="D224" s="979"/>
      <c r="E224" s="979"/>
    </row>
    <row r="225" spans="1:5" x14ac:dyDescent="0.25">
      <c r="A225" s="979"/>
      <c r="B225" s="979"/>
      <c r="C225" s="979"/>
      <c r="D225" s="979"/>
      <c r="E225" s="979"/>
    </row>
    <row r="226" spans="1:5" x14ac:dyDescent="0.25">
      <c r="A226" s="979"/>
      <c r="B226" s="979"/>
      <c r="C226" s="979"/>
      <c r="D226" s="979"/>
      <c r="E226" s="979"/>
    </row>
    <row r="227" spans="1:5" x14ac:dyDescent="0.25">
      <c r="A227" s="979"/>
      <c r="B227" s="979"/>
      <c r="C227" s="979"/>
      <c r="D227" s="979"/>
      <c r="E227" s="979"/>
    </row>
    <row r="228" spans="1:5" x14ac:dyDescent="0.25">
      <c r="A228" s="979"/>
      <c r="B228" s="979"/>
      <c r="C228" s="979"/>
      <c r="D228" s="979"/>
      <c r="E228" s="979"/>
    </row>
    <row r="229" spans="1:5" x14ac:dyDescent="0.25">
      <c r="A229" s="979"/>
      <c r="B229" s="979"/>
      <c r="C229" s="979"/>
      <c r="D229" s="979"/>
      <c r="E229" s="979"/>
    </row>
    <row r="230" spans="1:5" x14ac:dyDescent="0.25">
      <c r="A230" s="979"/>
      <c r="B230" s="979"/>
      <c r="C230" s="979"/>
      <c r="D230" s="979"/>
      <c r="E230" s="979"/>
    </row>
    <row r="231" spans="1:5" x14ac:dyDescent="0.25">
      <c r="A231" s="979"/>
      <c r="B231" s="979"/>
      <c r="C231" s="979"/>
      <c r="D231" s="979"/>
      <c r="E231" s="979"/>
    </row>
    <row r="232" spans="1:5" x14ac:dyDescent="0.25">
      <c r="A232" s="979"/>
      <c r="B232" s="979"/>
      <c r="C232" s="979"/>
      <c r="D232" s="979"/>
      <c r="E232" s="979"/>
    </row>
    <row r="233" spans="1:5" x14ac:dyDescent="0.25">
      <c r="A233" s="979"/>
      <c r="B233" s="979"/>
      <c r="C233" s="979"/>
      <c r="D233" s="979"/>
      <c r="E233" s="979"/>
    </row>
    <row r="234" spans="1:5" x14ac:dyDescent="0.25">
      <c r="A234" s="979"/>
      <c r="B234" s="979"/>
      <c r="C234" s="979"/>
      <c r="D234" s="979"/>
      <c r="E234" s="979"/>
    </row>
    <row r="235" spans="1:5" x14ac:dyDescent="0.25">
      <c r="A235" s="979"/>
      <c r="B235" s="979"/>
      <c r="C235" s="979"/>
      <c r="D235" s="979"/>
      <c r="E235" s="979"/>
    </row>
    <row r="236" spans="1:5" x14ac:dyDescent="0.25">
      <c r="A236" s="979"/>
      <c r="B236" s="979"/>
      <c r="C236" s="979"/>
      <c r="D236" s="979"/>
      <c r="E236" s="979"/>
    </row>
    <row r="237" spans="1:5" x14ac:dyDescent="0.25">
      <c r="A237" s="979"/>
      <c r="B237" s="979"/>
      <c r="C237" s="979"/>
      <c r="D237" s="979"/>
      <c r="E237" s="979"/>
    </row>
    <row r="238" spans="1:5" x14ac:dyDescent="0.25">
      <c r="A238" s="979"/>
      <c r="B238" s="979"/>
      <c r="C238" s="979"/>
      <c r="D238" s="979"/>
      <c r="E238" s="979"/>
    </row>
    <row r="239" spans="1:5" x14ac:dyDescent="0.25">
      <c r="A239" s="979"/>
      <c r="B239" s="979"/>
      <c r="C239" s="979"/>
      <c r="D239" s="979"/>
      <c r="E239" s="979"/>
    </row>
    <row r="240" spans="1:5" x14ac:dyDescent="0.25">
      <c r="A240" s="979"/>
      <c r="B240" s="979"/>
      <c r="C240" s="979"/>
      <c r="D240" s="979"/>
      <c r="E240" s="979"/>
    </row>
    <row r="241" spans="1:5" x14ac:dyDescent="0.25">
      <c r="A241" s="966" t="s">
        <v>1486</v>
      </c>
      <c r="B241" s="966"/>
      <c r="C241" s="966"/>
      <c r="D241" s="966"/>
      <c r="E241" s="966"/>
    </row>
    <row r="242" spans="1:5" x14ac:dyDescent="0.25">
      <c r="A242" s="967" t="s">
        <v>998</v>
      </c>
      <c r="B242" s="1019"/>
      <c r="C242" s="1019"/>
      <c r="D242" s="968"/>
      <c r="E242" s="229" t="s">
        <v>1293</v>
      </c>
    </row>
    <row r="243" spans="1:5" x14ac:dyDescent="0.25">
      <c r="A243" s="969" t="s">
        <v>1288</v>
      </c>
      <c r="B243" s="1087"/>
      <c r="C243" s="1087"/>
      <c r="D243" s="970"/>
      <c r="E243" s="232">
        <v>4.34</v>
      </c>
    </row>
    <row r="244" spans="1:5" x14ac:dyDescent="0.25">
      <c r="A244" s="971" t="s">
        <v>1001</v>
      </c>
      <c r="B244" s="972"/>
      <c r="C244" s="972"/>
      <c r="D244" s="973"/>
      <c r="E244" s="238">
        <f>SUM(E242:E243)</f>
        <v>4.34</v>
      </c>
    </row>
    <row r="245" spans="1:5" x14ac:dyDescent="0.25">
      <c r="A245" s="995" t="s">
        <v>1270</v>
      </c>
      <c r="B245" s="996"/>
      <c r="C245" s="996"/>
      <c r="D245" s="997"/>
      <c r="E245" s="233">
        <f>E244</f>
        <v>4.34</v>
      </c>
    </row>
    <row r="246" spans="1:5" x14ac:dyDescent="0.25">
      <c r="A246" s="974" t="s">
        <v>1487</v>
      </c>
      <c r="B246" s="975"/>
      <c r="C246" s="975"/>
      <c r="D246" s="976"/>
      <c r="E246" s="977"/>
    </row>
    <row r="247" spans="1:5" x14ac:dyDescent="0.25">
      <c r="A247" s="978" t="s">
        <v>997</v>
      </c>
      <c r="B247" s="978"/>
      <c r="C247" s="978"/>
      <c r="D247" s="978"/>
      <c r="E247" s="978"/>
    </row>
    <row r="248" spans="1:5" x14ac:dyDescent="0.25">
      <c r="A248" s="979"/>
      <c r="B248" s="979"/>
      <c r="C248" s="979"/>
      <c r="D248" s="979"/>
      <c r="E248" s="979"/>
    </row>
    <row r="249" spans="1:5" x14ac:dyDescent="0.25">
      <c r="A249" s="979"/>
      <c r="B249" s="979"/>
      <c r="C249" s="979"/>
      <c r="D249" s="979"/>
      <c r="E249" s="979"/>
    </row>
    <row r="250" spans="1:5" x14ac:dyDescent="0.25">
      <c r="A250" s="979"/>
      <c r="B250" s="979"/>
      <c r="C250" s="979"/>
      <c r="D250" s="979"/>
      <c r="E250" s="979"/>
    </row>
    <row r="251" spans="1:5" x14ac:dyDescent="0.25">
      <c r="A251" s="979"/>
      <c r="B251" s="979"/>
      <c r="C251" s="979"/>
      <c r="D251" s="979"/>
      <c r="E251" s="979"/>
    </row>
    <row r="252" spans="1:5" x14ac:dyDescent="0.25">
      <c r="A252" s="979"/>
      <c r="B252" s="979"/>
      <c r="C252" s="979"/>
      <c r="D252" s="979"/>
      <c r="E252" s="979"/>
    </row>
    <row r="253" spans="1:5" x14ac:dyDescent="0.25">
      <c r="A253" s="979"/>
      <c r="B253" s="979"/>
      <c r="C253" s="979"/>
      <c r="D253" s="979"/>
      <c r="E253" s="979"/>
    </row>
    <row r="254" spans="1:5" x14ac:dyDescent="0.25">
      <c r="A254" s="979"/>
      <c r="B254" s="979"/>
      <c r="C254" s="979"/>
      <c r="D254" s="979"/>
      <c r="E254" s="979"/>
    </row>
    <row r="255" spans="1:5" x14ac:dyDescent="0.25">
      <c r="A255" s="979"/>
      <c r="B255" s="979"/>
      <c r="C255" s="979"/>
      <c r="D255" s="979"/>
      <c r="E255" s="979"/>
    </row>
    <row r="256" spans="1:5" x14ac:dyDescent="0.25">
      <c r="A256" s="979"/>
      <c r="B256" s="979"/>
      <c r="C256" s="979"/>
      <c r="D256" s="979"/>
      <c r="E256" s="979"/>
    </row>
    <row r="257" spans="1:5" x14ac:dyDescent="0.25">
      <c r="A257" s="979"/>
      <c r="B257" s="979"/>
      <c r="C257" s="979"/>
      <c r="D257" s="979"/>
      <c r="E257" s="979"/>
    </row>
    <row r="258" spans="1:5" x14ac:dyDescent="0.25">
      <c r="A258" s="979"/>
      <c r="B258" s="979"/>
      <c r="C258" s="979"/>
      <c r="D258" s="979"/>
      <c r="E258" s="979"/>
    </row>
    <row r="259" spans="1:5" x14ac:dyDescent="0.25">
      <c r="A259" s="979"/>
      <c r="B259" s="979"/>
      <c r="C259" s="979"/>
      <c r="D259" s="979"/>
      <c r="E259" s="979"/>
    </row>
    <row r="260" spans="1:5" x14ac:dyDescent="0.25">
      <c r="A260" s="979"/>
      <c r="B260" s="979"/>
      <c r="C260" s="979"/>
      <c r="D260" s="979"/>
      <c r="E260" s="979"/>
    </row>
    <row r="261" spans="1:5" x14ac:dyDescent="0.25">
      <c r="A261" s="979"/>
      <c r="B261" s="979"/>
      <c r="C261" s="979"/>
      <c r="D261" s="979"/>
      <c r="E261" s="979"/>
    </row>
    <row r="262" spans="1:5" x14ac:dyDescent="0.25">
      <c r="A262" s="979"/>
      <c r="B262" s="979"/>
      <c r="C262" s="979"/>
      <c r="D262" s="979"/>
      <c r="E262" s="979"/>
    </row>
    <row r="263" spans="1:5" x14ac:dyDescent="0.25">
      <c r="A263" s="979"/>
      <c r="B263" s="979"/>
      <c r="C263" s="979"/>
      <c r="D263" s="979"/>
      <c r="E263" s="979"/>
    </row>
    <row r="264" spans="1:5" x14ac:dyDescent="0.25">
      <c r="A264" s="979"/>
      <c r="B264" s="979"/>
      <c r="C264" s="979"/>
      <c r="D264" s="979"/>
      <c r="E264" s="979"/>
    </row>
    <row r="265" spans="1:5" x14ac:dyDescent="0.25">
      <c r="A265" s="979"/>
      <c r="B265" s="979"/>
      <c r="C265" s="979"/>
      <c r="D265" s="979"/>
      <c r="E265" s="979"/>
    </row>
    <row r="266" spans="1:5" x14ac:dyDescent="0.25">
      <c r="A266" s="979"/>
      <c r="B266" s="979"/>
      <c r="C266" s="979"/>
      <c r="D266" s="979"/>
      <c r="E266" s="979"/>
    </row>
    <row r="267" spans="1:5" x14ac:dyDescent="0.25">
      <c r="A267" s="979"/>
      <c r="B267" s="979"/>
      <c r="C267" s="979"/>
      <c r="D267" s="979"/>
      <c r="E267" s="979"/>
    </row>
    <row r="268" spans="1:5" x14ac:dyDescent="0.25">
      <c r="A268" s="979"/>
      <c r="B268" s="979"/>
      <c r="C268" s="979"/>
      <c r="D268" s="979"/>
      <c r="E268" s="979"/>
    </row>
    <row r="269" spans="1:5" x14ac:dyDescent="0.25">
      <c r="A269" s="979"/>
      <c r="B269" s="979"/>
      <c r="C269" s="979"/>
      <c r="D269" s="979"/>
      <c r="E269" s="979"/>
    </row>
    <row r="270" spans="1:5" x14ac:dyDescent="0.25">
      <c r="A270" s="966" t="s">
        <v>1487</v>
      </c>
      <c r="B270" s="966"/>
      <c r="C270" s="966"/>
      <c r="D270" s="966"/>
      <c r="E270" s="966"/>
    </row>
    <row r="271" spans="1:5" x14ac:dyDescent="0.25">
      <c r="A271" s="1084" t="s">
        <v>1415</v>
      </c>
      <c r="B271" s="1086"/>
      <c r="C271" s="967" t="s">
        <v>998</v>
      </c>
      <c r="D271" s="968"/>
      <c r="E271" s="229" t="s">
        <v>199</v>
      </c>
    </row>
    <row r="272" spans="1:5" x14ac:dyDescent="0.25">
      <c r="A272" s="969" t="s">
        <v>1488</v>
      </c>
      <c r="B272" s="970"/>
      <c r="C272" s="1199" t="s">
        <v>1489</v>
      </c>
      <c r="D272" s="1200"/>
      <c r="E272" s="309">
        <f>((91.84+141)+((91.84+141)*10%))*4</f>
        <v>1024.4960000000001</v>
      </c>
    </row>
    <row r="273" spans="1:7" x14ac:dyDescent="0.25">
      <c r="A273" s="969" t="s">
        <v>1477</v>
      </c>
      <c r="B273" s="970"/>
      <c r="C273" s="1165" t="s">
        <v>1490</v>
      </c>
      <c r="D273" s="1166"/>
      <c r="E273" s="250">
        <f>((14.11+22.05)+((14.11+22.05)*10%))*4</f>
        <v>159.10399999999998</v>
      </c>
    </row>
    <row r="274" spans="1:7" x14ac:dyDescent="0.25">
      <c r="A274" s="1190"/>
      <c r="B274" s="1190"/>
      <c r="C274" s="1190"/>
      <c r="D274" s="1190"/>
      <c r="E274" s="1190"/>
    </row>
    <row r="275" spans="1:7" x14ac:dyDescent="0.25">
      <c r="A275" s="1032" t="s">
        <v>1491</v>
      </c>
      <c r="B275" s="1033"/>
      <c r="C275" s="1033"/>
      <c r="D275" s="1034"/>
      <c r="E275" s="310">
        <f>E272</f>
        <v>1024.4960000000001</v>
      </c>
    </row>
    <row r="276" spans="1:7" x14ac:dyDescent="0.25">
      <c r="A276" s="1191" t="s">
        <v>1479</v>
      </c>
      <c r="B276" s="1192"/>
      <c r="C276" s="1192"/>
      <c r="D276" s="1193"/>
      <c r="E276" s="308">
        <f>E273</f>
        <v>159.10399999999998</v>
      </c>
    </row>
    <row r="277" spans="1:7" x14ac:dyDescent="0.25">
      <c r="A277" s="995" t="s">
        <v>1270</v>
      </c>
      <c r="B277" s="996"/>
      <c r="C277" s="996"/>
      <c r="D277" s="997"/>
      <c r="E277" s="233">
        <f>SUM(E272:E274)</f>
        <v>1183.6000000000001</v>
      </c>
      <c r="F277" s="290">
        <f>SUM(E275:E276)</f>
        <v>1183.6000000000001</v>
      </c>
      <c r="G277">
        <f>SUM(466+720)</f>
        <v>1186</v>
      </c>
    </row>
    <row r="278" spans="1:7" x14ac:dyDescent="0.25">
      <c r="A278" s="974" t="s">
        <v>1492</v>
      </c>
      <c r="B278" s="975"/>
      <c r="C278" s="975"/>
      <c r="D278" s="976"/>
      <c r="E278" s="977"/>
    </row>
    <row r="279" spans="1:7" x14ac:dyDescent="0.25">
      <c r="A279" s="978" t="s">
        <v>997</v>
      </c>
      <c r="B279" s="978"/>
      <c r="C279" s="978"/>
      <c r="D279" s="978"/>
      <c r="E279" s="978"/>
    </row>
    <row r="280" spans="1:7" x14ac:dyDescent="0.25">
      <c r="A280" s="979"/>
      <c r="B280" s="979"/>
      <c r="C280" s="979"/>
      <c r="D280" s="979"/>
      <c r="E280" s="979"/>
    </row>
    <row r="281" spans="1:7" x14ac:dyDescent="0.25">
      <c r="A281" s="979"/>
      <c r="B281" s="979"/>
      <c r="C281" s="979"/>
      <c r="D281" s="979"/>
      <c r="E281" s="979"/>
    </row>
    <row r="282" spans="1:7" x14ac:dyDescent="0.25">
      <c r="A282" s="979"/>
      <c r="B282" s="979"/>
      <c r="C282" s="979"/>
      <c r="D282" s="979"/>
      <c r="E282" s="979"/>
    </row>
    <row r="283" spans="1:7" x14ac:dyDescent="0.25">
      <c r="A283" s="979"/>
      <c r="B283" s="979"/>
      <c r="C283" s="979"/>
      <c r="D283" s="979"/>
      <c r="E283" s="979"/>
    </row>
    <row r="284" spans="1:7" x14ac:dyDescent="0.25">
      <c r="A284" s="979"/>
      <c r="B284" s="979"/>
      <c r="C284" s="979"/>
      <c r="D284" s="979"/>
      <c r="E284" s="979"/>
    </row>
    <row r="285" spans="1:7" x14ac:dyDescent="0.25">
      <c r="A285" s="979"/>
      <c r="B285" s="979"/>
      <c r="C285" s="979"/>
      <c r="D285" s="979"/>
      <c r="E285" s="979"/>
    </row>
    <row r="286" spans="1:7" x14ac:dyDescent="0.25">
      <c r="A286" s="979"/>
      <c r="B286" s="979"/>
      <c r="C286" s="979"/>
      <c r="D286" s="979"/>
      <c r="E286" s="979"/>
    </row>
    <row r="287" spans="1:7" x14ac:dyDescent="0.25">
      <c r="A287" s="979"/>
      <c r="B287" s="979"/>
      <c r="C287" s="979"/>
      <c r="D287" s="979"/>
      <c r="E287" s="979"/>
    </row>
    <row r="288" spans="1:7" x14ac:dyDescent="0.25">
      <c r="A288" s="979"/>
      <c r="B288" s="979"/>
      <c r="C288" s="979"/>
      <c r="D288" s="979"/>
      <c r="E288" s="979"/>
    </row>
    <row r="289" spans="1:5" x14ac:dyDescent="0.25">
      <c r="A289" s="979"/>
      <c r="B289" s="979"/>
      <c r="C289" s="979"/>
      <c r="D289" s="979"/>
      <c r="E289" s="979"/>
    </row>
    <row r="290" spans="1:5" x14ac:dyDescent="0.25">
      <c r="A290" s="979"/>
      <c r="B290" s="979"/>
      <c r="C290" s="979"/>
      <c r="D290" s="979"/>
      <c r="E290" s="979"/>
    </row>
    <row r="291" spans="1:5" x14ac:dyDescent="0.25">
      <c r="A291" s="979"/>
      <c r="B291" s="979"/>
      <c r="C291" s="979"/>
      <c r="D291" s="979"/>
      <c r="E291" s="979"/>
    </row>
    <row r="292" spans="1:5" x14ac:dyDescent="0.25">
      <c r="A292" s="966" t="s">
        <v>1492</v>
      </c>
      <c r="B292" s="966"/>
      <c r="C292" s="966"/>
      <c r="D292" s="966"/>
      <c r="E292" s="966"/>
    </row>
    <row r="293" spans="1:5" x14ac:dyDescent="0.25">
      <c r="A293" s="967" t="s">
        <v>998</v>
      </c>
      <c r="B293" s="1019"/>
      <c r="C293" s="1019"/>
      <c r="D293" s="968"/>
      <c r="E293" s="229" t="s">
        <v>1003</v>
      </c>
    </row>
    <row r="294" spans="1:5" x14ac:dyDescent="0.25">
      <c r="A294" s="969" t="s">
        <v>1288</v>
      </c>
      <c r="B294" s="1087"/>
      <c r="C294" s="1087"/>
      <c r="D294" s="970"/>
      <c r="E294" s="232">
        <v>93.52</v>
      </c>
    </row>
    <row r="295" spans="1:5" x14ac:dyDescent="0.25">
      <c r="A295" s="971" t="s">
        <v>1001</v>
      </c>
      <c r="B295" s="972"/>
      <c r="C295" s="972"/>
      <c r="D295" s="973"/>
      <c r="E295" s="238">
        <f>SUM(E293:E294)</f>
        <v>93.52</v>
      </c>
    </row>
    <row r="296" spans="1:5" x14ac:dyDescent="0.25">
      <c r="A296" s="995" t="s">
        <v>1270</v>
      </c>
      <c r="B296" s="996"/>
      <c r="C296" s="996"/>
      <c r="D296" s="997"/>
      <c r="E296" s="233">
        <f>E295</f>
        <v>93.52</v>
      </c>
    </row>
    <row r="297" spans="1:5" x14ac:dyDescent="0.25">
      <c r="A297" s="974" t="s">
        <v>1493</v>
      </c>
      <c r="B297" s="975"/>
      <c r="C297" s="975"/>
      <c r="D297" s="976"/>
      <c r="E297" s="977"/>
    </row>
    <row r="298" spans="1:5" x14ac:dyDescent="0.25">
      <c r="A298" s="978" t="s">
        <v>997</v>
      </c>
      <c r="B298" s="978"/>
      <c r="C298" s="978"/>
      <c r="D298" s="978"/>
      <c r="E298" s="978"/>
    </row>
    <row r="299" spans="1:5" x14ac:dyDescent="0.25">
      <c r="A299" s="979"/>
      <c r="B299" s="979"/>
      <c r="C299" s="979"/>
      <c r="D299" s="979"/>
      <c r="E299" s="979"/>
    </row>
    <row r="300" spans="1:5" x14ac:dyDescent="0.25">
      <c r="A300" s="979"/>
      <c r="B300" s="979"/>
      <c r="C300" s="979"/>
      <c r="D300" s="979"/>
      <c r="E300" s="979"/>
    </row>
    <row r="301" spans="1:5" x14ac:dyDescent="0.25">
      <c r="A301" s="979"/>
      <c r="B301" s="979"/>
      <c r="C301" s="979"/>
      <c r="D301" s="979"/>
      <c r="E301" s="979"/>
    </row>
    <row r="302" spans="1:5" x14ac:dyDescent="0.25">
      <c r="A302" s="979"/>
      <c r="B302" s="979"/>
      <c r="C302" s="979"/>
      <c r="D302" s="979"/>
      <c r="E302" s="979"/>
    </row>
    <row r="303" spans="1:5" x14ac:dyDescent="0.25">
      <c r="A303" s="979"/>
      <c r="B303" s="979"/>
      <c r="C303" s="979"/>
      <c r="D303" s="979"/>
      <c r="E303" s="979"/>
    </row>
    <row r="304" spans="1:5" x14ac:dyDescent="0.25">
      <c r="A304" s="979"/>
      <c r="B304" s="979"/>
      <c r="C304" s="979"/>
      <c r="D304" s="979"/>
      <c r="E304" s="979"/>
    </row>
    <row r="305" spans="1:5" x14ac:dyDescent="0.25">
      <c r="A305" s="979"/>
      <c r="B305" s="979"/>
      <c r="C305" s="979"/>
      <c r="D305" s="979"/>
      <c r="E305" s="979"/>
    </row>
    <row r="306" spans="1:5" x14ac:dyDescent="0.25">
      <c r="A306" s="979"/>
      <c r="B306" s="979"/>
      <c r="C306" s="979"/>
      <c r="D306" s="979"/>
      <c r="E306" s="979"/>
    </row>
    <row r="307" spans="1:5" x14ac:dyDescent="0.25">
      <c r="A307" s="979"/>
      <c r="B307" s="979"/>
      <c r="C307" s="979"/>
      <c r="D307" s="979"/>
      <c r="E307" s="979"/>
    </row>
    <row r="308" spans="1:5" x14ac:dyDescent="0.25">
      <c r="A308" s="979"/>
      <c r="B308" s="979"/>
      <c r="C308" s="979"/>
      <c r="D308" s="979"/>
      <c r="E308" s="979"/>
    </row>
    <row r="309" spans="1:5" x14ac:dyDescent="0.25">
      <c r="A309" s="979"/>
      <c r="B309" s="979"/>
      <c r="C309" s="979"/>
      <c r="D309" s="979"/>
      <c r="E309" s="979"/>
    </row>
    <row r="310" spans="1:5" x14ac:dyDescent="0.25">
      <c r="A310" s="979"/>
      <c r="B310" s="979"/>
      <c r="C310" s="979"/>
      <c r="D310" s="979"/>
      <c r="E310" s="979"/>
    </row>
    <row r="311" spans="1:5" x14ac:dyDescent="0.25">
      <c r="A311" s="979"/>
      <c r="B311" s="979"/>
      <c r="C311" s="979"/>
      <c r="D311" s="979"/>
      <c r="E311" s="979"/>
    </row>
    <row r="312" spans="1:5" x14ac:dyDescent="0.25">
      <c r="A312" s="979"/>
      <c r="B312" s="979"/>
      <c r="C312" s="979"/>
      <c r="D312" s="979"/>
      <c r="E312" s="979"/>
    </row>
    <row r="313" spans="1:5" x14ac:dyDescent="0.25">
      <c r="A313" s="966" t="s">
        <v>1493</v>
      </c>
      <c r="B313" s="966"/>
      <c r="C313" s="966"/>
      <c r="D313" s="966"/>
      <c r="E313" s="966"/>
    </row>
    <row r="314" spans="1:5" x14ac:dyDescent="0.25">
      <c r="A314" s="967" t="s">
        <v>998</v>
      </c>
      <c r="B314" s="1019"/>
      <c r="C314" s="1019"/>
      <c r="D314" s="968"/>
      <c r="E314" s="229" t="s">
        <v>1293</v>
      </c>
    </row>
    <row r="315" spans="1:5" x14ac:dyDescent="0.25">
      <c r="A315" s="969" t="s">
        <v>1288</v>
      </c>
      <c r="B315" s="1087"/>
      <c r="C315" s="1087"/>
      <c r="D315" s="970"/>
      <c r="E315" s="232">
        <v>5.91</v>
      </c>
    </row>
    <row r="316" spans="1:5" x14ac:dyDescent="0.25">
      <c r="A316" s="971" t="s">
        <v>1001</v>
      </c>
      <c r="B316" s="972"/>
      <c r="C316" s="972"/>
      <c r="D316" s="973"/>
      <c r="E316" s="238">
        <f>SUM(E314:E315)</f>
        <v>5.91</v>
      </c>
    </row>
    <row r="317" spans="1:5" x14ac:dyDescent="0.25">
      <c r="A317" s="995" t="s">
        <v>1270</v>
      </c>
      <c r="B317" s="996"/>
      <c r="C317" s="996"/>
      <c r="D317" s="997"/>
      <c r="E317" s="233">
        <f>E316</f>
        <v>5.91</v>
      </c>
    </row>
    <row r="318" spans="1:5" x14ac:dyDescent="0.25">
      <c r="A318" s="974" t="s">
        <v>1494</v>
      </c>
      <c r="B318" s="975"/>
      <c r="C318" s="975"/>
      <c r="D318" s="976"/>
      <c r="E318" s="977"/>
    </row>
    <row r="319" spans="1:5" x14ac:dyDescent="0.25">
      <c r="A319" s="978" t="s">
        <v>997</v>
      </c>
      <c r="B319" s="978"/>
      <c r="C319" s="978"/>
      <c r="D319" s="978"/>
      <c r="E319" s="978"/>
    </row>
    <row r="320" spans="1:5" x14ac:dyDescent="0.25">
      <c r="A320" s="979"/>
      <c r="B320" s="979"/>
      <c r="C320" s="979"/>
      <c r="D320" s="979"/>
      <c r="E320" s="979"/>
    </row>
    <row r="321" spans="1:5" x14ac:dyDescent="0.25">
      <c r="A321" s="979"/>
      <c r="B321" s="979"/>
      <c r="C321" s="979"/>
      <c r="D321" s="979"/>
      <c r="E321" s="979"/>
    </row>
    <row r="322" spans="1:5" x14ac:dyDescent="0.25">
      <c r="A322" s="979"/>
      <c r="B322" s="979"/>
      <c r="C322" s="979"/>
      <c r="D322" s="979"/>
      <c r="E322" s="979"/>
    </row>
    <row r="323" spans="1:5" x14ac:dyDescent="0.25">
      <c r="A323" s="979"/>
      <c r="B323" s="979"/>
      <c r="C323" s="979"/>
      <c r="D323" s="979"/>
      <c r="E323" s="979"/>
    </row>
    <row r="324" spans="1:5" x14ac:dyDescent="0.25">
      <c r="A324" s="979"/>
      <c r="B324" s="979"/>
      <c r="C324" s="979"/>
      <c r="D324" s="979"/>
      <c r="E324" s="979"/>
    </row>
    <row r="325" spans="1:5" x14ac:dyDescent="0.25">
      <c r="A325" s="979"/>
      <c r="B325" s="979"/>
      <c r="C325" s="979"/>
      <c r="D325" s="979"/>
      <c r="E325" s="979"/>
    </row>
    <row r="326" spans="1:5" x14ac:dyDescent="0.25">
      <c r="A326" s="979"/>
      <c r="B326" s="979"/>
      <c r="C326" s="979"/>
      <c r="D326" s="979"/>
      <c r="E326" s="979"/>
    </row>
    <row r="327" spans="1:5" x14ac:dyDescent="0.25">
      <c r="A327" s="979"/>
      <c r="B327" s="979"/>
      <c r="C327" s="979"/>
      <c r="D327" s="979"/>
      <c r="E327" s="979"/>
    </row>
    <row r="328" spans="1:5" x14ac:dyDescent="0.25">
      <c r="A328" s="979"/>
      <c r="B328" s="979"/>
      <c r="C328" s="979"/>
      <c r="D328" s="979"/>
      <c r="E328" s="979"/>
    </row>
    <row r="329" spans="1:5" x14ac:dyDescent="0.25">
      <c r="A329" s="979"/>
      <c r="B329" s="979"/>
      <c r="C329" s="979"/>
      <c r="D329" s="979"/>
      <c r="E329" s="979"/>
    </row>
    <row r="330" spans="1:5" x14ac:dyDescent="0.25">
      <c r="A330" s="979"/>
      <c r="B330" s="979"/>
      <c r="C330" s="979"/>
      <c r="D330" s="979"/>
      <c r="E330" s="979"/>
    </row>
    <row r="331" spans="1:5" x14ac:dyDescent="0.25">
      <c r="A331" s="979"/>
      <c r="B331" s="979"/>
      <c r="C331" s="979"/>
      <c r="D331" s="979"/>
      <c r="E331" s="979"/>
    </row>
    <row r="332" spans="1:5" x14ac:dyDescent="0.25">
      <c r="A332" s="979"/>
      <c r="B332" s="979"/>
      <c r="C332" s="979"/>
      <c r="D332" s="979"/>
      <c r="E332" s="979"/>
    </row>
    <row r="333" spans="1:5" x14ac:dyDescent="0.25">
      <c r="A333" s="979"/>
      <c r="B333" s="979"/>
      <c r="C333" s="979"/>
      <c r="D333" s="979"/>
      <c r="E333" s="979"/>
    </row>
    <row r="334" spans="1:5" x14ac:dyDescent="0.25">
      <c r="A334" s="979"/>
      <c r="B334" s="979"/>
      <c r="C334" s="979"/>
      <c r="D334" s="979"/>
      <c r="E334" s="979"/>
    </row>
    <row r="335" spans="1:5" x14ac:dyDescent="0.25">
      <c r="A335" s="979"/>
      <c r="B335" s="979"/>
      <c r="C335" s="979"/>
      <c r="D335" s="979"/>
      <c r="E335" s="979"/>
    </row>
    <row r="336" spans="1:5" x14ac:dyDescent="0.25">
      <c r="A336" s="979"/>
      <c r="B336" s="979"/>
      <c r="C336" s="979"/>
      <c r="D336" s="979"/>
      <c r="E336" s="979"/>
    </row>
    <row r="337" spans="1:5" x14ac:dyDescent="0.25">
      <c r="A337" s="979"/>
      <c r="B337" s="979"/>
      <c r="C337" s="979"/>
      <c r="D337" s="979"/>
      <c r="E337" s="979"/>
    </row>
    <row r="338" spans="1:5" x14ac:dyDescent="0.25">
      <c r="A338" s="979"/>
      <c r="B338" s="979"/>
      <c r="C338" s="979"/>
      <c r="D338" s="979"/>
      <c r="E338" s="979"/>
    </row>
    <row r="339" spans="1:5" x14ac:dyDescent="0.25">
      <c r="A339" s="979"/>
      <c r="B339" s="979"/>
      <c r="C339" s="979"/>
      <c r="D339" s="979"/>
      <c r="E339" s="979"/>
    </row>
    <row r="340" spans="1:5" x14ac:dyDescent="0.25">
      <c r="A340" s="979"/>
      <c r="B340" s="979"/>
      <c r="C340" s="979"/>
      <c r="D340" s="979"/>
      <c r="E340" s="979"/>
    </row>
    <row r="341" spans="1:5" x14ac:dyDescent="0.25">
      <c r="A341" s="979"/>
      <c r="B341" s="979"/>
      <c r="C341" s="979"/>
      <c r="D341" s="979"/>
      <c r="E341" s="979"/>
    </row>
    <row r="342" spans="1:5" x14ac:dyDescent="0.25">
      <c r="A342" s="966" t="s">
        <v>1494</v>
      </c>
      <c r="B342" s="966"/>
      <c r="C342" s="966"/>
      <c r="D342" s="966"/>
      <c r="E342" s="966"/>
    </row>
    <row r="343" spans="1:5" x14ac:dyDescent="0.25">
      <c r="A343" s="967" t="s">
        <v>998</v>
      </c>
      <c r="B343" s="1019"/>
      <c r="C343" s="1019"/>
      <c r="D343" s="968"/>
      <c r="E343" s="229" t="s">
        <v>199</v>
      </c>
    </row>
    <row r="344" spans="1:5" x14ac:dyDescent="0.25">
      <c r="A344" s="969" t="s">
        <v>1288</v>
      </c>
      <c r="B344" s="1087"/>
      <c r="C344" s="1087"/>
      <c r="D344" s="970"/>
      <c r="E344" s="232">
        <v>5135</v>
      </c>
    </row>
    <row r="345" spans="1:5" x14ac:dyDescent="0.25">
      <c r="A345" s="971" t="s">
        <v>1001</v>
      </c>
      <c r="B345" s="972"/>
      <c r="C345" s="972"/>
      <c r="D345" s="973"/>
      <c r="E345" s="238">
        <f>SUM(E343:E344)</f>
        <v>5135</v>
      </c>
    </row>
    <row r="346" spans="1:5" x14ac:dyDescent="0.25">
      <c r="A346" s="995" t="s">
        <v>1270</v>
      </c>
      <c r="B346" s="996"/>
      <c r="C346" s="996"/>
      <c r="D346" s="997"/>
      <c r="E346" s="233">
        <f>E345</f>
        <v>5135</v>
      </c>
    </row>
    <row r="347" spans="1:5" x14ac:dyDescent="0.25">
      <c r="A347" s="1010"/>
      <c r="B347" s="1011"/>
      <c r="C347" s="1011"/>
      <c r="D347" s="1011"/>
      <c r="E347" s="1012"/>
    </row>
    <row r="348" spans="1:5" x14ac:dyDescent="0.25">
      <c r="A348" s="1013"/>
      <c r="B348" s="1014"/>
      <c r="C348" s="1014"/>
      <c r="D348" s="1014"/>
      <c r="E348" s="1015"/>
    </row>
    <row r="349" spans="1:5" x14ac:dyDescent="0.25">
      <c r="A349" s="1013"/>
      <c r="B349" s="1014"/>
      <c r="C349" s="1014"/>
      <c r="D349" s="1014"/>
      <c r="E349" s="1015"/>
    </row>
    <row r="350" spans="1:5" x14ac:dyDescent="0.25">
      <c r="A350" s="1013"/>
      <c r="B350" s="1014"/>
      <c r="C350" s="1014"/>
      <c r="D350" s="1014"/>
      <c r="E350" s="1015"/>
    </row>
    <row r="351" spans="1:5" x14ac:dyDescent="0.25">
      <c r="A351" s="1013"/>
      <c r="B351" s="1014"/>
      <c r="C351" s="1014"/>
      <c r="D351" s="1014"/>
      <c r="E351" s="1015"/>
    </row>
    <row r="352" spans="1:5" x14ac:dyDescent="0.25">
      <c r="A352" s="1013"/>
      <c r="B352" s="1014"/>
      <c r="C352" s="1014"/>
      <c r="D352" s="1014"/>
      <c r="E352" s="1015"/>
    </row>
    <row r="353" spans="1:5" x14ac:dyDescent="0.25">
      <c r="A353" s="1013"/>
      <c r="B353" s="1014"/>
      <c r="C353" s="1014"/>
      <c r="D353" s="1014"/>
      <c r="E353" s="1015"/>
    </row>
    <row r="354" spans="1:5" x14ac:dyDescent="0.25">
      <c r="A354" s="1013"/>
      <c r="B354" s="1014"/>
      <c r="C354" s="1014"/>
      <c r="D354" s="1014"/>
      <c r="E354" s="1015"/>
    </row>
    <row r="355" spans="1:5" x14ac:dyDescent="0.25">
      <c r="A355" s="1013"/>
      <c r="B355" s="1014"/>
      <c r="C355" s="1014"/>
      <c r="D355" s="1014"/>
      <c r="E355" s="1015"/>
    </row>
    <row r="356" spans="1:5" x14ac:dyDescent="0.25">
      <c r="A356" s="1013"/>
      <c r="B356" s="1014"/>
      <c r="C356" s="1014"/>
      <c r="D356" s="1014"/>
      <c r="E356" s="1015"/>
    </row>
    <row r="357" spans="1:5" x14ac:dyDescent="0.25">
      <c r="A357" s="1016"/>
      <c r="B357" s="1017"/>
      <c r="C357" s="1017"/>
      <c r="D357" s="1017"/>
      <c r="E357" s="1018"/>
    </row>
  </sheetData>
  <mergeCells count="127">
    <mergeCell ref="A347:E357"/>
    <mergeCell ref="A314:D314"/>
    <mergeCell ref="A315:D315"/>
    <mergeCell ref="A316:D316"/>
    <mergeCell ref="A317:D317"/>
    <mergeCell ref="A296:D296"/>
    <mergeCell ref="A297:E297"/>
    <mergeCell ref="A298:E298"/>
    <mergeCell ref="A299:E312"/>
    <mergeCell ref="A313:E313"/>
    <mergeCell ref="A345:D345"/>
    <mergeCell ref="A346:D346"/>
    <mergeCell ref="A280:E291"/>
    <mergeCell ref="A292:E292"/>
    <mergeCell ref="A293:D293"/>
    <mergeCell ref="A294:D294"/>
    <mergeCell ref="A295:D295"/>
    <mergeCell ref="A275:D275"/>
    <mergeCell ref="A276:D276"/>
    <mergeCell ref="A277:D277"/>
    <mergeCell ref="A278:E278"/>
    <mergeCell ref="A279:E279"/>
    <mergeCell ref="A213:D213"/>
    <mergeCell ref="A214:D214"/>
    <mergeCell ref="A272:B272"/>
    <mergeCell ref="C272:D272"/>
    <mergeCell ref="A273:B273"/>
    <mergeCell ref="C273:D273"/>
    <mergeCell ref="A274:E274"/>
    <mergeCell ref="A246:E246"/>
    <mergeCell ref="A247:E247"/>
    <mergeCell ref="A248:E269"/>
    <mergeCell ref="A270:E270"/>
    <mergeCell ref="A271:B271"/>
    <mergeCell ref="C271:D271"/>
    <mergeCell ref="A241:E241"/>
    <mergeCell ref="A242:D242"/>
    <mergeCell ref="A243:D243"/>
    <mergeCell ref="A244:D244"/>
    <mergeCell ref="A245:D245"/>
    <mergeCell ref="A215:D215"/>
    <mergeCell ref="A216:D216"/>
    <mergeCell ref="A217:E217"/>
    <mergeCell ref="A218:E218"/>
    <mergeCell ref="A219:E240"/>
    <mergeCell ref="C124:D124"/>
    <mergeCell ref="A125:B125"/>
    <mergeCell ref="C125:D125"/>
    <mergeCell ref="A95:D95"/>
    <mergeCell ref="A96:D96"/>
    <mergeCell ref="A97:D97"/>
    <mergeCell ref="A98:D98"/>
    <mergeCell ref="A94:E94"/>
    <mergeCell ref="A183:B183"/>
    <mergeCell ref="C183:D183"/>
    <mergeCell ref="A156:E156"/>
    <mergeCell ref="A157:E157"/>
    <mergeCell ref="A158:E179"/>
    <mergeCell ref="A180:E180"/>
    <mergeCell ref="A126:B126"/>
    <mergeCell ref="C126:D126"/>
    <mergeCell ref="A127:E127"/>
    <mergeCell ref="A155:D155"/>
    <mergeCell ref="A133:E150"/>
    <mergeCell ref="A151:E151"/>
    <mergeCell ref="A152:D152"/>
    <mergeCell ref="A153:D153"/>
    <mergeCell ref="A154:D154"/>
    <mergeCell ref="A128:D128"/>
    <mergeCell ref="A1:E2"/>
    <mergeCell ref="A3:C3"/>
    <mergeCell ref="D3:D8"/>
    <mergeCell ref="A4:C8"/>
    <mergeCell ref="E4:E5"/>
    <mergeCell ref="E7:E8"/>
    <mergeCell ref="A40:D40"/>
    <mergeCell ref="A9:E9"/>
    <mergeCell ref="A10:E10"/>
    <mergeCell ref="A11:E32"/>
    <mergeCell ref="A33:E33"/>
    <mergeCell ref="C34:D34"/>
    <mergeCell ref="C35:D35"/>
    <mergeCell ref="C36:D36"/>
    <mergeCell ref="A38:D38"/>
    <mergeCell ref="A39:D39"/>
    <mergeCell ref="A34:B34"/>
    <mergeCell ref="A35:B35"/>
    <mergeCell ref="A36:B36"/>
    <mergeCell ref="A37:E37"/>
    <mergeCell ref="A41:E41"/>
    <mergeCell ref="A42:E42"/>
    <mergeCell ref="A43:E64"/>
    <mergeCell ref="A318:E318"/>
    <mergeCell ref="A319:E319"/>
    <mergeCell ref="A320:E341"/>
    <mergeCell ref="A342:E342"/>
    <mergeCell ref="A343:D343"/>
    <mergeCell ref="A344:D344"/>
    <mergeCell ref="A70:E70"/>
    <mergeCell ref="A71:E71"/>
    <mergeCell ref="A72:E93"/>
    <mergeCell ref="A68:D68"/>
    <mergeCell ref="A69:D69"/>
    <mergeCell ref="A66:D66"/>
    <mergeCell ref="A67:D67"/>
    <mergeCell ref="A65:E65"/>
    <mergeCell ref="A182:B182"/>
    <mergeCell ref="C182:D182"/>
    <mergeCell ref="A99:E99"/>
    <mergeCell ref="A100:E100"/>
    <mergeCell ref="A101:E122"/>
    <mergeCell ref="A123:E123"/>
    <mergeCell ref="A124:B124"/>
    <mergeCell ref="A129:D129"/>
    <mergeCell ref="A130:D130"/>
    <mergeCell ref="A131:E131"/>
    <mergeCell ref="A132:E132"/>
    <mergeCell ref="A181:B181"/>
    <mergeCell ref="C181:D181"/>
    <mergeCell ref="A189:E189"/>
    <mergeCell ref="A190:E211"/>
    <mergeCell ref="A212:E212"/>
    <mergeCell ref="A184:E184"/>
    <mergeCell ref="A185:D185"/>
    <mergeCell ref="A186:D186"/>
    <mergeCell ref="A187:D187"/>
    <mergeCell ref="A188:E188"/>
  </mergeCells>
  <pageMargins left="0.70866141732283472" right="0.70866141732283472" top="0.74803149606299213" bottom="0.74803149606299213" header="0.31496062992125984" footer="0.31496062992125984"/>
  <pageSetup paperSize="9" scale="69" fitToHeight="0" orientation="portrait" r:id="rId1"/>
  <colBreaks count="1" manualBreakCount="1">
    <brk id="7" max="1048575"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5FA0E-5F4B-4A11-BD7C-4482CD057BED}">
  <sheetPr>
    <tabColor theme="1" tint="0.34998626667073579"/>
  </sheetPr>
  <dimension ref="A1:F497"/>
  <sheetViews>
    <sheetView view="pageBreakPreview" zoomScaleNormal="80" zoomScaleSheetLayoutView="100" workbookViewId="0">
      <selection activeCell="H20" sqref="H20"/>
    </sheetView>
  </sheetViews>
  <sheetFormatPr defaultRowHeight="15" x14ac:dyDescent="0.25"/>
  <cols>
    <col min="1" max="1" width="31.42578125" customWidth="1"/>
    <col min="2" max="2" width="18" customWidth="1"/>
    <col min="3" max="3" width="18.710937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1495</v>
      </c>
      <c r="B3" s="987"/>
      <c r="C3" s="988"/>
      <c r="D3" s="989"/>
      <c r="E3" s="228" t="s">
        <v>993</v>
      </c>
    </row>
    <row r="4" spans="1:5" ht="15" customHeight="1" x14ac:dyDescent="0.25">
      <c r="A4" s="992" t="s">
        <v>983</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1496</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79"/>
      <c r="B27" s="979"/>
      <c r="C27" s="979"/>
      <c r="D27" s="979"/>
      <c r="E27" s="979"/>
    </row>
    <row r="28" spans="1:5" x14ac:dyDescent="0.25">
      <c r="A28" s="979"/>
      <c r="B28" s="979"/>
      <c r="C28" s="979"/>
      <c r="D28" s="979"/>
      <c r="E28" s="979"/>
    </row>
    <row r="29" spans="1:5" x14ac:dyDescent="0.25">
      <c r="A29" s="979"/>
      <c r="B29" s="979"/>
      <c r="C29" s="979"/>
      <c r="D29" s="979"/>
      <c r="E29" s="979"/>
    </row>
    <row r="30" spans="1:5" x14ac:dyDescent="0.25">
      <c r="A30" s="979"/>
      <c r="B30" s="979"/>
      <c r="C30" s="979"/>
      <c r="D30" s="979"/>
      <c r="E30" s="979"/>
    </row>
    <row r="31" spans="1:5" x14ac:dyDescent="0.25">
      <c r="A31" s="966" t="s">
        <v>1496</v>
      </c>
      <c r="B31" s="966"/>
      <c r="C31" s="966"/>
      <c r="D31" s="966"/>
      <c r="E31" s="966"/>
    </row>
    <row r="32" spans="1:5" x14ac:dyDescent="0.25">
      <c r="A32" s="967" t="s">
        <v>998</v>
      </c>
      <c r="B32" s="1019"/>
      <c r="C32" s="1019"/>
      <c r="D32" s="968"/>
      <c r="E32" s="229" t="s">
        <v>1003</v>
      </c>
    </row>
    <row r="33" spans="1:5" ht="30.75" customHeight="1" x14ac:dyDescent="0.25">
      <c r="A33" s="969" t="s">
        <v>1288</v>
      </c>
      <c r="B33" s="1087"/>
      <c r="C33" s="1087"/>
      <c r="D33" s="970"/>
      <c r="E33" s="232">
        <v>19.739999999999998</v>
      </c>
    </row>
    <row r="34" spans="1:5" ht="15" customHeight="1" x14ac:dyDescent="0.25">
      <c r="A34" s="971" t="s">
        <v>1001</v>
      </c>
      <c r="B34" s="972"/>
      <c r="C34" s="972"/>
      <c r="D34" s="973"/>
      <c r="E34" s="238">
        <f>E33</f>
        <v>19.739999999999998</v>
      </c>
    </row>
    <row r="35" spans="1:5" x14ac:dyDescent="0.25">
      <c r="A35" s="995" t="s">
        <v>1270</v>
      </c>
      <c r="B35" s="996"/>
      <c r="C35" s="996"/>
      <c r="D35" s="997"/>
      <c r="E35" s="233">
        <f>SUM(E33:E33)</f>
        <v>19.739999999999998</v>
      </c>
    </row>
    <row r="36" spans="1:5" x14ac:dyDescent="0.25">
      <c r="A36" s="974" t="s">
        <v>1497</v>
      </c>
      <c r="B36" s="975"/>
      <c r="C36" s="975"/>
      <c r="D36" s="976"/>
      <c r="E36" s="977"/>
    </row>
    <row r="37" spans="1:5" x14ac:dyDescent="0.25">
      <c r="A37" s="978" t="s">
        <v>997</v>
      </c>
      <c r="B37" s="978"/>
      <c r="C37" s="978"/>
      <c r="D37" s="978"/>
      <c r="E37" s="978"/>
    </row>
    <row r="38" spans="1:5" x14ac:dyDescent="0.25">
      <c r="A38" s="979"/>
      <c r="B38" s="979"/>
      <c r="C38" s="979"/>
      <c r="D38" s="979"/>
      <c r="E38" s="979"/>
    </row>
    <row r="39" spans="1:5" x14ac:dyDescent="0.25">
      <c r="A39" s="979"/>
      <c r="B39" s="979"/>
      <c r="C39" s="979"/>
      <c r="D39" s="979"/>
      <c r="E39" s="979"/>
    </row>
    <row r="40" spans="1:5" x14ac:dyDescent="0.25">
      <c r="A40" s="979"/>
      <c r="B40" s="979"/>
      <c r="C40" s="979"/>
      <c r="D40" s="979"/>
      <c r="E40" s="979"/>
    </row>
    <row r="41" spans="1:5" x14ac:dyDescent="0.25">
      <c r="A41" s="979"/>
      <c r="B41" s="979"/>
      <c r="C41" s="979"/>
      <c r="D41" s="979"/>
      <c r="E41" s="979"/>
    </row>
    <row r="42" spans="1:5" x14ac:dyDescent="0.25">
      <c r="A42" s="979"/>
      <c r="B42" s="979"/>
      <c r="C42" s="979"/>
      <c r="D42" s="979"/>
      <c r="E42" s="979"/>
    </row>
    <row r="43" spans="1:5" x14ac:dyDescent="0.25">
      <c r="A43" s="979"/>
      <c r="B43" s="979"/>
      <c r="C43" s="979"/>
      <c r="D43" s="979"/>
      <c r="E43" s="979"/>
    </row>
    <row r="44" spans="1:5" x14ac:dyDescent="0.25">
      <c r="A44" s="979"/>
      <c r="B44" s="979"/>
      <c r="C44" s="979"/>
      <c r="D44" s="979"/>
      <c r="E44" s="979"/>
    </row>
    <row r="45" spans="1:5" x14ac:dyDescent="0.25">
      <c r="A45" s="979"/>
      <c r="B45" s="979"/>
      <c r="C45" s="979"/>
      <c r="D45" s="979"/>
      <c r="E45" s="979"/>
    </row>
    <row r="46" spans="1:5" x14ac:dyDescent="0.25">
      <c r="A46" s="979"/>
      <c r="B46" s="979"/>
      <c r="C46" s="979"/>
      <c r="D46" s="979"/>
      <c r="E46" s="979"/>
    </row>
    <row r="47" spans="1:5" x14ac:dyDescent="0.25">
      <c r="A47" s="979"/>
      <c r="B47" s="979"/>
      <c r="C47" s="979"/>
      <c r="D47" s="979"/>
      <c r="E47" s="979"/>
    </row>
    <row r="48" spans="1:5" x14ac:dyDescent="0.25">
      <c r="A48" s="979"/>
      <c r="B48" s="979"/>
      <c r="C48" s="979"/>
      <c r="D48" s="979"/>
      <c r="E48" s="979"/>
    </row>
    <row r="49" spans="1:5" x14ac:dyDescent="0.25">
      <c r="A49" s="979"/>
      <c r="B49" s="979"/>
      <c r="C49" s="979"/>
      <c r="D49" s="979"/>
      <c r="E49" s="979"/>
    </row>
    <row r="50" spans="1:5" x14ac:dyDescent="0.25">
      <c r="A50" s="979"/>
      <c r="B50" s="979"/>
      <c r="C50" s="979"/>
      <c r="D50" s="979"/>
      <c r="E50" s="979"/>
    </row>
    <row r="51" spans="1:5" x14ac:dyDescent="0.25">
      <c r="A51" s="979"/>
      <c r="B51" s="979"/>
      <c r="C51" s="979"/>
      <c r="D51" s="979"/>
      <c r="E51" s="979"/>
    </row>
    <row r="52" spans="1:5" x14ac:dyDescent="0.25">
      <c r="A52" s="979"/>
      <c r="B52" s="979"/>
      <c r="C52" s="979"/>
      <c r="D52" s="979"/>
      <c r="E52" s="979"/>
    </row>
    <row r="53" spans="1:5" x14ac:dyDescent="0.25">
      <c r="A53" s="979"/>
      <c r="B53" s="979"/>
      <c r="C53" s="979"/>
      <c r="D53" s="979"/>
      <c r="E53" s="979"/>
    </row>
    <row r="54" spans="1:5" x14ac:dyDescent="0.25">
      <c r="A54" s="979"/>
      <c r="B54" s="979"/>
      <c r="C54" s="979"/>
      <c r="D54" s="979"/>
      <c r="E54" s="979"/>
    </row>
    <row r="55" spans="1:5" x14ac:dyDescent="0.25">
      <c r="A55" s="979"/>
      <c r="B55" s="979"/>
      <c r="C55" s="979"/>
      <c r="D55" s="979"/>
      <c r="E55" s="979"/>
    </row>
    <row r="56" spans="1:5" x14ac:dyDescent="0.25">
      <c r="A56" s="979"/>
      <c r="B56" s="979"/>
      <c r="C56" s="979"/>
      <c r="D56" s="979"/>
      <c r="E56" s="979"/>
    </row>
    <row r="57" spans="1:5" x14ac:dyDescent="0.25">
      <c r="A57" s="979"/>
      <c r="B57" s="979"/>
      <c r="C57" s="979"/>
      <c r="D57" s="979"/>
      <c r="E57" s="979"/>
    </row>
    <row r="58" spans="1:5" x14ac:dyDescent="0.25">
      <c r="A58" s="979"/>
      <c r="B58" s="979"/>
      <c r="C58" s="979"/>
      <c r="D58" s="979"/>
      <c r="E58" s="979"/>
    </row>
    <row r="59" spans="1:5" x14ac:dyDescent="0.25">
      <c r="A59" s="979"/>
      <c r="B59" s="979"/>
      <c r="C59" s="979"/>
      <c r="D59" s="979"/>
      <c r="E59" s="979"/>
    </row>
    <row r="60" spans="1:5" x14ac:dyDescent="0.25">
      <c r="A60" s="966" t="s">
        <v>1497</v>
      </c>
      <c r="B60" s="966"/>
      <c r="C60" s="966"/>
      <c r="D60" s="966"/>
      <c r="E60" s="966"/>
    </row>
    <row r="61" spans="1:5" x14ac:dyDescent="0.25">
      <c r="A61" s="1084" t="s">
        <v>1415</v>
      </c>
      <c r="B61" s="1086"/>
      <c r="C61" s="967" t="s">
        <v>998</v>
      </c>
      <c r="D61" s="968"/>
      <c r="E61" s="229" t="s">
        <v>199</v>
      </c>
    </row>
    <row r="62" spans="1:5" x14ac:dyDescent="0.25">
      <c r="A62" s="969" t="s">
        <v>1478</v>
      </c>
      <c r="B62" s="970"/>
      <c r="C62" s="1199" t="s">
        <v>1498</v>
      </c>
      <c r="D62" s="1200"/>
      <c r="E62" s="309">
        <v>148.59</v>
      </c>
    </row>
    <row r="63" spans="1:5" x14ac:dyDescent="0.25">
      <c r="A63" s="1190"/>
      <c r="B63" s="1190"/>
      <c r="C63" s="1190"/>
      <c r="D63" s="1190"/>
      <c r="E63" s="1190"/>
    </row>
    <row r="64" spans="1:5" x14ac:dyDescent="0.25">
      <c r="A64" s="1032" t="s">
        <v>1480</v>
      </c>
      <c r="B64" s="1033"/>
      <c r="C64" s="1033"/>
      <c r="D64" s="1034"/>
      <c r="E64" s="310">
        <f>E62</f>
        <v>148.59</v>
      </c>
    </row>
    <row r="65" spans="1:5" x14ac:dyDescent="0.25">
      <c r="A65" s="995" t="s">
        <v>1270</v>
      </c>
      <c r="B65" s="996"/>
      <c r="C65" s="996"/>
      <c r="D65" s="997"/>
      <c r="E65" s="233">
        <f>SUM(E62:E63)</f>
        <v>148.59</v>
      </c>
    </row>
    <row r="66" spans="1:5" x14ac:dyDescent="0.25">
      <c r="A66" s="974" t="s">
        <v>1458</v>
      </c>
      <c r="B66" s="975"/>
      <c r="C66" s="975"/>
      <c r="D66" s="976"/>
      <c r="E66" s="977"/>
    </row>
    <row r="67" spans="1:5" x14ac:dyDescent="0.25">
      <c r="A67" s="978" t="s">
        <v>997</v>
      </c>
      <c r="B67" s="978"/>
      <c r="C67" s="978"/>
      <c r="D67" s="978"/>
      <c r="E67" s="978"/>
    </row>
    <row r="68" spans="1:5" x14ac:dyDescent="0.25">
      <c r="A68" s="979"/>
      <c r="B68" s="979"/>
      <c r="C68" s="979"/>
      <c r="D68" s="979"/>
      <c r="E68" s="979"/>
    </row>
    <row r="69" spans="1:5" x14ac:dyDescent="0.25">
      <c r="A69" s="979"/>
      <c r="B69" s="979"/>
      <c r="C69" s="979"/>
      <c r="D69" s="979"/>
      <c r="E69" s="979"/>
    </row>
    <row r="70" spans="1:5" x14ac:dyDescent="0.25">
      <c r="A70" s="979"/>
      <c r="B70" s="979"/>
      <c r="C70" s="979"/>
      <c r="D70" s="979"/>
      <c r="E70" s="979"/>
    </row>
    <row r="71" spans="1:5" x14ac:dyDescent="0.25">
      <c r="A71" s="979"/>
      <c r="B71" s="979"/>
      <c r="C71" s="979"/>
      <c r="D71" s="979"/>
      <c r="E71" s="979"/>
    </row>
    <row r="72" spans="1:5" x14ac:dyDescent="0.25">
      <c r="A72" s="979"/>
      <c r="B72" s="979"/>
      <c r="C72" s="979"/>
      <c r="D72" s="979"/>
      <c r="E72" s="979"/>
    </row>
    <row r="73" spans="1:5" x14ac:dyDescent="0.25">
      <c r="A73" s="979"/>
      <c r="B73" s="979"/>
      <c r="C73" s="979"/>
      <c r="D73" s="979"/>
      <c r="E73" s="979"/>
    </row>
    <row r="74" spans="1:5" x14ac:dyDescent="0.25">
      <c r="A74" s="979"/>
      <c r="B74" s="979"/>
      <c r="C74" s="979"/>
      <c r="D74" s="979"/>
      <c r="E74" s="979"/>
    </row>
    <row r="75" spans="1:5" x14ac:dyDescent="0.25">
      <c r="A75" s="979"/>
      <c r="B75" s="979"/>
      <c r="C75" s="979"/>
      <c r="D75" s="979"/>
      <c r="E75" s="979"/>
    </row>
    <row r="76" spans="1:5" x14ac:dyDescent="0.25">
      <c r="A76" s="979"/>
      <c r="B76" s="979"/>
      <c r="C76" s="979"/>
      <c r="D76" s="979"/>
      <c r="E76" s="979"/>
    </row>
    <row r="77" spans="1:5" x14ac:dyDescent="0.25">
      <c r="A77" s="979"/>
      <c r="B77" s="979"/>
      <c r="C77" s="979"/>
      <c r="D77" s="979"/>
      <c r="E77" s="979"/>
    </row>
    <row r="78" spans="1:5" x14ac:dyDescent="0.25">
      <c r="A78" s="979"/>
      <c r="B78" s="979"/>
      <c r="C78" s="979"/>
      <c r="D78" s="979"/>
      <c r="E78" s="979"/>
    </row>
    <row r="79" spans="1:5" x14ac:dyDescent="0.25">
      <c r="A79" s="979"/>
      <c r="B79" s="979"/>
      <c r="C79" s="979"/>
      <c r="D79" s="979"/>
      <c r="E79" s="979"/>
    </row>
    <row r="80" spans="1:5" x14ac:dyDescent="0.25">
      <c r="A80" s="979"/>
      <c r="B80" s="979"/>
      <c r="C80" s="979"/>
      <c r="D80" s="979"/>
      <c r="E80" s="979"/>
    </row>
    <row r="81" spans="1:5" x14ac:dyDescent="0.25">
      <c r="A81" s="979"/>
      <c r="B81" s="979"/>
      <c r="C81" s="979"/>
      <c r="D81" s="979"/>
      <c r="E81" s="979"/>
    </row>
    <row r="82" spans="1:5" x14ac:dyDescent="0.25">
      <c r="A82" s="979"/>
      <c r="B82" s="979"/>
      <c r="C82" s="979"/>
      <c r="D82" s="979"/>
      <c r="E82" s="979"/>
    </row>
    <row r="83" spans="1:5" x14ac:dyDescent="0.25">
      <c r="A83" s="979"/>
      <c r="B83" s="979"/>
      <c r="C83" s="979"/>
      <c r="D83" s="979"/>
      <c r="E83" s="979"/>
    </row>
    <row r="84" spans="1:5" x14ac:dyDescent="0.25">
      <c r="A84" s="979"/>
      <c r="B84" s="979"/>
      <c r="C84" s="979"/>
      <c r="D84" s="979"/>
      <c r="E84" s="979"/>
    </row>
    <row r="85" spans="1:5" x14ac:dyDescent="0.25">
      <c r="A85" s="979"/>
      <c r="B85" s="979"/>
      <c r="C85" s="979"/>
      <c r="D85" s="979"/>
      <c r="E85" s="979"/>
    </row>
    <row r="86" spans="1:5" x14ac:dyDescent="0.25">
      <c r="A86" s="979"/>
      <c r="B86" s="979"/>
      <c r="C86" s="979"/>
      <c r="D86" s="979"/>
      <c r="E86" s="979"/>
    </row>
    <row r="87" spans="1:5" x14ac:dyDescent="0.25">
      <c r="A87" s="966" t="s">
        <v>1499</v>
      </c>
      <c r="B87" s="966"/>
      <c r="C87" s="966"/>
      <c r="D87" s="966"/>
      <c r="E87" s="966"/>
    </row>
    <row r="88" spans="1:5" x14ac:dyDescent="0.25">
      <c r="A88" s="967" t="s">
        <v>998</v>
      </c>
      <c r="B88" s="1019"/>
      <c r="C88" s="1019"/>
      <c r="D88" s="968"/>
      <c r="E88" s="229" t="s">
        <v>1293</v>
      </c>
    </row>
    <row r="89" spans="1:5" ht="14.45" customHeight="1" x14ac:dyDescent="0.25">
      <c r="A89" s="969" t="s">
        <v>1288</v>
      </c>
      <c r="B89" s="1087"/>
      <c r="C89" s="1087"/>
      <c r="D89" s="970"/>
      <c r="E89" s="232">
        <v>9.8699999999999992</v>
      </c>
    </row>
    <row r="90" spans="1:5" x14ac:dyDescent="0.25">
      <c r="A90" s="971" t="s">
        <v>1001</v>
      </c>
      <c r="B90" s="972"/>
      <c r="C90" s="972"/>
      <c r="D90" s="973"/>
      <c r="E90" s="238">
        <f>E89</f>
        <v>9.8699999999999992</v>
      </c>
    </row>
    <row r="91" spans="1:5" x14ac:dyDescent="0.25">
      <c r="A91" s="995" t="s">
        <v>1270</v>
      </c>
      <c r="B91" s="996"/>
      <c r="C91" s="996"/>
      <c r="D91" s="997"/>
      <c r="E91" s="233">
        <f>SUM(E89:E89)</f>
        <v>9.8699999999999992</v>
      </c>
    </row>
    <row r="92" spans="1:5" x14ac:dyDescent="0.25">
      <c r="A92" s="974" t="s">
        <v>1500</v>
      </c>
      <c r="B92" s="975"/>
      <c r="C92" s="975"/>
      <c r="D92" s="976"/>
      <c r="E92" s="977"/>
    </row>
    <row r="93" spans="1:5" x14ac:dyDescent="0.25">
      <c r="A93" s="978" t="s">
        <v>997</v>
      </c>
      <c r="B93" s="978"/>
      <c r="C93" s="978"/>
      <c r="D93" s="978"/>
      <c r="E93" s="978"/>
    </row>
    <row r="94" spans="1:5" x14ac:dyDescent="0.25">
      <c r="A94" s="979"/>
      <c r="B94" s="979"/>
      <c r="C94" s="979"/>
      <c r="D94" s="979"/>
      <c r="E94" s="979"/>
    </row>
    <row r="95" spans="1:5" x14ac:dyDescent="0.25">
      <c r="A95" s="979"/>
      <c r="B95" s="979"/>
      <c r="C95" s="979"/>
      <c r="D95" s="979"/>
      <c r="E95" s="979"/>
    </row>
    <row r="96" spans="1:5" x14ac:dyDescent="0.25">
      <c r="A96" s="979"/>
      <c r="B96" s="979"/>
      <c r="C96" s="979"/>
      <c r="D96" s="979"/>
      <c r="E96" s="979"/>
    </row>
    <row r="97" spans="1:5" x14ac:dyDescent="0.25">
      <c r="A97" s="979"/>
      <c r="B97" s="979"/>
      <c r="C97" s="979"/>
      <c r="D97" s="979"/>
      <c r="E97" s="979"/>
    </row>
    <row r="98" spans="1:5" x14ac:dyDescent="0.25">
      <c r="A98" s="979"/>
      <c r="B98" s="979"/>
      <c r="C98" s="979"/>
      <c r="D98" s="979"/>
      <c r="E98" s="979"/>
    </row>
    <row r="99" spans="1:5" x14ac:dyDescent="0.25">
      <c r="A99" s="979"/>
      <c r="B99" s="979"/>
      <c r="C99" s="979"/>
      <c r="D99" s="979"/>
      <c r="E99" s="979"/>
    </row>
    <row r="100" spans="1:5" x14ac:dyDescent="0.25">
      <c r="A100" s="979"/>
      <c r="B100" s="979"/>
      <c r="C100" s="979"/>
      <c r="D100" s="979"/>
      <c r="E100" s="979"/>
    </row>
    <row r="101" spans="1:5" x14ac:dyDescent="0.25">
      <c r="A101" s="979"/>
      <c r="B101" s="979"/>
      <c r="C101" s="979"/>
      <c r="D101" s="979"/>
      <c r="E101" s="979"/>
    </row>
    <row r="102" spans="1:5" x14ac:dyDescent="0.25">
      <c r="A102" s="979"/>
      <c r="B102" s="979"/>
      <c r="C102" s="979"/>
      <c r="D102" s="979"/>
      <c r="E102" s="979"/>
    </row>
    <row r="103" spans="1:5" x14ac:dyDescent="0.25">
      <c r="A103" s="979"/>
      <c r="B103" s="979"/>
      <c r="C103" s="979"/>
      <c r="D103" s="979"/>
      <c r="E103" s="979"/>
    </row>
    <row r="104" spans="1:5" x14ac:dyDescent="0.25">
      <c r="A104" s="979"/>
      <c r="B104" s="979"/>
      <c r="C104" s="979"/>
      <c r="D104" s="979"/>
      <c r="E104" s="979"/>
    </row>
    <row r="105" spans="1:5" x14ac:dyDescent="0.25">
      <c r="A105" s="979"/>
      <c r="B105" s="979"/>
      <c r="C105" s="979"/>
      <c r="D105" s="979"/>
      <c r="E105" s="979"/>
    </row>
    <row r="106" spans="1:5" x14ac:dyDescent="0.25">
      <c r="A106" s="979"/>
      <c r="B106" s="979"/>
      <c r="C106" s="979"/>
      <c r="D106" s="979"/>
      <c r="E106" s="979"/>
    </row>
    <row r="107" spans="1:5" x14ac:dyDescent="0.25">
      <c r="A107" s="979"/>
      <c r="B107" s="979"/>
      <c r="C107" s="979"/>
      <c r="D107" s="979"/>
      <c r="E107" s="979"/>
    </row>
    <row r="108" spans="1:5" x14ac:dyDescent="0.25">
      <c r="A108" s="979"/>
      <c r="B108" s="979"/>
      <c r="C108" s="979"/>
      <c r="D108" s="979"/>
      <c r="E108" s="979"/>
    </row>
    <row r="109" spans="1:5" x14ac:dyDescent="0.25">
      <c r="A109" s="979"/>
      <c r="B109" s="979"/>
      <c r="C109" s="979"/>
      <c r="D109" s="979"/>
      <c r="E109" s="979"/>
    </row>
    <row r="110" spans="1:5" x14ac:dyDescent="0.25">
      <c r="A110" s="979"/>
      <c r="B110" s="979"/>
      <c r="C110" s="979"/>
      <c r="D110" s="979"/>
      <c r="E110" s="979"/>
    </row>
    <row r="111" spans="1:5" x14ac:dyDescent="0.25">
      <c r="A111" s="979"/>
      <c r="B111" s="979"/>
      <c r="C111" s="979"/>
      <c r="D111" s="979"/>
      <c r="E111" s="979"/>
    </row>
    <row r="112" spans="1:5" x14ac:dyDescent="0.25">
      <c r="A112" s="979"/>
      <c r="B112" s="979"/>
      <c r="C112" s="979"/>
      <c r="D112" s="979"/>
      <c r="E112" s="979"/>
    </row>
    <row r="113" spans="1:5" x14ac:dyDescent="0.25">
      <c r="A113" s="979"/>
      <c r="B113" s="979"/>
      <c r="C113" s="979"/>
      <c r="D113" s="979"/>
      <c r="E113" s="979"/>
    </row>
    <row r="114" spans="1:5" x14ac:dyDescent="0.25">
      <c r="A114" s="966" t="s">
        <v>1500</v>
      </c>
      <c r="B114" s="966"/>
      <c r="C114" s="966"/>
      <c r="D114" s="966"/>
      <c r="E114" s="966"/>
    </row>
    <row r="115" spans="1:5" x14ac:dyDescent="0.25">
      <c r="A115" s="967" t="s">
        <v>998</v>
      </c>
      <c r="B115" s="1019"/>
      <c r="C115" s="1019"/>
      <c r="D115" s="968"/>
      <c r="E115" s="229" t="s">
        <v>1003</v>
      </c>
    </row>
    <row r="116" spans="1:5" x14ac:dyDescent="0.25">
      <c r="A116" s="969" t="s">
        <v>1288</v>
      </c>
      <c r="B116" s="1087"/>
      <c r="C116" s="1087"/>
      <c r="D116" s="970"/>
      <c r="E116" s="232">
        <v>29.63</v>
      </c>
    </row>
    <row r="117" spans="1:5" x14ac:dyDescent="0.25">
      <c r="A117" s="971" t="s">
        <v>1001</v>
      </c>
      <c r="B117" s="972"/>
      <c r="C117" s="972"/>
      <c r="D117" s="973"/>
      <c r="E117" s="238">
        <f>E116</f>
        <v>29.63</v>
      </c>
    </row>
    <row r="118" spans="1:5" x14ac:dyDescent="0.25">
      <c r="A118" s="995" t="s">
        <v>1270</v>
      </c>
      <c r="B118" s="996"/>
      <c r="C118" s="996"/>
      <c r="D118" s="997"/>
      <c r="E118" s="233">
        <f>SUM(E116:E116)</f>
        <v>29.63</v>
      </c>
    </row>
    <row r="119" spans="1:5" x14ac:dyDescent="0.25">
      <c r="A119" s="974" t="s">
        <v>1501</v>
      </c>
      <c r="B119" s="975"/>
      <c r="C119" s="975"/>
      <c r="D119" s="976"/>
      <c r="E119" s="977"/>
    </row>
    <row r="120" spans="1:5" x14ac:dyDescent="0.25">
      <c r="A120" s="978" t="s">
        <v>997</v>
      </c>
      <c r="B120" s="978"/>
      <c r="C120" s="978"/>
      <c r="D120" s="978"/>
      <c r="E120" s="978"/>
    </row>
    <row r="121" spans="1:5" x14ac:dyDescent="0.25">
      <c r="A121" s="979"/>
      <c r="B121" s="979"/>
      <c r="C121" s="979"/>
      <c r="D121" s="979"/>
      <c r="E121" s="979"/>
    </row>
    <row r="122" spans="1:5" x14ac:dyDescent="0.25">
      <c r="A122" s="979"/>
      <c r="B122" s="979"/>
      <c r="C122" s="979"/>
      <c r="D122" s="979"/>
      <c r="E122" s="979"/>
    </row>
    <row r="123" spans="1:5" x14ac:dyDescent="0.25">
      <c r="A123" s="979"/>
      <c r="B123" s="979"/>
      <c r="C123" s="979"/>
      <c r="D123" s="979"/>
      <c r="E123" s="979"/>
    </row>
    <row r="124" spans="1:5" x14ac:dyDescent="0.25">
      <c r="A124" s="979"/>
      <c r="B124" s="979"/>
      <c r="C124" s="979"/>
      <c r="D124" s="979"/>
      <c r="E124" s="979"/>
    </row>
    <row r="125" spans="1:5" x14ac:dyDescent="0.25">
      <c r="A125" s="979"/>
      <c r="B125" s="979"/>
      <c r="C125" s="979"/>
      <c r="D125" s="979"/>
      <c r="E125" s="979"/>
    </row>
    <row r="126" spans="1:5" x14ac:dyDescent="0.25">
      <c r="A126" s="979"/>
      <c r="B126" s="979"/>
      <c r="C126" s="979"/>
      <c r="D126" s="979"/>
      <c r="E126" s="979"/>
    </row>
    <row r="127" spans="1:5" x14ac:dyDescent="0.25">
      <c r="A127" s="979"/>
      <c r="B127" s="979"/>
      <c r="C127" s="979"/>
      <c r="D127" s="979"/>
      <c r="E127" s="979"/>
    </row>
    <row r="128" spans="1:5" x14ac:dyDescent="0.25">
      <c r="A128" s="979"/>
      <c r="B128" s="979"/>
      <c r="C128" s="979"/>
      <c r="D128" s="979"/>
      <c r="E128" s="979"/>
    </row>
    <row r="129" spans="1:5" x14ac:dyDescent="0.25">
      <c r="A129" s="979"/>
      <c r="B129" s="979"/>
      <c r="C129" s="979"/>
      <c r="D129" s="979"/>
      <c r="E129" s="979"/>
    </row>
    <row r="130" spans="1:5" x14ac:dyDescent="0.25">
      <c r="A130" s="979"/>
      <c r="B130" s="979"/>
      <c r="C130" s="979"/>
      <c r="D130" s="979"/>
      <c r="E130" s="979"/>
    </row>
    <row r="131" spans="1:5" x14ac:dyDescent="0.25">
      <c r="A131" s="979"/>
      <c r="B131" s="979"/>
      <c r="C131" s="979"/>
      <c r="D131" s="979"/>
      <c r="E131" s="979"/>
    </row>
    <row r="132" spans="1:5" x14ac:dyDescent="0.25">
      <c r="A132" s="979"/>
      <c r="B132" s="979"/>
      <c r="C132" s="979"/>
      <c r="D132" s="979"/>
      <c r="E132" s="979"/>
    </row>
    <row r="133" spans="1:5" x14ac:dyDescent="0.25">
      <c r="A133" s="979"/>
      <c r="B133" s="979"/>
      <c r="C133" s="979"/>
      <c r="D133" s="979"/>
      <c r="E133" s="979"/>
    </row>
    <row r="134" spans="1:5" x14ac:dyDescent="0.25">
      <c r="A134" s="979"/>
      <c r="B134" s="979"/>
      <c r="C134" s="979"/>
      <c r="D134" s="979"/>
      <c r="E134" s="979"/>
    </row>
    <row r="135" spans="1:5" x14ac:dyDescent="0.25">
      <c r="A135" s="979"/>
      <c r="B135" s="979"/>
      <c r="C135" s="979"/>
      <c r="D135" s="979"/>
      <c r="E135" s="979"/>
    </row>
    <row r="136" spans="1:5" x14ac:dyDescent="0.25">
      <c r="A136" s="979"/>
      <c r="B136" s="979"/>
      <c r="C136" s="979"/>
      <c r="D136" s="979"/>
      <c r="E136" s="979"/>
    </row>
    <row r="137" spans="1:5" x14ac:dyDescent="0.25">
      <c r="A137" s="979"/>
      <c r="B137" s="979"/>
      <c r="C137" s="979"/>
      <c r="D137" s="979"/>
      <c r="E137" s="979"/>
    </row>
    <row r="138" spans="1:5" x14ac:dyDescent="0.25">
      <c r="A138" s="979"/>
      <c r="B138" s="979"/>
      <c r="C138" s="979"/>
      <c r="D138" s="979"/>
      <c r="E138" s="979"/>
    </row>
    <row r="139" spans="1:5" x14ac:dyDescent="0.25">
      <c r="A139" s="979"/>
      <c r="B139" s="979"/>
      <c r="C139" s="979"/>
      <c r="D139" s="979"/>
      <c r="E139" s="979"/>
    </row>
    <row r="140" spans="1:5" x14ac:dyDescent="0.25">
      <c r="A140" s="979"/>
      <c r="B140" s="979"/>
      <c r="C140" s="979"/>
      <c r="D140" s="979"/>
      <c r="E140" s="979"/>
    </row>
    <row r="141" spans="1:5" x14ac:dyDescent="0.25">
      <c r="A141" s="979"/>
      <c r="B141" s="979"/>
      <c r="C141" s="979"/>
      <c r="D141" s="979"/>
      <c r="E141" s="979"/>
    </row>
    <row r="142" spans="1:5" x14ac:dyDescent="0.25">
      <c r="A142" s="979"/>
      <c r="B142" s="979"/>
      <c r="C142" s="979"/>
      <c r="D142" s="979"/>
      <c r="E142" s="979"/>
    </row>
    <row r="143" spans="1:5" x14ac:dyDescent="0.25">
      <c r="A143" s="966" t="s">
        <v>1501</v>
      </c>
      <c r="B143" s="966"/>
      <c r="C143" s="966"/>
      <c r="D143" s="966"/>
      <c r="E143" s="966"/>
    </row>
    <row r="144" spans="1:5" x14ac:dyDescent="0.25">
      <c r="A144" s="1084" t="s">
        <v>1415</v>
      </c>
      <c r="B144" s="1086"/>
      <c r="C144" s="967" t="s">
        <v>998</v>
      </c>
      <c r="D144" s="968"/>
      <c r="E144" s="229" t="s">
        <v>199</v>
      </c>
    </row>
    <row r="145" spans="1:5" x14ac:dyDescent="0.25">
      <c r="A145" s="969" t="s">
        <v>1502</v>
      </c>
      <c r="B145" s="970"/>
      <c r="C145" s="1096" t="s">
        <v>1498</v>
      </c>
      <c r="D145" s="1097"/>
      <c r="E145" s="255">
        <v>80</v>
      </c>
    </row>
    <row r="146" spans="1:5" x14ac:dyDescent="0.25">
      <c r="A146" s="1190"/>
      <c r="B146" s="1190"/>
      <c r="C146" s="1190"/>
      <c r="D146" s="1190"/>
      <c r="E146" s="1190"/>
    </row>
    <row r="147" spans="1:5" x14ac:dyDescent="0.25">
      <c r="A147" s="1005" t="s">
        <v>1503</v>
      </c>
      <c r="B147" s="1006"/>
      <c r="C147" s="1006"/>
      <c r="D147" s="1007"/>
      <c r="E147" s="256">
        <f>E145</f>
        <v>80</v>
      </c>
    </row>
    <row r="148" spans="1:5" x14ac:dyDescent="0.25">
      <c r="A148" s="995" t="s">
        <v>1270</v>
      </c>
      <c r="B148" s="996"/>
      <c r="C148" s="996"/>
      <c r="D148" s="997"/>
      <c r="E148" s="233">
        <f>SUM(E145:E146)</f>
        <v>80</v>
      </c>
    </row>
    <row r="149" spans="1:5" x14ac:dyDescent="0.25">
      <c r="A149" s="974" t="s">
        <v>1504</v>
      </c>
      <c r="B149" s="975"/>
      <c r="C149" s="975"/>
      <c r="D149" s="976"/>
      <c r="E149" s="977"/>
    </row>
    <row r="150" spans="1:5" x14ac:dyDescent="0.25">
      <c r="A150" s="978" t="s">
        <v>997</v>
      </c>
      <c r="B150" s="978"/>
      <c r="C150" s="978"/>
      <c r="D150" s="978"/>
      <c r="E150" s="978"/>
    </row>
    <row r="151" spans="1:5" x14ac:dyDescent="0.25">
      <c r="A151" s="979"/>
      <c r="B151" s="979"/>
      <c r="C151" s="979"/>
      <c r="D151" s="979"/>
      <c r="E151" s="979"/>
    </row>
    <row r="152" spans="1:5" x14ac:dyDescent="0.25">
      <c r="A152" s="979"/>
      <c r="B152" s="979"/>
      <c r="C152" s="979"/>
      <c r="D152" s="979"/>
      <c r="E152" s="979"/>
    </row>
    <row r="153" spans="1:5" x14ac:dyDescent="0.25">
      <c r="A153" s="979"/>
      <c r="B153" s="979"/>
      <c r="C153" s="979"/>
      <c r="D153" s="979"/>
      <c r="E153" s="979"/>
    </row>
    <row r="154" spans="1:5" x14ac:dyDescent="0.25">
      <c r="A154" s="979"/>
      <c r="B154" s="979"/>
      <c r="C154" s="979"/>
      <c r="D154" s="979"/>
      <c r="E154" s="979"/>
    </row>
    <row r="155" spans="1:5" x14ac:dyDescent="0.25">
      <c r="A155" s="979"/>
      <c r="B155" s="979"/>
      <c r="C155" s="979"/>
      <c r="D155" s="979"/>
      <c r="E155" s="979"/>
    </row>
    <row r="156" spans="1:5" x14ac:dyDescent="0.25">
      <c r="A156" s="979"/>
      <c r="B156" s="979"/>
      <c r="C156" s="979"/>
      <c r="D156" s="979"/>
      <c r="E156" s="979"/>
    </row>
    <row r="157" spans="1:5" x14ac:dyDescent="0.25">
      <c r="A157" s="979"/>
      <c r="B157" s="979"/>
      <c r="C157" s="979"/>
      <c r="D157" s="979"/>
      <c r="E157" s="979"/>
    </row>
    <row r="158" spans="1:5" x14ac:dyDescent="0.25">
      <c r="A158" s="979"/>
      <c r="B158" s="979"/>
      <c r="C158" s="979"/>
      <c r="D158" s="979"/>
      <c r="E158" s="979"/>
    </row>
    <row r="159" spans="1:5" x14ac:dyDescent="0.25">
      <c r="A159" s="979"/>
      <c r="B159" s="979"/>
      <c r="C159" s="979"/>
      <c r="D159" s="979"/>
      <c r="E159" s="979"/>
    </row>
    <row r="160" spans="1:5" x14ac:dyDescent="0.25">
      <c r="A160" s="979"/>
      <c r="B160" s="979"/>
      <c r="C160" s="979"/>
      <c r="D160" s="979"/>
      <c r="E160" s="979"/>
    </row>
    <row r="161" spans="1:5" x14ac:dyDescent="0.25">
      <c r="A161" s="979"/>
      <c r="B161" s="979"/>
      <c r="C161" s="979"/>
      <c r="D161" s="979"/>
      <c r="E161" s="979"/>
    </row>
    <row r="162" spans="1:5" x14ac:dyDescent="0.25">
      <c r="A162" s="979"/>
      <c r="B162" s="979"/>
      <c r="C162" s="979"/>
      <c r="D162" s="979"/>
      <c r="E162" s="979"/>
    </row>
    <row r="163" spans="1:5" x14ac:dyDescent="0.25">
      <c r="A163" s="979"/>
      <c r="B163" s="979"/>
      <c r="C163" s="979"/>
      <c r="D163" s="979"/>
      <c r="E163" s="979"/>
    </row>
    <row r="164" spans="1:5" x14ac:dyDescent="0.25">
      <c r="A164" s="979"/>
      <c r="B164" s="979"/>
      <c r="C164" s="979"/>
      <c r="D164" s="979"/>
      <c r="E164" s="979"/>
    </row>
    <row r="165" spans="1:5" x14ac:dyDescent="0.25">
      <c r="A165" s="979"/>
      <c r="B165" s="979"/>
      <c r="C165" s="979"/>
      <c r="D165" s="979"/>
      <c r="E165" s="979"/>
    </row>
    <row r="166" spans="1:5" x14ac:dyDescent="0.25">
      <c r="A166" s="979"/>
      <c r="B166" s="979"/>
      <c r="C166" s="979"/>
      <c r="D166" s="979"/>
      <c r="E166" s="979"/>
    </row>
    <row r="167" spans="1:5" x14ac:dyDescent="0.25">
      <c r="A167" s="979"/>
      <c r="B167" s="979"/>
      <c r="C167" s="979"/>
      <c r="D167" s="979"/>
      <c r="E167" s="979"/>
    </row>
    <row r="168" spans="1:5" x14ac:dyDescent="0.25">
      <c r="A168" s="979"/>
      <c r="B168" s="979"/>
      <c r="C168" s="979"/>
      <c r="D168" s="979"/>
      <c r="E168" s="979"/>
    </row>
    <row r="169" spans="1:5" x14ac:dyDescent="0.25">
      <c r="A169" s="966" t="s">
        <v>1504</v>
      </c>
      <c r="B169" s="966"/>
      <c r="C169" s="966"/>
      <c r="D169" s="966"/>
      <c r="E169" s="966"/>
    </row>
    <row r="170" spans="1:5" x14ac:dyDescent="0.25">
      <c r="A170" s="967" t="s">
        <v>998</v>
      </c>
      <c r="B170" s="1019"/>
      <c r="C170" s="1019"/>
      <c r="D170" s="968"/>
      <c r="E170" s="229" t="s">
        <v>1293</v>
      </c>
    </row>
    <row r="171" spans="1:5" x14ac:dyDescent="0.25">
      <c r="A171" s="969" t="s">
        <v>1288</v>
      </c>
      <c r="B171" s="1087"/>
      <c r="C171" s="1087"/>
      <c r="D171" s="970"/>
      <c r="E171" s="232">
        <v>2.0699999999999998</v>
      </c>
    </row>
    <row r="172" spans="1:5" x14ac:dyDescent="0.25">
      <c r="A172" s="971" t="s">
        <v>1001</v>
      </c>
      <c r="B172" s="972"/>
      <c r="C172" s="972"/>
      <c r="D172" s="973"/>
      <c r="E172" s="238">
        <f>E171</f>
        <v>2.0699999999999998</v>
      </c>
    </row>
    <row r="173" spans="1:5" x14ac:dyDescent="0.25">
      <c r="A173" s="995" t="s">
        <v>1270</v>
      </c>
      <c r="B173" s="996"/>
      <c r="C173" s="996"/>
      <c r="D173" s="997"/>
      <c r="E173" s="233">
        <f>SUM(E171:E171)</f>
        <v>2.0699999999999998</v>
      </c>
    </row>
    <row r="174" spans="1:5" x14ac:dyDescent="0.25">
      <c r="A174" s="1066" t="s">
        <v>1463</v>
      </c>
      <c r="B174" s="976"/>
      <c r="C174" s="976"/>
      <c r="D174" s="976"/>
      <c r="E174" s="977"/>
    </row>
    <row r="175" spans="1:5" x14ac:dyDescent="0.25">
      <c r="A175" s="978" t="s">
        <v>997</v>
      </c>
      <c r="B175" s="978"/>
      <c r="C175" s="978"/>
      <c r="D175" s="978"/>
      <c r="E175" s="978"/>
    </row>
    <row r="176" spans="1:5" x14ac:dyDescent="0.25">
      <c r="A176" s="979"/>
      <c r="B176" s="979"/>
      <c r="C176" s="979"/>
      <c r="D176" s="979"/>
      <c r="E176" s="979"/>
    </row>
    <row r="177" spans="1:5" x14ac:dyDescent="0.25">
      <c r="A177" s="979"/>
      <c r="B177" s="979"/>
      <c r="C177" s="979"/>
      <c r="D177" s="979"/>
      <c r="E177" s="979"/>
    </row>
    <row r="178" spans="1:5" x14ac:dyDescent="0.25">
      <c r="A178" s="979"/>
      <c r="B178" s="979"/>
      <c r="C178" s="979"/>
      <c r="D178" s="979"/>
      <c r="E178" s="979"/>
    </row>
    <row r="179" spans="1:5" x14ac:dyDescent="0.25">
      <c r="A179" s="979"/>
      <c r="B179" s="979"/>
      <c r="C179" s="979"/>
      <c r="D179" s="979"/>
      <c r="E179" s="979"/>
    </row>
    <row r="180" spans="1:5" x14ac:dyDescent="0.25">
      <c r="A180" s="979"/>
      <c r="B180" s="979"/>
      <c r="C180" s="979"/>
      <c r="D180" s="979"/>
      <c r="E180" s="979"/>
    </row>
    <row r="181" spans="1:5" x14ac:dyDescent="0.25">
      <c r="A181" s="979"/>
      <c r="B181" s="979"/>
      <c r="C181" s="979"/>
      <c r="D181" s="979"/>
      <c r="E181" s="979"/>
    </row>
    <row r="182" spans="1:5" x14ac:dyDescent="0.25">
      <c r="A182" s="979"/>
      <c r="B182" s="979"/>
      <c r="C182" s="979"/>
      <c r="D182" s="979"/>
      <c r="E182" s="979"/>
    </row>
    <row r="183" spans="1:5" x14ac:dyDescent="0.25">
      <c r="A183" s="979"/>
      <c r="B183" s="979"/>
      <c r="C183" s="979"/>
      <c r="D183" s="979"/>
      <c r="E183" s="979"/>
    </row>
    <row r="184" spans="1:5" x14ac:dyDescent="0.25">
      <c r="A184" s="979"/>
      <c r="B184" s="979"/>
      <c r="C184" s="979"/>
      <c r="D184" s="979"/>
      <c r="E184" s="979"/>
    </row>
    <row r="185" spans="1:5" x14ac:dyDescent="0.25">
      <c r="A185" s="979"/>
      <c r="B185" s="979"/>
      <c r="C185" s="979"/>
      <c r="D185" s="979"/>
      <c r="E185" s="979"/>
    </row>
    <row r="186" spans="1:5" x14ac:dyDescent="0.25">
      <c r="A186" s="979"/>
      <c r="B186" s="979"/>
      <c r="C186" s="979"/>
      <c r="D186" s="979"/>
      <c r="E186" s="979"/>
    </row>
    <row r="187" spans="1:5" x14ac:dyDescent="0.25">
      <c r="A187" s="979"/>
      <c r="B187" s="979"/>
      <c r="C187" s="979"/>
      <c r="D187" s="979"/>
      <c r="E187" s="979"/>
    </row>
    <row r="188" spans="1:5" x14ac:dyDescent="0.25">
      <c r="A188" s="979"/>
      <c r="B188" s="979"/>
      <c r="C188" s="979"/>
      <c r="D188" s="979"/>
      <c r="E188" s="979"/>
    </row>
    <row r="189" spans="1:5" x14ac:dyDescent="0.25">
      <c r="A189" s="979"/>
      <c r="B189" s="979"/>
      <c r="C189" s="979"/>
      <c r="D189" s="979"/>
      <c r="E189" s="979"/>
    </row>
    <row r="190" spans="1:5" x14ac:dyDescent="0.25">
      <c r="A190" s="979"/>
      <c r="B190" s="979"/>
      <c r="C190" s="979"/>
      <c r="D190" s="979"/>
      <c r="E190" s="979"/>
    </row>
    <row r="191" spans="1:5" x14ac:dyDescent="0.25">
      <c r="A191" s="979"/>
      <c r="B191" s="979"/>
      <c r="C191" s="979"/>
      <c r="D191" s="979"/>
      <c r="E191" s="979"/>
    </row>
    <row r="192" spans="1:5" x14ac:dyDescent="0.25">
      <c r="A192" s="979"/>
      <c r="B192" s="979"/>
      <c r="C192" s="979"/>
      <c r="D192" s="979"/>
      <c r="E192" s="979"/>
    </row>
    <row r="193" spans="1:5" x14ac:dyDescent="0.25">
      <c r="A193" s="1148"/>
      <c r="B193" s="1148"/>
      <c r="C193" s="1148"/>
      <c r="D193" s="1148"/>
      <c r="E193" s="1148"/>
    </row>
    <row r="194" spans="1:5" x14ac:dyDescent="0.25">
      <c r="A194" s="1149" t="s">
        <v>1463</v>
      </c>
      <c r="B194" s="1149"/>
      <c r="C194" s="1149"/>
      <c r="D194" s="1149"/>
      <c r="E194" s="1149"/>
    </row>
    <row r="195" spans="1:5" x14ac:dyDescent="0.25">
      <c r="A195" s="1152" t="s">
        <v>998</v>
      </c>
      <c r="B195" s="1201"/>
      <c r="C195" s="1201"/>
      <c r="D195" s="1153"/>
      <c r="E195" s="276" t="s">
        <v>1464</v>
      </c>
    </row>
    <row r="196" spans="1:5" x14ac:dyDescent="0.25">
      <c r="A196" s="1202" t="s">
        <v>1505</v>
      </c>
      <c r="B196" s="1203"/>
      <c r="C196" s="1203"/>
      <c r="D196" s="1204"/>
      <c r="E196" s="283">
        <f>19.74*3.05</f>
        <v>60.206999999999994</v>
      </c>
    </row>
    <row r="197" spans="1:5" x14ac:dyDescent="0.25">
      <c r="A197" s="1104" t="s">
        <v>1001</v>
      </c>
      <c r="B197" s="1104"/>
      <c r="C197" s="1104"/>
      <c r="D197" s="1104"/>
      <c r="E197" s="238">
        <f>SUM(E195:E196)</f>
        <v>60.206999999999994</v>
      </c>
    </row>
    <row r="198" spans="1:5" x14ac:dyDescent="0.25">
      <c r="A198" s="1093" t="s">
        <v>1270</v>
      </c>
      <c r="B198" s="1093"/>
      <c r="C198" s="1093"/>
      <c r="D198" s="1093"/>
      <c r="E198" s="233">
        <f>E197</f>
        <v>60.206999999999994</v>
      </c>
    </row>
    <row r="199" spans="1:5" x14ac:dyDescent="0.25">
      <c r="A199" s="980" t="s">
        <v>991</v>
      </c>
      <c r="B199" s="981"/>
      <c r="C199" s="981"/>
      <c r="D199" s="981"/>
      <c r="E199" s="982"/>
    </row>
    <row r="200" spans="1:5" x14ac:dyDescent="0.25">
      <c r="A200" s="983"/>
      <c r="B200" s="984"/>
      <c r="C200" s="984"/>
      <c r="D200" s="984"/>
      <c r="E200" s="985"/>
    </row>
    <row r="201" spans="1:5" x14ac:dyDescent="0.25">
      <c r="A201" s="986" t="s">
        <v>828</v>
      </c>
      <c r="B201" s="987"/>
      <c r="C201" s="988"/>
      <c r="D201" s="989"/>
      <c r="E201" s="228" t="s">
        <v>993</v>
      </c>
    </row>
    <row r="202" spans="1:5" x14ac:dyDescent="0.25">
      <c r="A202" s="992" t="s">
        <v>994</v>
      </c>
      <c r="B202" s="992"/>
      <c r="C202" s="992"/>
      <c r="D202" s="990"/>
      <c r="E202" s="993"/>
    </row>
    <row r="203" spans="1:5" x14ac:dyDescent="0.25">
      <c r="A203" s="992"/>
      <c r="B203" s="992"/>
      <c r="C203" s="992"/>
      <c r="D203" s="990"/>
      <c r="E203" s="993"/>
    </row>
    <row r="204" spans="1:5" x14ac:dyDescent="0.25">
      <c r="A204" s="992"/>
      <c r="B204" s="992"/>
      <c r="C204" s="992"/>
      <c r="D204" s="990"/>
      <c r="E204" s="228" t="s">
        <v>995</v>
      </c>
    </row>
    <row r="205" spans="1:5" x14ac:dyDescent="0.25">
      <c r="A205" s="992"/>
      <c r="B205" s="992"/>
      <c r="C205" s="992"/>
      <c r="D205" s="990"/>
      <c r="E205" s="994"/>
    </row>
    <row r="206" spans="1:5" x14ac:dyDescent="0.25">
      <c r="A206" s="992"/>
      <c r="B206" s="992"/>
      <c r="C206" s="992"/>
      <c r="D206" s="991"/>
      <c r="E206" s="994"/>
    </row>
    <row r="207" spans="1:5" x14ac:dyDescent="0.25">
      <c r="A207" s="974" t="s">
        <v>1506</v>
      </c>
      <c r="B207" s="975"/>
      <c r="C207" s="975"/>
      <c r="D207" s="976"/>
      <c r="E207" s="977"/>
    </row>
    <row r="208" spans="1:5" x14ac:dyDescent="0.25">
      <c r="A208" s="978" t="s">
        <v>997</v>
      </c>
      <c r="B208" s="978"/>
      <c r="C208" s="978"/>
      <c r="D208" s="978"/>
      <c r="E208" s="978"/>
    </row>
    <row r="209" spans="1:5" x14ac:dyDescent="0.25">
      <c r="A209" s="979"/>
      <c r="B209" s="979"/>
      <c r="C209" s="979"/>
      <c r="D209" s="979"/>
      <c r="E209" s="979"/>
    </row>
    <row r="210" spans="1:5" x14ac:dyDescent="0.25">
      <c r="A210" s="979"/>
      <c r="B210" s="979"/>
      <c r="C210" s="979"/>
      <c r="D210" s="979"/>
      <c r="E210" s="979"/>
    </row>
    <row r="211" spans="1:5" x14ac:dyDescent="0.25">
      <c r="A211" s="979"/>
      <c r="B211" s="979"/>
      <c r="C211" s="979"/>
      <c r="D211" s="979"/>
      <c r="E211" s="979"/>
    </row>
    <row r="212" spans="1:5" x14ac:dyDescent="0.25">
      <c r="A212" s="979"/>
      <c r="B212" s="979"/>
      <c r="C212" s="979"/>
      <c r="D212" s="979"/>
      <c r="E212" s="979"/>
    </row>
    <row r="213" spans="1:5" x14ac:dyDescent="0.25">
      <c r="A213" s="979"/>
      <c r="B213" s="979"/>
      <c r="C213" s="979"/>
      <c r="D213" s="979"/>
      <c r="E213" s="979"/>
    </row>
    <row r="214" spans="1:5" x14ac:dyDescent="0.25">
      <c r="A214" s="979"/>
      <c r="B214" s="979"/>
      <c r="C214" s="979"/>
      <c r="D214" s="979"/>
      <c r="E214" s="979"/>
    </row>
    <row r="215" spans="1:5" x14ac:dyDescent="0.25">
      <c r="A215" s="979"/>
      <c r="B215" s="979"/>
      <c r="C215" s="979"/>
      <c r="D215" s="979"/>
      <c r="E215" s="979"/>
    </row>
    <row r="216" spans="1:5" x14ac:dyDescent="0.25">
      <c r="A216" s="979"/>
      <c r="B216" s="979"/>
      <c r="C216" s="979"/>
      <c r="D216" s="979"/>
      <c r="E216" s="979"/>
    </row>
    <row r="217" spans="1:5" x14ac:dyDescent="0.25">
      <c r="A217" s="979"/>
      <c r="B217" s="979"/>
      <c r="C217" s="979"/>
      <c r="D217" s="979"/>
      <c r="E217" s="979"/>
    </row>
    <row r="218" spans="1:5" x14ac:dyDescent="0.25">
      <c r="A218" s="979"/>
      <c r="B218" s="979"/>
      <c r="C218" s="979"/>
      <c r="D218" s="979"/>
      <c r="E218" s="979"/>
    </row>
    <row r="219" spans="1:5" x14ac:dyDescent="0.25">
      <c r="A219" s="979"/>
      <c r="B219" s="979"/>
      <c r="C219" s="979"/>
      <c r="D219" s="979"/>
      <c r="E219" s="979"/>
    </row>
    <row r="220" spans="1:5" x14ac:dyDescent="0.25">
      <c r="A220" s="979"/>
      <c r="B220" s="979"/>
      <c r="C220" s="979"/>
      <c r="D220" s="979"/>
      <c r="E220" s="979"/>
    </row>
    <row r="221" spans="1:5" x14ac:dyDescent="0.25">
      <c r="A221" s="979"/>
      <c r="B221" s="979"/>
      <c r="C221" s="979"/>
      <c r="D221" s="979"/>
      <c r="E221" s="979"/>
    </row>
    <row r="222" spans="1:5" x14ac:dyDescent="0.25">
      <c r="A222" s="979"/>
      <c r="B222" s="979"/>
      <c r="C222" s="979"/>
      <c r="D222" s="979"/>
      <c r="E222" s="979"/>
    </row>
    <row r="223" spans="1:5" x14ac:dyDescent="0.25">
      <c r="A223" s="979"/>
      <c r="B223" s="979"/>
      <c r="C223" s="979"/>
      <c r="D223" s="979"/>
      <c r="E223" s="979"/>
    </row>
    <row r="224" spans="1:5" x14ac:dyDescent="0.25">
      <c r="A224" s="979"/>
      <c r="B224" s="979"/>
      <c r="C224" s="979"/>
      <c r="D224" s="979"/>
      <c r="E224" s="979"/>
    </row>
    <row r="225" spans="1:6" x14ac:dyDescent="0.25">
      <c r="A225" s="979"/>
      <c r="B225" s="979"/>
      <c r="C225" s="979"/>
      <c r="D225" s="979"/>
      <c r="E225" s="979"/>
    </row>
    <row r="226" spans="1:6" x14ac:dyDescent="0.25">
      <c r="A226" s="979"/>
      <c r="B226" s="979"/>
      <c r="C226" s="979"/>
      <c r="D226" s="979"/>
      <c r="E226" s="979"/>
    </row>
    <row r="227" spans="1:6" x14ac:dyDescent="0.25">
      <c r="A227" s="979"/>
      <c r="B227" s="979"/>
      <c r="C227" s="979"/>
      <c r="D227" s="979"/>
      <c r="E227" s="979"/>
    </row>
    <row r="228" spans="1:6" x14ac:dyDescent="0.25">
      <c r="A228" s="979"/>
      <c r="B228" s="979"/>
      <c r="C228" s="979"/>
      <c r="D228" s="979"/>
      <c r="E228" s="979"/>
    </row>
    <row r="229" spans="1:6" x14ac:dyDescent="0.25">
      <c r="A229" s="966" t="s">
        <v>1506</v>
      </c>
      <c r="B229" s="966"/>
      <c r="C229" s="966"/>
      <c r="D229" s="966"/>
      <c r="E229" s="966"/>
    </row>
    <row r="230" spans="1:6" x14ac:dyDescent="0.25">
      <c r="A230" s="967" t="s">
        <v>998</v>
      </c>
      <c r="B230" s="1019"/>
      <c r="C230" s="1019"/>
      <c r="D230" s="968"/>
      <c r="E230" s="229" t="s">
        <v>1003</v>
      </c>
    </row>
    <row r="231" spans="1:6" x14ac:dyDescent="0.25">
      <c r="A231" s="969" t="s">
        <v>1288</v>
      </c>
      <c r="B231" s="1087"/>
      <c r="C231" s="1087"/>
      <c r="D231" s="970"/>
      <c r="E231" s="232">
        <v>24.67</v>
      </c>
    </row>
    <row r="232" spans="1:6" x14ac:dyDescent="0.25">
      <c r="A232" s="971" t="s">
        <v>1001</v>
      </c>
      <c r="B232" s="972"/>
      <c r="C232" s="972"/>
      <c r="D232" s="973"/>
      <c r="E232" s="238">
        <f>E231</f>
        <v>24.67</v>
      </c>
    </row>
    <row r="233" spans="1:6" x14ac:dyDescent="0.25">
      <c r="A233" s="995" t="s">
        <v>1270</v>
      </c>
      <c r="B233" s="996"/>
      <c r="C233" s="996"/>
      <c r="D233" s="997"/>
      <c r="E233" s="233">
        <f>SUM(E231:E231)</f>
        <v>24.67</v>
      </c>
    </row>
    <row r="234" spans="1:6" x14ac:dyDescent="0.25">
      <c r="A234" s="974" t="s">
        <v>1507</v>
      </c>
      <c r="B234" s="975"/>
      <c r="C234" s="975"/>
      <c r="D234" s="976"/>
      <c r="E234" s="977"/>
    </row>
    <row r="235" spans="1:6" x14ac:dyDescent="0.25">
      <c r="A235" s="978" t="s">
        <v>997</v>
      </c>
      <c r="B235" s="978"/>
      <c r="C235" s="978"/>
      <c r="D235" s="978"/>
      <c r="E235" s="978"/>
    </row>
    <row r="236" spans="1:6" x14ac:dyDescent="0.25">
      <c r="A236" s="979"/>
      <c r="B236" s="979"/>
      <c r="C236" s="979"/>
      <c r="D236" s="979"/>
      <c r="E236" s="979"/>
    </row>
    <row r="237" spans="1:6" x14ac:dyDescent="0.25">
      <c r="A237" s="979"/>
      <c r="B237" s="979"/>
      <c r="C237" s="979"/>
      <c r="D237" s="979"/>
      <c r="E237" s="979"/>
    </row>
    <row r="238" spans="1:6" x14ac:dyDescent="0.25">
      <c r="A238" s="979"/>
      <c r="B238" s="979"/>
      <c r="C238" s="979"/>
      <c r="D238" s="979"/>
      <c r="E238" s="979"/>
      <c r="F238" t="s">
        <v>1508</v>
      </c>
    </row>
    <row r="239" spans="1:6" x14ac:dyDescent="0.25">
      <c r="A239" s="979"/>
      <c r="B239" s="979"/>
      <c r="C239" s="979"/>
      <c r="D239" s="979"/>
      <c r="E239" s="979"/>
    </row>
    <row r="240" spans="1:6" x14ac:dyDescent="0.25">
      <c r="A240" s="979"/>
      <c r="B240" s="979"/>
      <c r="C240" s="979"/>
      <c r="D240" s="979"/>
      <c r="E240" s="979"/>
    </row>
    <row r="241" spans="1:5" x14ac:dyDescent="0.25">
      <c r="A241" s="979"/>
      <c r="B241" s="979"/>
      <c r="C241" s="979"/>
      <c r="D241" s="979"/>
      <c r="E241" s="979"/>
    </row>
    <row r="242" spans="1:5" x14ac:dyDescent="0.25">
      <c r="A242" s="966" t="s">
        <v>1507</v>
      </c>
      <c r="B242" s="966"/>
      <c r="C242" s="966"/>
      <c r="D242" s="966"/>
      <c r="E242" s="966"/>
    </row>
    <row r="243" spans="1:5" x14ac:dyDescent="0.25">
      <c r="A243" s="314" t="s">
        <v>1509</v>
      </c>
      <c r="B243" s="1206" t="s">
        <v>998</v>
      </c>
      <c r="C243" s="1087"/>
      <c r="D243" s="970"/>
      <c r="E243" s="229" t="s">
        <v>1293</v>
      </c>
    </row>
    <row r="244" spans="1:5" x14ac:dyDescent="0.25">
      <c r="A244" s="230" t="s">
        <v>1510</v>
      </c>
      <c r="B244" s="1205" t="s">
        <v>1511</v>
      </c>
      <c r="C244" s="1205"/>
      <c r="D244" s="1205"/>
      <c r="E244" s="229">
        <f>(3.57+3+3+3+3+3+3)*(2.3)*(6.9-5.64)</f>
        <v>62.509860000000032</v>
      </c>
    </row>
    <row r="245" spans="1:5" x14ac:dyDescent="0.25">
      <c r="A245" s="230" t="s">
        <v>1512</v>
      </c>
      <c r="B245" s="1205" t="s">
        <v>1513</v>
      </c>
      <c r="C245" s="1205"/>
      <c r="D245" s="1205"/>
      <c r="E245" s="232">
        <f>(2.68*2)*(1.4)*(6.9-5.64)</f>
        <v>9.4550400000000039</v>
      </c>
    </row>
    <row r="246" spans="1:5" x14ac:dyDescent="0.25">
      <c r="A246" s="971" t="s">
        <v>1001</v>
      </c>
      <c r="B246" s="972"/>
      <c r="C246" s="972"/>
      <c r="D246" s="973"/>
      <c r="E246" s="238">
        <f>E245</f>
        <v>9.4550400000000039</v>
      </c>
    </row>
    <row r="247" spans="1:5" x14ac:dyDescent="0.25">
      <c r="A247" s="995" t="s">
        <v>1270</v>
      </c>
      <c r="B247" s="996"/>
      <c r="C247" s="996"/>
      <c r="D247" s="997"/>
      <c r="E247" s="233">
        <f>SUM(E244:E245)</f>
        <v>71.964900000000029</v>
      </c>
    </row>
    <row r="248" spans="1:5" x14ac:dyDescent="0.25">
      <c r="A248" s="974" t="s">
        <v>1514</v>
      </c>
      <c r="B248" s="975"/>
      <c r="C248" s="975"/>
      <c r="D248" s="976"/>
      <c r="E248" s="977"/>
    </row>
    <row r="249" spans="1:5" x14ac:dyDescent="0.25">
      <c r="A249" s="978" t="s">
        <v>997</v>
      </c>
      <c r="B249" s="978"/>
      <c r="C249" s="978"/>
      <c r="D249" s="978"/>
      <c r="E249" s="978"/>
    </row>
    <row r="250" spans="1:5" x14ac:dyDescent="0.25">
      <c r="A250" s="979"/>
      <c r="B250" s="979"/>
      <c r="C250" s="979"/>
      <c r="D250" s="979"/>
      <c r="E250" s="979"/>
    </row>
    <row r="251" spans="1:5" x14ac:dyDescent="0.25">
      <c r="A251" s="979"/>
      <c r="B251" s="979"/>
      <c r="C251" s="979"/>
      <c r="D251" s="979"/>
      <c r="E251" s="979"/>
    </row>
    <row r="252" spans="1:5" x14ac:dyDescent="0.25">
      <c r="A252" s="979"/>
      <c r="B252" s="979"/>
      <c r="C252" s="979"/>
      <c r="D252" s="979"/>
      <c r="E252" s="979"/>
    </row>
    <row r="253" spans="1:5" x14ac:dyDescent="0.25">
      <c r="A253" s="979"/>
      <c r="B253" s="979"/>
      <c r="C253" s="979"/>
      <c r="D253" s="979"/>
      <c r="E253" s="979"/>
    </row>
    <row r="254" spans="1:5" x14ac:dyDescent="0.25">
      <c r="A254" s="979"/>
      <c r="B254" s="979"/>
      <c r="C254" s="979"/>
      <c r="D254" s="979"/>
      <c r="E254" s="979"/>
    </row>
    <row r="255" spans="1:5" x14ac:dyDescent="0.25">
      <c r="A255" s="979"/>
      <c r="B255" s="979"/>
      <c r="C255" s="979"/>
      <c r="D255" s="979"/>
      <c r="E255" s="979"/>
    </row>
    <row r="256" spans="1:5" x14ac:dyDescent="0.25">
      <c r="A256" s="979"/>
      <c r="B256" s="979"/>
      <c r="C256" s="979"/>
      <c r="D256" s="979"/>
      <c r="E256" s="979"/>
    </row>
    <row r="257" spans="1:5" x14ac:dyDescent="0.25">
      <c r="A257" s="979"/>
      <c r="B257" s="979"/>
      <c r="C257" s="979"/>
      <c r="D257" s="979"/>
      <c r="E257" s="979"/>
    </row>
    <row r="258" spans="1:5" x14ac:dyDescent="0.25">
      <c r="A258" s="979"/>
      <c r="B258" s="979"/>
      <c r="C258" s="979"/>
      <c r="D258" s="979"/>
      <c r="E258" s="979"/>
    </row>
    <row r="259" spans="1:5" x14ac:dyDescent="0.25">
      <c r="A259" s="979"/>
      <c r="B259" s="979"/>
      <c r="C259" s="979"/>
      <c r="D259" s="979"/>
      <c r="E259" s="979"/>
    </row>
    <row r="260" spans="1:5" x14ac:dyDescent="0.25">
      <c r="A260" s="979"/>
      <c r="B260" s="979"/>
      <c r="C260" s="979"/>
      <c r="D260" s="979"/>
      <c r="E260" s="979"/>
    </row>
    <row r="261" spans="1:5" x14ac:dyDescent="0.25">
      <c r="A261" s="979"/>
      <c r="B261" s="979"/>
      <c r="C261" s="979"/>
      <c r="D261" s="979"/>
      <c r="E261" s="979"/>
    </row>
    <row r="262" spans="1:5" x14ac:dyDescent="0.25">
      <c r="A262" s="979"/>
      <c r="B262" s="979"/>
      <c r="C262" s="979"/>
      <c r="D262" s="979"/>
      <c r="E262" s="979"/>
    </row>
    <row r="263" spans="1:5" x14ac:dyDescent="0.25">
      <c r="A263" s="979"/>
      <c r="B263" s="979"/>
      <c r="C263" s="979"/>
      <c r="D263" s="979"/>
      <c r="E263" s="979"/>
    </row>
    <row r="264" spans="1:5" x14ac:dyDescent="0.25">
      <c r="A264" s="979"/>
      <c r="B264" s="979"/>
      <c r="C264" s="979"/>
      <c r="D264" s="979"/>
      <c r="E264" s="979"/>
    </row>
    <row r="265" spans="1:5" x14ac:dyDescent="0.25">
      <c r="A265" s="979"/>
      <c r="B265" s="979"/>
      <c r="C265" s="979"/>
      <c r="D265" s="979"/>
      <c r="E265" s="979"/>
    </row>
    <row r="266" spans="1:5" x14ac:dyDescent="0.25">
      <c r="A266" s="979"/>
      <c r="B266" s="979"/>
      <c r="C266" s="979"/>
      <c r="D266" s="979"/>
      <c r="E266" s="979"/>
    </row>
    <row r="267" spans="1:5" x14ac:dyDescent="0.25">
      <c r="A267" s="979"/>
      <c r="B267" s="979"/>
      <c r="C267" s="979"/>
      <c r="D267" s="979"/>
      <c r="E267" s="979"/>
    </row>
    <row r="268" spans="1:5" x14ac:dyDescent="0.25">
      <c r="A268" s="979"/>
      <c r="B268" s="979"/>
      <c r="C268" s="979"/>
      <c r="D268" s="979"/>
      <c r="E268" s="979"/>
    </row>
    <row r="269" spans="1:5" x14ac:dyDescent="0.25">
      <c r="A269" s="979"/>
      <c r="B269" s="979"/>
      <c r="C269" s="979"/>
      <c r="D269" s="979"/>
      <c r="E269" s="979"/>
    </row>
    <row r="270" spans="1:5" x14ac:dyDescent="0.25">
      <c r="A270" s="966" t="s">
        <v>1514</v>
      </c>
      <c r="B270" s="966"/>
      <c r="C270" s="966"/>
      <c r="D270" s="966"/>
      <c r="E270" s="966"/>
    </row>
    <row r="271" spans="1:5" x14ac:dyDescent="0.25">
      <c r="A271" s="1084" t="s">
        <v>1415</v>
      </c>
      <c r="B271" s="1086"/>
      <c r="C271" s="967" t="s">
        <v>998</v>
      </c>
      <c r="D271" s="968"/>
      <c r="E271" s="229" t="s">
        <v>199</v>
      </c>
    </row>
    <row r="272" spans="1:5" x14ac:dyDescent="0.25">
      <c r="A272" s="969" t="s">
        <v>1477</v>
      </c>
      <c r="B272" s="970"/>
      <c r="C272" s="1165" t="s">
        <v>1515</v>
      </c>
      <c r="D272" s="1166"/>
      <c r="E272" s="250">
        <v>5</v>
      </c>
    </row>
    <row r="273" spans="1:6" x14ac:dyDescent="0.25">
      <c r="A273" s="969" t="s">
        <v>1478</v>
      </c>
      <c r="B273" s="970"/>
      <c r="C273" s="1096" t="s">
        <v>1516</v>
      </c>
      <c r="D273" s="1097"/>
      <c r="E273" s="255">
        <f>145+56</f>
        <v>201</v>
      </c>
    </row>
    <row r="274" spans="1:6" x14ac:dyDescent="0.25">
      <c r="A274" s="969" t="s">
        <v>1517</v>
      </c>
      <c r="B274" s="970"/>
      <c r="C274" s="1199" t="s">
        <v>1518</v>
      </c>
      <c r="D274" s="1200"/>
      <c r="E274" s="309">
        <f>2671+315</f>
        <v>2986</v>
      </c>
    </row>
    <row r="275" spans="1:6" x14ac:dyDescent="0.25">
      <c r="A275" s="1190"/>
      <c r="B275" s="1190"/>
      <c r="C275" s="1190"/>
      <c r="D275" s="1190"/>
      <c r="E275" s="1190"/>
    </row>
    <row r="276" spans="1:6" x14ac:dyDescent="0.25">
      <c r="A276" s="1029" t="s">
        <v>1479</v>
      </c>
      <c r="B276" s="1030"/>
      <c r="C276" s="1030"/>
      <c r="D276" s="1031"/>
      <c r="E276" s="251">
        <f>E272</f>
        <v>5</v>
      </c>
    </row>
    <row r="277" spans="1:6" x14ac:dyDescent="0.25">
      <c r="A277" s="1005" t="s">
        <v>1480</v>
      </c>
      <c r="B277" s="1006"/>
      <c r="C277" s="1006"/>
      <c r="D277" s="1007"/>
      <c r="E277" s="256">
        <f>E273</f>
        <v>201</v>
      </c>
    </row>
    <row r="278" spans="1:6" x14ac:dyDescent="0.25">
      <c r="A278" s="1032" t="s">
        <v>1491</v>
      </c>
      <c r="B278" s="1033"/>
      <c r="C278" s="1033"/>
      <c r="D278" s="1034"/>
      <c r="E278" s="310">
        <f>E274</f>
        <v>2986</v>
      </c>
    </row>
    <row r="279" spans="1:6" x14ac:dyDescent="0.25">
      <c r="A279" s="995" t="s">
        <v>1270</v>
      </c>
      <c r="B279" s="996"/>
      <c r="C279" s="996"/>
      <c r="D279" s="997"/>
      <c r="E279" s="233">
        <f>SUM(E276:E278)</f>
        <v>3192</v>
      </c>
      <c r="F279" s="290">
        <f>SUM(E272:E274)</f>
        <v>3192</v>
      </c>
    </row>
    <row r="280" spans="1:6" x14ac:dyDescent="0.25">
      <c r="A280" s="974" t="s">
        <v>1519</v>
      </c>
      <c r="B280" s="975"/>
      <c r="C280" s="975"/>
      <c r="D280" s="976"/>
      <c r="E280" s="977"/>
    </row>
    <row r="281" spans="1:6" x14ac:dyDescent="0.25">
      <c r="A281" s="978" t="s">
        <v>997</v>
      </c>
      <c r="B281" s="978"/>
      <c r="C281" s="978"/>
      <c r="D281" s="978"/>
      <c r="E281" s="978"/>
    </row>
    <row r="282" spans="1:6" x14ac:dyDescent="0.25">
      <c r="A282" s="979"/>
      <c r="B282" s="979"/>
      <c r="C282" s="979"/>
      <c r="D282" s="979"/>
      <c r="E282" s="979"/>
    </row>
    <row r="283" spans="1:6" x14ac:dyDescent="0.25">
      <c r="A283" s="979"/>
      <c r="B283" s="979"/>
      <c r="C283" s="979"/>
      <c r="D283" s="979"/>
      <c r="E283" s="979"/>
    </row>
    <row r="284" spans="1:6" x14ac:dyDescent="0.25">
      <c r="A284" s="979"/>
      <c r="B284" s="979"/>
      <c r="C284" s="979"/>
      <c r="D284" s="979"/>
      <c r="E284" s="979"/>
    </row>
    <row r="285" spans="1:6" x14ac:dyDescent="0.25">
      <c r="A285" s="979"/>
      <c r="B285" s="979"/>
      <c r="C285" s="979"/>
      <c r="D285" s="979"/>
      <c r="E285" s="979"/>
    </row>
    <row r="286" spans="1:6" x14ac:dyDescent="0.25">
      <c r="A286" s="979"/>
      <c r="B286" s="979"/>
      <c r="C286" s="979"/>
      <c r="D286" s="979"/>
      <c r="E286" s="979"/>
    </row>
    <row r="287" spans="1:6" x14ac:dyDescent="0.25">
      <c r="A287" s="979"/>
      <c r="B287" s="979"/>
      <c r="C287" s="979"/>
      <c r="D287" s="979"/>
      <c r="E287" s="979"/>
    </row>
    <row r="288" spans="1:6" x14ac:dyDescent="0.25">
      <c r="A288" s="979"/>
      <c r="B288" s="979"/>
      <c r="C288" s="979"/>
      <c r="D288" s="979"/>
      <c r="E288" s="979"/>
    </row>
    <row r="289" spans="1:5" x14ac:dyDescent="0.25">
      <c r="A289" s="979"/>
      <c r="B289" s="979"/>
      <c r="C289" s="979"/>
      <c r="D289" s="979"/>
      <c r="E289" s="979"/>
    </row>
    <row r="290" spans="1:5" x14ac:dyDescent="0.25">
      <c r="A290" s="979"/>
      <c r="B290" s="979"/>
      <c r="C290" s="979"/>
      <c r="D290" s="979"/>
      <c r="E290" s="979"/>
    </row>
    <row r="291" spans="1:5" x14ac:dyDescent="0.25">
      <c r="A291" s="979"/>
      <c r="B291" s="979"/>
      <c r="C291" s="979"/>
      <c r="D291" s="979"/>
      <c r="E291" s="979"/>
    </row>
    <row r="292" spans="1:5" x14ac:dyDescent="0.25">
      <c r="A292" s="979"/>
      <c r="B292" s="979"/>
      <c r="C292" s="979"/>
      <c r="D292" s="979"/>
      <c r="E292" s="979"/>
    </row>
    <row r="293" spans="1:5" x14ac:dyDescent="0.25">
      <c r="A293" s="979"/>
      <c r="B293" s="979"/>
      <c r="C293" s="979"/>
      <c r="D293" s="979"/>
      <c r="E293" s="979"/>
    </row>
    <row r="294" spans="1:5" x14ac:dyDescent="0.25">
      <c r="A294" s="979"/>
      <c r="B294" s="979"/>
      <c r="C294" s="979"/>
      <c r="D294" s="979"/>
      <c r="E294" s="979"/>
    </row>
    <row r="295" spans="1:5" x14ac:dyDescent="0.25">
      <c r="A295" s="979"/>
      <c r="B295" s="979"/>
      <c r="C295" s="979"/>
      <c r="D295" s="979"/>
      <c r="E295" s="979"/>
    </row>
    <row r="296" spans="1:5" x14ac:dyDescent="0.25">
      <c r="A296" s="979"/>
      <c r="B296" s="979"/>
      <c r="C296" s="979"/>
      <c r="D296" s="979"/>
      <c r="E296" s="979"/>
    </row>
    <row r="297" spans="1:5" x14ac:dyDescent="0.25">
      <c r="A297" s="979"/>
      <c r="B297" s="979"/>
      <c r="C297" s="979"/>
      <c r="D297" s="979"/>
      <c r="E297" s="979"/>
    </row>
    <row r="298" spans="1:5" x14ac:dyDescent="0.25">
      <c r="A298" s="979"/>
      <c r="B298" s="979"/>
      <c r="C298" s="979"/>
      <c r="D298" s="979"/>
      <c r="E298" s="979"/>
    </row>
    <row r="299" spans="1:5" x14ac:dyDescent="0.25">
      <c r="A299" s="979"/>
      <c r="B299" s="979"/>
      <c r="C299" s="979"/>
      <c r="D299" s="979"/>
      <c r="E299" s="979"/>
    </row>
    <row r="300" spans="1:5" x14ac:dyDescent="0.25">
      <c r="A300" s="979"/>
      <c r="B300" s="979"/>
      <c r="C300" s="979"/>
      <c r="D300" s="979"/>
      <c r="E300" s="979"/>
    </row>
    <row r="301" spans="1:5" x14ac:dyDescent="0.25">
      <c r="A301" s="979"/>
      <c r="B301" s="979"/>
      <c r="C301" s="979"/>
      <c r="D301" s="979"/>
      <c r="E301" s="979"/>
    </row>
    <row r="302" spans="1:5" x14ac:dyDescent="0.25">
      <c r="A302" s="966" t="s">
        <v>1520</v>
      </c>
      <c r="B302" s="966"/>
      <c r="C302" s="966"/>
      <c r="D302" s="966"/>
      <c r="E302" s="966"/>
    </row>
    <row r="303" spans="1:5" x14ac:dyDescent="0.25">
      <c r="A303" s="967" t="s">
        <v>998</v>
      </c>
      <c r="B303" s="1019"/>
      <c r="C303" s="1019"/>
      <c r="D303" s="968"/>
      <c r="E303" s="229" t="s">
        <v>1003</v>
      </c>
    </row>
    <row r="304" spans="1:5" x14ac:dyDescent="0.25">
      <c r="A304" s="969" t="s">
        <v>1288</v>
      </c>
      <c r="B304" s="1087"/>
      <c r="C304" s="1087"/>
      <c r="D304" s="970"/>
      <c r="E304" s="232">
        <v>23.03</v>
      </c>
    </row>
    <row r="305" spans="1:5" x14ac:dyDescent="0.25">
      <c r="A305" s="971" t="s">
        <v>1001</v>
      </c>
      <c r="B305" s="972"/>
      <c r="C305" s="972"/>
      <c r="D305" s="973"/>
      <c r="E305" s="238">
        <f>E304</f>
        <v>23.03</v>
      </c>
    </row>
    <row r="306" spans="1:5" x14ac:dyDescent="0.25">
      <c r="A306" s="995" t="s">
        <v>1270</v>
      </c>
      <c r="B306" s="996"/>
      <c r="C306" s="996"/>
      <c r="D306" s="997"/>
      <c r="E306" s="233">
        <f>SUM(E304:E304)</f>
        <v>23.03</v>
      </c>
    </row>
    <row r="307" spans="1:5" x14ac:dyDescent="0.25">
      <c r="A307" s="974" t="s">
        <v>1521</v>
      </c>
      <c r="B307" s="975"/>
      <c r="C307" s="975"/>
      <c r="D307" s="976"/>
      <c r="E307" s="977"/>
    </row>
    <row r="308" spans="1:5" x14ac:dyDescent="0.25">
      <c r="A308" s="978" t="s">
        <v>997</v>
      </c>
      <c r="B308" s="978"/>
      <c r="C308" s="978"/>
      <c r="D308" s="978"/>
      <c r="E308" s="978"/>
    </row>
    <row r="309" spans="1:5" x14ac:dyDescent="0.25">
      <c r="A309" s="979"/>
      <c r="B309" s="979"/>
      <c r="C309" s="979"/>
      <c r="D309" s="979"/>
      <c r="E309" s="979"/>
    </row>
    <row r="310" spans="1:5" x14ac:dyDescent="0.25">
      <c r="A310" s="979"/>
      <c r="B310" s="979"/>
      <c r="C310" s="979"/>
      <c r="D310" s="979"/>
      <c r="E310" s="979"/>
    </row>
    <row r="311" spans="1:5" x14ac:dyDescent="0.25">
      <c r="A311" s="979"/>
      <c r="B311" s="979"/>
      <c r="C311" s="979"/>
      <c r="D311" s="979"/>
      <c r="E311" s="979"/>
    </row>
    <row r="312" spans="1:5" x14ac:dyDescent="0.25">
      <c r="A312" s="979"/>
      <c r="B312" s="979"/>
      <c r="C312" s="979"/>
      <c r="D312" s="979"/>
      <c r="E312" s="979"/>
    </row>
    <row r="313" spans="1:5" x14ac:dyDescent="0.25">
      <c r="A313" s="979"/>
      <c r="B313" s="979"/>
      <c r="C313" s="979"/>
      <c r="D313" s="979"/>
      <c r="E313" s="979"/>
    </row>
    <row r="314" spans="1:5" x14ac:dyDescent="0.25">
      <c r="A314" s="979"/>
      <c r="B314" s="979"/>
      <c r="C314" s="979"/>
      <c r="D314" s="979"/>
      <c r="E314" s="979"/>
    </row>
    <row r="315" spans="1:5" x14ac:dyDescent="0.25">
      <c r="A315" s="979"/>
      <c r="B315" s="979"/>
      <c r="C315" s="979"/>
      <c r="D315" s="979"/>
      <c r="E315" s="979"/>
    </row>
    <row r="316" spans="1:5" x14ac:dyDescent="0.25">
      <c r="A316" s="979"/>
      <c r="B316" s="979"/>
      <c r="C316" s="979"/>
      <c r="D316" s="979"/>
      <c r="E316" s="979"/>
    </row>
    <row r="317" spans="1:5" x14ac:dyDescent="0.25">
      <c r="A317" s="979"/>
      <c r="B317" s="979"/>
      <c r="C317" s="979"/>
      <c r="D317" s="979"/>
      <c r="E317" s="979"/>
    </row>
    <row r="318" spans="1:5" x14ac:dyDescent="0.25">
      <c r="A318" s="979"/>
      <c r="B318" s="979"/>
      <c r="C318" s="979"/>
      <c r="D318" s="979"/>
      <c r="E318" s="979"/>
    </row>
    <row r="319" spans="1:5" x14ac:dyDescent="0.25">
      <c r="A319" s="979"/>
      <c r="B319" s="979"/>
      <c r="C319" s="979"/>
      <c r="D319" s="979"/>
      <c r="E319" s="979"/>
    </row>
    <row r="320" spans="1:5" x14ac:dyDescent="0.25">
      <c r="A320" s="979"/>
      <c r="B320" s="979"/>
      <c r="C320" s="979"/>
      <c r="D320" s="979"/>
      <c r="E320" s="979"/>
    </row>
    <row r="321" spans="1:5" x14ac:dyDescent="0.25">
      <c r="A321" s="979"/>
      <c r="B321" s="979"/>
      <c r="C321" s="979"/>
      <c r="D321" s="979"/>
      <c r="E321" s="979"/>
    </row>
    <row r="322" spans="1:5" x14ac:dyDescent="0.25">
      <c r="A322" s="979"/>
      <c r="B322" s="979"/>
      <c r="C322" s="979"/>
      <c r="D322" s="979"/>
      <c r="E322" s="979"/>
    </row>
    <row r="323" spans="1:5" x14ac:dyDescent="0.25">
      <c r="A323" s="979"/>
      <c r="B323" s="979"/>
      <c r="C323" s="979"/>
      <c r="D323" s="979"/>
      <c r="E323" s="979"/>
    </row>
    <row r="324" spans="1:5" x14ac:dyDescent="0.25">
      <c r="A324" s="979"/>
      <c r="B324" s="979"/>
      <c r="C324" s="979"/>
      <c r="D324" s="979"/>
      <c r="E324" s="979"/>
    </row>
    <row r="325" spans="1:5" x14ac:dyDescent="0.25">
      <c r="A325" s="979"/>
      <c r="B325" s="979"/>
      <c r="C325" s="979"/>
      <c r="D325" s="979"/>
      <c r="E325" s="979"/>
    </row>
    <row r="326" spans="1:5" x14ac:dyDescent="0.25">
      <c r="A326" s="979"/>
      <c r="B326" s="979"/>
      <c r="C326" s="979"/>
      <c r="D326" s="979"/>
      <c r="E326" s="979"/>
    </row>
    <row r="327" spans="1:5" x14ac:dyDescent="0.25">
      <c r="A327" s="979"/>
      <c r="B327" s="979"/>
      <c r="C327" s="979"/>
      <c r="D327" s="979"/>
      <c r="E327" s="979"/>
    </row>
    <row r="328" spans="1:5" x14ac:dyDescent="0.25">
      <c r="A328" s="979"/>
      <c r="B328" s="979"/>
      <c r="C328" s="979"/>
      <c r="D328" s="979"/>
      <c r="E328" s="979"/>
    </row>
    <row r="329" spans="1:5" x14ac:dyDescent="0.25">
      <c r="A329" s="966" t="s">
        <v>1521</v>
      </c>
      <c r="B329" s="966"/>
      <c r="C329" s="966"/>
      <c r="D329" s="966"/>
      <c r="E329" s="966"/>
    </row>
    <row r="330" spans="1:5" x14ac:dyDescent="0.25">
      <c r="A330" s="967" t="s">
        <v>998</v>
      </c>
      <c r="B330" s="1019"/>
      <c r="C330" s="1019"/>
      <c r="D330" s="968"/>
      <c r="E330" s="229" t="s">
        <v>1003</v>
      </c>
    </row>
    <row r="331" spans="1:5" x14ac:dyDescent="0.25">
      <c r="A331" s="969" t="s">
        <v>1288</v>
      </c>
      <c r="B331" s="1087"/>
      <c r="C331" s="1087"/>
      <c r="D331" s="970"/>
      <c r="E331" s="232">
        <v>28.22</v>
      </c>
    </row>
    <row r="332" spans="1:5" x14ac:dyDescent="0.25">
      <c r="A332" s="971" t="s">
        <v>1001</v>
      </c>
      <c r="B332" s="972"/>
      <c r="C332" s="972"/>
      <c r="D332" s="973"/>
      <c r="E332" s="238">
        <f>E331</f>
        <v>28.22</v>
      </c>
    </row>
    <row r="333" spans="1:5" x14ac:dyDescent="0.25">
      <c r="A333" s="995" t="s">
        <v>1270</v>
      </c>
      <c r="B333" s="996"/>
      <c r="C333" s="996"/>
      <c r="D333" s="997"/>
      <c r="E333" s="233">
        <f>SUM(E331:E331)</f>
        <v>28.22</v>
      </c>
    </row>
    <row r="334" spans="1:5" x14ac:dyDescent="0.25">
      <c r="A334" s="974" t="s">
        <v>1522</v>
      </c>
      <c r="B334" s="975"/>
      <c r="C334" s="975"/>
      <c r="D334" s="976"/>
      <c r="E334" s="977"/>
    </row>
    <row r="335" spans="1:5" x14ac:dyDescent="0.25">
      <c r="A335" s="978" t="s">
        <v>997</v>
      </c>
      <c r="B335" s="978"/>
      <c r="C335" s="978"/>
      <c r="D335" s="978"/>
      <c r="E335" s="978"/>
    </row>
    <row r="336" spans="1:5" x14ac:dyDescent="0.25">
      <c r="A336" s="979"/>
      <c r="B336" s="979"/>
      <c r="C336" s="979"/>
      <c r="D336" s="979"/>
      <c r="E336" s="979"/>
    </row>
    <row r="337" spans="1:5" x14ac:dyDescent="0.25">
      <c r="A337" s="979"/>
      <c r="B337" s="979"/>
      <c r="C337" s="979"/>
      <c r="D337" s="979"/>
      <c r="E337" s="979"/>
    </row>
    <row r="338" spans="1:5" x14ac:dyDescent="0.25">
      <c r="A338" s="979"/>
      <c r="B338" s="979"/>
      <c r="C338" s="979"/>
      <c r="D338" s="979"/>
      <c r="E338" s="979"/>
    </row>
    <row r="339" spans="1:5" x14ac:dyDescent="0.25">
      <c r="A339" s="979"/>
      <c r="B339" s="979"/>
      <c r="C339" s="979"/>
      <c r="D339" s="979"/>
      <c r="E339" s="979"/>
    </row>
    <row r="340" spans="1:5" x14ac:dyDescent="0.25">
      <c r="A340" s="979"/>
      <c r="B340" s="979"/>
      <c r="C340" s="979"/>
      <c r="D340" s="979"/>
      <c r="E340" s="979"/>
    </row>
    <row r="341" spans="1:5" x14ac:dyDescent="0.25">
      <c r="A341" s="979"/>
      <c r="B341" s="979"/>
      <c r="C341" s="979"/>
      <c r="D341" s="979"/>
      <c r="E341" s="979"/>
    </row>
    <row r="342" spans="1:5" x14ac:dyDescent="0.25">
      <c r="A342" s="979"/>
      <c r="B342" s="979"/>
      <c r="C342" s="979"/>
      <c r="D342" s="979"/>
      <c r="E342" s="979"/>
    </row>
    <row r="343" spans="1:5" x14ac:dyDescent="0.25">
      <c r="A343" s="979"/>
      <c r="B343" s="979"/>
      <c r="C343" s="979"/>
      <c r="D343" s="979"/>
      <c r="E343" s="979"/>
    </row>
    <row r="344" spans="1:5" x14ac:dyDescent="0.25">
      <c r="A344" s="979"/>
      <c r="B344" s="979"/>
      <c r="C344" s="979"/>
      <c r="D344" s="979"/>
      <c r="E344" s="979"/>
    </row>
    <row r="345" spans="1:5" x14ac:dyDescent="0.25">
      <c r="A345" s="979"/>
      <c r="B345" s="979"/>
      <c r="C345" s="979"/>
      <c r="D345" s="979"/>
      <c r="E345" s="979"/>
    </row>
    <row r="346" spans="1:5" x14ac:dyDescent="0.25">
      <c r="A346" s="979"/>
      <c r="B346" s="979"/>
      <c r="C346" s="979"/>
      <c r="D346" s="979"/>
      <c r="E346" s="979"/>
    </row>
    <row r="347" spans="1:5" x14ac:dyDescent="0.25">
      <c r="A347" s="979"/>
      <c r="B347" s="979"/>
      <c r="C347" s="979"/>
      <c r="D347" s="979"/>
      <c r="E347" s="979"/>
    </row>
    <row r="348" spans="1:5" x14ac:dyDescent="0.25">
      <c r="A348" s="979"/>
      <c r="B348" s="979"/>
      <c r="C348" s="979"/>
      <c r="D348" s="979"/>
      <c r="E348" s="979"/>
    </row>
    <row r="349" spans="1:5" x14ac:dyDescent="0.25">
      <c r="A349" s="979"/>
      <c r="B349" s="979"/>
      <c r="C349" s="979"/>
      <c r="D349" s="979"/>
      <c r="E349" s="979"/>
    </row>
    <row r="350" spans="1:5" x14ac:dyDescent="0.25">
      <c r="A350" s="979"/>
      <c r="B350" s="979"/>
      <c r="C350" s="979"/>
      <c r="D350" s="979"/>
      <c r="E350" s="979"/>
    </row>
    <row r="351" spans="1:5" x14ac:dyDescent="0.25">
      <c r="A351" s="979"/>
      <c r="B351" s="979"/>
      <c r="C351" s="979"/>
      <c r="D351" s="979"/>
      <c r="E351" s="979"/>
    </row>
    <row r="352" spans="1:5" x14ac:dyDescent="0.25">
      <c r="A352" s="979"/>
      <c r="B352" s="979"/>
      <c r="C352" s="979"/>
      <c r="D352" s="979"/>
      <c r="E352" s="979"/>
    </row>
    <row r="353" spans="1:6" x14ac:dyDescent="0.25">
      <c r="A353" s="979"/>
      <c r="B353" s="979"/>
      <c r="C353" s="979"/>
      <c r="D353" s="979"/>
      <c r="E353" s="979"/>
    </row>
    <row r="354" spans="1:6" x14ac:dyDescent="0.25">
      <c r="A354" s="979"/>
      <c r="B354" s="979"/>
      <c r="C354" s="979"/>
      <c r="D354" s="979"/>
      <c r="E354" s="979"/>
    </row>
    <row r="355" spans="1:6" x14ac:dyDescent="0.25">
      <c r="A355" s="979"/>
      <c r="B355" s="979"/>
      <c r="C355" s="979"/>
      <c r="D355" s="979"/>
      <c r="E355" s="979"/>
    </row>
    <row r="356" spans="1:6" x14ac:dyDescent="0.25">
      <c r="A356" s="979"/>
      <c r="B356" s="979"/>
      <c r="C356" s="979"/>
      <c r="D356" s="979"/>
      <c r="E356" s="979"/>
    </row>
    <row r="357" spans="1:6" x14ac:dyDescent="0.25">
      <c r="A357" s="979"/>
      <c r="B357" s="979"/>
      <c r="C357" s="979"/>
      <c r="D357" s="979"/>
      <c r="E357" s="979"/>
    </row>
    <row r="358" spans="1:6" x14ac:dyDescent="0.25">
      <c r="A358" s="966" t="s">
        <v>1522</v>
      </c>
      <c r="B358" s="966"/>
      <c r="C358" s="966"/>
      <c r="D358" s="966"/>
      <c r="E358" s="966"/>
    </row>
    <row r="359" spans="1:6" x14ac:dyDescent="0.25">
      <c r="A359" s="1084" t="s">
        <v>1415</v>
      </c>
      <c r="B359" s="1086"/>
      <c r="C359" s="967" t="s">
        <v>998</v>
      </c>
      <c r="D359" s="968"/>
      <c r="E359" s="229" t="s">
        <v>199</v>
      </c>
    </row>
    <row r="360" spans="1:6" x14ac:dyDescent="0.25">
      <c r="A360" s="969" t="s">
        <v>1477</v>
      </c>
      <c r="B360" s="970"/>
      <c r="C360" s="969" t="s">
        <v>1288</v>
      </c>
      <c r="D360" s="970"/>
      <c r="E360" s="250">
        <v>34</v>
      </c>
    </row>
    <row r="361" spans="1:6" x14ac:dyDescent="0.25">
      <c r="A361" s="969" t="s">
        <v>1478</v>
      </c>
      <c r="B361" s="970"/>
      <c r="C361" s="969" t="s">
        <v>1288</v>
      </c>
      <c r="D361" s="970"/>
      <c r="E361" s="255">
        <v>25</v>
      </c>
    </row>
    <row r="362" spans="1:6" x14ac:dyDescent="0.25">
      <c r="A362" s="969" t="s">
        <v>1517</v>
      </c>
      <c r="B362" s="970"/>
      <c r="C362" s="969" t="s">
        <v>1288</v>
      </c>
      <c r="D362" s="970"/>
      <c r="E362" s="309">
        <v>242</v>
      </c>
    </row>
    <row r="363" spans="1:6" x14ac:dyDescent="0.25">
      <c r="A363" s="1190"/>
      <c r="B363" s="1190"/>
      <c r="C363" s="1190"/>
      <c r="D363" s="1190"/>
      <c r="E363" s="1190"/>
    </row>
    <row r="364" spans="1:6" x14ac:dyDescent="0.25">
      <c r="A364" s="1029" t="s">
        <v>1479</v>
      </c>
      <c r="B364" s="1030"/>
      <c r="C364" s="1030"/>
      <c r="D364" s="1031"/>
      <c r="E364" s="251">
        <f>E360</f>
        <v>34</v>
      </c>
    </row>
    <row r="365" spans="1:6" x14ac:dyDescent="0.25">
      <c r="A365" s="1005" t="s">
        <v>1480</v>
      </c>
      <c r="B365" s="1006"/>
      <c r="C365" s="1006"/>
      <c r="D365" s="1007"/>
      <c r="E365" s="256">
        <f>E361</f>
        <v>25</v>
      </c>
    </row>
    <row r="366" spans="1:6" x14ac:dyDescent="0.25">
      <c r="A366" s="1032" t="s">
        <v>1480</v>
      </c>
      <c r="B366" s="1033"/>
      <c r="C366" s="1033"/>
      <c r="D366" s="1034"/>
      <c r="E366" s="310">
        <f>E362</f>
        <v>242</v>
      </c>
    </row>
    <row r="367" spans="1:6" x14ac:dyDescent="0.25">
      <c r="A367" s="995" t="s">
        <v>1270</v>
      </c>
      <c r="B367" s="996"/>
      <c r="C367" s="996"/>
      <c r="D367" s="997"/>
      <c r="E367" s="233">
        <f>SUM(E364:E366)</f>
        <v>301</v>
      </c>
      <c r="F367" s="290"/>
    </row>
    <row r="368" spans="1:6" x14ac:dyDescent="0.25">
      <c r="A368" s="974" t="s">
        <v>1523</v>
      </c>
      <c r="B368" s="975"/>
      <c r="C368" s="975"/>
      <c r="D368" s="976"/>
      <c r="E368" s="977"/>
    </row>
    <row r="369" spans="1:5" x14ac:dyDescent="0.25">
      <c r="A369" s="978" t="s">
        <v>997</v>
      </c>
      <c r="B369" s="978"/>
      <c r="C369" s="978"/>
      <c r="D369" s="978"/>
      <c r="E369" s="978"/>
    </row>
    <row r="370" spans="1:5" x14ac:dyDescent="0.25">
      <c r="A370" s="979"/>
      <c r="B370" s="979"/>
      <c r="C370" s="979"/>
      <c r="D370" s="979"/>
      <c r="E370" s="979"/>
    </row>
    <row r="371" spans="1:5" x14ac:dyDescent="0.25">
      <c r="A371" s="979"/>
      <c r="B371" s="979"/>
      <c r="C371" s="979"/>
      <c r="D371" s="979"/>
      <c r="E371" s="979"/>
    </row>
    <row r="372" spans="1:5" x14ac:dyDescent="0.25">
      <c r="A372" s="979"/>
      <c r="B372" s="979"/>
      <c r="C372" s="979"/>
      <c r="D372" s="979"/>
      <c r="E372" s="979"/>
    </row>
    <row r="373" spans="1:5" x14ac:dyDescent="0.25">
      <c r="A373" s="979"/>
      <c r="B373" s="979"/>
      <c r="C373" s="979"/>
      <c r="D373" s="979"/>
      <c r="E373" s="979"/>
    </row>
    <row r="374" spans="1:5" x14ac:dyDescent="0.25">
      <c r="A374" s="979"/>
      <c r="B374" s="979"/>
      <c r="C374" s="979"/>
      <c r="D374" s="979"/>
      <c r="E374" s="979"/>
    </row>
    <row r="375" spans="1:5" x14ac:dyDescent="0.25">
      <c r="A375" s="979"/>
      <c r="B375" s="979"/>
      <c r="C375" s="979"/>
      <c r="D375" s="979"/>
      <c r="E375" s="979"/>
    </row>
    <row r="376" spans="1:5" x14ac:dyDescent="0.25">
      <c r="A376" s="979"/>
      <c r="B376" s="979"/>
      <c r="C376" s="979"/>
      <c r="D376" s="979"/>
      <c r="E376" s="979"/>
    </row>
    <row r="377" spans="1:5" x14ac:dyDescent="0.25">
      <c r="A377" s="979"/>
      <c r="B377" s="979"/>
      <c r="C377" s="979"/>
      <c r="D377" s="979"/>
      <c r="E377" s="979"/>
    </row>
    <row r="378" spans="1:5" x14ac:dyDescent="0.25">
      <c r="A378" s="979"/>
      <c r="B378" s="979"/>
      <c r="C378" s="979"/>
      <c r="D378" s="979"/>
      <c r="E378" s="979"/>
    </row>
    <row r="379" spans="1:5" x14ac:dyDescent="0.25">
      <c r="A379" s="979"/>
      <c r="B379" s="979"/>
      <c r="C379" s="979"/>
      <c r="D379" s="979"/>
      <c r="E379" s="979"/>
    </row>
    <row r="380" spans="1:5" x14ac:dyDescent="0.25">
      <c r="A380" s="979"/>
      <c r="B380" s="979"/>
      <c r="C380" s="979"/>
      <c r="D380" s="979"/>
      <c r="E380" s="979"/>
    </row>
    <row r="381" spans="1:5" x14ac:dyDescent="0.25">
      <c r="A381" s="979"/>
      <c r="B381" s="979"/>
      <c r="C381" s="979"/>
      <c r="D381" s="979"/>
      <c r="E381" s="979"/>
    </row>
    <row r="382" spans="1:5" x14ac:dyDescent="0.25">
      <c r="A382" s="979"/>
      <c r="B382" s="979"/>
      <c r="C382" s="979"/>
      <c r="D382" s="979"/>
      <c r="E382" s="979"/>
    </row>
    <row r="383" spans="1:5" x14ac:dyDescent="0.25">
      <c r="A383" s="979"/>
      <c r="B383" s="979"/>
      <c r="C383" s="979"/>
      <c r="D383" s="979"/>
      <c r="E383" s="979"/>
    </row>
    <row r="384" spans="1:5" x14ac:dyDescent="0.25">
      <c r="A384" s="979"/>
      <c r="B384" s="979"/>
      <c r="C384" s="979"/>
      <c r="D384" s="979"/>
      <c r="E384" s="979"/>
    </row>
    <row r="385" spans="1:5" x14ac:dyDescent="0.25">
      <c r="A385" s="979"/>
      <c r="B385" s="979"/>
      <c r="C385" s="979"/>
      <c r="D385" s="979"/>
      <c r="E385" s="979"/>
    </row>
    <row r="386" spans="1:5" x14ac:dyDescent="0.25">
      <c r="A386" s="979"/>
      <c r="B386" s="979"/>
      <c r="C386" s="979"/>
      <c r="D386" s="979"/>
      <c r="E386" s="979"/>
    </row>
    <row r="387" spans="1:5" x14ac:dyDescent="0.25">
      <c r="A387" s="979"/>
      <c r="B387" s="979"/>
      <c r="C387" s="979"/>
      <c r="D387" s="979"/>
      <c r="E387" s="979"/>
    </row>
    <row r="388" spans="1:5" x14ac:dyDescent="0.25">
      <c r="A388" s="979"/>
      <c r="B388" s="979"/>
      <c r="C388" s="979"/>
      <c r="D388" s="979"/>
      <c r="E388" s="979"/>
    </row>
    <row r="389" spans="1:5" x14ac:dyDescent="0.25">
      <c r="A389" s="979"/>
      <c r="B389" s="979"/>
      <c r="C389" s="979"/>
      <c r="D389" s="979"/>
      <c r="E389" s="979"/>
    </row>
    <row r="390" spans="1:5" x14ac:dyDescent="0.25">
      <c r="A390" s="966" t="s">
        <v>1523</v>
      </c>
      <c r="B390" s="966"/>
      <c r="C390" s="966"/>
      <c r="D390" s="966"/>
      <c r="E390" s="966"/>
    </row>
    <row r="391" spans="1:5" x14ac:dyDescent="0.25">
      <c r="A391" s="967" t="s">
        <v>998</v>
      </c>
      <c r="B391" s="1019"/>
      <c r="C391" s="1019"/>
      <c r="D391" s="968"/>
      <c r="E391" s="229" t="s">
        <v>1293</v>
      </c>
    </row>
    <row r="392" spans="1:5" x14ac:dyDescent="0.25">
      <c r="A392" s="969" t="s">
        <v>1288</v>
      </c>
      <c r="B392" s="1087"/>
      <c r="C392" s="1087"/>
      <c r="D392" s="970"/>
      <c r="E392" s="232">
        <v>1.41</v>
      </c>
    </row>
    <row r="393" spans="1:5" x14ac:dyDescent="0.25">
      <c r="A393" s="971" t="s">
        <v>1001</v>
      </c>
      <c r="B393" s="972"/>
      <c r="C393" s="972"/>
      <c r="D393" s="973"/>
      <c r="E393" s="238">
        <f>E392</f>
        <v>1.41</v>
      </c>
    </row>
    <row r="394" spans="1:5" x14ac:dyDescent="0.25">
      <c r="A394" s="995" t="s">
        <v>1270</v>
      </c>
      <c r="B394" s="996"/>
      <c r="C394" s="996"/>
      <c r="D394" s="997"/>
      <c r="E394" s="233">
        <f>SUM(E392:E392)</f>
        <v>1.41</v>
      </c>
    </row>
    <row r="395" spans="1:5" x14ac:dyDescent="0.25">
      <c r="A395" s="974" t="s">
        <v>1524</v>
      </c>
      <c r="B395" s="975"/>
      <c r="C395" s="975"/>
      <c r="D395" s="976"/>
      <c r="E395" s="977"/>
    </row>
    <row r="396" spans="1:5" x14ac:dyDescent="0.25">
      <c r="A396" s="978" t="s">
        <v>997</v>
      </c>
      <c r="B396" s="978"/>
      <c r="C396" s="978"/>
      <c r="D396" s="978"/>
      <c r="E396" s="978"/>
    </row>
    <row r="397" spans="1:5" x14ac:dyDescent="0.25">
      <c r="A397" s="979"/>
      <c r="B397" s="979"/>
      <c r="C397" s="979"/>
      <c r="D397" s="979"/>
      <c r="E397" s="979"/>
    </row>
    <row r="398" spans="1:5" x14ac:dyDescent="0.25">
      <c r="A398" s="979"/>
      <c r="B398" s="979"/>
      <c r="C398" s="979"/>
      <c r="D398" s="979"/>
      <c r="E398" s="979"/>
    </row>
    <row r="399" spans="1:5" x14ac:dyDescent="0.25">
      <c r="A399" s="979"/>
      <c r="B399" s="979"/>
      <c r="C399" s="979"/>
      <c r="D399" s="979"/>
      <c r="E399" s="979"/>
    </row>
    <row r="400" spans="1:5" x14ac:dyDescent="0.25">
      <c r="A400" s="979"/>
      <c r="B400" s="979"/>
      <c r="C400" s="979"/>
      <c r="D400" s="979"/>
      <c r="E400" s="979"/>
    </row>
    <row r="401" spans="1:5" x14ac:dyDescent="0.25">
      <c r="A401" s="979"/>
      <c r="B401" s="979"/>
      <c r="C401" s="979"/>
      <c r="D401" s="979"/>
      <c r="E401" s="979"/>
    </row>
    <row r="402" spans="1:5" x14ac:dyDescent="0.25">
      <c r="A402" s="979"/>
      <c r="B402" s="979"/>
      <c r="C402" s="979"/>
      <c r="D402" s="979"/>
      <c r="E402" s="979"/>
    </row>
    <row r="403" spans="1:5" x14ac:dyDescent="0.25">
      <c r="A403" s="979"/>
      <c r="B403" s="979"/>
      <c r="C403" s="979"/>
      <c r="D403" s="979"/>
      <c r="E403" s="979"/>
    </row>
    <row r="404" spans="1:5" x14ac:dyDescent="0.25">
      <c r="A404" s="979"/>
      <c r="B404" s="979"/>
      <c r="C404" s="979"/>
      <c r="D404" s="979"/>
      <c r="E404" s="979"/>
    </row>
    <row r="405" spans="1:5" x14ac:dyDescent="0.25">
      <c r="A405" s="979"/>
      <c r="B405" s="979"/>
      <c r="C405" s="979"/>
      <c r="D405" s="979"/>
      <c r="E405" s="979"/>
    </row>
    <row r="406" spans="1:5" x14ac:dyDescent="0.25">
      <c r="A406" s="979"/>
      <c r="B406" s="979"/>
      <c r="C406" s="979"/>
      <c r="D406" s="979"/>
      <c r="E406" s="979"/>
    </row>
    <row r="407" spans="1:5" x14ac:dyDescent="0.25">
      <c r="A407" s="979"/>
      <c r="B407" s="979"/>
      <c r="C407" s="979"/>
      <c r="D407" s="979"/>
      <c r="E407" s="979"/>
    </row>
    <row r="408" spans="1:5" x14ac:dyDescent="0.25">
      <c r="A408" s="979"/>
      <c r="B408" s="979"/>
      <c r="C408" s="979"/>
      <c r="D408" s="979"/>
      <c r="E408" s="979"/>
    </row>
    <row r="409" spans="1:5" x14ac:dyDescent="0.25">
      <c r="A409" s="979"/>
      <c r="B409" s="979"/>
      <c r="C409" s="979"/>
      <c r="D409" s="979"/>
      <c r="E409" s="979"/>
    </row>
    <row r="410" spans="1:5" x14ac:dyDescent="0.25">
      <c r="A410" s="979"/>
      <c r="B410" s="979"/>
      <c r="C410" s="979"/>
      <c r="D410" s="979"/>
      <c r="E410" s="979"/>
    </row>
    <row r="411" spans="1:5" x14ac:dyDescent="0.25">
      <c r="A411" s="979"/>
      <c r="B411" s="979"/>
      <c r="C411" s="979"/>
      <c r="D411" s="979"/>
      <c r="E411" s="979"/>
    </row>
    <row r="412" spans="1:5" x14ac:dyDescent="0.25">
      <c r="A412" s="979"/>
      <c r="B412" s="979"/>
      <c r="C412" s="979"/>
      <c r="D412" s="979"/>
      <c r="E412" s="979"/>
    </row>
    <row r="413" spans="1:5" x14ac:dyDescent="0.25">
      <c r="A413" s="979"/>
      <c r="B413" s="979"/>
      <c r="C413" s="979"/>
      <c r="D413" s="979"/>
      <c r="E413" s="979"/>
    </row>
    <row r="414" spans="1:5" x14ac:dyDescent="0.25">
      <c r="A414" s="979"/>
      <c r="B414" s="979"/>
      <c r="C414" s="979"/>
      <c r="D414" s="979"/>
      <c r="E414" s="979"/>
    </row>
    <row r="415" spans="1:5" x14ac:dyDescent="0.25">
      <c r="A415" s="979"/>
      <c r="B415" s="979"/>
      <c r="C415" s="979"/>
      <c r="D415" s="979"/>
      <c r="E415" s="979"/>
    </row>
    <row r="416" spans="1:5" x14ac:dyDescent="0.25">
      <c r="A416" s="979"/>
      <c r="B416" s="979"/>
      <c r="C416" s="979"/>
      <c r="D416" s="979"/>
      <c r="E416" s="979"/>
    </row>
    <row r="417" spans="1:5" x14ac:dyDescent="0.25">
      <c r="A417" s="966" t="s">
        <v>1524</v>
      </c>
      <c r="B417" s="966"/>
      <c r="C417" s="966"/>
      <c r="D417" s="966"/>
      <c r="E417" s="966"/>
    </row>
    <row r="418" spans="1:5" x14ac:dyDescent="0.25">
      <c r="A418" s="967" t="s">
        <v>998</v>
      </c>
      <c r="B418" s="1019"/>
      <c r="C418" s="1019"/>
      <c r="D418" s="968"/>
      <c r="E418" s="229" t="s">
        <v>1003</v>
      </c>
    </row>
    <row r="419" spans="1:5" x14ac:dyDescent="0.25">
      <c r="A419" s="969" t="s">
        <v>1288</v>
      </c>
      <c r="B419" s="1087"/>
      <c r="C419" s="1087"/>
      <c r="D419" s="970"/>
      <c r="E419" s="232">
        <v>177.5</v>
      </c>
    </row>
    <row r="420" spans="1:5" x14ac:dyDescent="0.25">
      <c r="A420" s="971" t="s">
        <v>1001</v>
      </c>
      <c r="B420" s="972"/>
      <c r="C420" s="972"/>
      <c r="D420" s="973"/>
      <c r="E420" s="238">
        <f>E419</f>
        <v>177.5</v>
      </c>
    </row>
    <row r="421" spans="1:5" x14ac:dyDescent="0.25">
      <c r="A421" s="995" t="s">
        <v>1270</v>
      </c>
      <c r="B421" s="996"/>
      <c r="C421" s="996"/>
      <c r="D421" s="997"/>
      <c r="E421" s="233">
        <f>SUM(E419:E419)</f>
        <v>177.5</v>
      </c>
    </row>
    <row r="422" spans="1:5" x14ac:dyDescent="0.25">
      <c r="A422" s="974" t="s">
        <v>1525</v>
      </c>
      <c r="B422" s="975"/>
      <c r="C422" s="975"/>
      <c r="D422" s="976"/>
      <c r="E422" s="977"/>
    </row>
    <row r="423" spans="1:5" x14ac:dyDescent="0.25">
      <c r="A423" s="978" t="s">
        <v>997</v>
      </c>
      <c r="B423" s="978"/>
      <c r="C423" s="978"/>
      <c r="D423" s="978"/>
      <c r="E423" s="978"/>
    </row>
    <row r="424" spans="1:5" x14ac:dyDescent="0.25">
      <c r="A424" s="979"/>
      <c r="B424" s="979"/>
      <c r="C424" s="979"/>
      <c r="D424" s="979"/>
      <c r="E424" s="979"/>
    </row>
    <row r="425" spans="1:5" x14ac:dyDescent="0.25">
      <c r="A425" s="979"/>
      <c r="B425" s="979"/>
      <c r="C425" s="979"/>
      <c r="D425" s="979"/>
      <c r="E425" s="979"/>
    </row>
    <row r="426" spans="1:5" x14ac:dyDescent="0.25">
      <c r="A426" s="979"/>
      <c r="B426" s="979"/>
      <c r="C426" s="979"/>
      <c r="D426" s="979"/>
      <c r="E426" s="979"/>
    </row>
    <row r="427" spans="1:5" x14ac:dyDescent="0.25">
      <c r="A427" s="979"/>
      <c r="B427" s="979"/>
      <c r="C427" s="979"/>
      <c r="D427" s="979"/>
      <c r="E427" s="979"/>
    </row>
    <row r="428" spans="1:5" x14ac:dyDescent="0.25">
      <c r="A428" s="979"/>
      <c r="B428" s="979"/>
      <c r="C428" s="979"/>
      <c r="D428" s="979"/>
      <c r="E428" s="979"/>
    </row>
    <row r="429" spans="1:5" x14ac:dyDescent="0.25">
      <c r="A429" s="979"/>
      <c r="B429" s="979"/>
      <c r="C429" s="979"/>
      <c r="D429" s="979"/>
      <c r="E429" s="979"/>
    </row>
    <row r="430" spans="1:5" x14ac:dyDescent="0.25">
      <c r="A430" s="979"/>
      <c r="B430" s="979"/>
      <c r="C430" s="979"/>
      <c r="D430" s="979"/>
      <c r="E430" s="979"/>
    </row>
    <row r="431" spans="1:5" x14ac:dyDescent="0.25">
      <c r="A431" s="979"/>
      <c r="B431" s="979"/>
      <c r="C431" s="979"/>
      <c r="D431" s="979"/>
      <c r="E431" s="979"/>
    </row>
    <row r="432" spans="1:5" x14ac:dyDescent="0.25">
      <c r="A432" s="979"/>
      <c r="B432" s="979"/>
      <c r="C432" s="979"/>
      <c r="D432" s="979"/>
      <c r="E432" s="979"/>
    </row>
    <row r="433" spans="1:5" x14ac:dyDescent="0.25">
      <c r="A433" s="979"/>
      <c r="B433" s="979"/>
      <c r="C433" s="979"/>
      <c r="D433" s="979"/>
      <c r="E433" s="979"/>
    </row>
    <row r="434" spans="1:5" x14ac:dyDescent="0.25">
      <c r="A434" s="979"/>
      <c r="B434" s="979"/>
      <c r="C434" s="979"/>
      <c r="D434" s="979"/>
      <c r="E434" s="979"/>
    </row>
    <row r="435" spans="1:5" x14ac:dyDescent="0.25">
      <c r="A435" s="979"/>
      <c r="B435" s="979"/>
      <c r="C435" s="979"/>
      <c r="D435" s="979"/>
      <c r="E435" s="979"/>
    </row>
    <row r="436" spans="1:5" x14ac:dyDescent="0.25">
      <c r="A436" s="979"/>
      <c r="B436" s="979"/>
      <c r="C436" s="979"/>
      <c r="D436" s="979"/>
      <c r="E436" s="979"/>
    </row>
    <row r="437" spans="1:5" x14ac:dyDescent="0.25">
      <c r="A437" s="979"/>
      <c r="B437" s="979"/>
      <c r="C437" s="979"/>
      <c r="D437" s="979"/>
      <c r="E437" s="979"/>
    </row>
    <row r="438" spans="1:5" x14ac:dyDescent="0.25">
      <c r="A438" s="979"/>
      <c r="B438" s="979"/>
      <c r="C438" s="979"/>
      <c r="D438" s="979"/>
      <c r="E438" s="979"/>
    </row>
    <row r="439" spans="1:5" x14ac:dyDescent="0.25">
      <c r="A439" s="979"/>
      <c r="B439" s="979"/>
      <c r="C439" s="979"/>
      <c r="D439" s="979"/>
      <c r="E439" s="979"/>
    </row>
    <row r="440" spans="1:5" x14ac:dyDescent="0.25">
      <c r="A440" s="979"/>
      <c r="B440" s="979"/>
      <c r="C440" s="979"/>
      <c r="D440" s="979"/>
      <c r="E440" s="979"/>
    </row>
    <row r="441" spans="1:5" x14ac:dyDescent="0.25">
      <c r="A441" s="979"/>
      <c r="B441" s="979"/>
      <c r="C441" s="979"/>
      <c r="D441" s="979"/>
      <c r="E441" s="979"/>
    </row>
    <row r="442" spans="1:5" x14ac:dyDescent="0.25">
      <c r="A442" s="979"/>
      <c r="B442" s="979"/>
      <c r="C442" s="979"/>
      <c r="D442" s="979"/>
      <c r="E442" s="979"/>
    </row>
    <row r="443" spans="1:5" x14ac:dyDescent="0.25">
      <c r="A443" s="979"/>
      <c r="B443" s="979"/>
      <c r="C443" s="979"/>
      <c r="D443" s="979"/>
      <c r="E443" s="979"/>
    </row>
    <row r="444" spans="1:5" x14ac:dyDescent="0.25">
      <c r="A444" s="979"/>
      <c r="B444" s="979"/>
      <c r="C444" s="979"/>
      <c r="D444" s="979"/>
      <c r="E444" s="979"/>
    </row>
    <row r="445" spans="1:5" x14ac:dyDescent="0.25">
      <c r="A445" s="979"/>
      <c r="B445" s="979"/>
      <c r="C445" s="979"/>
      <c r="D445" s="979"/>
      <c r="E445" s="979"/>
    </row>
    <row r="446" spans="1:5" x14ac:dyDescent="0.25">
      <c r="A446" s="966" t="s">
        <v>1525</v>
      </c>
      <c r="B446" s="966"/>
      <c r="C446" s="966"/>
      <c r="D446" s="966"/>
      <c r="E446" s="966"/>
    </row>
    <row r="447" spans="1:5" x14ac:dyDescent="0.25">
      <c r="A447" s="1084" t="s">
        <v>1415</v>
      </c>
      <c r="B447" s="1086"/>
      <c r="C447" s="967" t="s">
        <v>998</v>
      </c>
      <c r="D447" s="968"/>
      <c r="E447" s="229" t="s">
        <v>199</v>
      </c>
    </row>
    <row r="448" spans="1:5" x14ac:dyDescent="0.25">
      <c r="A448" s="969" t="s">
        <v>1477</v>
      </c>
      <c r="B448" s="970"/>
      <c r="C448" s="969" t="s">
        <v>1288</v>
      </c>
      <c r="D448" s="970"/>
      <c r="E448" s="250">
        <v>222</v>
      </c>
    </row>
    <row r="449" spans="1:6" x14ac:dyDescent="0.25">
      <c r="A449" s="969" t="s">
        <v>1478</v>
      </c>
      <c r="B449" s="970"/>
      <c r="C449" s="969" t="s">
        <v>1288</v>
      </c>
      <c r="D449" s="970"/>
      <c r="E449" s="255">
        <v>1399</v>
      </c>
    </row>
    <row r="450" spans="1:6" x14ac:dyDescent="0.25">
      <c r="A450" s="969" t="s">
        <v>1517</v>
      </c>
      <c r="B450" s="970"/>
      <c r="C450" s="969" t="s">
        <v>1288</v>
      </c>
      <c r="D450" s="970"/>
      <c r="E450" s="309">
        <v>187</v>
      </c>
    </row>
    <row r="451" spans="1:6" x14ac:dyDescent="0.25">
      <c r="A451" s="969" t="s">
        <v>1526</v>
      </c>
      <c r="B451" s="970"/>
      <c r="C451" s="969" t="s">
        <v>1288</v>
      </c>
      <c r="D451" s="970"/>
      <c r="E451" s="305">
        <v>189</v>
      </c>
    </row>
    <row r="452" spans="1:6" x14ac:dyDescent="0.25">
      <c r="A452" s="1190"/>
      <c r="B452" s="1190"/>
      <c r="C452" s="1190"/>
      <c r="D452" s="1190"/>
      <c r="E452" s="1190"/>
    </row>
    <row r="453" spans="1:6" x14ac:dyDescent="0.25">
      <c r="A453" s="998" t="s">
        <v>1527</v>
      </c>
      <c r="B453" s="999"/>
      <c r="C453" s="999"/>
      <c r="D453" s="1000"/>
      <c r="E453" s="258">
        <f>E451</f>
        <v>189</v>
      </c>
    </row>
    <row r="454" spans="1:6" x14ac:dyDescent="0.25">
      <c r="A454" s="1029" t="s">
        <v>1479</v>
      </c>
      <c r="B454" s="1030"/>
      <c r="C454" s="1030"/>
      <c r="D454" s="1031"/>
      <c r="E454" s="251">
        <f>E448</f>
        <v>222</v>
      </c>
    </row>
    <row r="455" spans="1:6" x14ac:dyDescent="0.25">
      <c r="A455" s="1005" t="s">
        <v>1480</v>
      </c>
      <c r="B455" s="1006"/>
      <c r="C455" s="1006"/>
      <c r="D455" s="1007"/>
      <c r="E455" s="256">
        <f>E449</f>
        <v>1399</v>
      </c>
    </row>
    <row r="456" spans="1:6" x14ac:dyDescent="0.25">
      <c r="A456" s="1032" t="s">
        <v>1480</v>
      </c>
      <c r="B456" s="1033"/>
      <c r="C456" s="1033"/>
      <c r="D456" s="1034"/>
      <c r="E456" s="310">
        <f>E450</f>
        <v>187</v>
      </c>
    </row>
    <row r="457" spans="1:6" x14ac:dyDescent="0.25">
      <c r="A457" s="995" t="s">
        <v>1270</v>
      </c>
      <c r="B457" s="996"/>
      <c r="C457" s="996"/>
      <c r="D457" s="997"/>
      <c r="E457" s="233">
        <f>SUM(E453:E456)</f>
        <v>1997</v>
      </c>
      <c r="F457" s="290">
        <f>SUM(E448:E451)</f>
        <v>1997</v>
      </c>
    </row>
    <row r="458" spans="1:6" x14ac:dyDescent="0.25">
      <c r="A458" s="974" t="s">
        <v>1528</v>
      </c>
      <c r="B458" s="975"/>
      <c r="C458" s="975"/>
      <c r="D458" s="976"/>
      <c r="E458" s="977"/>
    </row>
    <row r="459" spans="1:6" x14ac:dyDescent="0.25">
      <c r="A459" s="978" t="s">
        <v>997</v>
      </c>
      <c r="B459" s="978"/>
      <c r="C459" s="978"/>
      <c r="D459" s="978"/>
      <c r="E459" s="978"/>
    </row>
    <row r="460" spans="1:6" x14ac:dyDescent="0.25">
      <c r="A460" s="979"/>
      <c r="B460" s="979"/>
      <c r="C460" s="979"/>
      <c r="D460" s="979"/>
      <c r="E460" s="979"/>
    </row>
    <row r="461" spans="1:6" x14ac:dyDescent="0.25">
      <c r="A461" s="979"/>
      <c r="B461" s="979"/>
      <c r="C461" s="979"/>
      <c r="D461" s="979"/>
      <c r="E461" s="979"/>
    </row>
    <row r="462" spans="1:6" x14ac:dyDescent="0.25">
      <c r="A462" s="979"/>
      <c r="B462" s="979"/>
      <c r="C462" s="979"/>
      <c r="D462" s="979"/>
      <c r="E462" s="979"/>
    </row>
    <row r="463" spans="1:6" x14ac:dyDescent="0.25">
      <c r="A463" s="979"/>
      <c r="B463" s="979"/>
      <c r="C463" s="979"/>
      <c r="D463" s="979"/>
      <c r="E463" s="979"/>
    </row>
    <row r="464" spans="1:6" x14ac:dyDescent="0.25">
      <c r="A464" s="979"/>
      <c r="B464" s="979"/>
      <c r="C464" s="979"/>
      <c r="D464" s="979"/>
      <c r="E464" s="979"/>
    </row>
    <row r="465" spans="1:5" x14ac:dyDescent="0.25">
      <c r="A465" s="979"/>
      <c r="B465" s="979"/>
      <c r="C465" s="979"/>
      <c r="D465" s="979"/>
      <c r="E465" s="979"/>
    </row>
    <row r="466" spans="1:5" x14ac:dyDescent="0.25">
      <c r="A466" s="979"/>
      <c r="B466" s="979"/>
      <c r="C466" s="979"/>
      <c r="D466" s="979"/>
      <c r="E466" s="979"/>
    </row>
    <row r="467" spans="1:5" x14ac:dyDescent="0.25">
      <c r="A467" s="979"/>
      <c r="B467" s="979"/>
      <c r="C467" s="979"/>
      <c r="D467" s="979"/>
      <c r="E467" s="979"/>
    </row>
    <row r="468" spans="1:5" x14ac:dyDescent="0.25">
      <c r="A468" s="979"/>
      <c r="B468" s="979"/>
      <c r="C468" s="979"/>
      <c r="D468" s="979"/>
      <c r="E468" s="979"/>
    </row>
    <row r="469" spans="1:5" x14ac:dyDescent="0.25">
      <c r="A469" s="979"/>
      <c r="B469" s="979"/>
      <c r="C469" s="979"/>
      <c r="D469" s="979"/>
      <c r="E469" s="979"/>
    </row>
    <row r="470" spans="1:5" x14ac:dyDescent="0.25">
      <c r="A470" s="979"/>
      <c r="B470" s="979"/>
      <c r="C470" s="979"/>
      <c r="D470" s="979"/>
      <c r="E470" s="979"/>
    </row>
    <row r="471" spans="1:5" x14ac:dyDescent="0.25">
      <c r="A471" s="979"/>
      <c r="B471" s="979"/>
      <c r="C471" s="979"/>
      <c r="D471" s="979"/>
      <c r="E471" s="979"/>
    </row>
    <row r="472" spans="1:5" x14ac:dyDescent="0.25">
      <c r="A472" s="979"/>
      <c r="B472" s="979"/>
      <c r="C472" s="979"/>
      <c r="D472" s="979"/>
      <c r="E472" s="979"/>
    </row>
    <row r="473" spans="1:5" x14ac:dyDescent="0.25">
      <c r="A473" s="979"/>
      <c r="B473" s="979"/>
      <c r="C473" s="979"/>
      <c r="D473" s="979"/>
      <c r="E473" s="979"/>
    </row>
    <row r="474" spans="1:5" x14ac:dyDescent="0.25">
      <c r="A474" s="979"/>
      <c r="B474" s="979"/>
      <c r="C474" s="979"/>
      <c r="D474" s="979"/>
      <c r="E474" s="979"/>
    </row>
    <row r="475" spans="1:5" x14ac:dyDescent="0.25">
      <c r="A475" s="979"/>
      <c r="B475" s="979"/>
      <c r="C475" s="979"/>
      <c r="D475" s="979"/>
      <c r="E475" s="979"/>
    </row>
    <row r="476" spans="1:5" x14ac:dyDescent="0.25">
      <c r="A476" s="979"/>
      <c r="B476" s="979"/>
      <c r="C476" s="979"/>
      <c r="D476" s="979"/>
      <c r="E476" s="979"/>
    </row>
    <row r="477" spans="1:5" x14ac:dyDescent="0.25">
      <c r="A477" s="979"/>
      <c r="B477" s="979"/>
      <c r="C477" s="979"/>
      <c r="D477" s="979"/>
      <c r="E477" s="979"/>
    </row>
    <row r="478" spans="1:5" x14ac:dyDescent="0.25">
      <c r="A478" s="979"/>
      <c r="B478" s="979"/>
      <c r="C478" s="979"/>
      <c r="D478" s="979"/>
      <c r="E478" s="979"/>
    </row>
    <row r="479" spans="1:5" x14ac:dyDescent="0.25">
      <c r="A479" s="979"/>
      <c r="B479" s="979"/>
      <c r="C479" s="979"/>
      <c r="D479" s="979"/>
      <c r="E479" s="979"/>
    </row>
    <row r="480" spans="1:5" x14ac:dyDescent="0.25">
      <c r="A480" s="979"/>
      <c r="B480" s="979"/>
      <c r="C480" s="979"/>
      <c r="D480" s="979"/>
      <c r="E480" s="979"/>
    </row>
    <row r="481" spans="1:5" x14ac:dyDescent="0.25">
      <c r="A481" s="979"/>
      <c r="B481" s="979"/>
      <c r="C481" s="979"/>
      <c r="D481" s="979"/>
      <c r="E481" s="979"/>
    </row>
    <row r="482" spans="1:5" x14ac:dyDescent="0.25">
      <c r="A482" s="966" t="s">
        <v>1528</v>
      </c>
      <c r="B482" s="966"/>
      <c r="C482" s="966"/>
      <c r="D482" s="966"/>
      <c r="E482" s="966"/>
    </row>
    <row r="483" spans="1:5" x14ac:dyDescent="0.25">
      <c r="A483" s="967" t="s">
        <v>998</v>
      </c>
      <c r="B483" s="1019"/>
      <c r="C483" s="1019"/>
      <c r="D483" s="968"/>
      <c r="E483" s="229" t="s">
        <v>1293</v>
      </c>
    </row>
    <row r="484" spans="1:5" x14ac:dyDescent="0.25">
      <c r="A484" s="969" t="s">
        <v>1288</v>
      </c>
      <c r="B484" s="1087"/>
      <c r="C484" s="1087"/>
      <c r="D484" s="970"/>
      <c r="E484" s="232">
        <v>17.72</v>
      </c>
    </row>
    <row r="485" spans="1:5" x14ac:dyDescent="0.25">
      <c r="A485" s="971" t="s">
        <v>1001</v>
      </c>
      <c r="B485" s="972"/>
      <c r="C485" s="972"/>
      <c r="D485" s="973"/>
      <c r="E485" s="238">
        <f>E484</f>
        <v>17.72</v>
      </c>
    </row>
    <row r="486" spans="1:5" x14ac:dyDescent="0.25">
      <c r="A486" s="995" t="s">
        <v>1270</v>
      </c>
      <c r="B486" s="996"/>
      <c r="C486" s="996"/>
      <c r="D486" s="997"/>
      <c r="E486" s="233">
        <f>SUM(E484:E484)</f>
        <v>17.72</v>
      </c>
    </row>
    <row r="487" spans="1:5" x14ac:dyDescent="0.25">
      <c r="A487" s="1010"/>
      <c r="B487" s="1011"/>
      <c r="C487" s="1011"/>
      <c r="D487" s="1011"/>
      <c r="E487" s="1012"/>
    </row>
    <row r="488" spans="1:5" x14ac:dyDescent="0.25">
      <c r="A488" s="1013"/>
      <c r="B488" s="1014"/>
      <c r="C488" s="1014"/>
      <c r="D488" s="1014"/>
      <c r="E488" s="1015"/>
    </row>
    <row r="489" spans="1:5" x14ac:dyDescent="0.25">
      <c r="A489" s="1013"/>
      <c r="B489" s="1014"/>
      <c r="C489" s="1014"/>
      <c r="D489" s="1014"/>
      <c r="E489" s="1015"/>
    </row>
    <row r="490" spans="1:5" x14ac:dyDescent="0.25">
      <c r="A490" s="1013"/>
      <c r="B490" s="1014"/>
      <c r="C490" s="1014"/>
      <c r="D490" s="1014"/>
      <c r="E490" s="1015"/>
    </row>
    <row r="491" spans="1:5" x14ac:dyDescent="0.25">
      <c r="A491" s="1013"/>
      <c r="B491" s="1014"/>
      <c r="C491" s="1014"/>
      <c r="D491" s="1014"/>
      <c r="E491" s="1015"/>
    </row>
    <row r="492" spans="1:5" x14ac:dyDescent="0.25">
      <c r="A492" s="1013"/>
      <c r="B492" s="1014"/>
      <c r="C492" s="1014"/>
      <c r="D492" s="1014"/>
      <c r="E492" s="1015"/>
    </row>
    <row r="493" spans="1:5" x14ac:dyDescent="0.25">
      <c r="A493" s="1013"/>
      <c r="B493" s="1014"/>
      <c r="C493" s="1014"/>
      <c r="D493" s="1014"/>
      <c r="E493" s="1015"/>
    </row>
    <row r="494" spans="1:5" x14ac:dyDescent="0.25">
      <c r="A494" s="1013"/>
      <c r="B494" s="1014"/>
      <c r="C494" s="1014"/>
      <c r="D494" s="1014"/>
      <c r="E494" s="1015"/>
    </row>
    <row r="495" spans="1:5" x14ac:dyDescent="0.25">
      <c r="A495" s="1013"/>
      <c r="B495" s="1014"/>
      <c r="C495" s="1014"/>
      <c r="D495" s="1014"/>
      <c r="E495" s="1015"/>
    </row>
    <row r="496" spans="1:5" x14ac:dyDescent="0.25">
      <c r="A496" s="1013"/>
      <c r="B496" s="1014"/>
      <c r="C496" s="1014"/>
      <c r="D496" s="1014"/>
      <c r="E496" s="1015"/>
    </row>
    <row r="497" spans="1:5" x14ac:dyDescent="0.25">
      <c r="A497" s="1016"/>
      <c r="B497" s="1017"/>
      <c r="C497" s="1017"/>
      <c r="D497" s="1017"/>
      <c r="E497" s="1018"/>
    </row>
  </sheetData>
  <mergeCells count="186">
    <mergeCell ref="A487:E497"/>
    <mergeCell ref="A484:D484"/>
    <mergeCell ref="A485:D485"/>
    <mergeCell ref="A486:D486"/>
    <mergeCell ref="A458:E458"/>
    <mergeCell ref="A459:E459"/>
    <mergeCell ref="A460:E481"/>
    <mergeCell ref="A482:E482"/>
    <mergeCell ref="A483:D483"/>
    <mergeCell ref="A454:D454"/>
    <mergeCell ref="A455:D455"/>
    <mergeCell ref="A456:D456"/>
    <mergeCell ref="A457:D457"/>
    <mergeCell ref="A453:D453"/>
    <mergeCell ref="A449:B449"/>
    <mergeCell ref="C449:D449"/>
    <mergeCell ref="A450:B450"/>
    <mergeCell ref="C450:D450"/>
    <mergeCell ref="A452:E452"/>
    <mergeCell ref="A451:B451"/>
    <mergeCell ref="C451:D451"/>
    <mergeCell ref="A424:E445"/>
    <mergeCell ref="A446:E446"/>
    <mergeCell ref="A447:B447"/>
    <mergeCell ref="C447:D447"/>
    <mergeCell ref="A448:B448"/>
    <mergeCell ref="C448:D448"/>
    <mergeCell ref="A419:D419"/>
    <mergeCell ref="A420:D420"/>
    <mergeCell ref="A421:D421"/>
    <mergeCell ref="A422:E422"/>
    <mergeCell ref="A423:E423"/>
    <mergeCell ref="A395:E395"/>
    <mergeCell ref="A396:E396"/>
    <mergeCell ref="A397:E416"/>
    <mergeCell ref="A417:E417"/>
    <mergeCell ref="A418:D418"/>
    <mergeCell ref="A390:E390"/>
    <mergeCell ref="A391:D391"/>
    <mergeCell ref="A392:D392"/>
    <mergeCell ref="A393:D393"/>
    <mergeCell ref="A394:D394"/>
    <mergeCell ref="A366:D366"/>
    <mergeCell ref="A367:D367"/>
    <mergeCell ref="A368:E368"/>
    <mergeCell ref="A369:E369"/>
    <mergeCell ref="A370:E389"/>
    <mergeCell ref="A362:B362"/>
    <mergeCell ref="C362:D362"/>
    <mergeCell ref="A363:E363"/>
    <mergeCell ref="A364:D364"/>
    <mergeCell ref="A365:D365"/>
    <mergeCell ref="A359:B359"/>
    <mergeCell ref="C359:D359"/>
    <mergeCell ref="A360:B360"/>
    <mergeCell ref="C360:D360"/>
    <mergeCell ref="A361:B361"/>
    <mergeCell ref="C361:D361"/>
    <mergeCell ref="A333:D333"/>
    <mergeCell ref="A334:E334"/>
    <mergeCell ref="A335:E335"/>
    <mergeCell ref="A336:E357"/>
    <mergeCell ref="A358:E358"/>
    <mergeCell ref="A309:E328"/>
    <mergeCell ref="A329:E329"/>
    <mergeCell ref="A330:D330"/>
    <mergeCell ref="A331:D331"/>
    <mergeCell ref="A332:D332"/>
    <mergeCell ref="A304:D304"/>
    <mergeCell ref="A305:D305"/>
    <mergeCell ref="A306:D306"/>
    <mergeCell ref="A307:E307"/>
    <mergeCell ref="A308:E308"/>
    <mergeCell ref="A280:E280"/>
    <mergeCell ref="A281:E281"/>
    <mergeCell ref="A282:E301"/>
    <mergeCell ref="A302:E302"/>
    <mergeCell ref="A303:D303"/>
    <mergeCell ref="A275:E275"/>
    <mergeCell ref="A278:D278"/>
    <mergeCell ref="A279:D279"/>
    <mergeCell ref="A277:D277"/>
    <mergeCell ref="A274:B274"/>
    <mergeCell ref="C274:D274"/>
    <mergeCell ref="A276:D276"/>
    <mergeCell ref="A250:E269"/>
    <mergeCell ref="A270:E270"/>
    <mergeCell ref="A271:B271"/>
    <mergeCell ref="C271:D271"/>
    <mergeCell ref="A273:B273"/>
    <mergeCell ref="C273:D273"/>
    <mergeCell ref="A272:B272"/>
    <mergeCell ref="C272:D272"/>
    <mergeCell ref="A231:D231"/>
    <mergeCell ref="A232:D232"/>
    <mergeCell ref="A233:D233"/>
    <mergeCell ref="A248:E248"/>
    <mergeCell ref="A249:E249"/>
    <mergeCell ref="A207:E207"/>
    <mergeCell ref="A208:E208"/>
    <mergeCell ref="A209:E228"/>
    <mergeCell ref="A229:E229"/>
    <mergeCell ref="A230:D230"/>
    <mergeCell ref="A234:E234"/>
    <mergeCell ref="A235:E235"/>
    <mergeCell ref="A236:E241"/>
    <mergeCell ref="A242:E242"/>
    <mergeCell ref="A246:D246"/>
    <mergeCell ref="A247:D247"/>
    <mergeCell ref="B244:D244"/>
    <mergeCell ref="B245:D245"/>
    <mergeCell ref="B243:D243"/>
    <mergeCell ref="A198:D198"/>
    <mergeCell ref="A195:D195"/>
    <mergeCell ref="A196:D196"/>
    <mergeCell ref="A199:E200"/>
    <mergeCell ref="A201:C201"/>
    <mergeCell ref="D201:D206"/>
    <mergeCell ref="A202:C206"/>
    <mergeCell ref="E202:E203"/>
    <mergeCell ref="E205:E206"/>
    <mergeCell ref="A197:D197"/>
    <mergeCell ref="A173:D173"/>
    <mergeCell ref="A174:E174"/>
    <mergeCell ref="A175:E175"/>
    <mergeCell ref="A176:E193"/>
    <mergeCell ref="A194:E194"/>
    <mergeCell ref="A151:E168"/>
    <mergeCell ref="A169:E169"/>
    <mergeCell ref="A170:D170"/>
    <mergeCell ref="A171:D171"/>
    <mergeCell ref="A172:D172"/>
    <mergeCell ref="A146:E146"/>
    <mergeCell ref="A147:D147"/>
    <mergeCell ref="A148:D148"/>
    <mergeCell ref="A149:E149"/>
    <mergeCell ref="A150:E150"/>
    <mergeCell ref="A121:E142"/>
    <mergeCell ref="A143:E143"/>
    <mergeCell ref="A144:B144"/>
    <mergeCell ref="C144:D144"/>
    <mergeCell ref="A145:B145"/>
    <mergeCell ref="C145:D145"/>
    <mergeCell ref="A116:D116"/>
    <mergeCell ref="A117:D117"/>
    <mergeCell ref="A118:D118"/>
    <mergeCell ref="A119:E119"/>
    <mergeCell ref="A120:E120"/>
    <mergeCell ref="A92:E92"/>
    <mergeCell ref="A93:E93"/>
    <mergeCell ref="A94:E113"/>
    <mergeCell ref="A114:E114"/>
    <mergeCell ref="A115:D115"/>
    <mergeCell ref="A90:D90"/>
    <mergeCell ref="A91:D91"/>
    <mergeCell ref="A32:D32"/>
    <mergeCell ref="A33:D33"/>
    <mergeCell ref="A88:D88"/>
    <mergeCell ref="A89:D89"/>
    <mergeCell ref="A65:D65"/>
    <mergeCell ref="A66:E66"/>
    <mergeCell ref="A67:E67"/>
    <mergeCell ref="A68:E86"/>
    <mergeCell ref="A87:E87"/>
    <mergeCell ref="C62:D62"/>
    <mergeCell ref="A64:D64"/>
    <mergeCell ref="A61:B61"/>
    <mergeCell ref="A62:B62"/>
    <mergeCell ref="A63:E63"/>
    <mergeCell ref="A36:E36"/>
    <mergeCell ref="A37:E37"/>
    <mergeCell ref="A38:E59"/>
    <mergeCell ref="A60:E60"/>
    <mergeCell ref="C61:D61"/>
    <mergeCell ref="A35:D35"/>
    <mergeCell ref="A9:E9"/>
    <mergeCell ref="A10:E10"/>
    <mergeCell ref="A11:E30"/>
    <mergeCell ref="A31:E31"/>
    <mergeCell ref="A34:D34"/>
    <mergeCell ref="A1:E2"/>
    <mergeCell ref="A3:C3"/>
    <mergeCell ref="D3:D8"/>
    <mergeCell ref="A4:C8"/>
    <mergeCell ref="E4:E5"/>
    <mergeCell ref="E7:E8"/>
  </mergeCells>
  <pageMargins left="0.7" right="0.7" top="0.75" bottom="0.75" header="0.3" footer="0.3"/>
  <pageSetup paperSize="9" scale="69" orientation="portrait" horizontalDpi="4294967293" r:id="rId1"/>
  <colBreaks count="1" manualBreakCount="1">
    <brk id="5" max="1048575" man="1"/>
  </col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C191B-CEF5-423F-B98A-5B5F616987AA}">
  <sheetPr>
    <tabColor theme="1" tint="0.34998626667073579"/>
  </sheetPr>
  <dimension ref="A1:E231"/>
  <sheetViews>
    <sheetView view="pageBreakPreview" zoomScaleNormal="100" zoomScaleSheetLayoutView="100" workbookViewId="0">
      <selection activeCell="A228" sqref="A228"/>
    </sheetView>
  </sheetViews>
  <sheetFormatPr defaultRowHeight="15" customHeight="1" x14ac:dyDescent="0.25"/>
  <cols>
    <col min="1" max="1" width="31.42578125" customWidth="1"/>
    <col min="2" max="2" width="18" customWidth="1"/>
    <col min="3" max="3" width="44.570312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ht="14.45" customHeight="1" x14ac:dyDescent="0.25">
      <c r="A3" s="986" t="s">
        <v>1529</v>
      </c>
      <c r="B3" s="987"/>
      <c r="C3" s="988"/>
      <c r="D3" s="1026"/>
      <c r="E3" s="228" t="s">
        <v>993</v>
      </c>
    </row>
    <row r="4" spans="1:5" ht="15" customHeight="1" x14ac:dyDescent="0.25">
      <c r="A4" s="992" t="s">
        <v>983</v>
      </c>
      <c r="B4" s="992"/>
      <c r="C4" s="992"/>
      <c r="D4" s="990"/>
      <c r="E4" s="1212"/>
    </row>
    <row r="5" spans="1:5" ht="14.45" customHeight="1" x14ac:dyDescent="0.25">
      <c r="A5" s="992"/>
      <c r="B5" s="992"/>
      <c r="C5" s="992"/>
      <c r="D5" s="990"/>
      <c r="E5" s="1213"/>
    </row>
    <row r="6" spans="1:5" ht="14.45" customHeight="1" x14ac:dyDescent="0.25">
      <c r="A6" s="992"/>
      <c r="B6" s="992"/>
      <c r="C6" s="992"/>
      <c r="D6" s="990"/>
      <c r="E6" s="228" t="s">
        <v>995</v>
      </c>
    </row>
    <row r="7" spans="1:5" ht="14.45" customHeight="1" x14ac:dyDescent="0.25">
      <c r="A7" s="992"/>
      <c r="B7" s="992"/>
      <c r="C7" s="992"/>
      <c r="D7" s="990"/>
      <c r="E7" s="1214"/>
    </row>
    <row r="8" spans="1:5" ht="14.45" customHeight="1" x14ac:dyDescent="0.25">
      <c r="A8" s="992"/>
      <c r="B8" s="992"/>
      <c r="C8" s="992"/>
      <c r="D8" s="991"/>
      <c r="E8" s="1215"/>
    </row>
    <row r="9" spans="1:5" ht="15" customHeight="1" x14ac:dyDescent="0.25">
      <c r="A9" s="974" t="s">
        <v>1530</v>
      </c>
      <c r="B9" s="975"/>
      <c r="C9" s="975"/>
      <c r="D9" s="976"/>
      <c r="E9" s="977"/>
    </row>
    <row r="10" spans="1:5" x14ac:dyDescent="0.25">
      <c r="A10" s="1207" t="s">
        <v>1531</v>
      </c>
      <c r="B10" s="1208"/>
      <c r="C10" s="1208"/>
      <c r="D10" s="1208"/>
      <c r="E10" s="1211"/>
    </row>
    <row r="11" spans="1:5" x14ac:dyDescent="0.25">
      <c r="A11" s="1207" t="s">
        <v>1532</v>
      </c>
      <c r="B11" s="1208"/>
      <c r="C11" s="1208"/>
      <c r="D11" s="574" t="s">
        <v>1533</v>
      </c>
      <c r="E11" s="575" t="s">
        <v>1534</v>
      </c>
    </row>
    <row r="12" spans="1:5" x14ac:dyDescent="0.25">
      <c r="A12" s="1209" t="s">
        <v>1535</v>
      </c>
      <c r="B12" s="1210"/>
      <c r="C12" s="1210"/>
      <c r="D12" s="570">
        <v>6</v>
      </c>
      <c r="E12" s="571" t="s">
        <v>1536</v>
      </c>
    </row>
    <row r="13" spans="1:5" x14ac:dyDescent="0.25">
      <c r="A13" s="1209" t="s">
        <v>1537</v>
      </c>
      <c r="B13" s="1210"/>
      <c r="C13" s="1210"/>
      <c r="D13" s="572">
        <v>37</v>
      </c>
      <c r="E13" s="573" t="s">
        <v>1536</v>
      </c>
    </row>
    <row r="14" spans="1:5" x14ac:dyDescent="0.25">
      <c r="A14" s="1209" t="s">
        <v>1538</v>
      </c>
      <c r="B14" s="1210"/>
      <c r="C14" s="1210"/>
      <c r="D14" s="572">
        <v>148</v>
      </c>
      <c r="E14" s="573" t="s">
        <v>1536</v>
      </c>
    </row>
    <row r="15" spans="1:5" x14ac:dyDescent="0.25">
      <c r="A15" s="1209" t="s">
        <v>1539</v>
      </c>
      <c r="B15" s="1210"/>
      <c r="C15" s="1210"/>
      <c r="D15" s="572">
        <v>20</v>
      </c>
      <c r="E15" s="573" t="s">
        <v>1536</v>
      </c>
    </row>
    <row r="16" spans="1:5" x14ac:dyDescent="0.25">
      <c r="A16" s="1209" t="s">
        <v>1540</v>
      </c>
      <c r="B16" s="1210"/>
      <c r="C16" s="1210"/>
      <c r="D16" s="572">
        <v>6</v>
      </c>
      <c r="E16" s="573" t="s">
        <v>1536</v>
      </c>
    </row>
    <row r="17" spans="1:5" x14ac:dyDescent="0.25">
      <c r="A17" s="1209" t="s">
        <v>1541</v>
      </c>
      <c r="B17" s="1210"/>
      <c r="C17" s="1210"/>
      <c r="D17" s="572">
        <v>4</v>
      </c>
      <c r="E17" s="573" t="s">
        <v>1536</v>
      </c>
    </row>
    <row r="18" spans="1:5" x14ac:dyDescent="0.25">
      <c r="A18" s="1209" t="s">
        <v>1542</v>
      </c>
      <c r="B18" s="1210"/>
      <c r="C18" s="1210"/>
      <c r="D18" s="572">
        <v>14</v>
      </c>
      <c r="E18" s="573" t="s">
        <v>1536</v>
      </c>
    </row>
    <row r="19" spans="1:5" x14ac:dyDescent="0.25">
      <c r="A19" s="1209" t="s">
        <v>1543</v>
      </c>
      <c r="B19" s="1210"/>
      <c r="C19" s="1210"/>
      <c r="D19" s="572">
        <v>17</v>
      </c>
      <c r="E19" s="573" t="s">
        <v>1536</v>
      </c>
    </row>
    <row r="20" spans="1:5" x14ac:dyDescent="0.25">
      <c r="A20" s="1209" t="s">
        <v>1544</v>
      </c>
      <c r="B20" s="1210"/>
      <c r="C20" s="1210"/>
      <c r="D20" s="572">
        <v>17</v>
      </c>
      <c r="E20" s="573" t="s">
        <v>1536</v>
      </c>
    </row>
    <row r="21" spans="1:5" x14ac:dyDescent="0.25">
      <c r="A21" s="1209" t="s">
        <v>1545</v>
      </c>
      <c r="B21" s="1210"/>
      <c r="C21" s="1210"/>
      <c r="D21" s="572">
        <v>2</v>
      </c>
      <c r="E21" s="573" t="s">
        <v>1536</v>
      </c>
    </row>
    <row r="22" spans="1:5" x14ac:dyDescent="0.25">
      <c r="A22" s="1209" t="s">
        <v>1546</v>
      </c>
      <c r="B22" s="1210"/>
      <c r="C22" s="1210"/>
      <c r="D22" s="572">
        <v>4</v>
      </c>
      <c r="E22" s="573" t="s">
        <v>1536</v>
      </c>
    </row>
    <row r="23" spans="1:5" x14ac:dyDescent="0.25">
      <c r="A23" s="1209" t="s">
        <v>1547</v>
      </c>
      <c r="B23" s="1210"/>
      <c r="C23" s="1210"/>
      <c r="D23" s="572">
        <v>8</v>
      </c>
      <c r="E23" s="573" t="s">
        <v>1536</v>
      </c>
    </row>
    <row r="24" spans="1:5" x14ac:dyDescent="0.25">
      <c r="A24" s="1207" t="s">
        <v>1548</v>
      </c>
      <c r="B24" s="1208"/>
      <c r="C24" s="1208"/>
      <c r="D24" s="1208"/>
      <c r="E24" s="1211"/>
    </row>
    <row r="25" spans="1:5" x14ac:dyDescent="0.25">
      <c r="A25" s="1207" t="s">
        <v>1532</v>
      </c>
      <c r="B25" s="1208"/>
      <c r="C25" s="1208"/>
      <c r="D25" s="574" t="s">
        <v>1533</v>
      </c>
      <c r="E25" s="575" t="s">
        <v>1534</v>
      </c>
    </row>
    <row r="26" spans="1:5" x14ac:dyDescent="0.25">
      <c r="A26" s="1209" t="s">
        <v>1549</v>
      </c>
      <c r="B26" s="1210"/>
      <c r="C26" s="1210"/>
      <c r="D26" s="570">
        <v>3</v>
      </c>
      <c r="E26" s="571" t="s">
        <v>1536</v>
      </c>
    </row>
    <row r="27" spans="1:5" x14ac:dyDescent="0.25">
      <c r="A27" s="1209" t="s">
        <v>1550</v>
      </c>
      <c r="B27" s="1210"/>
      <c r="C27" s="1210"/>
      <c r="D27" s="572">
        <v>2</v>
      </c>
      <c r="E27" s="573" t="s">
        <v>1536</v>
      </c>
    </row>
    <row r="28" spans="1:5" x14ac:dyDescent="0.25">
      <c r="A28" s="1209" t="s">
        <v>1551</v>
      </c>
      <c r="B28" s="1210"/>
      <c r="C28" s="1210"/>
      <c r="D28" s="572">
        <v>2</v>
      </c>
      <c r="E28" s="573" t="s">
        <v>1536</v>
      </c>
    </row>
    <row r="29" spans="1:5" x14ac:dyDescent="0.25">
      <c r="A29" s="1209" t="s">
        <v>1552</v>
      </c>
      <c r="B29" s="1210"/>
      <c r="C29" s="1210"/>
      <c r="D29" s="572">
        <v>2</v>
      </c>
      <c r="E29" s="573" t="s">
        <v>1536</v>
      </c>
    </row>
    <row r="30" spans="1:5" x14ac:dyDescent="0.25">
      <c r="A30" s="1209" t="s">
        <v>1553</v>
      </c>
      <c r="B30" s="1210"/>
      <c r="C30" s="1210"/>
      <c r="D30" s="572">
        <v>27</v>
      </c>
      <c r="E30" s="573" t="s">
        <v>1536</v>
      </c>
    </row>
    <row r="31" spans="1:5" x14ac:dyDescent="0.25">
      <c r="A31" s="1209" t="s">
        <v>1554</v>
      </c>
      <c r="B31" s="1210"/>
      <c r="C31" s="1210"/>
      <c r="D31" s="572">
        <v>1</v>
      </c>
      <c r="E31" s="573" t="s">
        <v>1536</v>
      </c>
    </row>
    <row r="32" spans="1:5" x14ac:dyDescent="0.25">
      <c r="A32" s="1209" t="s">
        <v>1555</v>
      </c>
      <c r="B32" s="1210"/>
      <c r="C32" s="1210"/>
      <c r="D32" s="572">
        <v>1</v>
      </c>
      <c r="E32" s="573" t="s">
        <v>1536</v>
      </c>
    </row>
    <row r="33" spans="1:5" x14ac:dyDescent="0.25">
      <c r="A33" s="1209" t="s">
        <v>1556</v>
      </c>
      <c r="B33" s="1210"/>
      <c r="C33" s="1210"/>
      <c r="D33" s="572">
        <v>1</v>
      </c>
      <c r="E33" s="573" t="s">
        <v>1536</v>
      </c>
    </row>
    <row r="34" spans="1:5" x14ac:dyDescent="0.25">
      <c r="A34" s="1209" t="s">
        <v>1557</v>
      </c>
      <c r="B34" s="1210"/>
      <c r="C34" s="1210"/>
      <c r="D34" s="572">
        <v>7</v>
      </c>
      <c r="E34" s="573" t="s">
        <v>1536</v>
      </c>
    </row>
    <row r="35" spans="1:5" x14ac:dyDescent="0.25">
      <c r="A35" s="1209" t="s">
        <v>1558</v>
      </c>
      <c r="B35" s="1210"/>
      <c r="C35" s="1210"/>
      <c r="D35" s="572">
        <v>16</v>
      </c>
      <c r="E35" s="573" t="s">
        <v>1536</v>
      </c>
    </row>
    <row r="36" spans="1:5" x14ac:dyDescent="0.25">
      <c r="A36" s="1209" t="s">
        <v>1559</v>
      </c>
      <c r="B36" s="1210"/>
      <c r="C36" s="1210"/>
      <c r="D36" s="572">
        <v>9</v>
      </c>
      <c r="E36" s="573" t="s">
        <v>1536</v>
      </c>
    </row>
    <row r="37" spans="1:5" x14ac:dyDescent="0.25">
      <c r="A37" s="1209" t="s">
        <v>1560</v>
      </c>
      <c r="B37" s="1210"/>
      <c r="C37" s="1210"/>
      <c r="D37" s="572">
        <v>2</v>
      </c>
      <c r="E37" s="573" t="s">
        <v>1536</v>
      </c>
    </row>
    <row r="38" spans="1:5" x14ac:dyDescent="0.25">
      <c r="A38" s="1209" t="s">
        <v>1561</v>
      </c>
      <c r="B38" s="1210"/>
      <c r="C38" s="1210"/>
      <c r="D38" s="572">
        <v>3</v>
      </c>
      <c r="E38" s="573" t="s">
        <v>1536</v>
      </c>
    </row>
    <row r="39" spans="1:5" x14ac:dyDescent="0.25">
      <c r="A39" s="1209" t="s">
        <v>1562</v>
      </c>
      <c r="B39" s="1210"/>
      <c r="C39" s="1210"/>
      <c r="D39" s="572">
        <v>30</v>
      </c>
      <c r="E39" s="573" t="s">
        <v>0</v>
      </c>
    </row>
    <row r="40" spans="1:5" x14ac:dyDescent="0.25">
      <c r="A40" s="1209" t="s">
        <v>1563</v>
      </c>
      <c r="B40" s="1210"/>
      <c r="C40" s="1210"/>
      <c r="D40" s="572">
        <v>214.98</v>
      </c>
      <c r="E40" s="573" t="s">
        <v>0</v>
      </c>
    </row>
    <row r="41" spans="1:5" x14ac:dyDescent="0.25">
      <c r="A41" s="1209" t="s">
        <v>1564</v>
      </c>
      <c r="B41" s="1210"/>
      <c r="C41" s="1210"/>
      <c r="D41" s="572">
        <v>2</v>
      </c>
      <c r="E41" s="573" t="s">
        <v>1536</v>
      </c>
    </row>
    <row r="42" spans="1:5" x14ac:dyDescent="0.25">
      <c r="A42" s="1209" t="s">
        <v>1565</v>
      </c>
      <c r="B42" s="1210"/>
      <c r="C42" s="1210"/>
      <c r="D42" s="572">
        <v>1</v>
      </c>
      <c r="E42" s="573" t="s">
        <v>1536</v>
      </c>
    </row>
    <row r="43" spans="1:5" x14ac:dyDescent="0.25">
      <c r="A43" s="1209" t="s">
        <v>1566</v>
      </c>
      <c r="B43" s="1210"/>
      <c r="C43" s="1210"/>
      <c r="D43" s="572">
        <v>2</v>
      </c>
      <c r="E43" s="573" t="s">
        <v>1536</v>
      </c>
    </row>
    <row r="44" spans="1:5" x14ac:dyDescent="0.25">
      <c r="A44" s="1209" t="s">
        <v>1567</v>
      </c>
      <c r="B44" s="1210"/>
      <c r="C44" s="1210"/>
      <c r="D44" s="572">
        <v>1</v>
      </c>
      <c r="E44" s="573" t="s">
        <v>1536</v>
      </c>
    </row>
    <row r="45" spans="1:5" x14ac:dyDescent="0.25">
      <c r="A45" s="1209" t="s">
        <v>1568</v>
      </c>
      <c r="B45" s="1210"/>
      <c r="C45" s="1210"/>
      <c r="D45" s="572">
        <v>3</v>
      </c>
      <c r="E45" s="573" t="s">
        <v>1536</v>
      </c>
    </row>
    <row r="46" spans="1:5" x14ac:dyDescent="0.25">
      <c r="A46" s="1209" t="s">
        <v>1569</v>
      </c>
      <c r="B46" s="1210"/>
      <c r="C46" s="1210"/>
      <c r="D46" s="572">
        <v>3</v>
      </c>
      <c r="E46" s="573" t="s">
        <v>0</v>
      </c>
    </row>
    <row r="47" spans="1:5" x14ac:dyDescent="0.25">
      <c r="A47" s="1209" t="s">
        <v>1570</v>
      </c>
      <c r="B47" s="1210"/>
      <c r="C47" s="1210"/>
      <c r="D47" s="572">
        <v>3</v>
      </c>
      <c r="E47" s="573" t="s">
        <v>1571</v>
      </c>
    </row>
    <row r="48" spans="1:5" x14ac:dyDescent="0.25">
      <c r="A48" s="1209" t="s">
        <v>1572</v>
      </c>
      <c r="B48" s="1210"/>
      <c r="C48" s="1210"/>
      <c r="D48" s="572">
        <v>2</v>
      </c>
      <c r="E48" s="573" t="s">
        <v>1536</v>
      </c>
    </row>
    <row r="49" spans="1:5" x14ac:dyDescent="0.25">
      <c r="A49" s="1209" t="s">
        <v>1573</v>
      </c>
      <c r="B49" s="1210"/>
      <c r="C49" s="1210"/>
      <c r="D49" s="572">
        <v>2</v>
      </c>
      <c r="E49" s="573" t="s">
        <v>1536</v>
      </c>
    </row>
    <row r="50" spans="1:5" x14ac:dyDescent="0.25">
      <c r="A50" s="1209" t="s">
        <v>1574</v>
      </c>
      <c r="B50" s="1210"/>
      <c r="C50" s="1210"/>
      <c r="D50" s="572">
        <v>6</v>
      </c>
      <c r="E50" s="573" t="s">
        <v>1536</v>
      </c>
    </row>
    <row r="51" spans="1:5" x14ac:dyDescent="0.25">
      <c r="A51" s="1209" t="s">
        <v>1575</v>
      </c>
      <c r="B51" s="1210"/>
      <c r="C51" s="1210"/>
      <c r="D51" s="572">
        <v>1</v>
      </c>
      <c r="E51" s="573" t="s">
        <v>10</v>
      </c>
    </row>
    <row r="52" spans="1:5" x14ac:dyDescent="0.25">
      <c r="A52" s="1209" t="s">
        <v>1576</v>
      </c>
      <c r="B52" s="1210"/>
      <c r="C52" s="1210"/>
      <c r="D52" s="572">
        <v>6</v>
      </c>
      <c r="E52" s="573" t="s">
        <v>1536</v>
      </c>
    </row>
    <row r="53" spans="1:5" x14ac:dyDescent="0.25">
      <c r="A53" s="1209" t="s">
        <v>1577</v>
      </c>
      <c r="B53" s="1210"/>
      <c r="C53" s="1210"/>
      <c r="D53" s="572">
        <v>3</v>
      </c>
      <c r="E53" s="573" t="s">
        <v>1536</v>
      </c>
    </row>
    <row r="54" spans="1:5" x14ac:dyDescent="0.25">
      <c r="A54" s="1209" t="s">
        <v>1558</v>
      </c>
      <c r="B54" s="1210"/>
      <c r="C54" s="1210"/>
      <c r="D54" s="572">
        <v>35</v>
      </c>
      <c r="E54" s="573" t="s">
        <v>1536</v>
      </c>
    </row>
    <row r="55" spans="1:5" x14ac:dyDescent="0.25">
      <c r="A55" s="1209" t="s">
        <v>1578</v>
      </c>
      <c r="B55" s="1210"/>
      <c r="C55" s="1210"/>
      <c r="D55" s="572">
        <v>15</v>
      </c>
      <c r="E55" s="573" t="s">
        <v>1536</v>
      </c>
    </row>
    <row r="56" spans="1:5" x14ac:dyDescent="0.25">
      <c r="A56" s="1209" t="s">
        <v>1559</v>
      </c>
      <c r="B56" s="1210"/>
      <c r="C56" s="1210"/>
      <c r="D56" s="572">
        <v>15</v>
      </c>
      <c r="E56" s="573" t="s">
        <v>1536</v>
      </c>
    </row>
    <row r="57" spans="1:5" x14ac:dyDescent="0.25">
      <c r="A57" s="1209" t="s">
        <v>1579</v>
      </c>
      <c r="B57" s="1210"/>
      <c r="C57" s="1210"/>
      <c r="D57" s="572">
        <v>12</v>
      </c>
      <c r="E57" s="573" t="s">
        <v>1536</v>
      </c>
    </row>
    <row r="58" spans="1:5" x14ac:dyDescent="0.25">
      <c r="A58" s="1209" t="s">
        <v>1580</v>
      </c>
      <c r="B58" s="1210"/>
      <c r="C58" s="1210"/>
      <c r="D58" s="572">
        <v>2</v>
      </c>
      <c r="E58" s="573" t="s">
        <v>1536</v>
      </c>
    </row>
    <row r="59" spans="1:5" x14ac:dyDescent="0.25">
      <c r="A59" s="1209" t="s">
        <v>1554</v>
      </c>
      <c r="B59" s="1210"/>
      <c r="C59" s="1210"/>
      <c r="D59" s="572">
        <v>37</v>
      </c>
      <c r="E59" s="573" t="s">
        <v>1536</v>
      </c>
    </row>
    <row r="60" spans="1:5" x14ac:dyDescent="0.25">
      <c r="A60" s="1209" t="s">
        <v>1581</v>
      </c>
      <c r="B60" s="1210"/>
      <c r="C60" s="1210"/>
      <c r="D60" s="572">
        <v>10</v>
      </c>
      <c r="E60" s="573" t="s">
        <v>1536</v>
      </c>
    </row>
    <row r="61" spans="1:5" x14ac:dyDescent="0.25">
      <c r="A61" s="1209" t="s">
        <v>1582</v>
      </c>
      <c r="B61" s="1210"/>
      <c r="C61" s="1210"/>
      <c r="D61" s="572">
        <v>3</v>
      </c>
      <c r="E61" s="573" t="s">
        <v>1536</v>
      </c>
    </row>
    <row r="62" spans="1:5" x14ac:dyDescent="0.25">
      <c r="A62" s="1209" t="s">
        <v>1583</v>
      </c>
      <c r="B62" s="1210"/>
      <c r="C62" s="1210"/>
      <c r="D62" s="572">
        <v>1</v>
      </c>
      <c r="E62" s="573" t="s">
        <v>1536</v>
      </c>
    </row>
    <row r="63" spans="1:5" x14ac:dyDescent="0.25">
      <c r="A63" s="1209" t="s">
        <v>1584</v>
      </c>
      <c r="B63" s="1210"/>
      <c r="C63" s="1210"/>
      <c r="D63" s="572">
        <v>1</v>
      </c>
      <c r="E63" s="573" t="s">
        <v>1536</v>
      </c>
    </row>
    <row r="64" spans="1:5" x14ac:dyDescent="0.25">
      <c r="A64" s="1209" t="s">
        <v>1585</v>
      </c>
      <c r="B64" s="1210"/>
      <c r="C64" s="1210"/>
      <c r="D64" s="572">
        <v>3</v>
      </c>
      <c r="E64" s="573" t="s">
        <v>1536</v>
      </c>
    </row>
    <row r="65" spans="1:5" x14ac:dyDescent="0.25">
      <c r="A65" s="1209" t="s">
        <v>1586</v>
      </c>
      <c r="B65" s="1210"/>
      <c r="C65" s="1210"/>
      <c r="D65" s="572">
        <v>476.11</v>
      </c>
      <c r="E65" s="573" t="s">
        <v>0</v>
      </c>
    </row>
    <row r="66" spans="1:5" x14ac:dyDescent="0.25">
      <c r="A66" s="1209" t="s">
        <v>1587</v>
      </c>
      <c r="B66" s="1210"/>
      <c r="C66" s="1210"/>
      <c r="D66" s="572">
        <v>331.69</v>
      </c>
      <c r="E66" s="573" t="s">
        <v>0</v>
      </c>
    </row>
    <row r="67" spans="1:5" x14ac:dyDescent="0.25">
      <c r="A67" s="1209" t="s">
        <v>1588</v>
      </c>
      <c r="B67" s="1210"/>
      <c r="C67" s="1210"/>
      <c r="D67" s="572">
        <v>24</v>
      </c>
      <c r="E67" s="573" t="s">
        <v>0</v>
      </c>
    </row>
    <row r="68" spans="1:5" x14ac:dyDescent="0.25">
      <c r="A68" s="1209" t="s">
        <v>1589</v>
      </c>
      <c r="B68" s="1210"/>
      <c r="C68" s="1210"/>
      <c r="D68" s="572">
        <v>28.92</v>
      </c>
      <c r="E68" s="573" t="s">
        <v>0</v>
      </c>
    </row>
    <row r="69" spans="1:5" x14ac:dyDescent="0.25">
      <c r="A69" s="1209" t="s">
        <v>1590</v>
      </c>
      <c r="B69" s="1210"/>
      <c r="C69" s="1210"/>
      <c r="D69" s="572">
        <v>6</v>
      </c>
      <c r="E69" s="573" t="s">
        <v>0</v>
      </c>
    </row>
    <row r="70" spans="1:5" x14ac:dyDescent="0.25">
      <c r="A70" s="1209" t="s">
        <v>1591</v>
      </c>
      <c r="B70" s="1210"/>
      <c r="C70" s="1210"/>
      <c r="D70" s="572">
        <v>9</v>
      </c>
      <c r="E70" s="573" t="s">
        <v>0</v>
      </c>
    </row>
    <row r="71" spans="1:5" x14ac:dyDescent="0.25">
      <c r="A71" s="1209" t="s">
        <v>1592</v>
      </c>
      <c r="B71" s="1210"/>
      <c r="C71" s="1210"/>
      <c r="D71" s="572">
        <v>139.1</v>
      </c>
      <c r="E71" s="573" t="s">
        <v>0</v>
      </c>
    </row>
    <row r="72" spans="1:5" x14ac:dyDescent="0.25">
      <c r="A72" s="1209" t="s">
        <v>1593</v>
      </c>
      <c r="B72" s="1210"/>
      <c r="C72" s="1210"/>
      <c r="D72" s="572">
        <v>31</v>
      </c>
      <c r="E72" s="573" t="s">
        <v>0</v>
      </c>
    </row>
    <row r="73" spans="1:5" x14ac:dyDescent="0.25">
      <c r="A73" s="1209" t="s">
        <v>1594</v>
      </c>
      <c r="B73" s="1210"/>
      <c r="C73" s="1210"/>
      <c r="D73" s="572">
        <v>8.4</v>
      </c>
      <c r="E73" s="573" t="s">
        <v>0</v>
      </c>
    </row>
    <row r="74" spans="1:5" x14ac:dyDescent="0.25">
      <c r="A74" s="1209" t="s">
        <v>1595</v>
      </c>
      <c r="B74" s="1210"/>
      <c r="C74" s="1210"/>
      <c r="D74" s="572">
        <v>13.13</v>
      </c>
      <c r="E74" s="573" t="s">
        <v>1536</v>
      </c>
    </row>
    <row r="75" spans="1:5" x14ac:dyDescent="0.25">
      <c r="A75" s="1209" t="s">
        <v>1596</v>
      </c>
      <c r="B75" s="1210"/>
      <c r="C75" s="1210"/>
      <c r="D75" s="572">
        <v>315.63</v>
      </c>
      <c r="E75" s="573" t="s">
        <v>1536</v>
      </c>
    </row>
    <row r="76" spans="1:5" x14ac:dyDescent="0.25">
      <c r="A76" s="1209" t="s">
        <v>1597</v>
      </c>
      <c r="B76" s="1210"/>
      <c r="C76" s="1210"/>
      <c r="D76" s="572">
        <v>17.64</v>
      </c>
      <c r="E76" s="573" t="s">
        <v>1536</v>
      </c>
    </row>
    <row r="77" spans="1:5" ht="15" customHeight="1" x14ac:dyDescent="0.25">
      <c r="A77" s="1209" t="s">
        <v>1598</v>
      </c>
      <c r="B77" s="1210"/>
      <c r="C77" s="1210"/>
      <c r="D77" s="572">
        <v>5</v>
      </c>
      <c r="E77" s="573" t="s">
        <v>1536</v>
      </c>
    </row>
    <row r="78" spans="1:5" ht="15" customHeight="1" x14ac:dyDescent="0.25">
      <c r="A78" s="1209" t="s">
        <v>1599</v>
      </c>
      <c r="B78" s="1210"/>
      <c r="C78" s="1210"/>
      <c r="D78" s="572">
        <v>74.27</v>
      </c>
      <c r="E78" s="573" t="s">
        <v>1536</v>
      </c>
    </row>
    <row r="79" spans="1:5" ht="15" customHeight="1" x14ac:dyDescent="0.25">
      <c r="A79" s="1209" t="s">
        <v>1600</v>
      </c>
      <c r="B79" s="1210"/>
      <c r="C79" s="1210"/>
      <c r="D79" s="572">
        <v>60</v>
      </c>
      <c r="E79" s="573" t="s">
        <v>1536</v>
      </c>
    </row>
    <row r="80" spans="1:5" ht="15" customHeight="1" x14ac:dyDescent="0.25">
      <c r="A80" s="1209" t="s">
        <v>1601</v>
      </c>
      <c r="B80" s="1210"/>
      <c r="C80" s="1210"/>
      <c r="D80" s="572">
        <v>26</v>
      </c>
      <c r="E80" s="573" t="s">
        <v>1536</v>
      </c>
    </row>
    <row r="81" spans="1:5" ht="15" customHeight="1" x14ac:dyDescent="0.25">
      <c r="A81" s="1209" t="s">
        <v>1602</v>
      </c>
      <c r="B81" s="1210"/>
      <c r="C81" s="1210"/>
      <c r="D81" s="572">
        <v>3</v>
      </c>
      <c r="E81" s="573" t="s">
        <v>1536</v>
      </c>
    </row>
    <row r="82" spans="1:5" ht="15" customHeight="1" x14ac:dyDescent="0.25">
      <c r="A82" s="1209" t="s">
        <v>1603</v>
      </c>
      <c r="B82" s="1210"/>
      <c r="C82" s="1210"/>
      <c r="D82" s="572">
        <v>676.55</v>
      </c>
      <c r="E82" s="573" t="s">
        <v>1536</v>
      </c>
    </row>
    <row r="83" spans="1:5" ht="15" customHeight="1" x14ac:dyDescent="0.25">
      <c r="A83" s="1209" t="s">
        <v>1604</v>
      </c>
      <c r="B83" s="1210"/>
      <c r="C83" s="1210"/>
      <c r="D83" s="572">
        <v>37.130000000000003</v>
      </c>
      <c r="E83" s="573" t="s">
        <v>1536</v>
      </c>
    </row>
    <row r="84" spans="1:5" ht="15" customHeight="1" x14ac:dyDescent="0.25">
      <c r="A84" s="1209" t="s">
        <v>1605</v>
      </c>
      <c r="B84" s="1210"/>
      <c r="C84" s="1210"/>
      <c r="D84" s="572">
        <v>30</v>
      </c>
      <c r="E84" s="573" t="s">
        <v>1536</v>
      </c>
    </row>
    <row r="85" spans="1:5" ht="15" customHeight="1" x14ac:dyDescent="0.25">
      <c r="A85" s="1209" t="s">
        <v>1606</v>
      </c>
      <c r="B85" s="1210"/>
      <c r="C85" s="1210"/>
      <c r="D85" s="572">
        <v>10.7</v>
      </c>
      <c r="E85" s="573" t="s">
        <v>0</v>
      </c>
    </row>
    <row r="86" spans="1:5" ht="15" customHeight="1" x14ac:dyDescent="0.25">
      <c r="A86" s="1209" t="s">
        <v>1607</v>
      </c>
      <c r="B86" s="1210"/>
      <c r="C86" s="1210"/>
      <c r="D86" s="572">
        <v>45</v>
      </c>
      <c r="E86" s="573" t="s">
        <v>0</v>
      </c>
    </row>
    <row r="87" spans="1:5" ht="15" customHeight="1" x14ac:dyDescent="0.25">
      <c r="A87" s="1207" t="s">
        <v>1608</v>
      </c>
      <c r="B87" s="1208"/>
      <c r="C87" s="1208"/>
      <c r="D87" s="1208"/>
      <c r="E87" s="1221"/>
    </row>
    <row r="88" spans="1:5" ht="15" customHeight="1" x14ac:dyDescent="0.25">
      <c r="A88" s="576" t="s">
        <v>1609</v>
      </c>
      <c r="B88" s="1208" t="s">
        <v>1610</v>
      </c>
      <c r="C88" s="1208"/>
      <c r="D88" s="574" t="s">
        <v>1611</v>
      </c>
      <c r="E88" s="575" t="s">
        <v>1612</v>
      </c>
    </row>
    <row r="89" spans="1:5" ht="15" customHeight="1" x14ac:dyDescent="0.25">
      <c r="A89" s="570">
        <v>5.44</v>
      </c>
      <c r="B89" s="1216">
        <v>3.22</v>
      </c>
      <c r="C89" s="1217"/>
      <c r="D89" s="571">
        <v>3.22</v>
      </c>
      <c r="E89" s="571">
        <v>5.44</v>
      </c>
    </row>
    <row r="90" spans="1:5" ht="15" customHeight="1" x14ac:dyDescent="0.25">
      <c r="A90" s="572">
        <v>5.44</v>
      </c>
      <c r="B90" s="1216">
        <v>5.12</v>
      </c>
      <c r="C90" s="1217"/>
      <c r="D90" s="573">
        <v>5.12</v>
      </c>
      <c r="E90" s="573">
        <v>5.44</v>
      </c>
    </row>
    <row r="91" spans="1:5" ht="15" customHeight="1" x14ac:dyDescent="0.25">
      <c r="A91" s="572">
        <v>3.22</v>
      </c>
      <c r="B91" s="1216">
        <v>2.5</v>
      </c>
      <c r="C91" s="1217"/>
      <c r="D91" s="573">
        <v>5.12</v>
      </c>
      <c r="E91" s="573">
        <v>3.22</v>
      </c>
    </row>
    <row r="92" spans="1:5" ht="15" customHeight="1" x14ac:dyDescent="0.25">
      <c r="A92" s="572">
        <v>2</v>
      </c>
      <c r="B92" s="1216">
        <v>2.5</v>
      </c>
      <c r="C92" s="1217"/>
      <c r="D92" s="573">
        <v>2.5</v>
      </c>
      <c r="E92" s="573">
        <v>3.22</v>
      </c>
    </row>
    <row r="93" spans="1:5" ht="15" customHeight="1" x14ac:dyDescent="0.25">
      <c r="A93" s="572">
        <v>2.06</v>
      </c>
      <c r="B93" s="1216">
        <v>2.5</v>
      </c>
      <c r="C93" s="1217"/>
      <c r="D93" s="573">
        <v>2.5</v>
      </c>
      <c r="E93" s="573">
        <v>3.22</v>
      </c>
    </row>
    <row r="94" spans="1:5" ht="15" customHeight="1" x14ac:dyDescent="0.25">
      <c r="A94" s="572">
        <v>2</v>
      </c>
      <c r="B94" s="1216">
        <v>4.5</v>
      </c>
      <c r="C94" s="1217"/>
      <c r="D94" s="573">
        <v>2.5</v>
      </c>
      <c r="E94" s="573">
        <v>2</v>
      </c>
    </row>
    <row r="95" spans="1:5" ht="15" customHeight="1" x14ac:dyDescent="0.25">
      <c r="A95" s="572">
        <v>2.06</v>
      </c>
      <c r="B95" s="1216">
        <v>3.25</v>
      </c>
      <c r="C95" s="1217"/>
      <c r="D95" s="573">
        <v>4.5</v>
      </c>
      <c r="E95" s="573">
        <v>2.06</v>
      </c>
    </row>
    <row r="96" spans="1:5" ht="15" customHeight="1" x14ac:dyDescent="0.25">
      <c r="A96" s="572">
        <v>5.12</v>
      </c>
      <c r="B96" s="1216">
        <v>3.05</v>
      </c>
      <c r="C96" s="1217"/>
      <c r="D96" s="573">
        <v>3.25</v>
      </c>
      <c r="E96" s="573">
        <v>2</v>
      </c>
    </row>
    <row r="97" spans="1:5" ht="15" customHeight="1" x14ac:dyDescent="0.25">
      <c r="A97" s="572">
        <v>5.12</v>
      </c>
      <c r="B97" s="1216">
        <v>3.05</v>
      </c>
      <c r="C97" s="1217"/>
      <c r="D97" s="573">
        <v>3.05</v>
      </c>
      <c r="E97" s="573">
        <v>2.06</v>
      </c>
    </row>
    <row r="98" spans="1:5" ht="15" customHeight="1" x14ac:dyDescent="0.25">
      <c r="A98" s="572">
        <v>3.44</v>
      </c>
      <c r="B98" s="1216">
        <v>2</v>
      </c>
      <c r="C98" s="1217"/>
      <c r="D98" s="573">
        <v>3.05</v>
      </c>
      <c r="E98" s="573">
        <v>5.12</v>
      </c>
    </row>
    <row r="99" spans="1:5" ht="15" customHeight="1" x14ac:dyDescent="0.25">
      <c r="A99" s="572">
        <v>4.33</v>
      </c>
      <c r="B99" s="1216">
        <v>3.5</v>
      </c>
      <c r="C99" s="1217"/>
      <c r="D99" s="573">
        <v>2</v>
      </c>
      <c r="E99" s="573">
        <v>5.12</v>
      </c>
    </row>
    <row r="100" spans="1:5" ht="15" customHeight="1" x14ac:dyDescent="0.25">
      <c r="A100" s="572">
        <v>4</v>
      </c>
      <c r="B100" s="1216">
        <v>4.5</v>
      </c>
      <c r="C100" s="1217"/>
      <c r="D100" s="573">
        <v>3.5</v>
      </c>
      <c r="E100" s="573">
        <v>5.12</v>
      </c>
    </row>
    <row r="101" spans="1:5" ht="15" customHeight="1" x14ac:dyDescent="0.25">
      <c r="A101" s="572">
        <v>9</v>
      </c>
      <c r="B101" s="1216">
        <v>4</v>
      </c>
      <c r="C101" s="1217"/>
      <c r="D101" s="573">
        <v>4.5</v>
      </c>
      <c r="E101" s="573">
        <v>3.44</v>
      </c>
    </row>
    <row r="102" spans="1:5" ht="15" customHeight="1" x14ac:dyDescent="0.25">
      <c r="A102" s="572">
        <v>3</v>
      </c>
      <c r="B102" s="1216">
        <v>2</v>
      </c>
      <c r="C102" s="1217"/>
      <c r="D102" s="573">
        <v>4</v>
      </c>
      <c r="E102" s="573">
        <v>4.33</v>
      </c>
    </row>
    <row r="103" spans="1:5" ht="15" customHeight="1" x14ac:dyDescent="0.25">
      <c r="A103" s="572">
        <v>4</v>
      </c>
      <c r="B103" s="1216">
        <v>2</v>
      </c>
      <c r="C103" s="1217"/>
      <c r="D103" s="573">
        <v>2</v>
      </c>
      <c r="E103" s="573">
        <v>4</v>
      </c>
    </row>
    <row r="104" spans="1:5" ht="15" customHeight="1" x14ac:dyDescent="0.25">
      <c r="A104" s="572">
        <v>4</v>
      </c>
      <c r="B104" s="1216">
        <v>2.0499999999999998</v>
      </c>
      <c r="C104" s="1217"/>
      <c r="D104" s="573">
        <v>2.0499999999999998</v>
      </c>
      <c r="E104" s="573">
        <v>2.5</v>
      </c>
    </row>
    <row r="105" spans="1:5" ht="15" customHeight="1" x14ac:dyDescent="0.25">
      <c r="A105" s="572">
        <v>51</v>
      </c>
      <c r="B105" s="1216">
        <v>5.2</v>
      </c>
      <c r="C105" s="1217"/>
      <c r="D105" s="573">
        <v>5.2</v>
      </c>
      <c r="E105" s="573">
        <v>2.5</v>
      </c>
    </row>
    <row r="106" spans="1:5" ht="15" customHeight="1" x14ac:dyDescent="0.25">
      <c r="A106" s="572">
        <v>51</v>
      </c>
      <c r="B106" s="1216">
        <v>1</v>
      </c>
      <c r="C106" s="1217"/>
      <c r="D106" s="573">
        <v>1</v>
      </c>
      <c r="E106" s="573">
        <v>2.5</v>
      </c>
    </row>
    <row r="107" spans="1:5" ht="15" customHeight="1" x14ac:dyDescent="0.25">
      <c r="A107" s="572">
        <v>2</v>
      </c>
      <c r="B107" s="1216">
        <v>3.5</v>
      </c>
      <c r="C107" s="1217"/>
      <c r="D107" s="573">
        <v>3.5</v>
      </c>
      <c r="E107" s="573">
        <v>13.5</v>
      </c>
    </row>
    <row r="108" spans="1:5" ht="15" customHeight="1" x14ac:dyDescent="0.25">
      <c r="A108" s="572">
        <v>1.5</v>
      </c>
      <c r="B108" s="1216">
        <v>6.2</v>
      </c>
      <c r="C108" s="1217"/>
      <c r="D108" s="573">
        <v>3.1</v>
      </c>
      <c r="E108" s="573">
        <v>3</v>
      </c>
    </row>
    <row r="109" spans="1:5" ht="15" customHeight="1" x14ac:dyDescent="0.25">
      <c r="A109" s="572">
        <v>4</v>
      </c>
      <c r="B109" s="1216">
        <v>12.9</v>
      </c>
      <c r="C109" s="1217"/>
      <c r="D109" s="573">
        <v>12.9</v>
      </c>
      <c r="E109" s="573">
        <v>3.25</v>
      </c>
    </row>
    <row r="110" spans="1:5" ht="15" customHeight="1" x14ac:dyDescent="0.25">
      <c r="A110" s="572">
        <v>2</v>
      </c>
      <c r="B110" s="1216">
        <v>3.05</v>
      </c>
      <c r="C110" s="1217"/>
      <c r="D110" s="573">
        <v>3.05</v>
      </c>
      <c r="E110" s="573">
        <v>3.05</v>
      </c>
    </row>
    <row r="111" spans="1:5" ht="15" customHeight="1" x14ac:dyDescent="0.25">
      <c r="A111" s="572">
        <v>10.4</v>
      </c>
      <c r="B111" s="1216">
        <v>3.45</v>
      </c>
      <c r="C111" s="1217"/>
      <c r="D111" s="573">
        <v>3.45</v>
      </c>
      <c r="E111" s="573">
        <v>3.05</v>
      </c>
    </row>
    <row r="112" spans="1:5" ht="15" customHeight="1" x14ac:dyDescent="0.25">
      <c r="A112" s="572">
        <v>3.1</v>
      </c>
      <c r="B112" s="1216">
        <v>10</v>
      </c>
      <c r="C112" s="1217"/>
      <c r="D112" s="573">
        <v>10</v>
      </c>
      <c r="E112" s="573">
        <v>3</v>
      </c>
    </row>
    <row r="113" spans="1:5" ht="15" customHeight="1" x14ac:dyDescent="0.25">
      <c r="A113" s="572">
        <v>6</v>
      </c>
      <c r="B113" s="1216">
        <v>9</v>
      </c>
      <c r="C113" s="1217"/>
      <c r="D113" s="573">
        <v>9</v>
      </c>
      <c r="E113" s="573">
        <v>3</v>
      </c>
    </row>
    <row r="114" spans="1:5" ht="15" customHeight="1" x14ac:dyDescent="0.25">
      <c r="A114" s="572">
        <v>1.5</v>
      </c>
      <c r="B114" s="1216">
        <v>6</v>
      </c>
      <c r="C114" s="1217"/>
      <c r="D114" s="573">
        <v>3</v>
      </c>
      <c r="E114" s="573">
        <v>3.5</v>
      </c>
    </row>
    <row r="115" spans="1:5" ht="15" customHeight="1" x14ac:dyDescent="0.25">
      <c r="A115" s="572">
        <v>5</v>
      </c>
      <c r="B115" s="1216">
        <v>10.5</v>
      </c>
      <c r="C115" s="1217"/>
      <c r="D115" s="573">
        <v>10.5</v>
      </c>
      <c r="E115" s="573">
        <v>4.5</v>
      </c>
    </row>
    <row r="116" spans="1:5" ht="15" customHeight="1" x14ac:dyDescent="0.25">
      <c r="A116" s="572">
        <v>3.5</v>
      </c>
      <c r="B116" s="1216">
        <v>6</v>
      </c>
      <c r="C116" s="1217"/>
      <c r="D116" s="573">
        <v>20</v>
      </c>
      <c r="E116" s="573">
        <v>4</v>
      </c>
    </row>
    <row r="117" spans="1:5" ht="15" customHeight="1" x14ac:dyDescent="0.25">
      <c r="A117" s="572">
        <v>8</v>
      </c>
      <c r="B117" s="1216">
        <v>8</v>
      </c>
      <c r="C117" s="1217"/>
      <c r="D117" s="573">
        <v>8</v>
      </c>
      <c r="E117" s="573">
        <v>1.5</v>
      </c>
    </row>
    <row r="118" spans="1:5" ht="15" customHeight="1" x14ac:dyDescent="0.25">
      <c r="A118" s="572">
        <v>20</v>
      </c>
      <c r="B118" s="1216">
        <v>22.45</v>
      </c>
      <c r="C118" s="1217"/>
      <c r="D118" s="573">
        <v>2.5</v>
      </c>
      <c r="E118" s="573">
        <v>4</v>
      </c>
    </row>
    <row r="119" spans="1:5" ht="15" customHeight="1" x14ac:dyDescent="0.25">
      <c r="A119" s="572">
        <v>6</v>
      </c>
      <c r="B119" s="1216">
        <v>5</v>
      </c>
      <c r="C119" s="1217"/>
      <c r="D119" s="573">
        <v>2.5</v>
      </c>
      <c r="E119" s="573">
        <v>2.0499999999999998</v>
      </c>
    </row>
    <row r="120" spans="1:5" ht="15" customHeight="1" x14ac:dyDescent="0.25">
      <c r="A120" s="572">
        <v>22.45</v>
      </c>
      <c r="B120" s="1216">
        <v>5</v>
      </c>
      <c r="C120" s="1217"/>
      <c r="D120" s="573">
        <v>5</v>
      </c>
      <c r="E120" s="573">
        <v>2</v>
      </c>
    </row>
    <row r="121" spans="1:5" ht="15" customHeight="1" x14ac:dyDescent="0.25">
      <c r="A121" s="572">
        <v>8</v>
      </c>
      <c r="B121" s="1216">
        <v>7</v>
      </c>
      <c r="C121" s="1217"/>
      <c r="D121" s="573">
        <v>3</v>
      </c>
      <c r="E121" s="573">
        <v>15</v>
      </c>
    </row>
    <row r="122" spans="1:5" ht="15" customHeight="1" x14ac:dyDescent="0.25">
      <c r="A122" s="572">
        <v>5</v>
      </c>
      <c r="B122" s="1216">
        <v>19</v>
      </c>
      <c r="C122" s="1217"/>
      <c r="D122" s="573">
        <v>7</v>
      </c>
      <c r="E122" s="573">
        <v>1</v>
      </c>
    </row>
    <row r="123" spans="1:5" ht="15" customHeight="1" x14ac:dyDescent="0.25">
      <c r="A123" s="572">
        <v>5</v>
      </c>
      <c r="B123" s="1216">
        <v>9.5</v>
      </c>
      <c r="C123" s="1217"/>
      <c r="D123" s="573">
        <v>19</v>
      </c>
      <c r="E123" s="573">
        <v>3.5</v>
      </c>
    </row>
    <row r="124" spans="1:5" ht="15" customHeight="1" x14ac:dyDescent="0.25">
      <c r="A124" s="572">
        <v>2.5</v>
      </c>
      <c r="B124" s="1216">
        <v>2.5</v>
      </c>
      <c r="C124" s="1217"/>
      <c r="D124" s="573">
        <v>9.5</v>
      </c>
      <c r="E124" s="573">
        <v>9.3000000000000007</v>
      </c>
    </row>
    <row r="125" spans="1:5" ht="15" customHeight="1" x14ac:dyDescent="0.25">
      <c r="A125" s="572">
        <v>8</v>
      </c>
      <c r="B125" s="1216">
        <v>4.5</v>
      </c>
      <c r="C125" s="1217"/>
      <c r="D125" s="573">
        <v>2.5</v>
      </c>
      <c r="E125" s="573">
        <v>6</v>
      </c>
    </row>
    <row r="126" spans="1:5" ht="15" customHeight="1" x14ac:dyDescent="0.25">
      <c r="A126" s="572">
        <v>12</v>
      </c>
      <c r="B126" s="1216">
        <v>9.6</v>
      </c>
      <c r="C126" s="1217"/>
      <c r="D126" s="573">
        <v>4.5</v>
      </c>
      <c r="E126" s="573">
        <v>12.9</v>
      </c>
    </row>
    <row r="127" spans="1:5" ht="15" customHeight="1" x14ac:dyDescent="0.25">
      <c r="A127" s="572">
        <v>4.5</v>
      </c>
      <c r="B127" s="1216">
        <v>13</v>
      </c>
      <c r="C127" s="1217"/>
      <c r="D127" s="573">
        <v>9.6</v>
      </c>
      <c r="E127" s="573">
        <v>3.05</v>
      </c>
    </row>
    <row r="128" spans="1:5" ht="15" customHeight="1" x14ac:dyDescent="0.25">
      <c r="A128" s="572">
        <v>3</v>
      </c>
      <c r="B128" s="1216">
        <v>56.7</v>
      </c>
      <c r="C128" s="1217"/>
      <c r="D128" s="573">
        <v>13</v>
      </c>
      <c r="E128" s="573">
        <v>1.5</v>
      </c>
    </row>
    <row r="129" spans="1:5" ht="15" customHeight="1" x14ac:dyDescent="0.25">
      <c r="A129" s="572">
        <v>5.2</v>
      </c>
      <c r="B129" s="1216">
        <v>145.80000000000001</v>
      </c>
      <c r="C129" s="1217"/>
      <c r="D129" s="573">
        <v>56.7</v>
      </c>
      <c r="E129" s="573">
        <v>3.45</v>
      </c>
    </row>
    <row r="130" spans="1:5" ht="15" customHeight="1" x14ac:dyDescent="0.25">
      <c r="A130" s="572">
        <v>4.4000000000000004</v>
      </c>
      <c r="B130" s="1216">
        <v>67.5</v>
      </c>
      <c r="C130" s="1217"/>
      <c r="D130" s="573">
        <v>145.80000000000001</v>
      </c>
      <c r="E130" s="573">
        <v>15</v>
      </c>
    </row>
    <row r="131" spans="1:5" ht="15" customHeight="1" x14ac:dyDescent="0.25">
      <c r="A131" s="572">
        <v>2.5</v>
      </c>
      <c r="B131" s="1216">
        <v>58.5</v>
      </c>
      <c r="C131" s="1217"/>
      <c r="D131" s="573">
        <v>58.5</v>
      </c>
      <c r="E131" s="573">
        <v>3.5</v>
      </c>
    </row>
    <row r="132" spans="1:5" ht="15" customHeight="1" x14ac:dyDescent="0.25">
      <c r="A132" s="572">
        <v>7.5</v>
      </c>
      <c r="B132" s="1216">
        <v>13.5</v>
      </c>
      <c r="C132" s="1217"/>
      <c r="D132" s="573">
        <v>4.5</v>
      </c>
      <c r="E132" s="573">
        <v>9</v>
      </c>
    </row>
    <row r="133" spans="1:5" ht="15" customHeight="1" x14ac:dyDescent="0.25">
      <c r="A133" s="572">
        <v>10.5</v>
      </c>
      <c r="B133" s="1216">
        <v>28</v>
      </c>
      <c r="C133" s="1217"/>
      <c r="D133" s="573">
        <v>28</v>
      </c>
      <c r="E133" s="573">
        <v>6</v>
      </c>
    </row>
    <row r="134" spans="1:5" ht="15" customHeight="1" x14ac:dyDescent="0.25">
      <c r="A134" s="572">
        <v>16.2</v>
      </c>
      <c r="B134" s="1216">
        <v>18</v>
      </c>
      <c r="C134" s="1217"/>
      <c r="D134" s="573">
        <v>18</v>
      </c>
      <c r="E134" s="573">
        <v>10.5</v>
      </c>
    </row>
    <row r="135" spans="1:5" ht="15" customHeight="1" x14ac:dyDescent="0.25">
      <c r="A135" s="572">
        <v>32.4</v>
      </c>
      <c r="B135" s="1216">
        <v>3</v>
      </c>
      <c r="C135" s="1217"/>
      <c r="D135" s="573">
        <v>3</v>
      </c>
      <c r="E135" s="573">
        <v>28</v>
      </c>
    </row>
    <row r="136" spans="1:5" ht="15" customHeight="1" x14ac:dyDescent="0.25">
      <c r="A136" s="572">
        <v>13.5</v>
      </c>
      <c r="B136" s="1216">
        <v>8</v>
      </c>
      <c r="C136" s="1217"/>
      <c r="D136" s="573">
        <v>8</v>
      </c>
      <c r="E136" s="573">
        <v>8</v>
      </c>
    </row>
    <row r="137" spans="1:5" ht="15" customHeight="1" x14ac:dyDescent="0.25">
      <c r="A137" s="572">
        <v>18</v>
      </c>
      <c r="B137" s="1216">
        <v>3</v>
      </c>
      <c r="C137" s="1217"/>
      <c r="D137" s="573">
        <v>3</v>
      </c>
      <c r="E137" s="573">
        <v>22.45</v>
      </c>
    </row>
    <row r="138" spans="1:5" ht="15" customHeight="1" x14ac:dyDescent="0.25">
      <c r="A138" s="572">
        <v>9</v>
      </c>
      <c r="B138" s="1216">
        <v>57</v>
      </c>
      <c r="C138" s="1217"/>
      <c r="D138" s="573">
        <v>48</v>
      </c>
      <c r="E138" s="573">
        <v>5</v>
      </c>
    </row>
    <row r="139" spans="1:5" ht="15" customHeight="1" x14ac:dyDescent="0.25">
      <c r="A139" s="572" t="s">
        <v>768</v>
      </c>
      <c r="B139" s="1216">
        <v>0</v>
      </c>
      <c r="C139" s="1217"/>
      <c r="D139" s="573">
        <v>113.52</v>
      </c>
      <c r="E139" s="573">
        <v>113.52</v>
      </c>
    </row>
    <row r="140" spans="1:5" ht="15" customHeight="1" x14ac:dyDescent="0.25">
      <c r="A140" s="572">
        <v>15.5</v>
      </c>
      <c r="B140" s="1216">
        <v>50</v>
      </c>
      <c r="C140" s="1217"/>
      <c r="D140" s="573">
        <v>40</v>
      </c>
      <c r="E140" s="573">
        <v>2.5</v>
      </c>
    </row>
    <row r="141" spans="1:5" ht="15" customHeight="1" x14ac:dyDescent="0.25">
      <c r="A141" s="572">
        <v>12</v>
      </c>
      <c r="B141" s="1216" t="s">
        <v>768</v>
      </c>
      <c r="C141" s="1217"/>
      <c r="D141" s="573" t="s">
        <v>768</v>
      </c>
      <c r="E141" s="573">
        <v>8</v>
      </c>
    </row>
    <row r="142" spans="1:5" ht="15" customHeight="1" x14ac:dyDescent="0.25">
      <c r="A142" s="572">
        <v>8</v>
      </c>
      <c r="B142" s="1216" t="s">
        <v>768</v>
      </c>
      <c r="C142" s="1217"/>
      <c r="D142" s="573" t="s">
        <v>768</v>
      </c>
      <c r="E142" s="573">
        <v>5</v>
      </c>
    </row>
    <row r="143" spans="1:5" ht="15" customHeight="1" x14ac:dyDescent="0.25">
      <c r="A143" s="572">
        <v>4.5</v>
      </c>
      <c r="B143" s="1216" t="s">
        <v>768</v>
      </c>
      <c r="C143" s="1217"/>
      <c r="D143" s="573" t="s">
        <v>768</v>
      </c>
      <c r="E143" s="573">
        <v>6</v>
      </c>
    </row>
    <row r="144" spans="1:5" ht="15" customHeight="1" x14ac:dyDescent="0.25">
      <c r="A144" s="572">
        <v>5</v>
      </c>
      <c r="B144" s="1216" t="s">
        <v>768</v>
      </c>
      <c r="C144" s="1217"/>
      <c r="D144" s="573" t="s">
        <v>768</v>
      </c>
      <c r="E144" s="573">
        <v>4.5</v>
      </c>
    </row>
    <row r="145" spans="1:5" ht="15" customHeight="1" x14ac:dyDescent="0.25">
      <c r="A145" s="572" t="s">
        <v>768</v>
      </c>
      <c r="B145" s="1216" t="s">
        <v>768</v>
      </c>
      <c r="C145" s="1217"/>
      <c r="D145" s="573" t="s">
        <v>768</v>
      </c>
      <c r="E145" s="573">
        <v>7</v>
      </c>
    </row>
    <row r="146" spans="1:5" ht="15" customHeight="1" x14ac:dyDescent="0.25">
      <c r="A146" s="572" t="s">
        <v>768</v>
      </c>
      <c r="B146" s="1216" t="s">
        <v>768</v>
      </c>
      <c r="C146" s="1217"/>
      <c r="D146" s="573" t="s">
        <v>768</v>
      </c>
      <c r="E146" s="573">
        <v>3</v>
      </c>
    </row>
    <row r="147" spans="1:5" ht="15" customHeight="1" x14ac:dyDescent="0.25">
      <c r="A147" s="572" t="s">
        <v>768</v>
      </c>
      <c r="B147" s="1216" t="s">
        <v>768</v>
      </c>
      <c r="C147" s="1217"/>
      <c r="D147" s="573" t="s">
        <v>768</v>
      </c>
      <c r="E147" s="573">
        <v>19</v>
      </c>
    </row>
    <row r="148" spans="1:5" ht="15" customHeight="1" x14ac:dyDescent="0.25">
      <c r="A148" s="572" t="s">
        <v>768</v>
      </c>
      <c r="B148" s="1216" t="s">
        <v>768</v>
      </c>
      <c r="C148" s="1217"/>
      <c r="D148" s="573" t="s">
        <v>768</v>
      </c>
      <c r="E148" s="573">
        <v>5.2</v>
      </c>
    </row>
    <row r="149" spans="1:5" ht="15" customHeight="1" x14ac:dyDescent="0.25">
      <c r="A149" s="572" t="s">
        <v>768</v>
      </c>
      <c r="B149" s="1216" t="s">
        <v>768</v>
      </c>
      <c r="C149" s="1217"/>
      <c r="D149" s="573" t="s">
        <v>768</v>
      </c>
      <c r="E149" s="573">
        <v>4.4000000000000004</v>
      </c>
    </row>
    <row r="150" spans="1:5" ht="15" customHeight="1" x14ac:dyDescent="0.25">
      <c r="A150" s="572" t="s">
        <v>768</v>
      </c>
      <c r="B150" s="1216" t="s">
        <v>768</v>
      </c>
      <c r="C150" s="1217"/>
      <c r="D150" s="573" t="s">
        <v>768</v>
      </c>
      <c r="E150" s="573">
        <v>9.5</v>
      </c>
    </row>
    <row r="151" spans="1:5" ht="15" customHeight="1" x14ac:dyDescent="0.25">
      <c r="A151" s="572" t="s">
        <v>768</v>
      </c>
      <c r="B151" s="1216" t="s">
        <v>768</v>
      </c>
      <c r="C151" s="1217"/>
      <c r="D151" s="573" t="s">
        <v>768</v>
      </c>
      <c r="E151" s="573">
        <v>5</v>
      </c>
    </row>
    <row r="152" spans="1:5" ht="15" customHeight="1" x14ac:dyDescent="0.25">
      <c r="A152" s="572" t="s">
        <v>768</v>
      </c>
      <c r="B152" s="1216" t="s">
        <v>768</v>
      </c>
      <c r="C152" s="1217"/>
      <c r="D152" s="573" t="s">
        <v>768</v>
      </c>
      <c r="E152" s="573">
        <v>4.5</v>
      </c>
    </row>
    <row r="153" spans="1:5" ht="15" customHeight="1" x14ac:dyDescent="0.25">
      <c r="A153" s="572" t="s">
        <v>768</v>
      </c>
      <c r="B153" s="1216" t="s">
        <v>768</v>
      </c>
      <c r="C153" s="1217"/>
      <c r="D153" s="573" t="s">
        <v>768</v>
      </c>
      <c r="E153" s="573">
        <v>7.5</v>
      </c>
    </row>
    <row r="154" spans="1:5" ht="15" customHeight="1" x14ac:dyDescent="0.25">
      <c r="A154" s="572" t="s">
        <v>768</v>
      </c>
      <c r="B154" s="1216" t="s">
        <v>768</v>
      </c>
      <c r="C154" s="1217"/>
      <c r="D154" s="573" t="s">
        <v>768</v>
      </c>
      <c r="E154" s="573">
        <v>9.6</v>
      </c>
    </row>
    <row r="155" spans="1:5" ht="15" customHeight="1" x14ac:dyDescent="0.25">
      <c r="A155" s="572" t="s">
        <v>768</v>
      </c>
      <c r="B155" s="1216" t="s">
        <v>768</v>
      </c>
      <c r="C155" s="1217"/>
      <c r="D155" s="573" t="s">
        <v>768</v>
      </c>
      <c r="E155" s="573">
        <v>10</v>
      </c>
    </row>
    <row r="156" spans="1:5" ht="15" customHeight="1" x14ac:dyDescent="0.25">
      <c r="A156" s="572" t="s">
        <v>768</v>
      </c>
      <c r="B156" s="1216" t="s">
        <v>768</v>
      </c>
      <c r="C156" s="1217"/>
      <c r="D156" s="573" t="s">
        <v>768</v>
      </c>
      <c r="E156" s="573">
        <v>13.5</v>
      </c>
    </row>
    <row r="157" spans="1:5" ht="15" customHeight="1" x14ac:dyDescent="0.25">
      <c r="A157" s="572" t="s">
        <v>768</v>
      </c>
      <c r="B157" s="1216" t="s">
        <v>768</v>
      </c>
      <c r="C157" s="1217"/>
      <c r="D157" s="573" t="s">
        <v>768</v>
      </c>
      <c r="E157" s="573">
        <v>72.900000000000006</v>
      </c>
    </row>
    <row r="158" spans="1:5" ht="15" customHeight="1" x14ac:dyDescent="0.25">
      <c r="A158" s="572" t="s">
        <v>768</v>
      </c>
      <c r="B158" s="1216" t="s">
        <v>768</v>
      </c>
      <c r="C158" s="1217"/>
      <c r="D158" s="573" t="s">
        <v>768</v>
      </c>
      <c r="E158" s="573">
        <v>178.2</v>
      </c>
    </row>
    <row r="159" spans="1:5" ht="15" customHeight="1" x14ac:dyDescent="0.25">
      <c r="A159" s="572" t="s">
        <v>768</v>
      </c>
      <c r="B159" s="1216" t="s">
        <v>768</v>
      </c>
      <c r="C159" s="1217"/>
      <c r="D159" s="573" t="s">
        <v>768</v>
      </c>
      <c r="E159" s="573">
        <v>67.5</v>
      </c>
    </row>
    <row r="160" spans="1:5" ht="15" customHeight="1" x14ac:dyDescent="0.25">
      <c r="A160" s="572" t="s">
        <v>768</v>
      </c>
      <c r="B160" s="1216" t="s">
        <v>768</v>
      </c>
      <c r="C160" s="1217"/>
      <c r="D160" s="573" t="s">
        <v>768</v>
      </c>
      <c r="E160" s="573">
        <v>67.5</v>
      </c>
    </row>
    <row r="161" spans="1:5" ht="15" customHeight="1" x14ac:dyDescent="0.25">
      <c r="A161" s="572" t="s">
        <v>768</v>
      </c>
      <c r="B161" s="1216" t="s">
        <v>768</v>
      </c>
      <c r="C161" s="1217"/>
      <c r="D161" s="573" t="s">
        <v>768</v>
      </c>
      <c r="E161" s="573">
        <v>4.5</v>
      </c>
    </row>
    <row r="162" spans="1:5" ht="15" customHeight="1" x14ac:dyDescent="0.25">
      <c r="A162" s="572" t="s">
        <v>768</v>
      </c>
      <c r="B162" s="1216" t="s">
        <v>768</v>
      </c>
      <c r="C162" s="1217"/>
      <c r="D162" s="573" t="s">
        <v>768</v>
      </c>
      <c r="E162" s="573">
        <v>42</v>
      </c>
    </row>
    <row r="163" spans="1:5" ht="15" customHeight="1" x14ac:dyDescent="0.25">
      <c r="A163" s="572" t="s">
        <v>768</v>
      </c>
      <c r="B163" s="1216" t="s">
        <v>768</v>
      </c>
      <c r="C163" s="1217"/>
      <c r="D163" s="573" t="s">
        <v>768</v>
      </c>
      <c r="E163" s="573">
        <v>30</v>
      </c>
    </row>
    <row r="164" spans="1:5" ht="15" customHeight="1" x14ac:dyDescent="0.25">
      <c r="A164" s="572" t="s">
        <v>768</v>
      </c>
      <c r="B164" s="1216" t="s">
        <v>768</v>
      </c>
      <c r="C164" s="1217"/>
      <c r="D164" s="573" t="s">
        <v>768</v>
      </c>
      <c r="E164" s="573">
        <v>4.5</v>
      </c>
    </row>
    <row r="165" spans="1:5" ht="15" customHeight="1" x14ac:dyDescent="0.25">
      <c r="A165" s="572" t="s">
        <v>768</v>
      </c>
      <c r="B165" s="1216" t="s">
        <v>768</v>
      </c>
      <c r="C165" s="1217"/>
      <c r="D165" s="573" t="s">
        <v>768</v>
      </c>
      <c r="E165" s="573">
        <v>10</v>
      </c>
    </row>
    <row r="166" spans="1:5" ht="15" customHeight="1" x14ac:dyDescent="0.25">
      <c r="A166" s="572" t="s">
        <v>768</v>
      </c>
      <c r="B166" s="1216" t="s">
        <v>768</v>
      </c>
      <c r="C166" s="1217"/>
      <c r="D166" s="573" t="s">
        <v>768</v>
      </c>
      <c r="E166" s="573">
        <v>7.5</v>
      </c>
    </row>
    <row r="167" spans="1:5" ht="15" customHeight="1" x14ac:dyDescent="0.25">
      <c r="A167" s="572" t="s">
        <v>768</v>
      </c>
      <c r="B167" s="1216" t="s">
        <v>768</v>
      </c>
      <c r="C167" s="1217"/>
      <c r="D167" s="573" t="s">
        <v>768</v>
      </c>
      <c r="E167" s="573">
        <v>48</v>
      </c>
    </row>
    <row r="168" spans="1:5" ht="15" customHeight="1" x14ac:dyDescent="0.25">
      <c r="A168" s="572" t="s">
        <v>768</v>
      </c>
      <c r="B168" s="1216" t="s">
        <v>768</v>
      </c>
      <c r="C168" s="1217"/>
      <c r="D168" s="573" t="s">
        <v>768</v>
      </c>
      <c r="E168" s="573">
        <v>40</v>
      </c>
    </row>
    <row r="169" spans="1:5" ht="15" customHeight="1" x14ac:dyDescent="0.25">
      <c r="A169" s="1218" t="s">
        <v>1613</v>
      </c>
      <c r="B169" s="1219"/>
      <c r="C169" s="1219"/>
      <c r="D169" s="1219"/>
      <c r="E169" s="1220"/>
    </row>
    <row r="170" spans="1:5" ht="15" customHeight="1" x14ac:dyDescent="0.25">
      <c r="A170" s="572">
        <v>473.88</v>
      </c>
      <c r="B170" s="1216">
        <v>741.09</v>
      </c>
      <c r="C170" s="1217"/>
      <c r="D170" s="573">
        <v>750.68</v>
      </c>
      <c r="E170" s="573">
        <v>1090.1600000000001</v>
      </c>
    </row>
    <row r="171" spans="1:5" ht="15" customHeight="1" x14ac:dyDescent="0.25">
      <c r="A171" s="1207" t="s">
        <v>1614</v>
      </c>
      <c r="B171" s="1208"/>
      <c r="C171" s="1208"/>
      <c r="D171" s="1208"/>
      <c r="E171" s="1221"/>
    </row>
    <row r="172" spans="1:5" ht="15" customHeight="1" x14ac:dyDescent="0.25">
      <c r="A172" s="576" t="s">
        <v>1609</v>
      </c>
      <c r="B172" s="1208" t="s">
        <v>1610</v>
      </c>
      <c r="C172" s="1208"/>
      <c r="D172" s="574" t="s">
        <v>1611</v>
      </c>
      <c r="E172" s="575" t="s">
        <v>1612</v>
      </c>
    </row>
    <row r="173" spans="1:5" ht="15" customHeight="1" x14ac:dyDescent="0.25">
      <c r="A173" s="572">
        <v>0</v>
      </c>
      <c r="B173" s="1216">
        <v>63</v>
      </c>
      <c r="C173" s="1217"/>
      <c r="D173" s="571">
        <v>21</v>
      </c>
      <c r="E173" s="571">
        <v>21</v>
      </c>
    </row>
    <row r="174" spans="1:5" ht="15" customHeight="1" x14ac:dyDescent="0.25">
      <c r="A174" s="1207" t="s">
        <v>1615</v>
      </c>
      <c r="B174" s="1208"/>
      <c r="C174" s="1208"/>
      <c r="D174" s="1208"/>
      <c r="E174" s="1221"/>
    </row>
    <row r="175" spans="1:5" ht="15" customHeight="1" x14ac:dyDescent="0.25">
      <c r="A175" s="576" t="s">
        <v>1609</v>
      </c>
      <c r="B175" s="1208" t="s">
        <v>1610</v>
      </c>
      <c r="C175" s="1208"/>
      <c r="D175" s="574" t="s">
        <v>1611</v>
      </c>
      <c r="E175" s="575" t="s">
        <v>1612</v>
      </c>
    </row>
    <row r="176" spans="1:5" ht="15" customHeight="1" x14ac:dyDescent="0.25">
      <c r="A176" s="572">
        <v>0</v>
      </c>
      <c r="B176" s="1216">
        <v>12</v>
      </c>
      <c r="C176" s="1217"/>
      <c r="D176" s="571">
        <v>4</v>
      </c>
      <c r="E176" s="571">
        <v>4</v>
      </c>
    </row>
    <row r="177" spans="1:5" ht="15" customHeight="1" x14ac:dyDescent="0.25">
      <c r="A177" s="1207" t="s">
        <v>1616</v>
      </c>
      <c r="B177" s="1208"/>
      <c r="C177" s="1208"/>
      <c r="D177" s="1208"/>
      <c r="E177" s="1221"/>
    </row>
    <row r="178" spans="1:5" ht="15" customHeight="1" x14ac:dyDescent="0.25">
      <c r="A178" s="576" t="s">
        <v>1609</v>
      </c>
      <c r="B178" s="1208" t="s">
        <v>1610</v>
      </c>
      <c r="C178" s="1208"/>
      <c r="D178" s="574" t="s">
        <v>1611</v>
      </c>
      <c r="E178" s="575" t="s">
        <v>1612</v>
      </c>
    </row>
    <row r="179" spans="1:5" ht="15" customHeight="1" x14ac:dyDescent="0.25">
      <c r="A179" s="572">
        <v>0</v>
      </c>
      <c r="B179" s="1216">
        <v>70</v>
      </c>
      <c r="C179" s="1217"/>
      <c r="D179" s="571">
        <v>24</v>
      </c>
      <c r="E179" s="571">
        <v>24</v>
      </c>
    </row>
    <row r="180" spans="1:5" ht="15" customHeight="1" x14ac:dyDescent="0.25">
      <c r="A180" s="1207" t="s">
        <v>1617</v>
      </c>
      <c r="B180" s="1208"/>
      <c r="C180" s="1208"/>
      <c r="D180" s="1208"/>
      <c r="E180" s="1221"/>
    </row>
    <row r="181" spans="1:5" ht="15" customHeight="1" x14ac:dyDescent="0.25">
      <c r="A181" s="576" t="s">
        <v>1609</v>
      </c>
      <c r="B181" s="1208" t="s">
        <v>1610</v>
      </c>
      <c r="C181" s="1208"/>
      <c r="D181" s="574" t="s">
        <v>1611</v>
      </c>
      <c r="E181" s="575" t="s">
        <v>1612</v>
      </c>
    </row>
    <row r="182" spans="1:5" ht="15" customHeight="1" x14ac:dyDescent="0.25">
      <c r="A182" s="570">
        <v>180</v>
      </c>
      <c r="B182" s="1216">
        <v>25</v>
      </c>
      <c r="C182" s="1217"/>
      <c r="D182" s="571">
        <v>23</v>
      </c>
      <c r="E182" s="571">
        <v>26</v>
      </c>
    </row>
    <row r="183" spans="1:5" ht="15" customHeight="1" x14ac:dyDescent="0.25">
      <c r="A183" s="572">
        <v>45</v>
      </c>
      <c r="B183" s="1216">
        <v>18.5</v>
      </c>
      <c r="C183" s="1217"/>
      <c r="D183" s="573">
        <v>18.5</v>
      </c>
      <c r="E183" s="573">
        <v>18.5</v>
      </c>
    </row>
    <row r="184" spans="1:5" ht="15" customHeight="1" x14ac:dyDescent="0.25">
      <c r="A184" s="572">
        <v>18.600000000000001</v>
      </c>
      <c r="B184" s="1216">
        <v>7</v>
      </c>
      <c r="C184" s="1217"/>
      <c r="D184" s="573">
        <v>4.4000000000000004</v>
      </c>
      <c r="E184" s="573">
        <v>3.5</v>
      </c>
    </row>
    <row r="185" spans="1:5" ht="15" customHeight="1" x14ac:dyDescent="0.25">
      <c r="A185" s="572">
        <v>10</v>
      </c>
      <c r="B185" s="1216">
        <v>2.2000000000000002</v>
      </c>
      <c r="C185" s="1217"/>
      <c r="D185" s="573">
        <v>2.2000000000000002</v>
      </c>
      <c r="E185" s="573">
        <v>2.2000000000000002</v>
      </c>
    </row>
    <row r="186" spans="1:5" ht="15" customHeight="1" x14ac:dyDescent="0.25">
      <c r="A186" s="572">
        <v>7</v>
      </c>
      <c r="B186" s="1216">
        <v>7</v>
      </c>
      <c r="C186" s="1217"/>
      <c r="D186" s="573">
        <v>3.5</v>
      </c>
      <c r="E186" s="573">
        <v>6.2</v>
      </c>
    </row>
    <row r="187" spans="1:5" ht="15" customHeight="1" x14ac:dyDescent="0.25">
      <c r="A187" s="572">
        <v>3.8</v>
      </c>
      <c r="B187" s="1216">
        <v>3.5</v>
      </c>
      <c r="C187" s="1217"/>
      <c r="D187" s="573">
        <v>3.5</v>
      </c>
      <c r="E187" s="573">
        <v>3.5</v>
      </c>
    </row>
    <row r="188" spans="1:5" ht="15" customHeight="1" x14ac:dyDescent="0.25">
      <c r="A188" s="572">
        <v>3.2</v>
      </c>
      <c r="B188" s="1216">
        <v>6.2</v>
      </c>
      <c r="C188" s="1217"/>
      <c r="D188" s="573">
        <v>11</v>
      </c>
      <c r="E188" s="573">
        <v>11</v>
      </c>
    </row>
    <row r="189" spans="1:5" ht="15" customHeight="1" x14ac:dyDescent="0.25">
      <c r="A189" s="572">
        <v>15</v>
      </c>
      <c r="B189" s="1216">
        <v>11</v>
      </c>
      <c r="C189" s="1217"/>
      <c r="D189" s="573">
        <v>4.5999999999999996</v>
      </c>
      <c r="E189" s="573">
        <v>4.4000000000000004</v>
      </c>
    </row>
    <row r="190" spans="1:5" ht="15" customHeight="1" x14ac:dyDescent="0.25">
      <c r="A190" s="572">
        <v>6</v>
      </c>
      <c r="B190" s="1216">
        <v>7</v>
      </c>
      <c r="C190" s="1217"/>
      <c r="D190" s="573">
        <v>2.2000000000000002</v>
      </c>
      <c r="E190" s="573">
        <v>4.5999999999999996</v>
      </c>
    </row>
    <row r="191" spans="1:5" ht="15" customHeight="1" x14ac:dyDescent="0.25">
      <c r="A191" s="572">
        <v>8</v>
      </c>
      <c r="B191" s="1216">
        <v>4.4000000000000004</v>
      </c>
      <c r="C191" s="1217"/>
      <c r="D191" s="573">
        <v>13.2</v>
      </c>
      <c r="E191" s="573">
        <v>4.4000000000000004</v>
      </c>
    </row>
    <row r="192" spans="1:5" ht="15" customHeight="1" x14ac:dyDescent="0.25">
      <c r="A192" s="572">
        <v>15</v>
      </c>
      <c r="B192" s="1216">
        <v>4.5999999999999996</v>
      </c>
      <c r="C192" s="1217"/>
      <c r="D192" s="573">
        <v>2.8</v>
      </c>
      <c r="E192" s="573">
        <v>13.2</v>
      </c>
    </row>
    <row r="193" spans="1:5" ht="15" customHeight="1" x14ac:dyDescent="0.25">
      <c r="A193" s="572">
        <v>45</v>
      </c>
      <c r="B193" s="1216">
        <v>4.4000000000000004</v>
      </c>
      <c r="C193" s="1217"/>
      <c r="D193" s="573">
        <v>6.5</v>
      </c>
      <c r="E193" s="573">
        <v>2.8</v>
      </c>
    </row>
    <row r="194" spans="1:5" ht="15" customHeight="1" x14ac:dyDescent="0.25">
      <c r="A194" s="572">
        <v>5</v>
      </c>
      <c r="B194" s="1216">
        <v>17.600000000000001</v>
      </c>
      <c r="C194" s="1217"/>
      <c r="D194" s="573">
        <v>2</v>
      </c>
      <c r="E194" s="573">
        <v>6.5</v>
      </c>
    </row>
    <row r="195" spans="1:5" ht="15" customHeight="1" x14ac:dyDescent="0.25">
      <c r="A195" s="572">
        <v>10</v>
      </c>
      <c r="B195" s="1216">
        <v>2.8</v>
      </c>
      <c r="C195" s="1217"/>
      <c r="D195" s="573">
        <v>13</v>
      </c>
      <c r="E195" s="573">
        <v>7</v>
      </c>
    </row>
    <row r="196" spans="1:5" ht="15" customHeight="1" x14ac:dyDescent="0.25">
      <c r="A196" s="572">
        <v>14</v>
      </c>
      <c r="B196" s="1216">
        <v>6.5</v>
      </c>
      <c r="C196" s="1217"/>
      <c r="D196" s="573">
        <v>15</v>
      </c>
      <c r="E196" s="573">
        <v>2.7</v>
      </c>
    </row>
    <row r="197" spans="1:5" ht="15" customHeight="1" x14ac:dyDescent="0.25">
      <c r="A197" s="572" t="s">
        <v>768</v>
      </c>
      <c r="B197" s="1216">
        <v>3.8</v>
      </c>
      <c r="C197" s="1217"/>
      <c r="D197" s="573">
        <v>7.5</v>
      </c>
      <c r="E197" s="573">
        <v>3.2</v>
      </c>
    </row>
    <row r="198" spans="1:5" ht="15" customHeight="1" x14ac:dyDescent="0.25">
      <c r="A198" s="572" t="s">
        <v>768</v>
      </c>
      <c r="B198" s="1216">
        <v>2.7</v>
      </c>
      <c r="C198" s="1217"/>
      <c r="D198" s="573">
        <v>2</v>
      </c>
      <c r="E198" s="573">
        <v>2</v>
      </c>
    </row>
    <row r="199" spans="1:5" ht="15" customHeight="1" x14ac:dyDescent="0.25">
      <c r="A199" s="572" t="s">
        <v>768</v>
      </c>
      <c r="B199" s="1216">
        <v>2</v>
      </c>
      <c r="C199" s="1217"/>
      <c r="D199" s="573">
        <v>60</v>
      </c>
      <c r="E199" s="573">
        <v>13</v>
      </c>
    </row>
    <row r="200" spans="1:5" ht="15" customHeight="1" x14ac:dyDescent="0.25">
      <c r="A200" s="572" t="s">
        <v>768</v>
      </c>
      <c r="B200" s="1216">
        <v>13</v>
      </c>
      <c r="C200" s="1217"/>
      <c r="D200" s="573">
        <v>90</v>
      </c>
      <c r="E200" s="573">
        <v>15</v>
      </c>
    </row>
    <row r="201" spans="1:5" ht="15" customHeight="1" x14ac:dyDescent="0.25">
      <c r="A201" s="572" t="s">
        <v>768</v>
      </c>
      <c r="B201" s="1216">
        <v>15</v>
      </c>
      <c r="C201" s="1217"/>
      <c r="D201" s="573">
        <v>90</v>
      </c>
      <c r="E201" s="573">
        <v>15</v>
      </c>
    </row>
    <row r="202" spans="1:5" ht="15" customHeight="1" x14ac:dyDescent="0.25">
      <c r="A202" s="572" t="s">
        <v>768</v>
      </c>
      <c r="B202" s="1216">
        <v>2</v>
      </c>
      <c r="C202" s="1217"/>
      <c r="D202" s="573">
        <v>45</v>
      </c>
      <c r="E202" s="573">
        <v>7.5</v>
      </c>
    </row>
    <row r="203" spans="1:5" ht="15" customHeight="1" x14ac:dyDescent="0.25">
      <c r="A203" s="572" t="s">
        <v>768</v>
      </c>
      <c r="B203" s="1216">
        <v>105</v>
      </c>
      <c r="C203" s="1217"/>
      <c r="D203" s="573">
        <v>56</v>
      </c>
      <c r="E203" s="573">
        <v>6</v>
      </c>
    </row>
    <row r="204" spans="1:5" ht="15" customHeight="1" x14ac:dyDescent="0.25">
      <c r="A204" s="572" t="s">
        <v>768</v>
      </c>
      <c r="B204" s="1216">
        <v>150</v>
      </c>
      <c r="C204" s="1217"/>
      <c r="D204" s="573">
        <v>96</v>
      </c>
      <c r="E204" s="573">
        <v>8</v>
      </c>
    </row>
    <row r="205" spans="1:5" ht="15" customHeight="1" x14ac:dyDescent="0.25">
      <c r="A205" s="572" t="s">
        <v>768</v>
      </c>
      <c r="B205" s="1216">
        <v>105</v>
      </c>
      <c r="C205" s="1217"/>
      <c r="D205" s="573" t="s">
        <v>768</v>
      </c>
      <c r="E205" s="573">
        <v>2</v>
      </c>
    </row>
    <row r="206" spans="1:5" ht="15" customHeight="1" x14ac:dyDescent="0.25">
      <c r="A206" s="572" t="s">
        <v>768</v>
      </c>
      <c r="B206" s="1216">
        <v>50</v>
      </c>
      <c r="C206" s="1217"/>
      <c r="D206" s="573" t="s">
        <v>768</v>
      </c>
      <c r="E206" s="573">
        <v>90</v>
      </c>
    </row>
    <row r="207" spans="1:5" ht="15" customHeight="1" x14ac:dyDescent="0.25">
      <c r="A207" s="572" t="s">
        <v>768</v>
      </c>
      <c r="B207" s="1216">
        <v>70</v>
      </c>
      <c r="C207" s="1217"/>
      <c r="D207" s="573" t="s">
        <v>768</v>
      </c>
      <c r="E207" s="573">
        <v>90</v>
      </c>
    </row>
    <row r="208" spans="1:5" ht="15" customHeight="1" x14ac:dyDescent="0.25">
      <c r="A208" s="572" t="s">
        <v>768</v>
      </c>
      <c r="B208" s="1216">
        <v>120</v>
      </c>
      <c r="C208" s="1217"/>
      <c r="D208" s="573" t="s">
        <v>768</v>
      </c>
      <c r="E208" s="573">
        <v>85</v>
      </c>
    </row>
    <row r="209" spans="1:5" ht="15" customHeight="1" x14ac:dyDescent="0.25">
      <c r="A209" s="572" t="s">
        <v>768</v>
      </c>
      <c r="B209" s="1216" t="s">
        <v>768</v>
      </c>
      <c r="C209" s="1217"/>
      <c r="D209" s="573" t="s">
        <v>768</v>
      </c>
      <c r="E209" s="573">
        <v>40</v>
      </c>
    </row>
    <row r="210" spans="1:5" ht="15" customHeight="1" x14ac:dyDescent="0.25">
      <c r="A210" s="572" t="s">
        <v>768</v>
      </c>
      <c r="B210" s="1216" t="s">
        <v>768</v>
      </c>
      <c r="C210" s="1217"/>
      <c r="D210" s="573" t="s">
        <v>768</v>
      </c>
      <c r="E210" s="573">
        <v>56</v>
      </c>
    </row>
    <row r="211" spans="1:5" ht="15" customHeight="1" x14ac:dyDescent="0.25">
      <c r="A211" s="572" t="s">
        <v>768</v>
      </c>
      <c r="B211" s="1216" t="s">
        <v>768</v>
      </c>
      <c r="C211" s="1217"/>
      <c r="D211" s="573" t="s">
        <v>768</v>
      </c>
      <c r="E211" s="573">
        <v>96</v>
      </c>
    </row>
    <row r="212" spans="1:5" ht="15" customHeight="1" x14ac:dyDescent="0.25">
      <c r="A212" s="1218" t="s">
        <v>1618</v>
      </c>
      <c r="B212" s="1219"/>
      <c r="C212" s="1219"/>
      <c r="D212" s="1219"/>
      <c r="E212" s="1220"/>
    </row>
    <row r="213" spans="1:5" ht="15" customHeight="1" x14ac:dyDescent="0.25">
      <c r="A213" s="572">
        <v>385.6</v>
      </c>
      <c r="B213" s="1216">
        <v>766.2</v>
      </c>
      <c r="C213" s="1217"/>
      <c r="D213" s="573">
        <v>571.9</v>
      </c>
      <c r="E213" s="573">
        <v>645.20000000000005</v>
      </c>
    </row>
    <row r="214" spans="1:5" ht="15" customHeight="1" x14ac:dyDescent="0.25">
      <c r="A214" s="1207" t="s">
        <v>1619</v>
      </c>
      <c r="B214" s="1208"/>
      <c r="C214" s="1208"/>
      <c r="D214" s="1208"/>
      <c r="E214" s="1221"/>
    </row>
    <row r="215" spans="1:5" ht="15" customHeight="1" x14ac:dyDescent="0.25">
      <c r="A215" s="576" t="s">
        <v>1609</v>
      </c>
      <c r="B215" s="1208" t="s">
        <v>1610</v>
      </c>
      <c r="C215" s="1208"/>
      <c r="D215" s="574" t="s">
        <v>1611</v>
      </c>
      <c r="E215" s="575" t="s">
        <v>1612</v>
      </c>
    </row>
    <row r="216" spans="1:5" ht="15" customHeight="1" x14ac:dyDescent="0.25">
      <c r="A216" s="572">
        <v>36</v>
      </c>
      <c r="B216" s="1216">
        <v>30</v>
      </c>
      <c r="C216" s="1217"/>
      <c r="D216" s="571">
        <v>15</v>
      </c>
      <c r="E216" s="571">
        <v>15</v>
      </c>
    </row>
    <row r="217" spans="1:5" ht="15" customHeight="1" x14ac:dyDescent="0.25">
      <c r="A217" s="572">
        <v>0</v>
      </c>
      <c r="B217" s="1216">
        <v>9</v>
      </c>
      <c r="C217" s="1217"/>
      <c r="D217" s="573">
        <v>12</v>
      </c>
      <c r="E217" s="573">
        <v>12</v>
      </c>
    </row>
    <row r="218" spans="1:5" ht="15" customHeight="1" x14ac:dyDescent="0.25">
      <c r="A218" s="572">
        <v>0</v>
      </c>
      <c r="B218" s="1216">
        <v>0</v>
      </c>
      <c r="C218" s="1217"/>
      <c r="D218" s="573">
        <v>3</v>
      </c>
      <c r="E218" s="573">
        <v>3</v>
      </c>
    </row>
    <row r="219" spans="1:5" ht="15" customHeight="1" x14ac:dyDescent="0.25">
      <c r="A219" s="1218" t="s">
        <v>1620</v>
      </c>
      <c r="B219" s="1219"/>
      <c r="C219" s="1219"/>
      <c r="D219" s="1219"/>
      <c r="E219" s="1220"/>
    </row>
    <row r="220" spans="1:5" ht="15" customHeight="1" x14ac:dyDescent="0.25">
      <c r="A220" s="572">
        <v>36</v>
      </c>
      <c r="B220" s="1216">
        <v>39</v>
      </c>
      <c r="C220" s="1217"/>
      <c r="D220" s="573">
        <v>30</v>
      </c>
      <c r="E220" s="573">
        <v>30</v>
      </c>
    </row>
    <row r="221" spans="1:5" ht="15" customHeight="1" x14ac:dyDescent="0.25">
      <c r="A221" s="1207" t="s">
        <v>1621</v>
      </c>
      <c r="B221" s="1208"/>
      <c r="C221" s="1208"/>
      <c r="D221" s="1208"/>
      <c r="E221" s="1221"/>
    </row>
    <row r="222" spans="1:5" ht="15" customHeight="1" x14ac:dyDescent="0.25">
      <c r="A222" s="576" t="s">
        <v>1609</v>
      </c>
      <c r="B222" s="1208" t="s">
        <v>1610</v>
      </c>
      <c r="C222" s="1208"/>
      <c r="D222" s="574" t="s">
        <v>1611</v>
      </c>
      <c r="E222" s="575" t="s">
        <v>1612</v>
      </c>
    </row>
    <row r="223" spans="1:5" ht="15" customHeight="1" x14ac:dyDescent="0.25">
      <c r="A223" s="572">
        <v>0</v>
      </c>
      <c r="B223" s="1216">
        <v>60</v>
      </c>
      <c r="C223" s="1217"/>
      <c r="D223" s="571">
        <v>20</v>
      </c>
      <c r="E223" s="571">
        <v>0</v>
      </c>
    </row>
    <row r="224" spans="1:5" ht="15" customHeight="1" x14ac:dyDescent="0.25">
      <c r="A224" s="65"/>
      <c r="B224" s="65"/>
      <c r="C224" s="65"/>
      <c r="D224" s="65"/>
      <c r="E224" s="65"/>
    </row>
    <row r="225" spans="1:5" ht="15" customHeight="1" x14ac:dyDescent="0.25">
      <c r="A225" s="65"/>
      <c r="B225" s="65"/>
      <c r="C225" s="65"/>
      <c r="D225" s="65"/>
      <c r="E225" s="65"/>
    </row>
    <row r="226" spans="1:5" ht="15" customHeight="1" x14ac:dyDescent="0.25">
      <c r="A226" s="65"/>
      <c r="B226" s="65"/>
      <c r="C226" s="65"/>
      <c r="D226" s="65"/>
      <c r="E226" s="65"/>
    </row>
    <row r="227" spans="1:5" ht="15" customHeight="1" x14ac:dyDescent="0.25">
      <c r="A227" s="65"/>
      <c r="B227" s="65"/>
      <c r="C227" s="65"/>
      <c r="D227" s="65"/>
      <c r="E227" s="65"/>
    </row>
    <row r="228" spans="1:5" ht="15" customHeight="1" x14ac:dyDescent="0.25">
      <c r="A228" s="65"/>
      <c r="B228" s="65"/>
      <c r="C228" s="65"/>
      <c r="D228" s="65"/>
      <c r="E228" s="65"/>
    </row>
    <row r="229" spans="1:5" ht="15" customHeight="1" x14ac:dyDescent="0.25">
      <c r="A229" s="65"/>
      <c r="B229" s="65"/>
      <c r="C229" s="65"/>
      <c r="D229" s="65"/>
      <c r="E229" s="65"/>
    </row>
    <row r="230" spans="1:5" ht="15" customHeight="1" x14ac:dyDescent="0.25">
      <c r="A230" s="65"/>
      <c r="B230" s="65"/>
      <c r="C230" s="65"/>
      <c r="D230" s="65"/>
      <c r="E230" s="65"/>
    </row>
    <row r="231" spans="1:5" ht="15" customHeight="1" x14ac:dyDescent="0.25">
      <c r="A231" s="65"/>
      <c r="B231" s="65"/>
      <c r="C231" s="65"/>
      <c r="D231" s="65"/>
      <c r="E231" s="65"/>
    </row>
  </sheetData>
  <mergeCells count="221">
    <mergeCell ref="B222:C222"/>
    <mergeCell ref="B223:C223"/>
    <mergeCell ref="B216:C216"/>
    <mergeCell ref="B217:C217"/>
    <mergeCell ref="B218:C218"/>
    <mergeCell ref="A219:E219"/>
    <mergeCell ref="B220:C220"/>
    <mergeCell ref="B211:C211"/>
    <mergeCell ref="A212:E212"/>
    <mergeCell ref="B213:C213"/>
    <mergeCell ref="A214:E214"/>
    <mergeCell ref="B215:C215"/>
    <mergeCell ref="A221:E221"/>
    <mergeCell ref="B206:C206"/>
    <mergeCell ref="B207:C207"/>
    <mergeCell ref="B208:C208"/>
    <mergeCell ref="B209:C209"/>
    <mergeCell ref="B210:C210"/>
    <mergeCell ref="B201:C201"/>
    <mergeCell ref="B202:C202"/>
    <mergeCell ref="B203:C203"/>
    <mergeCell ref="B204:C204"/>
    <mergeCell ref="B205:C205"/>
    <mergeCell ref="B196:C196"/>
    <mergeCell ref="B197:C197"/>
    <mergeCell ref="B198:C198"/>
    <mergeCell ref="B199:C199"/>
    <mergeCell ref="B200:C200"/>
    <mergeCell ref="B191:C191"/>
    <mergeCell ref="B192:C192"/>
    <mergeCell ref="B193:C193"/>
    <mergeCell ref="B194:C194"/>
    <mergeCell ref="B195:C195"/>
    <mergeCell ref="B186:C186"/>
    <mergeCell ref="B187:C187"/>
    <mergeCell ref="B188:C188"/>
    <mergeCell ref="B189:C189"/>
    <mergeCell ref="B190:C190"/>
    <mergeCell ref="B181:C181"/>
    <mergeCell ref="B182:C182"/>
    <mergeCell ref="B183:C183"/>
    <mergeCell ref="B184:C184"/>
    <mergeCell ref="B185:C185"/>
    <mergeCell ref="B163:C163"/>
    <mergeCell ref="B164:C164"/>
    <mergeCell ref="B165:C165"/>
    <mergeCell ref="B166:C166"/>
    <mergeCell ref="B167:C167"/>
    <mergeCell ref="B158:C158"/>
    <mergeCell ref="B159:C159"/>
    <mergeCell ref="B160:C160"/>
    <mergeCell ref="B161:C161"/>
    <mergeCell ref="B162:C162"/>
    <mergeCell ref="B153:C153"/>
    <mergeCell ref="B154:C154"/>
    <mergeCell ref="B155:C155"/>
    <mergeCell ref="B156:C156"/>
    <mergeCell ref="B157:C157"/>
    <mergeCell ref="B148:C148"/>
    <mergeCell ref="B149:C149"/>
    <mergeCell ref="B150:C150"/>
    <mergeCell ref="B151:C151"/>
    <mergeCell ref="B152:C152"/>
    <mergeCell ref="B143:C143"/>
    <mergeCell ref="B144:C144"/>
    <mergeCell ref="B145:C145"/>
    <mergeCell ref="B146:C146"/>
    <mergeCell ref="B147:C147"/>
    <mergeCell ref="B138:C138"/>
    <mergeCell ref="B139:C139"/>
    <mergeCell ref="B140:C140"/>
    <mergeCell ref="B141:C141"/>
    <mergeCell ref="B142:C142"/>
    <mergeCell ref="B133:C133"/>
    <mergeCell ref="B134:C134"/>
    <mergeCell ref="B135:C135"/>
    <mergeCell ref="B136:C136"/>
    <mergeCell ref="B137:C137"/>
    <mergeCell ref="B128:C128"/>
    <mergeCell ref="B129:C129"/>
    <mergeCell ref="B130:C130"/>
    <mergeCell ref="B131:C131"/>
    <mergeCell ref="B132:C132"/>
    <mergeCell ref="B123:C123"/>
    <mergeCell ref="B124:C124"/>
    <mergeCell ref="B125:C125"/>
    <mergeCell ref="B126:C126"/>
    <mergeCell ref="B127:C127"/>
    <mergeCell ref="B118:C118"/>
    <mergeCell ref="B119:C119"/>
    <mergeCell ref="B120:C120"/>
    <mergeCell ref="B121:C121"/>
    <mergeCell ref="B122:C122"/>
    <mergeCell ref="B114:C114"/>
    <mergeCell ref="B115:C115"/>
    <mergeCell ref="B116:C116"/>
    <mergeCell ref="B117:C117"/>
    <mergeCell ref="B108:C108"/>
    <mergeCell ref="B109:C109"/>
    <mergeCell ref="B110:C110"/>
    <mergeCell ref="B111:C111"/>
    <mergeCell ref="B112:C112"/>
    <mergeCell ref="A42:C42"/>
    <mergeCell ref="A43:C43"/>
    <mergeCell ref="A44:C44"/>
    <mergeCell ref="A45:C45"/>
    <mergeCell ref="A46:C46"/>
    <mergeCell ref="A37:C37"/>
    <mergeCell ref="A38:C38"/>
    <mergeCell ref="B93:C93"/>
    <mergeCell ref="B94:C94"/>
    <mergeCell ref="B88:C88"/>
    <mergeCell ref="B89:C89"/>
    <mergeCell ref="B90:C90"/>
    <mergeCell ref="B91:C91"/>
    <mergeCell ref="B92:C92"/>
    <mergeCell ref="A77:C77"/>
    <mergeCell ref="A78:C78"/>
    <mergeCell ref="A79:C79"/>
    <mergeCell ref="A80:C80"/>
    <mergeCell ref="A81:C81"/>
    <mergeCell ref="A72:C72"/>
    <mergeCell ref="A73:C73"/>
    <mergeCell ref="A74:C74"/>
    <mergeCell ref="A75:C75"/>
    <mergeCell ref="A76:C76"/>
    <mergeCell ref="A177:E177"/>
    <mergeCell ref="B178:C178"/>
    <mergeCell ref="B179:C179"/>
    <mergeCell ref="A180:E180"/>
    <mergeCell ref="B172:C172"/>
    <mergeCell ref="B173:C173"/>
    <mergeCell ref="A174:E174"/>
    <mergeCell ref="B175:C175"/>
    <mergeCell ref="B176:C176"/>
    <mergeCell ref="B168:C168"/>
    <mergeCell ref="A169:E169"/>
    <mergeCell ref="B170:C170"/>
    <mergeCell ref="A171:E171"/>
    <mergeCell ref="A87:E87"/>
    <mergeCell ref="A82:C82"/>
    <mergeCell ref="A83:C83"/>
    <mergeCell ref="A84:C84"/>
    <mergeCell ref="A85:C85"/>
    <mergeCell ref="A86:C86"/>
    <mergeCell ref="B95:C95"/>
    <mergeCell ref="B96:C96"/>
    <mergeCell ref="B97:C97"/>
    <mergeCell ref="B103:C103"/>
    <mergeCell ref="B104:C104"/>
    <mergeCell ref="B105:C105"/>
    <mergeCell ref="B106:C106"/>
    <mergeCell ref="B107:C107"/>
    <mergeCell ref="B98:C98"/>
    <mergeCell ref="B99:C99"/>
    <mergeCell ref="B100:C100"/>
    <mergeCell ref="B101:C101"/>
    <mergeCell ref="B102:C102"/>
    <mergeCell ref="B113:C113"/>
    <mergeCell ref="A67:C67"/>
    <mergeCell ref="A68:C68"/>
    <mergeCell ref="A69:C69"/>
    <mergeCell ref="A70:C70"/>
    <mergeCell ref="A71:C71"/>
    <mergeCell ref="A62:C62"/>
    <mergeCell ref="A63:C63"/>
    <mergeCell ref="A64:C64"/>
    <mergeCell ref="A65:C65"/>
    <mergeCell ref="A66:C66"/>
    <mergeCell ref="A58:C58"/>
    <mergeCell ref="A59:C59"/>
    <mergeCell ref="A60:C60"/>
    <mergeCell ref="A61:C61"/>
    <mergeCell ref="A52:C52"/>
    <mergeCell ref="A53:C53"/>
    <mergeCell ref="A54:C54"/>
    <mergeCell ref="A47:C47"/>
    <mergeCell ref="A48:C48"/>
    <mergeCell ref="A49:C49"/>
    <mergeCell ref="A50:C50"/>
    <mergeCell ref="A51:C51"/>
    <mergeCell ref="A55:C55"/>
    <mergeCell ref="A56:C56"/>
    <mergeCell ref="A57:C57"/>
    <mergeCell ref="A39:C39"/>
    <mergeCell ref="A40:C40"/>
    <mergeCell ref="A41:C41"/>
    <mergeCell ref="A32:C32"/>
    <mergeCell ref="A33:C33"/>
    <mergeCell ref="A34:C34"/>
    <mergeCell ref="A35:C35"/>
    <mergeCell ref="A36:C36"/>
    <mergeCell ref="A27:C27"/>
    <mergeCell ref="A28:C28"/>
    <mergeCell ref="A29:C29"/>
    <mergeCell ref="A30:C30"/>
    <mergeCell ref="A31:C31"/>
    <mergeCell ref="A25:C25"/>
    <mergeCell ref="A26:C26"/>
    <mergeCell ref="A10:E10"/>
    <mergeCell ref="A9:E9"/>
    <mergeCell ref="A1:E2"/>
    <mergeCell ref="A3:C3"/>
    <mergeCell ref="D3:D8"/>
    <mergeCell ref="A4:C8"/>
    <mergeCell ref="E4:E5"/>
    <mergeCell ref="E7:E8"/>
    <mergeCell ref="A11:C11"/>
    <mergeCell ref="A24:E24"/>
    <mergeCell ref="A16:C16"/>
    <mergeCell ref="A15:C15"/>
    <mergeCell ref="A14:C14"/>
    <mergeCell ref="A13:C13"/>
    <mergeCell ref="A12:C12"/>
    <mergeCell ref="A23:C23"/>
    <mergeCell ref="A22:C22"/>
    <mergeCell ref="A21:C21"/>
    <mergeCell ref="A20:C20"/>
    <mergeCell ref="A19:C19"/>
    <mergeCell ref="A18:C18"/>
    <mergeCell ref="A17:C17"/>
  </mergeCells>
  <pageMargins left="0.7" right="0.7" top="0.75" bottom="0.75" header="0.3" footer="0.3"/>
  <pageSetup paperSize="9" scale="57" orientation="portrait" horizontalDpi="4294967293"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35671-0D45-4324-98AD-81EE984EA279}">
  <sheetPr>
    <tabColor theme="1" tint="0.34998626667073579"/>
  </sheetPr>
  <dimension ref="A1:E412"/>
  <sheetViews>
    <sheetView view="pageBreakPreview" zoomScaleNormal="100" zoomScaleSheetLayoutView="100" workbookViewId="0">
      <selection activeCell="E386" sqref="E386"/>
    </sheetView>
  </sheetViews>
  <sheetFormatPr defaultRowHeight="15" x14ac:dyDescent="0.25"/>
  <cols>
    <col min="1" max="1" width="31.42578125" customWidth="1"/>
    <col min="2" max="2" width="18" customWidth="1"/>
    <col min="3" max="3" width="18.710937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1622</v>
      </c>
      <c r="B3" s="987"/>
      <c r="C3" s="988"/>
      <c r="D3" s="989"/>
      <c r="E3" s="228" t="s">
        <v>993</v>
      </c>
    </row>
    <row r="4" spans="1:5" ht="15" customHeight="1" x14ac:dyDescent="0.25">
      <c r="A4" s="992" t="s">
        <v>983</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1623</v>
      </c>
      <c r="B9" s="975"/>
      <c r="C9" s="975"/>
      <c r="D9" s="976"/>
      <c r="E9" s="977"/>
    </row>
    <row r="10" spans="1:5" x14ac:dyDescent="0.25">
      <c r="A10" s="1229" t="s">
        <v>1624</v>
      </c>
      <c r="B10" s="1230"/>
      <c r="C10" s="1230"/>
      <c r="D10" s="1230"/>
      <c r="E10" s="1231"/>
    </row>
    <row r="11" spans="1:5" ht="4.9000000000000004" customHeight="1" x14ac:dyDescent="0.25">
      <c r="A11" s="418"/>
      <c r="B11" s="116"/>
      <c r="C11" s="116"/>
      <c r="D11" s="116"/>
      <c r="E11" s="419"/>
    </row>
    <row r="12" spans="1:5" x14ac:dyDescent="0.25">
      <c r="A12" s="1232" t="s">
        <v>1625</v>
      </c>
      <c r="B12" s="1233"/>
      <c r="C12" s="1233"/>
      <c r="D12" s="1233"/>
      <c r="E12" s="1234"/>
    </row>
    <row r="13" spans="1:5" x14ac:dyDescent="0.25">
      <c r="A13" s="1232" t="s">
        <v>1626</v>
      </c>
      <c r="B13" s="1233"/>
      <c r="C13" s="1233"/>
      <c r="D13" s="1233"/>
      <c r="E13" s="1234"/>
    </row>
    <row r="14" spans="1:5" x14ac:dyDescent="0.25">
      <c r="A14" s="1232" t="s">
        <v>1627</v>
      </c>
      <c r="B14" s="1233"/>
      <c r="C14" s="1233"/>
      <c r="D14" s="1233"/>
      <c r="E14" s="1234"/>
    </row>
    <row r="15" spans="1:5" x14ac:dyDescent="0.25">
      <c r="A15" s="1232" t="s">
        <v>1628</v>
      </c>
      <c r="B15" s="1233"/>
      <c r="C15" s="1233"/>
      <c r="D15" s="1233"/>
      <c r="E15" s="1234"/>
    </row>
    <row r="16" spans="1:5" x14ac:dyDescent="0.25">
      <c r="A16" s="1232"/>
      <c r="B16" s="1233"/>
      <c r="C16" s="1233"/>
      <c r="D16" s="1233"/>
      <c r="E16" s="1234"/>
    </row>
    <row r="17" spans="1:5" x14ac:dyDescent="0.25">
      <c r="A17" s="978" t="s">
        <v>997</v>
      </c>
      <c r="B17" s="978"/>
      <c r="C17" s="978"/>
      <c r="D17" s="978"/>
      <c r="E17" s="978"/>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79"/>
      <c r="B27" s="979"/>
      <c r="C27" s="979"/>
      <c r="D27" s="979"/>
      <c r="E27" s="979"/>
    </row>
    <row r="28" spans="1:5" x14ac:dyDescent="0.25">
      <c r="A28" s="979"/>
      <c r="B28" s="979"/>
      <c r="C28" s="979"/>
      <c r="D28" s="979"/>
      <c r="E28" s="979"/>
    </row>
    <row r="29" spans="1:5" x14ac:dyDescent="0.25">
      <c r="A29" s="979"/>
      <c r="B29" s="979"/>
      <c r="C29" s="979"/>
      <c r="D29" s="979"/>
      <c r="E29" s="979"/>
    </row>
    <row r="30" spans="1:5" x14ac:dyDescent="0.25">
      <c r="A30" s="979"/>
      <c r="B30" s="979"/>
      <c r="C30" s="979"/>
      <c r="D30" s="979"/>
      <c r="E30" s="979"/>
    </row>
    <row r="31" spans="1:5" x14ac:dyDescent="0.25">
      <c r="A31" s="979"/>
      <c r="B31" s="979"/>
      <c r="C31" s="979"/>
      <c r="D31" s="979"/>
      <c r="E31" s="979"/>
    </row>
    <row r="32" spans="1:5" x14ac:dyDescent="0.25">
      <c r="A32" s="979"/>
      <c r="B32" s="979"/>
      <c r="C32" s="979"/>
      <c r="D32" s="979"/>
      <c r="E32" s="979"/>
    </row>
    <row r="33" spans="1:5" x14ac:dyDescent="0.25">
      <c r="A33" s="979"/>
      <c r="B33" s="979"/>
      <c r="C33" s="979"/>
      <c r="D33" s="979"/>
      <c r="E33" s="979"/>
    </row>
    <row r="34" spans="1:5" x14ac:dyDescent="0.25">
      <c r="A34" s="979"/>
      <c r="B34" s="979"/>
      <c r="C34" s="979"/>
      <c r="D34" s="979"/>
      <c r="E34" s="979"/>
    </row>
    <row r="35" spans="1:5" x14ac:dyDescent="0.25">
      <c r="A35" s="979"/>
      <c r="B35" s="979"/>
      <c r="C35" s="979"/>
      <c r="D35" s="979"/>
      <c r="E35" s="979"/>
    </row>
    <row r="36" spans="1:5" x14ac:dyDescent="0.25">
      <c r="A36" s="979"/>
      <c r="B36" s="979"/>
      <c r="C36" s="979"/>
      <c r="D36" s="979"/>
      <c r="E36" s="979"/>
    </row>
    <row r="37" spans="1:5" x14ac:dyDescent="0.25">
      <c r="A37" s="979"/>
      <c r="B37" s="979"/>
      <c r="C37" s="979"/>
      <c r="D37" s="979"/>
      <c r="E37" s="979"/>
    </row>
    <row r="38" spans="1:5" x14ac:dyDescent="0.25">
      <c r="A38" s="979"/>
      <c r="B38" s="979"/>
      <c r="C38" s="979"/>
      <c r="D38" s="979"/>
      <c r="E38" s="979"/>
    </row>
    <row r="39" spans="1:5" x14ac:dyDescent="0.25">
      <c r="A39" s="979"/>
      <c r="B39" s="979"/>
      <c r="C39" s="979"/>
      <c r="D39" s="979"/>
      <c r="E39" s="979"/>
    </row>
    <row r="40" spans="1:5" x14ac:dyDescent="0.25">
      <c r="A40" s="966" t="s">
        <v>1629</v>
      </c>
      <c r="B40" s="966"/>
      <c r="C40" s="966"/>
      <c r="D40" s="966"/>
      <c r="E40" s="966"/>
    </row>
    <row r="41" spans="1:5" x14ac:dyDescent="0.25">
      <c r="A41" s="1227" t="s">
        <v>284</v>
      </c>
      <c r="B41" s="1228"/>
      <c r="C41" s="967" t="s">
        <v>998</v>
      </c>
      <c r="D41" s="968"/>
      <c r="E41" s="229" t="s">
        <v>1630</v>
      </c>
    </row>
    <row r="42" spans="1:5" ht="30.75" customHeight="1" x14ac:dyDescent="0.25">
      <c r="A42" s="1057" t="s">
        <v>1631</v>
      </c>
      <c r="B42" s="1058"/>
      <c r="C42" s="969" t="s">
        <v>1632</v>
      </c>
      <c r="D42" s="970"/>
      <c r="E42" s="420">
        <v>1</v>
      </c>
    </row>
    <row r="43" spans="1:5" ht="30.75" customHeight="1" x14ac:dyDescent="0.25">
      <c r="A43" s="1057" t="s">
        <v>1633</v>
      </c>
      <c r="B43" s="1058"/>
      <c r="C43" s="969" t="s">
        <v>1632</v>
      </c>
      <c r="D43" s="970"/>
      <c r="E43" s="420">
        <v>7</v>
      </c>
    </row>
    <row r="44" spans="1:5" ht="30.75" customHeight="1" x14ac:dyDescent="0.25">
      <c r="A44" s="1057" t="s">
        <v>1634</v>
      </c>
      <c r="B44" s="1058"/>
      <c r="C44" s="969" t="s">
        <v>1632</v>
      </c>
      <c r="D44" s="970"/>
      <c r="E44" s="420">
        <v>6</v>
      </c>
    </row>
    <row r="45" spans="1:5" ht="30.75" customHeight="1" x14ac:dyDescent="0.25">
      <c r="C45" s="415"/>
      <c r="D45" s="231"/>
      <c r="E45" s="420"/>
    </row>
    <row r="46" spans="1:5" ht="30.75" customHeight="1" x14ac:dyDescent="0.25">
      <c r="A46" s="1057"/>
      <c r="B46" s="1058"/>
      <c r="C46" s="969"/>
      <c r="D46" s="970"/>
      <c r="E46" s="420"/>
    </row>
    <row r="47" spans="1:5" ht="15" customHeight="1" x14ac:dyDescent="0.25">
      <c r="A47" s="971" t="s">
        <v>1164</v>
      </c>
      <c r="B47" s="972"/>
      <c r="C47" s="972"/>
      <c r="D47" s="973"/>
      <c r="E47" s="421">
        <f>SUM(E42:E46)</f>
        <v>14</v>
      </c>
    </row>
    <row r="48" spans="1:5" x14ac:dyDescent="0.25">
      <c r="A48" s="995" t="s">
        <v>1270</v>
      </c>
      <c r="B48" s="996"/>
      <c r="C48" s="996"/>
      <c r="D48" s="997"/>
      <c r="E48" s="422">
        <f>E47</f>
        <v>14</v>
      </c>
    </row>
    <row r="49" spans="1:5" x14ac:dyDescent="0.25">
      <c r="A49" s="978" t="s">
        <v>997</v>
      </c>
      <c r="B49" s="978"/>
      <c r="C49" s="978"/>
      <c r="D49" s="978"/>
      <c r="E49" s="978"/>
    </row>
    <row r="50" spans="1:5" x14ac:dyDescent="0.25">
      <c r="A50" s="1070"/>
      <c r="B50" s="1071"/>
      <c r="C50" s="1071"/>
      <c r="D50" s="1071"/>
      <c r="E50" s="1072"/>
    </row>
    <row r="51" spans="1:5" x14ac:dyDescent="0.25">
      <c r="A51" s="1073"/>
      <c r="B51" s="1074"/>
      <c r="C51" s="1074"/>
      <c r="D51" s="1074"/>
      <c r="E51" s="1075"/>
    </row>
    <row r="52" spans="1:5" x14ac:dyDescent="0.25">
      <c r="A52" s="1073"/>
      <c r="B52" s="1074"/>
      <c r="C52" s="1074"/>
      <c r="D52" s="1074"/>
      <c r="E52" s="1075"/>
    </row>
    <row r="53" spans="1:5" x14ac:dyDescent="0.25">
      <c r="A53" s="1073"/>
      <c r="B53" s="1074"/>
      <c r="C53" s="1074"/>
      <c r="D53" s="1074"/>
      <c r="E53" s="1075"/>
    </row>
    <row r="54" spans="1:5" x14ac:dyDescent="0.25">
      <c r="A54" s="1073"/>
      <c r="B54" s="1074"/>
      <c r="C54" s="1074"/>
      <c r="D54" s="1074"/>
      <c r="E54" s="1075"/>
    </row>
    <row r="55" spans="1:5" x14ac:dyDescent="0.25">
      <c r="A55" s="1073"/>
      <c r="B55" s="1074"/>
      <c r="C55" s="1074"/>
      <c r="D55" s="1074"/>
      <c r="E55" s="1075"/>
    </row>
    <row r="56" spans="1:5" x14ac:dyDescent="0.25">
      <c r="A56" s="1073"/>
      <c r="B56" s="1074"/>
      <c r="C56" s="1074"/>
      <c r="D56" s="1074"/>
      <c r="E56" s="1075"/>
    </row>
    <row r="57" spans="1:5" x14ac:dyDescent="0.25">
      <c r="A57" s="1073"/>
      <c r="B57" s="1074"/>
      <c r="C57" s="1074"/>
      <c r="D57" s="1074"/>
      <c r="E57" s="1075"/>
    </row>
    <row r="58" spans="1:5" x14ac:dyDescent="0.25">
      <c r="A58" s="1073"/>
      <c r="B58" s="1074"/>
      <c r="C58" s="1074"/>
      <c r="D58" s="1074"/>
      <c r="E58" s="1075"/>
    </row>
    <row r="59" spans="1:5" x14ac:dyDescent="0.25">
      <c r="A59" s="1073"/>
      <c r="B59" s="1074"/>
      <c r="C59" s="1074"/>
      <c r="D59" s="1074"/>
      <c r="E59" s="1075"/>
    </row>
    <row r="60" spans="1:5" x14ac:dyDescent="0.25">
      <c r="A60" s="1073"/>
      <c r="B60" s="1074"/>
      <c r="C60" s="1074"/>
      <c r="D60" s="1074"/>
      <c r="E60" s="1075"/>
    </row>
    <row r="61" spans="1:5" x14ac:dyDescent="0.25">
      <c r="A61" s="1073"/>
      <c r="B61" s="1074"/>
      <c r="C61" s="1074"/>
      <c r="D61" s="1074"/>
      <c r="E61" s="1075"/>
    </row>
    <row r="62" spans="1:5" x14ac:dyDescent="0.25">
      <c r="A62" s="1073"/>
      <c r="B62" s="1074"/>
      <c r="C62" s="1074"/>
      <c r="D62" s="1074"/>
      <c r="E62" s="1075"/>
    </row>
    <row r="63" spans="1:5" x14ac:dyDescent="0.25">
      <c r="A63" s="1073"/>
      <c r="B63" s="1074"/>
      <c r="C63" s="1074"/>
      <c r="D63" s="1074"/>
      <c r="E63" s="1075"/>
    </row>
    <row r="64" spans="1:5" x14ac:dyDescent="0.25">
      <c r="A64" s="1073"/>
      <c r="B64" s="1074"/>
      <c r="C64" s="1074"/>
      <c r="D64" s="1074"/>
      <c r="E64" s="1075"/>
    </row>
    <row r="65" spans="1:5" x14ac:dyDescent="0.25">
      <c r="A65" s="1073"/>
      <c r="B65" s="1074"/>
      <c r="C65" s="1074"/>
      <c r="D65" s="1074"/>
      <c r="E65" s="1075"/>
    </row>
    <row r="66" spans="1:5" x14ac:dyDescent="0.25">
      <c r="A66" s="1073"/>
      <c r="B66" s="1074"/>
      <c r="C66" s="1074"/>
      <c r="D66" s="1074"/>
      <c r="E66" s="1075"/>
    </row>
    <row r="67" spans="1:5" x14ac:dyDescent="0.25">
      <c r="A67" s="1073"/>
      <c r="B67" s="1074"/>
      <c r="C67" s="1074"/>
      <c r="D67" s="1074"/>
      <c r="E67" s="1075"/>
    </row>
    <row r="68" spans="1:5" x14ac:dyDescent="0.25">
      <c r="A68" s="1073"/>
      <c r="B68" s="1074"/>
      <c r="C68" s="1074"/>
      <c r="D68" s="1074"/>
      <c r="E68" s="1075"/>
    </row>
    <row r="69" spans="1:5" x14ac:dyDescent="0.25">
      <c r="A69" s="1073"/>
      <c r="B69" s="1074"/>
      <c r="C69" s="1074"/>
      <c r="D69" s="1074"/>
      <c r="E69" s="1075"/>
    </row>
    <row r="70" spans="1:5" x14ac:dyDescent="0.25">
      <c r="A70" s="1073"/>
      <c r="B70" s="1074"/>
      <c r="C70" s="1074"/>
      <c r="D70" s="1074"/>
      <c r="E70" s="1075"/>
    </row>
    <row r="71" spans="1:5" x14ac:dyDescent="0.25">
      <c r="A71" s="1076"/>
      <c r="B71" s="1077"/>
      <c r="C71" s="1077"/>
      <c r="D71" s="1077"/>
      <c r="E71" s="1078"/>
    </row>
    <row r="72" spans="1:5" x14ac:dyDescent="0.25">
      <c r="A72" s="966" t="s">
        <v>1629</v>
      </c>
      <c r="B72" s="966"/>
      <c r="C72" s="966"/>
      <c r="D72" s="966"/>
      <c r="E72" s="966"/>
    </row>
    <row r="73" spans="1:5" x14ac:dyDescent="0.25">
      <c r="A73" s="1227" t="s">
        <v>284</v>
      </c>
      <c r="B73" s="1228"/>
      <c r="C73" s="967" t="s">
        <v>998</v>
      </c>
      <c r="D73" s="968"/>
      <c r="E73" s="229" t="s">
        <v>1635</v>
      </c>
    </row>
    <row r="74" spans="1:5" ht="30.75" customHeight="1" x14ac:dyDescent="0.25">
      <c r="A74" s="1057" t="s">
        <v>1636</v>
      </c>
      <c r="B74" s="1058"/>
      <c r="C74" s="969" t="s">
        <v>1637</v>
      </c>
      <c r="D74" s="970"/>
      <c r="E74" s="232">
        <f>(8.5+1.3+11.6+0.4+7.7+1.3+2.6+4+3.3+62.7)+6</f>
        <v>109.4</v>
      </c>
    </row>
    <row r="75" spans="1:5" ht="30.75" customHeight="1" x14ac:dyDescent="0.25">
      <c r="A75" s="1057" t="s">
        <v>1638</v>
      </c>
      <c r="B75" s="1058"/>
      <c r="C75" s="969" t="s">
        <v>1637</v>
      </c>
      <c r="D75" s="970"/>
      <c r="E75" s="232">
        <f>(4.6+0.4+3.75+1.95*2+0.4+2.05*4+1.95*2+2.05*2+3+56)+6</f>
        <v>94.25</v>
      </c>
    </row>
    <row r="76" spans="1:5" ht="30.75" customHeight="1" x14ac:dyDescent="0.25">
      <c r="A76" s="1057" t="s">
        <v>1639</v>
      </c>
      <c r="B76" s="1058"/>
      <c r="C76" s="969" t="s">
        <v>1637</v>
      </c>
      <c r="D76" s="970"/>
      <c r="E76" s="232">
        <f>(1+4.8+1.5+35.4)+6</f>
        <v>48.699999999999996</v>
      </c>
    </row>
    <row r="77" spans="1:5" ht="30.75" customHeight="1" x14ac:dyDescent="0.25">
      <c r="A77" s="1057" t="s">
        <v>1640</v>
      </c>
      <c r="B77" s="1058"/>
      <c r="C77" s="969" t="s">
        <v>1637</v>
      </c>
      <c r="D77" s="970"/>
      <c r="E77" s="232">
        <f>(3.7+2.75+3.9+4.65+26.4+27.8+141.25)+6</f>
        <v>216.45</v>
      </c>
    </row>
    <row r="78" spans="1:5" ht="30.75" customHeight="1" x14ac:dyDescent="0.25">
      <c r="A78" s="1057" t="s">
        <v>1641</v>
      </c>
      <c r="B78" s="1058"/>
      <c r="C78" s="969" t="s">
        <v>1637</v>
      </c>
      <c r="D78" s="970"/>
      <c r="E78" s="232">
        <f>(3.3+1.95*2+0.7+0.4*2+3.2+5.45*3.2+1.95+4.35+1.15+2+11.35+1.95+4.3+5.65+6.35+1.45+2.2+2.05+2.7+2.1+1.6+2.4+2.1+3.7)+6.51</f>
        <v>95.2</v>
      </c>
    </row>
    <row r="79" spans="1:5" ht="30.75" customHeight="1" x14ac:dyDescent="0.25">
      <c r="A79" s="1057"/>
      <c r="B79" s="1058"/>
      <c r="C79" s="415"/>
      <c r="D79" s="231"/>
      <c r="E79" s="232"/>
    </row>
    <row r="80" spans="1:5" ht="30.75" customHeight="1" x14ac:dyDescent="0.25">
      <c r="A80" s="416"/>
      <c r="B80" s="417"/>
      <c r="C80" s="415"/>
      <c r="D80" s="231"/>
      <c r="E80" s="232"/>
    </row>
    <row r="81" spans="1:5" ht="30.75" customHeight="1" x14ac:dyDescent="0.25">
      <c r="A81" s="1057"/>
      <c r="B81" s="1058"/>
      <c r="C81" s="969"/>
      <c r="D81" s="970"/>
      <c r="E81" s="232"/>
    </row>
    <row r="82" spans="1:5" ht="15" customHeight="1" x14ac:dyDescent="0.25">
      <c r="A82" s="971" t="s">
        <v>1164</v>
      </c>
      <c r="B82" s="972"/>
      <c r="C82" s="972"/>
      <c r="D82" s="973"/>
      <c r="E82" s="238">
        <f>SUM(E74:E81)</f>
        <v>564</v>
      </c>
    </row>
    <row r="83" spans="1:5" x14ac:dyDescent="0.25">
      <c r="A83" s="995" t="s">
        <v>1270</v>
      </c>
      <c r="B83" s="996"/>
      <c r="C83" s="996"/>
      <c r="D83" s="997"/>
      <c r="E83" s="233">
        <f>E82</f>
        <v>564</v>
      </c>
    </row>
    <row r="84" spans="1:5" x14ac:dyDescent="0.25">
      <c r="A84" s="978" t="s">
        <v>997</v>
      </c>
      <c r="B84" s="978"/>
      <c r="C84" s="978"/>
      <c r="D84" s="978"/>
      <c r="E84" s="978"/>
    </row>
    <row r="85" spans="1:5" x14ac:dyDescent="0.25">
      <c r="A85" s="1070"/>
      <c r="B85" s="1071"/>
      <c r="C85" s="1071"/>
      <c r="D85" s="1071"/>
      <c r="E85" s="1072"/>
    </row>
    <row r="86" spans="1:5" x14ac:dyDescent="0.25">
      <c r="A86" s="1073"/>
      <c r="B86" s="1074"/>
      <c r="C86" s="1074"/>
      <c r="D86" s="1074"/>
      <c r="E86" s="1075"/>
    </row>
    <row r="87" spans="1:5" x14ac:dyDescent="0.25">
      <c r="A87" s="1073"/>
      <c r="B87" s="1074"/>
      <c r="C87" s="1074"/>
      <c r="D87" s="1074"/>
      <c r="E87" s="1075"/>
    </row>
    <row r="88" spans="1:5" x14ac:dyDescent="0.25">
      <c r="A88" s="1073"/>
      <c r="B88" s="1074"/>
      <c r="C88" s="1074"/>
      <c r="D88" s="1074"/>
      <c r="E88" s="1075"/>
    </row>
    <row r="89" spans="1:5" x14ac:dyDescent="0.25">
      <c r="A89" s="1073"/>
      <c r="B89" s="1074"/>
      <c r="C89" s="1074"/>
      <c r="D89" s="1074"/>
      <c r="E89" s="1075"/>
    </row>
    <row r="90" spans="1:5" x14ac:dyDescent="0.25">
      <c r="A90" s="1073"/>
      <c r="B90" s="1074"/>
      <c r="C90" s="1074"/>
      <c r="D90" s="1074"/>
      <c r="E90" s="1075"/>
    </row>
    <row r="91" spans="1:5" x14ac:dyDescent="0.25">
      <c r="A91" s="1073"/>
      <c r="B91" s="1074"/>
      <c r="C91" s="1074"/>
      <c r="D91" s="1074"/>
      <c r="E91" s="1075"/>
    </row>
    <row r="92" spans="1:5" x14ac:dyDescent="0.25">
      <c r="A92" s="1073"/>
      <c r="B92" s="1074"/>
      <c r="C92" s="1074"/>
      <c r="D92" s="1074"/>
      <c r="E92" s="1075"/>
    </row>
    <row r="93" spans="1:5" x14ac:dyDescent="0.25">
      <c r="A93" s="1073"/>
      <c r="B93" s="1074"/>
      <c r="C93" s="1074"/>
      <c r="D93" s="1074"/>
      <c r="E93" s="1075"/>
    </row>
    <row r="94" spans="1:5" x14ac:dyDescent="0.25">
      <c r="A94" s="1073"/>
      <c r="B94" s="1074"/>
      <c r="C94" s="1074"/>
      <c r="D94" s="1074"/>
      <c r="E94" s="1075"/>
    </row>
    <row r="95" spans="1:5" x14ac:dyDescent="0.25">
      <c r="A95" s="1073"/>
      <c r="B95" s="1074"/>
      <c r="C95" s="1074"/>
      <c r="D95" s="1074"/>
      <c r="E95" s="1075"/>
    </row>
    <row r="96" spans="1:5" x14ac:dyDescent="0.25">
      <c r="A96" s="1073"/>
      <c r="B96" s="1074"/>
      <c r="C96" s="1074"/>
      <c r="D96" s="1074"/>
      <c r="E96" s="1075"/>
    </row>
    <row r="97" spans="1:5" x14ac:dyDescent="0.25">
      <c r="A97" s="1073"/>
      <c r="B97" s="1074"/>
      <c r="C97" s="1074"/>
      <c r="D97" s="1074"/>
      <c r="E97" s="1075"/>
    </row>
    <row r="98" spans="1:5" x14ac:dyDescent="0.25">
      <c r="A98" s="1073"/>
      <c r="B98" s="1074"/>
      <c r="C98" s="1074"/>
      <c r="D98" s="1074"/>
      <c r="E98" s="1075"/>
    </row>
    <row r="99" spans="1:5" x14ac:dyDescent="0.25">
      <c r="A99" s="1073"/>
      <c r="B99" s="1074"/>
      <c r="C99" s="1074"/>
      <c r="D99" s="1074"/>
      <c r="E99" s="1075"/>
    </row>
    <row r="100" spans="1:5" x14ac:dyDescent="0.25">
      <c r="A100" s="1073"/>
      <c r="B100" s="1074"/>
      <c r="C100" s="1074"/>
      <c r="D100" s="1074"/>
      <c r="E100" s="1075"/>
    </row>
    <row r="101" spans="1:5" x14ac:dyDescent="0.25">
      <c r="A101" s="1073"/>
      <c r="B101" s="1074"/>
      <c r="C101" s="1074"/>
      <c r="D101" s="1074"/>
      <c r="E101" s="1075"/>
    </row>
    <row r="102" spans="1:5" x14ac:dyDescent="0.25">
      <c r="A102" s="1073"/>
      <c r="B102" s="1074"/>
      <c r="C102" s="1074"/>
      <c r="D102" s="1074"/>
      <c r="E102" s="1075"/>
    </row>
    <row r="103" spans="1:5" x14ac:dyDescent="0.25">
      <c r="A103" s="1073"/>
      <c r="B103" s="1074"/>
      <c r="C103" s="1074"/>
      <c r="D103" s="1074"/>
      <c r="E103" s="1075"/>
    </row>
    <row r="104" spans="1:5" x14ac:dyDescent="0.25">
      <c r="A104" s="1073"/>
      <c r="B104" s="1074"/>
      <c r="C104" s="1074"/>
      <c r="D104" s="1074"/>
      <c r="E104" s="1075"/>
    </row>
    <row r="105" spans="1:5" x14ac:dyDescent="0.25">
      <c r="A105" s="1073"/>
      <c r="B105" s="1074"/>
      <c r="C105" s="1074"/>
      <c r="D105" s="1074"/>
      <c r="E105" s="1075"/>
    </row>
    <row r="106" spans="1:5" x14ac:dyDescent="0.25">
      <c r="A106" s="1076"/>
      <c r="B106" s="1077"/>
      <c r="C106" s="1077"/>
      <c r="D106" s="1077"/>
      <c r="E106" s="1078"/>
    </row>
    <row r="107" spans="1:5" x14ac:dyDescent="0.25">
      <c r="A107" s="966" t="s">
        <v>1629</v>
      </c>
      <c r="B107" s="966"/>
      <c r="C107" s="966"/>
      <c r="D107" s="966"/>
      <c r="E107" s="966"/>
    </row>
    <row r="108" spans="1:5" x14ac:dyDescent="0.25">
      <c r="A108" s="1227" t="s">
        <v>284</v>
      </c>
      <c r="B108" s="1228"/>
      <c r="C108" s="967" t="s">
        <v>998</v>
      </c>
      <c r="D108" s="968"/>
      <c r="E108" s="229" t="s">
        <v>1630</v>
      </c>
    </row>
    <row r="109" spans="1:5" ht="30.75" customHeight="1" x14ac:dyDescent="0.25">
      <c r="A109" s="1057" t="s">
        <v>1642</v>
      </c>
      <c r="B109" s="1058"/>
      <c r="C109" s="969" t="s">
        <v>1643</v>
      </c>
      <c r="D109" s="970"/>
      <c r="E109" s="420">
        <f>2</f>
        <v>2</v>
      </c>
    </row>
    <row r="110" spans="1:5" ht="30.75" customHeight="1" x14ac:dyDescent="0.25">
      <c r="A110" s="1057" t="s">
        <v>1644</v>
      </c>
      <c r="B110" s="1058"/>
      <c r="C110" s="969" t="s">
        <v>1643</v>
      </c>
      <c r="D110" s="970"/>
      <c r="E110" s="420">
        <f>2</f>
        <v>2</v>
      </c>
    </row>
    <row r="111" spans="1:5" ht="30.75" customHeight="1" x14ac:dyDescent="0.25">
      <c r="A111" s="1057" t="s">
        <v>1645</v>
      </c>
      <c r="B111" s="1058"/>
      <c r="C111" s="969" t="s">
        <v>1643</v>
      </c>
      <c r="D111" s="970"/>
      <c r="E111" s="420">
        <f>2</f>
        <v>2</v>
      </c>
    </row>
    <row r="112" spans="1:5" ht="30.75" customHeight="1" x14ac:dyDescent="0.25">
      <c r="A112" s="1057" t="s">
        <v>1646</v>
      </c>
      <c r="B112" s="1058"/>
      <c r="C112" s="969" t="s">
        <v>1643</v>
      </c>
      <c r="D112" s="970"/>
      <c r="E112" s="420">
        <f>2</f>
        <v>2</v>
      </c>
    </row>
    <row r="113" spans="1:5" ht="30.75" customHeight="1" x14ac:dyDescent="0.25">
      <c r="A113" s="1057" t="s">
        <v>1647</v>
      </c>
      <c r="B113" s="1058"/>
      <c r="C113" s="969" t="s">
        <v>1643</v>
      </c>
      <c r="D113" s="970"/>
      <c r="E113" s="420">
        <f>2</f>
        <v>2</v>
      </c>
    </row>
    <row r="114" spans="1:5" ht="15" customHeight="1" x14ac:dyDescent="0.25">
      <c r="A114" s="971" t="s">
        <v>1164</v>
      </c>
      <c r="B114" s="972"/>
      <c r="C114" s="972"/>
      <c r="D114" s="973"/>
      <c r="E114" s="421">
        <f>SUM(E109:E113)</f>
        <v>10</v>
      </c>
    </row>
    <row r="115" spans="1:5" x14ac:dyDescent="0.25">
      <c r="A115" s="995" t="s">
        <v>1270</v>
      </c>
      <c r="B115" s="996"/>
      <c r="C115" s="996"/>
      <c r="D115" s="997"/>
      <c r="E115" s="422">
        <f>E114</f>
        <v>10</v>
      </c>
    </row>
    <row r="116" spans="1:5" x14ac:dyDescent="0.25">
      <c r="A116" s="978" t="s">
        <v>997</v>
      </c>
      <c r="B116" s="978"/>
      <c r="C116" s="978"/>
      <c r="D116" s="978"/>
      <c r="E116" s="978"/>
    </row>
    <row r="117" spans="1:5" x14ac:dyDescent="0.25">
      <c r="A117" s="1070"/>
      <c r="B117" s="1071"/>
      <c r="C117" s="1071"/>
      <c r="D117" s="1071"/>
      <c r="E117" s="1072"/>
    </row>
    <row r="118" spans="1:5" x14ac:dyDescent="0.25">
      <c r="A118" s="1073"/>
      <c r="B118" s="1074"/>
      <c r="C118" s="1074"/>
      <c r="D118" s="1074"/>
      <c r="E118" s="1075"/>
    </row>
    <row r="119" spans="1:5" x14ac:dyDescent="0.25">
      <c r="A119" s="1073"/>
      <c r="B119" s="1074"/>
      <c r="C119" s="1074"/>
      <c r="D119" s="1074"/>
      <c r="E119" s="1075"/>
    </row>
    <row r="120" spans="1:5" x14ac:dyDescent="0.25">
      <c r="A120" s="1073"/>
      <c r="B120" s="1074"/>
      <c r="C120" s="1074"/>
      <c r="D120" s="1074"/>
      <c r="E120" s="1075"/>
    </row>
    <row r="121" spans="1:5" x14ac:dyDescent="0.25">
      <c r="A121" s="1073"/>
      <c r="B121" s="1074"/>
      <c r="C121" s="1074"/>
      <c r="D121" s="1074"/>
      <c r="E121" s="1075"/>
    </row>
    <row r="122" spans="1:5" x14ac:dyDescent="0.25">
      <c r="A122" s="1073"/>
      <c r="B122" s="1074"/>
      <c r="C122" s="1074"/>
      <c r="D122" s="1074"/>
      <c r="E122" s="1075"/>
    </row>
    <row r="123" spans="1:5" x14ac:dyDescent="0.25">
      <c r="A123" s="1073"/>
      <c r="B123" s="1074"/>
      <c r="C123" s="1074"/>
      <c r="D123" s="1074"/>
      <c r="E123" s="1075"/>
    </row>
    <row r="124" spans="1:5" x14ac:dyDescent="0.25">
      <c r="A124" s="1073"/>
      <c r="B124" s="1074"/>
      <c r="C124" s="1074"/>
      <c r="D124" s="1074"/>
      <c r="E124" s="1075"/>
    </row>
    <row r="125" spans="1:5" x14ac:dyDescent="0.25">
      <c r="A125" s="1073"/>
      <c r="B125" s="1074"/>
      <c r="C125" s="1074"/>
      <c r="D125" s="1074"/>
      <c r="E125" s="1075"/>
    </row>
    <row r="126" spans="1:5" x14ac:dyDescent="0.25">
      <c r="A126" s="1073"/>
      <c r="B126" s="1074"/>
      <c r="C126" s="1074"/>
      <c r="D126" s="1074"/>
      <c r="E126" s="1075"/>
    </row>
    <row r="127" spans="1:5" x14ac:dyDescent="0.25">
      <c r="A127" s="1073"/>
      <c r="B127" s="1074"/>
      <c r="C127" s="1074"/>
      <c r="D127" s="1074"/>
      <c r="E127" s="1075"/>
    </row>
    <row r="128" spans="1:5" x14ac:dyDescent="0.25">
      <c r="A128" s="1073"/>
      <c r="B128" s="1074"/>
      <c r="C128" s="1074"/>
      <c r="D128" s="1074"/>
      <c r="E128" s="1075"/>
    </row>
    <row r="129" spans="1:5" x14ac:dyDescent="0.25">
      <c r="A129" s="1073"/>
      <c r="B129" s="1074"/>
      <c r="C129" s="1074"/>
      <c r="D129" s="1074"/>
      <c r="E129" s="1075"/>
    </row>
    <row r="130" spans="1:5" x14ac:dyDescent="0.25">
      <c r="A130" s="1073"/>
      <c r="B130" s="1074"/>
      <c r="C130" s="1074"/>
      <c r="D130" s="1074"/>
      <c r="E130" s="1075"/>
    </row>
    <row r="131" spans="1:5" x14ac:dyDescent="0.25">
      <c r="A131" s="1073"/>
      <c r="B131" s="1074"/>
      <c r="C131" s="1074"/>
      <c r="D131" s="1074"/>
      <c r="E131" s="1075"/>
    </row>
    <row r="132" spans="1:5" x14ac:dyDescent="0.25">
      <c r="A132" s="1073"/>
      <c r="B132" s="1074"/>
      <c r="C132" s="1074"/>
      <c r="D132" s="1074"/>
      <c r="E132" s="1075"/>
    </row>
    <row r="133" spans="1:5" x14ac:dyDescent="0.25">
      <c r="A133" s="1073"/>
      <c r="B133" s="1074"/>
      <c r="C133" s="1074"/>
      <c r="D133" s="1074"/>
      <c r="E133" s="1075"/>
    </row>
    <row r="134" spans="1:5" x14ac:dyDescent="0.25">
      <c r="A134" s="1073"/>
      <c r="B134" s="1074"/>
      <c r="C134" s="1074"/>
      <c r="D134" s="1074"/>
      <c r="E134" s="1075"/>
    </row>
    <row r="135" spans="1:5" x14ac:dyDescent="0.25">
      <c r="A135" s="1073"/>
      <c r="B135" s="1074"/>
      <c r="C135" s="1074"/>
      <c r="D135" s="1074"/>
      <c r="E135" s="1075"/>
    </row>
    <row r="136" spans="1:5" x14ac:dyDescent="0.25">
      <c r="A136" s="1073"/>
      <c r="B136" s="1074"/>
      <c r="C136" s="1074"/>
      <c r="D136" s="1074"/>
      <c r="E136" s="1075"/>
    </row>
    <row r="137" spans="1:5" x14ac:dyDescent="0.25">
      <c r="A137" s="1073"/>
      <c r="B137" s="1074"/>
      <c r="C137" s="1074"/>
      <c r="D137" s="1074"/>
      <c r="E137" s="1075"/>
    </row>
    <row r="138" spans="1:5" x14ac:dyDescent="0.25">
      <c r="A138" s="1076"/>
      <c r="B138" s="1077"/>
      <c r="C138" s="1077"/>
      <c r="D138" s="1077"/>
      <c r="E138" s="1078"/>
    </row>
    <row r="139" spans="1:5" x14ac:dyDescent="0.25">
      <c r="A139" s="966" t="s">
        <v>1629</v>
      </c>
      <c r="B139" s="966"/>
      <c r="C139" s="966"/>
      <c r="D139" s="966"/>
      <c r="E139" s="966"/>
    </row>
    <row r="140" spans="1:5" x14ac:dyDescent="0.25">
      <c r="A140" s="1227" t="s">
        <v>284</v>
      </c>
      <c r="B140" s="1228"/>
      <c r="C140" s="967" t="s">
        <v>998</v>
      </c>
      <c r="D140" s="968"/>
      <c r="E140" s="229" t="s">
        <v>1630</v>
      </c>
    </row>
    <row r="141" spans="1:5" ht="30.75" customHeight="1" x14ac:dyDescent="0.25">
      <c r="A141" s="1057" t="s">
        <v>1648</v>
      </c>
      <c r="B141" s="1058"/>
      <c r="C141" s="969" t="s">
        <v>1643</v>
      </c>
      <c r="D141" s="970"/>
      <c r="E141" s="420">
        <v>2</v>
      </c>
    </row>
    <row r="142" spans="1:5" ht="30.75" customHeight="1" x14ac:dyDescent="0.25">
      <c r="A142" s="1057" t="s">
        <v>1649</v>
      </c>
      <c r="B142" s="1058"/>
      <c r="C142" s="969" t="s">
        <v>1643</v>
      </c>
      <c r="D142" s="970"/>
      <c r="E142" s="420">
        <v>2</v>
      </c>
    </row>
    <row r="143" spans="1:5" ht="30.75" customHeight="1" x14ac:dyDescent="0.25">
      <c r="A143" s="1057" t="s">
        <v>1650</v>
      </c>
      <c r="B143" s="1058"/>
      <c r="C143" s="969" t="s">
        <v>1643</v>
      </c>
      <c r="D143" s="970"/>
      <c r="E143" s="420">
        <v>1</v>
      </c>
    </row>
    <row r="144" spans="1:5" ht="30.75" customHeight="1" x14ac:dyDescent="0.25">
      <c r="A144" s="1057" t="s">
        <v>1651</v>
      </c>
      <c r="B144" s="1058"/>
      <c r="C144" s="969" t="s">
        <v>1643</v>
      </c>
      <c r="D144" s="970"/>
      <c r="E144" s="420">
        <v>1</v>
      </c>
    </row>
    <row r="145" spans="1:5" ht="30.75" customHeight="1" x14ac:dyDescent="0.25">
      <c r="A145" s="1225" t="s">
        <v>1652</v>
      </c>
      <c r="B145" s="1226"/>
      <c r="C145" s="969" t="s">
        <v>1643</v>
      </c>
      <c r="D145" s="970"/>
      <c r="E145" s="420">
        <v>6</v>
      </c>
    </row>
    <row r="146" spans="1:5" ht="30.75" customHeight="1" x14ac:dyDescent="0.25">
      <c r="A146" s="1225" t="s">
        <v>1653</v>
      </c>
      <c r="B146" s="1226"/>
      <c r="C146" s="969" t="s">
        <v>1643</v>
      </c>
      <c r="D146" s="970"/>
      <c r="E146" s="420">
        <v>6</v>
      </c>
    </row>
    <row r="147" spans="1:5" ht="30.75" customHeight="1" x14ac:dyDescent="0.25">
      <c r="A147" s="1225" t="s">
        <v>1654</v>
      </c>
      <c r="B147" s="1226"/>
      <c r="C147" s="969" t="s">
        <v>1643</v>
      </c>
      <c r="D147" s="970"/>
      <c r="E147" s="420">
        <v>6</v>
      </c>
    </row>
    <row r="148" spans="1:5" ht="30.75" customHeight="1" x14ac:dyDescent="0.25">
      <c r="A148" s="1225"/>
      <c r="B148" s="1226"/>
      <c r="C148" s="969"/>
      <c r="D148" s="970"/>
      <c r="E148" s="420"/>
    </row>
    <row r="149" spans="1:5" ht="30.75" customHeight="1" x14ac:dyDescent="0.25">
      <c r="A149" s="1225"/>
      <c r="B149" s="1226"/>
      <c r="C149" s="969"/>
      <c r="D149" s="970"/>
      <c r="E149" s="420"/>
    </row>
    <row r="150" spans="1:5" ht="15" customHeight="1" x14ac:dyDescent="0.25">
      <c r="A150" s="971" t="s">
        <v>1164</v>
      </c>
      <c r="B150" s="972"/>
      <c r="C150" s="972"/>
      <c r="D150" s="973"/>
      <c r="E150" s="421">
        <f>SUM(E141:E149)</f>
        <v>24</v>
      </c>
    </row>
    <row r="151" spans="1:5" x14ac:dyDescent="0.25">
      <c r="A151" s="995" t="s">
        <v>1270</v>
      </c>
      <c r="B151" s="996"/>
      <c r="C151" s="996"/>
      <c r="D151" s="997"/>
      <c r="E151" s="422">
        <f>E150</f>
        <v>24</v>
      </c>
    </row>
    <row r="152" spans="1:5" x14ac:dyDescent="0.25">
      <c r="A152" s="978" t="s">
        <v>997</v>
      </c>
      <c r="B152" s="978"/>
      <c r="C152" s="978"/>
      <c r="D152" s="978"/>
      <c r="E152" s="978"/>
    </row>
    <row r="153" spans="1:5" x14ac:dyDescent="0.25">
      <c r="A153" s="1070"/>
      <c r="B153" s="1071"/>
      <c r="C153" s="1071"/>
      <c r="D153" s="1071"/>
      <c r="E153" s="1072"/>
    </row>
    <row r="154" spans="1:5" x14ac:dyDescent="0.25">
      <c r="A154" s="1073"/>
      <c r="B154" s="1074"/>
      <c r="C154" s="1074"/>
      <c r="D154" s="1074"/>
      <c r="E154" s="1075"/>
    </row>
    <row r="155" spans="1:5" x14ac:dyDescent="0.25">
      <c r="A155" s="1073"/>
      <c r="B155" s="1074"/>
      <c r="C155" s="1074"/>
      <c r="D155" s="1074"/>
      <c r="E155" s="1075"/>
    </row>
    <row r="156" spans="1:5" x14ac:dyDescent="0.25">
      <c r="A156" s="1073"/>
      <c r="B156" s="1074"/>
      <c r="C156" s="1074"/>
      <c r="D156" s="1074"/>
      <c r="E156" s="1075"/>
    </row>
    <row r="157" spans="1:5" x14ac:dyDescent="0.25">
      <c r="A157" s="1073"/>
      <c r="B157" s="1074"/>
      <c r="C157" s="1074"/>
      <c r="D157" s="1074"/>
      <c r="E157" s="1075"/>
    </row>
    <row r="158" spans="1:5" x14ac:dyDescent="0.25">
      <c r="A158" s="1073"/>
      <c r="B158" s="1074"/>
      <c r="C158" s="1074"/>
      <c r="D158" s="1074"/>
      <c r="E158" s="1075"/>
    </row>
    <row r="159" spans="1:5" x14ac:dyDescent="0.25">
      <c r="A159" s="1073"/>
      <c r="B159" s="1074"/>
      <c r="C159" s="1074"/>
      <c r="D159" s="1074"/>
      <c r="E159" s="1075"/>
    </row>
    <row r="160" spans="1:5" x14ac:dyDescent="0.25">
      <c r="A160" s="1073"/>
      <c r="B160" s="1074"/>
      <c r="C160" s="1074"/>
      <c r="D160" s="1074"/>
      <c r="E160" s="1075"/>
    </row>
    <row r="161" spans="1:5" x14ac:dyDescent="0.25">
      <c r="A161" s="1073"/>
      <c r="B161" s="1074"/>
      <c r="C161" s="1074"/>
      <c r="D161" s="1074"/>
      <c r="E161" s="1075"/>
    </row>
    <row r="162" spans="1:5" x14ac:dyDescent="0.25">
      <c r="A162" s="1073"/>
      <c r="B162" s="1074"/>
      <c r="C162" s="1074"/>
      <c r="D162" s="1074"/>
      <c r="E162" s="1075"/>
    </row>
    <row r="163" spans="1:5" x14ac:dyDescent="0.25">
      <c r="A163" s="1073"/>
      <c r="B163" s="1074"/>
      <c r="C163" s="1074"/>
      <c r="D163" s="1074"/>
      <c r="E163" s="1075"/>
    </row>
    <row r="164" spans="1:5" x14ac:dyDescent="0.25">
      <c r="A164" s="1073"/>
      <c r="B164" s="1074"/>
      <c r="C164" s="1074"/>
      <c r="D164" s="1074"/>
      <c r="E164" s="1075"/>
    </row>
    <row r="165" spans="1:5" x14ac:dyDescent="0.25">
      <c r="A165" s="1073"/>
      <c r="B165" s="1074"/>
      <c r="C165" s="1074"/>
      <c r="D165" s="1074"/>
      <c r="E165" s="1075"/>
    </row>
    <row r="166" spans="1:5" x14ac:dyDescent="0.25">
      <c r="A166" s="1073"/>
      <c r="B166" s="1074"/>
      <c r="C166" s="1074"/>
      <c r="D166" s="1074"/>
      <c r="E166" s="1075"/>
    </row>
    <row r="167" spans="1:5" x14ac:dyDescent="0.25">
      <c r="A167" s="1073"/>
      <c r="B167" s="1074"/>
      <c r="C167" s="1074"/>
      <c r="D167" s="1074"/>
      <c r="E167" s="1075"/>
    </row>
    <row r="168" spans="1:5" x14ac:dyDescent="0.25">
      <c r="A168" s="1073"/>
      <c r="B168" s="1074"/>
      <c r="C168" s="1074"/>
      <c r="D168" s="1074"/>
      <c r="E168" s="1075"/>
    </row>
    <row r="169" spans="1:5" x14ac:dyDescent="0.25">
      <c r="A169" s="1073"/>
      <c r="B169" s="1074"/>
      <c r="C169" s="1074"/>
      <c r="D169" s="1074"/>
      <c r="E169" s="1075"/>
    </row>
    <row r="170" spans="1:5" x14ac:dyDescent="0.25">
      <c r="A170" s="1073"/>
      <c r="B170" s="1074"/>
      <c r="C170" s="1074"/>
      <c r="D170" s="1074"/>
      <c r="E170" s="1075"/>
    </row>
    <row r="171" spans="1:5" x14ac:dyDescent="0.25">
      <c r="A171" s="1073"/>
      <c r="B171" s="1074"/>
      <c r="C171" s="1074"/>
      <c r="D171" s="1074"/>
      <c r="E171" s="1075"/>
    </row>
    <row r="172" spans="1:5" x14ac:dyDescent="0.25">
      <c r="A172" s="1073"/>
      <c r="B172" s="1074"/>
      <c r="C172" s="1074"/>
      <c r="D172" s="1074"/>
      <c r="E172" s="1075"/>
    </row>
    <row r="173" spans="1:5" x14ac:dyDescent="0.25">
      <c r="A173" s="1073"/>
      <c r="B173" s="1074"/>
      <c r="C173" s="1074"/>
      <c r="D173" s="1074"/>
      <c r="E173" s="1075"/>
    </row>
    <row r="174" spans="1:5" x14ac:dyDescent="0.25">
      <c r="A174" s="1076"/>
      <c r="B174" s="1077"/>
      <c r="C174" s="1077"/>
      <c r="D174" s="1077"/>
      <c r="E174" s="1078"/>
    </row>
    <row r="175" spans="1:5" x14ac:dyDescent="0.25">
      <c r="A175" s="966" t="s">
        <v>1629</v>
      </c>
      <c r="B175" s="966"/>
      <c r="C175" s="966"/>
      <c r="D175" s="966"/>
      <c r="E175" s="966"/>
    </row>
    <row r="176" spans="1:5" x14ac:dyDescent="0.25">
      <c r="A176" s="1227" t="s">
        <v>284</v>
      </c>
      <c r="B176" s="1228"/>
      <c r="C176" s="967" t="s">
        <v>998</v>
      </c>
      <c r="D176" s="968"/>
      <c r="E176" s="229" t="s">
        <v>1630</v>
      </c>
    </row>
    <row r="177" spans="1:5" ht="30.75" customHeight="1" x14ac:dyDescent="0.25">
      <c r="A177" s="1057" t="s">
        <v>1655</v>
      </c>
      <c r="B177" s="1058"/>
      <c r="C177" s="969" t="s">
        <v>1643</v>
      </c>
      <c r="D177" s="970"/>
      <c r="E177" s="420">
        <v>7</v>
      </c>
    </row>
    <row r="178" spans="1:5" ht="30.75" customHeight="1" x14ac:dyDescent="0.25">
      <c r="A178" s="1057" t="s">
        <v>1656</v>
      </c>
      <c r="B178" s="1058"/>
      <c r="C178" s="969" t="s">
        <v>1643</v>
      </c>
      <c r="D178" s="970"/>
      <c r="E178" s="420">
        <v>7</v>
      </c>
    </row>
    <row r="179" spans="1:5" ht="30.75" customHeight="1" x14ac:dyDescent="0.25">
      <c r="A179" s="1057" t="s">
        <v>1657</v>
      </c>
      <c r="B179" s="1058"/>
      <c r="C179" s="969" t="s">
        <v>1643</v>
      </c>
      <c r="D179" s="970"/>
      <c r="E179" s="420">
        <v>7</v>
      </c>
    </row>
    <row r="180" spans="1:5" ht="30.75" customHeight="1" x14ac:dyDescent="0.25">
      <c r="A180" s="1057" t="s">
        <v>1658</v>
      </c>
      <c r="B180" s="1058"/>
      <c r="C180" s="969" t="s">
        <v>1643</v>
      </c>
      <c r="D180" s="970"/>
      <c r="E180" s="420">
        <v>7</v>
      </c>
    </row>
    <row r="181" spans="1:5" ht="30.75" customHeight="1" x14ac:dyDescent="0.25">
      <c r="A181" s="1225" t="s">
        <v>1659</v>
      </c>
      <c r="B181" s="1226"/>
      <c r="C181" s="969" t="s">
        <v>1643</v>
      </c>
      <c r="D181" s="970"/>
      <c r="E181" s="420">
        <v>7</v>
      </c>
    </row>
    <row r="182" spans="1:5" ht="30.75" customHeight="1" x14ac:dyDescent="0.25">
      <c r="A182" s="1225" t="s">
        <v>1646</v>
      </c>
      <c r="B182" s="1226"/>
      <c r="C182" s="969" t="s">
        <v>1643</v>
      </c>
      <c r="D182" s="970"/>
      <c r="E182" s="420">
        <v>7</v>
      </c>
    </row>
    <row r="183" spans="1:5" ht="30.75" customHeight="1" x14ac:dyDescent="0.25">
      <c r="A183" s="1225" t="s">
        <v>1647</v>
      </c>
      <c r="B183" s="1226"/>
      <c r="C183" s="969" t="s">
        <v>1643</v>
      </c>
      <c r="D183" s="970"/>
      <c r="E183" s="420">
        <v>7</v>
      </c>
    </row>
    <row r="184" spans="1:5" ht="30.75" customHeight="1" x14ac:dyDescent="0.25">
      <c r="A184" s="1225"/>
      <c r="B184" s="1226"/>
      <c r="C184" s="969"/>
      <c r="D184" s="970"/>
      <c r="E184" s="420"/>
    </row>
    <row r="185" spans="1:5" ht="30.75" customHeight="1" x14ac:dyDescent="0.25">
      <c r="A185" s="1225"/>
      <c r="B185" s="1226"/>
      <c r="C185" s="969"/>
      <c r="D185" s="970"/>
      <c r="E185" s="420"/>
    </row>
    <row r="186" spans="1:5" ht="15" customHeight="1" x14ac:dyDescent="0.25">
      <c r="A186" s="971" t="s">
        <v>1164</v>
      </c>
      <c r="B186" s="972"/>
      <c r="C186" s="972"/>
      <c r="D186" s="973"/>
      <c r="E186" s="421">
        <f>SUM(E177:E185)</f>
        <v>49</v>
      </c>
    </row>
    <row r="187" spans="1:5" x14ac:dyDescent="0.25">
      <c r="A187" s="995" t="s">
        <v>1270</v>
      </c>
      <c r="B187" s="996"/>
      <c r="C187" s="996"/>
      <c r="D187" s="997"/>
      <c r="E187" s="422">
        <f>E186</f>
        <v>49</v>
      </c>
    </row>
    <row r="188" spans="1:5" x14ac:dyDescent="0.25">
      <c r="A188" s="978" t="s">
        <v>997</v>
      </c>
      <c r="B188" s="978"/>
      <c r="C188" s="978"/>
      <c r="D188" s="978"/>
      <c r="E188" s="978"/>
    </row>
    <row r="189" spans="1:5" x14ac:dyDescent="0.25">
      <c r="A189" s="1070"/>
      <c r="B189" s="1071"/>
      <c r="C189" s="1071"/>
      <c r="D189" s="1071"/>
      <c r="E189" s="1072"/>
    </row>
    <row r="190" spans="1:5" x14ac:dyDescent="0.25">
      <c r="A190" s="1073"/>
      <c r="B190" s="1074"/>
      <c r="C190" s="1074"/>
      <c r="D190" s="1074"/>
      <c r="E190" s="1075"/>
    </row>
    <row r="191" spans="1:5" x14ac:dyDescent="0.25">
      <c r="A191" s="1073"/>
      <c r="B191" s="1074"/>
      <c r="C191" s="1074"/>
      <c r="D191" s="1074"/>
      <c r="E191" s="1075"/>
    </row>
    <row r="192" spans="1:5" x14ac:dyDescent="0.25">
      <c r="A192" s="1073"/>
      <c r="B192" s="1074"/>
      <c r="C192" s="1074"/>
      <c r="D192" s="1074"/>
      <c r="E192" s="1075"/>
    </row>
    <row r="193" spans="1:5" x14ac:dyDescent="0.25">
      <c r="A193" s="1073"/>
      <c r="B193" s="1074"/>
      <c r="C193" s="1074"/>
      <c r="D193" s="1074"/>
      <c r="E193" s="1075"/>
    </row>
    <row r="194" spans="1:5" x14ac:dyDescent="0.25">
      <c r="A194" s="1073"/>
      <c r="B194" s="1074"/>
      <c r="C194" s="1074"/>
      <c r="D194" s="1074"/>
      <c r="E194" s="1075"/>
    </row>
    <row r="195" spans="1:5" x14ac:dyDescent="0.25">
      <c r="A195" s="1073"/>
      <c r="B195" s="1074"/>
      <c r="C195" s="1074"/>
      <c r="D195" s="1074"/>
      <c r="E195" s="1075"/>
    </row>
    <row r="196" spans="1:5" x14ac:dyDescent="0.25">
      <c r="A196" s="1073"/>
      <c r="B196" s="1074"/>
      <c r="C196" s="1074"/>
      <c r="D196" s="1074"/>
      <c r="E196" s="1075"/>
    </row>
    <row r="197" spans="1:5" x14ac:dyDescent="0.25">
      <c r="A197" s="1073"/>
      <c r="B197" s="1074"/>
      <c r="C197" s="1074"/>
      <c r="D197" s="1074"/>
      <c r="E197" s="1075"/>
    </row>
    <row r="198" spans="1:5" x14ac:dyDescent="0.25">
      <c r="A198" s="1073"/>
      <c r="B198" s="1074"/>
      <c r="C198" s="1074"/>
      <c r="D198" s="1074"/>
      <c r="E198" s="1075"/>
    </row>
    <row r="199" spans="1:5" x14ac:dyDescent="0.25">
      <c r="A199" s="1073"/>
      <c r="B199" s="1074"/>
      <c r="C199" s="1074"/>
      <c r="D199" s="1074"/>
      <c r="E199" s="1075"/>
    </row>
    <row r="200" spans="1:5" x14ac:dyDescent="0.25">
      <c r="A200" s="1073"/>
      <c r="B200" s="1074"/>
      <c r="C200" s="1074"/>
      <c r="D200" s="1074"/>
      <c r="E200" s="1075"/>
    </row>
    <row r="201" spans="1:5" x14ac:dyDescent="0.25">
      <c r="A201" s="1073"/>
      <c r="B201" s="1074"/>
      <c r="C201" s="1074"/>
      <c r="D201" s="1074"/>
      <c r="E201" s="1075"/>
    </row>
    <row r="202" spans="1:5" x14ac:dyDescent="0.25">
      <c r="A202" s="1073"/>
      <c r="B202" s="1074"/>
      <c r="C202" s="1074"/>
      <c r="D202" s="1074"/>
      <c r="E202" s="1075"/>
    </row>
    <row r="203" spans="1:5" x14ac:dyDescent="0.25">
      <c r="A203" s="1073"/>
      <c r="B203" s="1074"/>
      <c r="C203" s="1074"/>
      <c r="D203" s="1074"/>
      <c r="E203" s="1075"/>
    </row>
    <row r="204" spans="1:5" x14ac:dyDescent="0.25">
      <c r="A204" s="1073"/>
      <c r="B204" s="1074"/>
      <c r="C204" s="1074"/>
      <c r="D204" s="1074"/>
      <c r="E204" s="1075"/>
    </row>
    <row r="205" spans="1:5" x14ac:dyDescent="0.25">
      <c r="A205" s="1073"/>
      <c r="B205" s="1074"/>
      <c r="C205" s="1074"/>
      <c r="D205" s="1074"/>
      <c r="E205" s="1075"/>
    </row>
    <row r="206" spans="1:5" x14ac:dyDescent="0.25">
      <c r="A206" s="1073"/>
      <c r="B206" s="1074"/>
      <c r="C206" s="1074"/>
      <c r="D206" s="1074"/>
      <c r="E206" s="1075"/>
    </row>
    <row r="207" spans="1:5" x14ac:dyDescent="0.25">
      <c r="A207" s="1073"/>
      <c r="B207" s="1074"/>
      <c r="C207" s="1074"/>
      <c r="D207" s="1074"/>
      <c r="E207" s="1075"/>
    </row>
    <row r="208" spans="1:5" x14ac:dyDescent="0.25">
      <c r="A208" s="1073"/>
      <c r="B208" s="1074"/>
      <c r="C208" s="1074"/>
      <c r="D208" s="1074"/>
      <c r="E208" s="1075"/>
    </row>
    <row r="209" spans="1:5" x14ac:dyDescent="0.25">
      <c r="A209" s="1073"/>
      <c r="B209" s="1074"/>
      <c r="C209" s="1074"/>
      <c r="D209" s="1074"/>
      <c r="E209" s="1075"/>
    </row>
    <row r="210" spans="1:5" x14ac:dyDescent="0.25">
      <c r="A210" s="1076"/>
      <c r="B210" s="1077"/>
      <c r="C210" s="1077"/>
      <c r="D210" s="1077"/>
      <c r="E210" s="1078"/>
    </row>
    <row r="211" spans="1:5" x14ac:dyDescent="0.25">
      <c r="A211" s="966" t="s">
        <v>1629</v>
      </c>
      <c r="B211" s="966"/>
      <c r="C211" s="966"/>
      <c r="D211" s="966"/>
      <c r="E211" s="966"/>
    </row>
    <row r="212" spans="1:5" x14ac:dyDescent="0.25">
      <c r="A212" s="1227" t="s">
        <v>284</v>
      </c>
      <c r="B212" s="1228"/>
      <c r="C212" s="967" t="s">
        <v>998</v>
      </c>
      <c r="D212" s="968"/>
      <c r="E212" s="229" t="s">
        <v>1630</v>
      </c>
    </row>
    <row r="213" spans="1:5" ht="30.75" customHeight="1" x14ac:dyDescent="0.25">
      <c r="A213" s="1225" t="s">
        <v>1660</v>
      </c>
      <c r="B213" s="1226"/>
      <c r="C213" s="969" t="s">
        <v>1643</v>
      </c>
      <c r="D213" s="970"/>
      <c r="E213" s="420">
        <v>2</v>
      </c>
    </row>
    <row r="214" spans="1:5" ht="30.75" customHeight="1" x14ac:dyDescent="0.25">
      <c r="A214" s="1225" t="s">
        <v>1656</v>
      </c>
      <c r="B214" s="1226"/>
      <c r="C214" s="969" t="s">
        <v>1643</v>
      </c>
      <c r="D214" s="970"/>
      <c r="E214" s="420">
        <v>2</v>
      </c>
    </row>
    <row r="215" spans="1:5" ht="30.75" customHeight="1" x14ac:dyDescent="0.25">
      <c r="A215" s="1225" t="s">
        <v>1661</v>
      </c>
      <c r="B215" s="1226"/>
      <c r="C215" s="969" t="s">
        <v>1643</v>
      </c>
      <c r="D215" s="970"/>
      <c r="E215" s="420">
        <v>2</v>
      </c>
    </row>
    <row r="216" spans="1:5" ht="30.75" customHeight="1" x14ac:dyDescent="0.25">
      <c r="A216" s="1225" t="s">
        <v>1662</v>
      </c>
      <c r="B216" s="1226"/>
      <c r="C216" s="969" t="s">
        <v>1643</v>
      </c>
      <c r="D216" s="970"/>
      <c r="E216" s="420">
        <v>2</v>
      </c>
    </row>
    <row r="217" spans="1:5" ht="30.75" customHeight="1" x14ac:dyDescent="0.25">
      <c r="A217" s="1225" t="s">
        <v>1663</v>
      </c>
      <c r="B217" s="1226"/>
      <c r="C217" s="969" t="s">
        <v>1643</v>
      </c>
      <c r="D217" s="970"/>
      <c r="E217" s="420">
        <v>2</v>
      </c>
    </row>
    <row r="218" spans="1:5" ht="30.75" customHeight="1" x14ac:dyDescent="0.25">
      <c r="A218" s="1225" t="s">
        <v>1664</v>
      </c>
      <c r="B218" s="1226"/>
      <c r="C218" s="969" t="s">
        <v>1643</v>
      </c>
      <c r="D218" s="970"/>
      <c r="E218" s="420">
        <v>2</v>
      </c>
    </row>
    <row r="219" spans="1:5" ht="30.75" customHeight="1" x14ac:dyDescent="0.25">
      <c r="A219" s="1225" t="s">
        <v>1665</v>
      </c>
      <c r="B219" s="1226"/>
      <c r="C219" s="969" t="s">
        <v>1643</v>
      </c>
      <c r="D219" s="970"/>
      <c r="E219" s="420">
        <v>2</v>
      </c>
    </row>
    <row r="220" spans="1:5" ht="30.75" customHeight="1" x14ac:dyDescent="0.25">
      <c r="A220" s="1225"/>
      <c r="B220" s="1226"/>
      <c r="C220" s="969"/>
      <c r="D220" s="970"/>
      <c r="E220" s="420"/>
    </row>
    <row r="221" spans="1:5" ht="30.75" customHeight="1" x14ac:dyDescent="0.25">
      <c r="A221" s="1225"/>
      <c r="B221" s="1226"/>
      <c r="C221" s="969"/>
      <c r="D221" s="970"/>
      <c r="E221" s="420"/>
    </row>
    <row r="222" spans="1:5" ht="15" customHeight="1" x14ac:dyDescent="0.25">
      <c r="A222" s="971" t="s">
        <v>1164</v>
      </c>
      <c r="B222" s="972"/>
      <c r="C222" s="972"/>
      <c r="D222" s="973"/>
      <c r="E222" s="421">
        <f>SUM(E213:E221)</f>
        <v>14</v>
      </c>
    </row>
    <row r="223" spans="1:5" x14ac:dyDescent="0.25">
      <c r="A223" s="995" t="s">
        <v>1270</v>
      </c>
      <c r="B223" s="996"/>
      <c r="C223" s="996"/>
      <c r="D223" s="997"/>
      <c r="E223" s="422">
        <f>E222</f>
        <v>14</v>
      </c>
    </row>
    <row r="224" spans="1:5" x14ac:dyDescent="0.25">
      <c r="A224" s="978" t="s">
        <v>997</v>
      </c>
      <c r="B224" s="978"/>
      <c r="C224" s="978"/>
      <c r="D224" s="978"/>
      <c r="E224" s="978"/>
    </row>
    <row r="225" spans="1:5" x14ac:dyDescent="0.25">
      <c r="A225" s="1070"/>
      <c r="B225" s="1071"/>
      <c r="C225" s="1071"/>
      <c r="D225" s="1071"/>
      <c r="E225" s="1072"/>
    </row>
    <row r="226" spans="1:5" x14ac:dyDescent="0.25">
      <c r="A226" s="1073"/>
      <c r="B226" s="1074"/>
      <c r="C226" s="1074"/>
      <c r="D226" s="1074"/>
      <c r="E226" s="1075"/>
    </row>
    <row r="227" spans="1:5" x14ac:dyDescent="0.25">
      <c r="A227" s="1073"/>
      <c r="B227" s="1074"/>
      <c r="C227" s="1074"/>
      <c r="D227" s="1074"/>
      <c r="E227" s="1075"/>
    </row>
    <row r="228" spans="1:5" x14ac:dyDescent="0.25">
      <c r="A228" s="1073"/>
      <c r="B228" s="1074"/>
      <c r="C228" s="1074"/>
      <c r="D228" s="1074"/>
      <c r="E228" s="1075"/>
    </row>
    <row r="229" spans="1:5" x14ac:dyDescent="0.25">
      <c r="A229" s="1073"/>
      <c r="B229" s="1074"/>
      <c r="C229" s="1074"/>
      <c r="D229" s="1074"/>
      <c r="E229" s="1075"/>
    </row>
    <row r="230" spans="1:5" x14ac:dyDescent="0.25">
      <c r="A230" s="1073"/>
      <c r="B230" s="1074"/>
      <c r="C230" s="1074"/>
      <c r="D230" s="1074"/>
      <c r="E230" s="1075"/>
    </row>
    <row r="231" spans="1:5" x14ac:dyDescent="0.25">
      <c r="A231" s="1073"/>
      <c r="B231" s="1074"/>
      <c r="C231" s="1074"/>
      <c r="D231" s="1074"/>
      <c r="E231" s="1075"/>
    </row>
    <row r="232" spans="1:5" x14ac:dyDescent="0.25">
      <c r="A232" s="1073"/>
      <c r="B232" s="1074"/>
      <c r="C232" s="1074"/>
      <c r="D232" s="1074"/>
      <c r="E232" s="1075"/>
    </row>
    <row r="233" spans="1:5" x14ac:dyDescent="0.25">
      <c r="A233" s="1073"/>
      <c r="B233" s="1074"/>
      <c r="C233" s="1074"/>
      <c r="D233" s="1074"/>
      <c r="E233" s="1075"/>
    </row>
    <row r="234" spans="1:5" x14ac:dyDescent="0.25">
      <c r="A234" s="1073"/>
      <c r="B234" s="1074"/>
      <c r="C234" s="1074"/>
      <c r="D234" s="1074"/>
      <c r="E234" s="1075"/>
    </row>
    <row r="235" spans="1:5" x14ac:dyDescent="0.25">
      <c r="A235" s="1073"/>
      <c r="B235" s="1074"/>
      <c r="C235" s="1074"/>
      <c r="D235" s="1074"/>
      <c r="E235" s="1075"/>
    </row>
    <row r="236" spans="1:5" x14ac:dyDescent="0.25">
      <c r="A236" s="1073"/>
      <c r="B236" s="1074"/>
      <c r="C236" s="1074"/>
      <c r="D236" s="1074"/>
      <c r="E236" s="1075"/>
    </row>
    <row r="237" spans="1:5" x14ac:dyDescent="0.25">
      <c r="A237" s="1073"/>
      <c r="B237" s="1074"/>
      <c r="C237" s="1074"/>
      <c r="D237" s="1074"/>
      <c r="E237" s="1075"/>
    </row>
    <row r="238" spans="1:5" x14ac:dyDescent="0.25">
      <c r="A238" s="1073"/>
      <c r="B238" s="1074"/>
      <c r="C238" s="1074"/>
      <c r="D238" s="1074"/>
      <c r="E238" s="1075"/>
    </row>
    <row r="239" spans="1:5" x14ac:dyDescent="0.25">
      <c r="A239" s="1073"/>
      <c r="B239" s="1074"/>
      <c r="C239" s="1074"/>
      <c r="D239" s="1074"/>
      <c r="E239" s="1075"/>
    </row>
    <row r="240" spans="1:5" x14ac:dyDescent="0.25">
      <c r="A240" s="1073"/>
      <c r="B240" s="1074"/>
      <c r="C240" s="1074"/>
      <c r="D240" s="1074"/>
      <c r="E240" s="1075"/>
    </row>
    <row r="241" spans="1:5" x14ac:dyDescent="0.25">
      <c r="A241" s="1073"/>
      <c r="B241" s="1074"/>
      <c r="C241" s="1074"/>
      <c r="D241" s="1074"/>
      <c r="E241" s="1075"/>
    </row>
    <row r="242" spans="1:5" x14ac:dyDescent="0.25">
      <c r="A242" s="1073"/>
      <c r="B242" s="1074"/>
      <c r="C242" s="1074"/>
      <c r="D242" s="1074"/>
      <c r="E242" s="1075"/>
    </row>
    <row r="243" spans="1:5" x14ac:dyDescent="0.25">
      <c r="A243" s="1073"/>
      <c r="B243" s="1074"/>
      <c r="C243" s="1074"/>
      <c r="D243" s="1074"/>
      <c r="E243" s="1075"/>
    </row>
    <row r="244" spans="1:5" x14ac:dyDescent="0.25">
      <c r="A244" s="1073"/>
      <c r="B244" s="1074"/>
      <c r="C244" s="1074"/>
      <c r="D244" s="1074"/>
      <c r="E244" s="1075"/>
    </row>
    <row r="245" spans="1:5" x14ac:dyDescent="0.25">
      <c r="A245" s="1073"/>
      <c r="B245" s="1074"/>
      <c r="C245" s="1074"/>
      <c r="D245" s="1074"/>
      <c r="E245" s="1075"/>
    </row>
    <row r="246" spans="1:5" x14ac:dyDescent="0.25">
      <c r="A246" s="1076"/>
      <c r="B246" s="1077"/>
      <c r="C246" s="1077"/>
      <c r="D246" s="1077"/>
      <c r="E246" s="1078"/>
    </row>
    <row r="247" spans="1:5" x14ac:dyDescent="0.25">
      <c r="A247" s="966" t="s">
        <v>1629</v>
      </c>
      <c r="B247" s="966"/>
      <c r="C247" s="966"/>
      <c r="D247" s="966"/>
      <c r="E247" s="966"/>
    </row>
    <row r="248" spans="1:5" x14ac:dyDescent="0.25">
      <c r="A248" s="1227" t="s">
        <v>284</v>
      </c>
      <c r="B248" s="1228"/>
      <c r="C248" s="967" t="s">
        <v>998</v>
      </c>
      <c r="D248" s="968"/>
      <c r="E248" s="229" t="s">
        <v>1630</v>
      </c>
    </row>
    <row r="249" spans="1:5" ht="30.75" customHeight="1" x14ac:dyDescent="0.25">
      <c r="A249" s="1225" t="s">
        <v>1666</v>
      </c>
      <c r="B249" s="1226"/>
      <c r="C249" s="969" t="s">
        <v>1643</v>
      </c>
      <c r="D249" s="970"/>
      <c r="E249" s="420">
        <v>4</v>
      </c>
    </row>
    <row r="250" spans="1:5" ht="30.75" customHeight="1" x14ac:dyDescent="0.25">
      <c r="A250" s="1225" t="s">
        <v>1667</v>
      </c>
      <c r="B250" s="1226"/>
      <c r="C250" s="969" t="s">
        <v>1643</v>
      </c>
      <c r="D250" s="970"/>
      <c r="E250" s="420">
        <v>2</v>
      </c>
    </row>
    <row r="251" spans="1:5" ht="30.75" customHeight="1" x14ac:dyDescent="0.25">
      <c r="A251" s="1225" t="s">
        <v>1642</v>
      </c>
      <c r="B251" s="1226"/>
      <c r="C251" s="969" t="s">
        <v>1643</v>
      </c>
      <c r="D251" s="970"/>
      <c r="E251" s="420">
        <v>4</v>
      </c>
    </row>
    <row r="252" spans="1:5" ht="30.75" customHeight="1" x14ac:dyDescent="0.25">
      <c r="A252" s="1225" t="s">
        <v>1668</v>
      </c>
      <c r="B252" s="1226"/>
      <c r="C252" s="969" t="s">
        <v>1643</v>
      </c>
      <c r="D252" s="970"/>
      <c r="E252" s="420">
        <v>4</v>
      </c>
    </row>
    <row r="253" spans="1:5" ht="30.75" customHeight="1" x14ac:dyDescent="0.25">
      <c r="A253" s="1225" t="s">
        <v>1669</v>
      </c>
      <c r="B253" s="1226"/>
      <c r="C253" s="969" t="s">
        <v>1643</v>
      </c>
      <c r="D253" s="970"/>
      <c r="E253" s="420">
        <v>4</v>
      </c>
    </row>
    <row r="254" spans="1:5" ht="30.75" customHeight="1" x14ac:dyDescent="0.25">
      <c r="A254" s="1225" t="s">
        <v>1670</v>
      </c>
      <c r="B254" s="1226"/>
      <c r="C254" s="969" t="s">
        <v>1643</v>
      </c>
      <c r="D254" s="970"/>
      <c r="E254" s="420">
        <v>4</v>
      </c>
    </row>
    <row r="255" spans="1:5" ht="30.75" customHeight="1" x14ac:dyDescent="0.25">
      <c r="A255" s="1225"/>
      <c r="B255" s="1226"/>
      <c r="C255" s="969"/>
      <c r="D255" s="970"/>
      <c r="E255" s="420"/>
    </row>
    <row r="256" spans="1:5" ht="30.75" customHeight="1" x14ac:dyDescent="0.25">
      <c r="A256" s="1225"/>
      <c r="B256" s="1226"/>
      <c r="C256" s="969"/>
      <c r="D256" s="970"/>
      <c r="E256" s="420"/>
    </row>
    <row r="257" spans="1:5" ht="15" customHeight="1" x14ac:dyDescent="0.25">
      <c r="A257" s="971" t="s">
        <v>1164</v>
      </c>
      <c r="B257" s="972"/>
      <c r="C257" s="972"/>
      <c r="D257" s="973"/>
      <c r="E257" s="421">
        <f>SUM(E249:E256)</f>
        <v>22</v>
      </c>
    </row>
    <row r="258" spans="1:5" x14ac:dyDescent="0.25">
      <c r="A258" s="995" t="s">
        <v>1270</v>
      </c>
      <c r="B258" s="996"/>
      <c r="C258" s="996"/>
      <c r="D258" s="997"/>
      <c r="E258" s="422">
        <f>E257</f>
        <v>22</v>
      </c>
    </row>
    <row r="259" spans="1:5" x14ac:dyDescent="0.25">
      <c r="A259" s="978" t="s">
        <v>997</v>
      </c>
      <c r="B259" s="978"/>
      <c r="C259" s="978"/>
      <c r="D259" s="978"/>
      <c r="E259" s="978"/>
    </row>
    <row r="260" spans="1:5" x14ac:dyDescent="0.25">
      <c r="A260" s="1070"/>
      <c r="B260" s="1071"/>
      <c r="C260" s="1071"/>
      <c r="D260" s="1071"/>
      <c r="E260" s="1072"/>
    </row>
    <row r="261" spans="1:5" x14ac:dyDescent="0.25">
      <c r="A261" s="1073"/>
      <c r="B261" s="1074"/>
      <c r="C261" s="1074"/>
      <c r="D261" s="1074"/>
      <c r="E261" s="1075"/>
    </row>
    <row r="262" spans="1:5" x14ac:dyDescent="0.25">
      <c r="A262" s="1073"/>
      <c r="B262" s="1074"/>
      <c r="C262" s="1074"/>
      <c r="D262" s="1074"/>
      <c r="E262" s="1075"/>
    </row>
    <row r="263" spans="1:5" x14ac:dyDescent="0.25">
      <c r="A263" s="1073"/>
      <c r="B263" s="1074"/>
      <c r="C263" s="1074"/>
      <c r="D263" s="1074"/>
      <c r="E263" s="1075"/>
    </row>
    <row r="264" spans="1:5" x14ac:dyDescent="0.25">
      <c r="A264" s="1073"/>
      <c r="B264" s="1074"/>
      <c r="C264" s="1074"/>
      <c r="D264" s="1074"/>
      <c r="E264" s="1075"/>
    </row>
    <row r="265" spans="1:5" x14ac:dyDescent="0.25">
      <c r="A265" s="1073"/>
      <c r="B265" s="1074"/>
      <c r="C265" s="1074"/>
      <c r="D265" s="1074"/>
      <c r="E265" s="1075"/>
    </row>
    <row r="266" spans="1:5" x14ac:dyDescent="0.25">
      <c r="A266" s="1073"/>
      <c r="B266" s="1074"/>
      <c r="C266" s="1074"/>
      <c r="D266" s="1074"/>
      <c r="E266" s="1075"/>
    </row>
    <row r="267" spans="1:5" x14ac:dyDescent="0.25">
      <c r="A267" s="1073"/>
      <c r="B267" s="1074"/>
      <c r="C267" s="1074"/>
      <c r="D267" s="1074"/>
      <c r="E267" s="1075"/>
    </row>
    <row r="268" spans="1:5" x14ac:dyDescent="0.25">
      <c r="A268" s="1073"/>
      <c r="B268" s="1074"/>
      <c r="C268" s="1074"/>
      <c r="D268" s="1074"/>
      <c r="E268" s="1075"/>
    </row>
    <row r="269" spans="1:5" x14ac:dyDescent="0.25">
      <c r="A269" s="1073"/>
      <c r="B269" s="1074"/>
      <c r="C269" s="1074"/>
      <c r="D269" s="1074"/>
      <c r="E269" s="1075"/>
    </row>
    <row r="270" spans="1:5" x14ac:dyDescent="0.25">
      <c r="A270" s="1073"/>
      <c r="B270" s="1074"/>
      <c r="C270" s="1074"/>
      <c r="D270" s="1074"/>
      <c r="E270" s="1075"/>
    </row>
    <row r="271" spans="1:5" x14ac:dyDescent="0.25">
      <c r="A271" s="1073"/>
      <c r="B271" s="1074"/>
      <c r="C271" s="1074"/>
      <c r="D271" s="1074"/>
      <c r="E271" s="1075"/>
    </row>
    <row r="272" spans="1:5" x14ac:dyDescent="0.25">
      <c r="A272" s="1073"/>
      <c r="B272" s="1074"/>
      <c r="C272" s="1074"/>
      <c r="D272" s="1074"/>
      <c r="E272" s="1075"/>
    </row>
    <row r="273" spans="1:5" x14ac:dyDescent="0.25">
      <c r="A273" s="1073"/>
      <c r="B273" s="1074"/>
      <c r="C273" s="1074"/>
      <c r="D273" s="1074"/>
      <c r="E273" s="1075"/>
    </row>
    <row r="274" spans="1:5" x14ac:dyDescent="0.25">
      <c r="A274" s="1073"/>
      <c r="B274" s="1074"/>
      <c r="C274" s="1074"/>
      <c r="D274" s="1074"/>
      <c r="E274" s="1075"/>
    </row>
    <row r="275" spans="1:5" x14ac:dyDescent="0.25">
      <c r="A275" s="1073"/>
      <c r="B275" s="1074"/>
      <c r="C275" s="1074"/>
      <c r="D275" s="1074"/>
      <c r="E275" s="1075"/>
    </row>
    <row r="276" spans="1:5" x14ac:dyDescent="0.25">
      <c r="A276" s="1073"/>
      <c r="B276" s="1074"/>
      <c r="C276" s="1074"/>
      <c r="D276" s="1074"/>
      <c r="E276" s="1075"/>
    </row>
    <row r="277" spans="1:5" x14ac:dyDescent="0.25">
      <c r="A277" s="1070"/>
      <c r="B277" s="1071"/>
      <c r="C277" s="1071"/>
      <c r="D277" s="1071"/>
      <c r="E277" s="1072"/>
    </row>
    <row r="278" spans="1:5" x14ac:dyDescent="0.25">
      <c r="A278" s="1073"/>
      <c r="B278" s="1074"/>
      <c r="C278" s="1074"/>
      <c r="D278" s="1074"/>
      <c r="E278" s="1075"/>
    </row>
    <row r="279" spans="1:5" x14ac:dyDescent="0.25">
      <c r="A279" s="1073"/>
      <c r="B279" s="1074"/>
      <c r="C279" s="1074"/>
      <c r="D279" s="1074"/>
      <c r="E279" s="1075"/>
    </row>
    <row r="280" spans="1:5" x14ac:dyDescent="0.25">
      <c r="A280" s="1073"/>
      <c r="B280" s="1074"/>
      <c r="C280" s="1074"/>
      <c r="D280" s="1074"/>
      <c r="E280" s="1075"/>
    </row>
    <row r="281" spans="1:5" x14ac:dyDescent="0.25">
      <c r="A281" s="1073"/>
      <c r="B281" s="1074"/>
      <c r="C281" s="1074"/>
      <c r="D281" s="1074"/>
      <c r="E281" s="1075"/>
    </row>
    <row r="282" spans="1:5" x14ac:dyDescent="0.25">
      <c r="A282" s="1073"/>
      <c r="B282" s="1074"/>
      <c r="C282" s="1074"/>
      <c r="D282" s="1074"/>
      <c r="E282" s="1075"/>
    </row>
    <row r="283" spans="1:5" x14ac:dyDescent="0.25">
      <c r="A283" s="1073"/>
      <c r="B283" s="1074"/>
      <c r="C283" s="1074"/>
      <c r="D283" s="1074"/>
      <c r="E283" s="1075"/>
    </row>
    <row r="284" spans="1:5" x14ac:dyDescent="0.25">
      <c r="A284" s="1073"/>
      <c r="B284" s="1074"/>
      <c r="C284" s="1074"/>
      <c r="D284" s="1074"/>
      <c r="E284" s="1075"/>
    </row>
    <row r="285" spans="1:5" x14ac:dyDescent="0.25">
      <c r="A285" s="1073"/>
      <c r="B285" s="1074"/>
      <c r="C285" s="1074"/>
      <c r="D285" s="1074"/>
      <c r="E285" s="1075"/>
    </row>
    <row r="286" spans="1:5" x14ac:dyDescent="0.25">
      <c r="A286" s="1073"/>
      <c r="B286" s="1074"/>
      <c r="C286" s="1074"/>
      <c r="D286" s="1074"/>
      <c r="E286" s="1075"/>
    </row>
    <row r="287" spans="1:5" x14ac:dyDescent="0.25">
      <c r="A287" s="1073"/>
      <c r="B287" s="1074"/>
      <c r="C287" s="1074"/>
      <c r="D287" s="1074"/>
      <c r="E287" s="1075"/>
    </row>
    <row r="288" spans="1:5" x14ac:dyDescent="0.25">
      <c r="A288" s="1073"/>
      <c r="B288" s="1074"/>
      <c r="C288" s="1074"/>
      <c r="D288" s="1074"/>
      <c r="E288" s="1075"/>
    </row>
    <row r="289" spans="1:5" x14ac:dyDescent="0.25">
      <c r="A289" s="1073"/>
      <c r="B289" s="1074"/>
      <c r="C289" s="1074"/>
      <c r="D289" s="1074"/>
      <c r="E289" s="1075"/>
    </row>
    <row r="290" spans="1:5" x14ac:dyDescent="0.25">
      <c r="A290" s="1073"/>
      <c r="B290" s="1074"/>
      <c r="C290" s="1074"/>
      <c r="D290" s="1074"/>
      <c r="E290" s="1075"/>
    </row>
    <row r="291" spans="1:5" x14ac:dyDescent="0.25">
      <c r="A291" s="1073"/>
      <c r="B291" s="1074"/>
      <c r="C291" s="1074"/>
      <c r="D291" s="1074"/>
      <c r="E291" s="1075"/>
    </row>
    <row r="292" spans="1:5" x14ac:dyDescent="0.25">
      <c r="A292" s="1073"/>
      <c r="B292" s="1074"/>
      <c r="C292" s="1074"/>
      <c r="D292" s="1074"/>
      <c r="E292" s="1075"/>
    </row>
    <row r="293" spans="1:5" x14ac:dyDescent="0.25">
      <c r="A293" s="1073"/>
      <c r="B293" s="1074"/>
      <c r="C293" s="1074"/>
      <c r="D293" s="1074"/>
      <c r="E293" s="1075"/>
    </row>
    <row r="294" spans="1:5" x14ac:dyDescent="0.25">
      <c r="A294" s="1073"/>
      <c r="B294" s="1074"/>
      <c r="C294" s="1074"/>
      <c r="D294" s="1074"/>
      <c r="E294" s="1075"/>
    </row>
    <row r="295" spans="1:5" x14ac:dyDescent="0.25">
      <c r="A295" s="1073"/>
      <c r="B295" s="1074"/>
      <c r="C295" s="1074"/>
      <c r="D295" s="1074"/>
      <c r="E295" s="1075"/>
    </row>
    <row r="296" spans="1:5" x14ac:dyDescent="0.25">
      <c r="A296" s="1076"/>
      <c r="B296" s="1077"/>
      <c r="C296" s="1077"/>
      <c r="D296" s="1077"/>
      <c r="E296" s="1078"/>
    </row>
    <row r="297" spans="1:5" x14ac:dyDescent="0.25">
      <c r="A297" s="1070"/>
      <c r="B297" s="1071"/>
      <c r="C297" s="1071"/>
      <c r="D297" s="1071"/>
      <c r="E297" s="1072"/>
    </row>
    <row r="298" spans="1:5" x14ac:dyDescent="0.25">
      <c r="A298" s="1073"/>
      <c r="B298" s="1074"/>
      <c r="C298" s="1074"/>
      <c r="D298" s="1074"/>
      <c r="E298" s="1075"/>
    </row>
    <row r="299" spans="1:5" x14ac:dyDescent="0.25">
      <c r="A299" s="1073"/>
      <c r="B299" s="1074"/>
      <c r="C299" s="1074"/>
      <c r="D299" s="1074"/>
      <c r="E299" s="1075"/>
    </row>
    <row r="300" spans="1:5" x14ac:dyDescent="0.25">
      <c r="A300" s="1073"/>
      <c r="B300" s="1074"/>
      <c r="C300" s="1074"/>
      <c r="D300" s="1074"/>
      <c r="E300" s="1075"/>
    </row>
    <row r="301" spans="1:5" x14ac:dyDescent="0.25">
      <c r="A301" s="1073"/>
      <c r="B301" s="1074"/>
      <c r="C301" s="1074"/>
      <c r="D301" s="1074"/>
      <c r="E301" s="1075"/>
    </row>
    <row r="302" spans="1:5" x14ac:dyDescent="0.25">
      <c r="A302" s="1073"/>
      <c r="B302" s="1074"/>
      <c r="C302" s="1074"/>
      <c r="D302" s="1074"/>
      <c r="E302" s="1075"/>
    </row>
    <row r="303" spans="1:5" x14ac:dyDescent="0.25">
      <c r="A303" s="1073"/>
      <c r="B303" s="1074"/>
      <c r="C303" s="1074"/>
      <c r="D303" s="1074"/>
      <c r="E303" s="1075"/>
    </row>
    <row r="304" spans="1:5" x14ac:dyDescent="0.25">
      <c r="A304" s="1073"/>
      <c r="B304" s="1074"/>
      <c r="C304" s="1074"/>
      <c r="D304" s="1074"/>
      <c r="E304" s="1075"/>
    </row>
    <row r="305" spans="1:5" x14ac:dyDescent="0.25">
      <c r="A305" s="1073"/>
      <c r="B305" s="1074"/>
      <c r="C305" s="1074"/>
      <c r="D305" s="1074"/>
      <c r="E305" s="1075"/>
    </row>
    <row r="306" spans="1:5" x14ac:dyDescent="0.25">
      <c r="A306" s="1073"/>
      <c r="B306" s="1074"/>
      <c r="C306" s="1074"/>
      <c r="D306" s="1074"/>
      <c r="E306" s="1075"/>
    </row>
    <row r="307" spans="1:5" x14ac:dyDescent="0.25">
      <c r="A307" s="1073"/>
      <c r="B307" s="1074"/>
      <c r="C307" s="1074"/>
      <c r="D307" s="1074"/>
      <c r="E307" s="1075"/>
    </row>
    <row r="308" spans="1:5" x14ac:dyDescent="0.25">
      <c r="A308" s="1073"/>
      <c r="B308" s="1074"/>
      <c r="C308" s="1074"/>
      <c r="D308" s="1074"/>
      <c r="E308" s="1075"/>
    </row>
    <row r="309" spans="1:5" x14ac:dyDescent="0.25">
      <c r="A309" s="1073"/>
      <c r="B309" s="1074"/>
      <c r="C309" s="1074"/>
      <c r="D309" s="1074"/>
      <c r="E309" s="1075"/>
    </row>
    <row r="310" spans="1:5" x14ac:dyDescent="0.25">
      <c r="A310" s="1073"/>
      <c r="B310" s="1074"/>
      <c r="C310" s="1074"/>
      <c r="D310" s="1074"/>
      <c r="E310" s="1075"/>
    </row>
    <row r="311" spans="1:5" x14ac:dyDescent="0.25">
      <c r="A311" s="1073"/>
      <c r="B311" s="1074"/>
      <c r="C311" s="1074"/>
      <c r="D311" s="1074"/>
      <c r="E311" s="1075"/>
    </row>
    <row r="312" spans="1:5" x14ac:dyDescent="0.25">
      <c r="A312" s="1073"/>
      <c r="B312" s="1074"/>
      <c r="C312" s="1074"/>
      <c r="D312" s="1074"/>
      <c r="E312" s="1075"/>
    </row>
    <row r="313" spans="1:5" x14ac:dyDescent="0.25">
      <c r="A313" s="1073"/>
      <c r="B313" s="1074"/>
      <c r="C313" s="1074"/>
      <c r="D313" s="1074"/>
      <c r="E313" s="1075"/>
    </row>
    <row r="314" spans="1:5" x14ac:dyDescent="0.25">
      <c r="A314" s="1073"/>
      <c r="B314" s="1074"/>
      <c r="C314" s="1074"/>
      <c r="D314" s="1074"/>
      <c r="E314" s="1075"/>
    </row>
    <row r="315" spans="1:5" x14ac:dyDescent="0.25">
      <c r="A315" s="1073"/>
      <c r="B315" s="1074"/>
      <c r="C315" s="1074"/>
      <c r="D315" s="1074"/>
      <c r="E315" s="1075"/>
    </row>
    <row r="316" spans="1:5" x14ac:dyDescent="0.25">
      <c r="A316" s="1073"/>
      <c r="B316" s="1074"/>
      <c r="C316" s="1074"/>
      <c r="D316" s="1074"/>
      <c r="E316" s="1075"/>
    </row>
    <row r="317" spans="1:5" x14ac:dyDescent="0.25">
      <c r="A317" s="1073"/>
      <c r="B317" s="1074"/>
      <c r="C317" s="1074"/>
      <c r="D317" s="1074"/>
      <c r="E317" s="1075"/>
    </row>
    <row r="318" spans="1:5" x14ac:dyDescent="0.25">
      <c r="A318" s="1073"/>
      <c r="B318" s="1074"/>
      <c r="C318" s="1074"/>
      <c r="D318" s="1074"/>
      <c r="E318" s="1075"/>
    </row>
    <row r="319" spans="1:5" x14ac:dyDescent="0.25">
      <c r="A319" s="1073"/>
      <c r="B319" s="1074"/>
      <c r="C319" s="1074"/>
      <c r="D319" s="1074"/>
      <c r="E319" s="1075"/>
    </row>
    <row r="320" spans="1:5" x14ac:dyDescent="0.25">
      <c r="A320" s="1073"/>
      <c r="B320" s="1074"/>
      <c r="C320" s="1074"/>
      <c r="D320" s="1074"/>
      <c r="E320" s="1075"/>
    </row>
    <row r="321" spans="1:5" x14ac:dyDescent="0.25">
      <c r="A321" s="1073"/>
      <c r="B321" s="1074"/>
      <c r="C321" s="1074"/>
      <c r="D321" s="1074"/>
      <c r="E321" s="1075"/>
    </row>
    <row r="322" spans="1:5" x14ac:dyDescent="0.25">
      <c r="A322" s="1073"/>
      <c r="B322" s="1074"/>
      <c r="C322" s="1074"/>
      <c r="D322" s="1074"/>
      <c r="E322" s="1075"/>
    </row>
    <row r="323" spans="1:5" x14ac:dyDescent="0.25">
      <c r="A323" s="1073"/>
      <c r="B323" s="1074"/>
      <c r="C323" s="1074"/>
      <c r="D323" s="1074"/>
      <c r="E323" s="1075"/>
    </row>
    <row r="324" spans="1:5" x14ac:dyDescent="0.25">
      <c r="A324" s="1076"/>
      <c r="B324" s="1077"/>
      <c r="C324" s="1077"/>
      <c r="D324" s="1077"/>
      <c r="E324" s="1078"/>
    </row>
    <row r="325" spans="1:5" x14ac:dyDescent="0.25">
      <c r="A325" s="1070"/>
      <c r="B325" s="1071"/>
      <c r="C325" s="1071"/>
      <c r="D325" s="1071"/>
      <c r="E325" s="1072"/>
    </row>
    <row r="326" spans="1:5" x14ac:dyDescent="0.25">
      <c r="A326" s="1073"/>
      <c r="B326" s="1074"/>
      <c r="C326" s="1074"/>
      <c r="D326" s="1074"/>
      <c r="E326" s="1075"/>
    </row>
    <row r="327" spans="1:5" x14ac:dyDescent="0.25">
      <c r="A327" s="1073"/>
      <c r="B327" s="1074"/>
      <c r="C327" s="1074"/>
      <c r="D327" s="1074"/>
      <c r="E327" s="1075"/>
    </row>
    <row r="328" spans="1:5" x14ac:dyDescent="0.25">
      <c r="A328" s="1073"/>
      <c r="B328" s="1074"/>
      <c r="C328" s="1074"/>
      <c r="D328" s="1074"/>
      <c r="E328" s="1075"/>
    </row>
    <row r="329" spans="1:5" x14ac:dyDescent="0.25">
      <c r="A329" s="1073"/>
      <c r="B329" s="1074"/>
      <c r="C329" s="1074"/>
      <c r="D329" s="1074"/>
      <c r="E329" s="1075"/>
    </row>
    <row r="330" spans="1:5" x14ac:dyDescent="0.25">
      <c r="A330" s="1073"/>
      <c r="B330" s="1074"/>
      <c r="C330" s="1074"/>
      <c r="D330" s="1074"/>
      <c r="E330" s="1075"/>
    </row>
    <row r="331" spans="1:5" x14ac:dyDescent="0.25">
      <c r="A331" s="1073"/>
      <c r="B331" s="1074"/>
      <c r="C331" s="1074"/>
      <c r="D331" s="1074"/>
      <c r="E331" s="1075"/>
    </row>
    <row r="332" spans="1:5" x14ac:dyDescent="0.25">
      <c r="A332" s="1073"/>
      <c r="B332" s="1074"/>
      <c r="C332" s="1074"/>
      <c r="D332" s="1074"/>
      <c r="E332" s="1075"/>
    </row>
    <row r="333" spans="1:5" x14ac:dyDescent="0.25">
      <c r="A333" s="1073"/>
      <c r="B333" s="1074"/>
      <c r="C333" s="1074"/>
      <c r="D333" s="1074"/>
      <c r="E333" s="1075"/>
    </row>
    <row r="334" spans="1:5" x14ac:dyDescent="0.25">
      <c r="A334" s="1073"/>
      <c r="B334" s="1074"/>
      <c r="C334" s="1074"/>
      <c r="D334" s="1074"/>
      <c r="E334" s="1075"/>
    </row>
    <row r="335" spans="1:5" x14ac:dyDescent="0.25">
      <c r="A335" s="1073"/>
      <c r="B335" s="1074"/>
      <c r="C335" s="1074"/>
      <c r="D335" s="1074"/>
      <c r="E335" s="1075"/>
    </row>
    <row r="336" spans="1:5" x14ac:dyDescent="0.25">
      <c r="A336" s="1073"/>
      <c r="B336" s="1074"/>
      <c r="C336" s="1074"/>
      <c r="D336" s="1074"/>
      <c r="E336" s="1075"/>
    </row>
    <row r="337" spans="1:5" x14ac:dyDescent="0.25">
      <c r="A337" s="1073"/>
      <c r="B337" s="1074"/>
      <c r="C337" s="1074"/>
      <c r="D337" s="1074"/>
      <c r="E337" s="1075"/>
    </row>
    <row r="338" spans="1:5" x14ac:dyDescent="0.25">
      <c r="A338" s="1073"/>
      <c r="B338" s="1074"/>
      <c r="C338" s="1074"/>
      <c r="D338" s="1074"/>
      <c r="E338" s="1075"/>
    </row>
    <row r="339" spans="1:5" x14ac:dyDescent="0.25">
      <c r="A339" s="1073"/>
      <c r="B339" s="1074"/>
      <c r="C339" s="1074"/>
      <c r="D339" s="1074"/>
      <c r="E339" s="1075"/>
    </row>
    <row r="340" spans="1:5" x14ac:dyDescent="0.25">
      <c r="A340" s="1073"/>
      <c r="B340" s="1074"/>
      <c r="C340" s="1074"/>
      <c r="D340" s="1074"/>
      <c r="E340" s="1075"/>
    </row>
    <row r="341" spans="1:5" x14ac:dyDescent="0.25">
      <c r="A341" s="1073"/>
      <c r="B341" s="1074"/>
      <c r="C341" s="1074"/>
      <c r="D341" s="1074"/>
      <c r="E341" s="1075"/>
    </row>
    <row r="342" spans="1:5" x14ac:dyDescent="0.25">
      <c r="A342" s="1073"/>
      <c r="B342" s="1074"/>
      <c r="C342" s="1074"/>
      <c r="D342" s="1074"/>
      <c r="E342" s="1075"/>
    </row>
    <row r="343" spans="1:5" x14ac:dyDescent="0.25">
      <c r="A343" s="1073"/>
      <c r="B343" s="1074"/>
      <c r="C343" s="1074"/>
      <c r="D343" s="1074"/>
      <c r="E343" s="1075"/>
    </row>
    <row r="344" spans="1:5" x14ac:dyDescent="0.25">
      <c r="A344" s="1073"/>
      <c r="B344" s="1074"/>
      <c r="C344" s="1074"/>
      <c r="D344" s="1074"/>
      <c r="E344" s="1075"/>
    </row>
    <row r="345" spans="1:5" x14ac:dyDescent="0.25">
      <c r="A345" s="1073"/>
      <c r="B345" s="1074"/>
      <c r="C345" s="1074"/>
      <c r="D345" s="1074"/>
      <c r="E345" s="1075"/>
    </row>
    <row r="346" spans="1:5" x14ac:dyDescent="0.25">
      <c r="A346" s="1073"/>
      <c r="B346" s="1074"/>
      <c r="C346" s="1074"/>
      <c r="D346" s="1074"/>
      <c r="E346" s="1075"/>
    </row>
    <row r="347" spans="1:5" x14ac:dyDescent="0.25">
      <c r="A347" s="1070"/>
      <c r="B347" s="1071"/>
      <c r="C347" s="1071"/>
      <c r="D347" s="1071"/>
      <c r="E347" s="1072"/>
    </row>
    <row r="348" spans="1:5" x14ac:dyDescent="0.25">
      <c r="A348" s="1073"/>
      <c r="B348" s="1074"/>
      <c r="C348" s="1074"/>
      <c r="D348" s="1074"/>
      <c r="E348" s="1075"/>
    </row>
    <row r="349" spans="1:5" x14ac:dyDescent="0.25">
      <c r="A349" s="1073"/>
      <c r="B349" s="1074"/>
      <c r="C349" s="1074"/>
      <c r="D349" s="1074"/>
      <c r="E349" s="1075"/>
    </row>
    <row r="350" spans="1:5" x14ac:dyDescent="0.25">
      <c r="A350" s="1073"/>
      <c r="B350" s="1074"/>
      <c r="C350" s="1074"/>
      <c r="D350" s="1074"/>
      <c r="E350" s="1075"/>
    </row>
    <row r="351" spans="1:5" x14ac:dyDescent="0.25">
      <c r="A351" s="1073"/>
      <c r="B351" s="1074"/>
      <c r="C351" s="1074"/>
      <c r="D351" s="1074"/>
      <c r="E351" s="1075"/>
    </row>
    <row r="352" spans="1:5" x14ac:dyDescent="0.25">
      <c r="A352" s="1073"/>
      <c r="B352" s="1074"/>
      <c r="C352" s="1074"/>
      <c r="D352" s="1074"/>
      <c r="E352" s="1075"/>
    </row>
    <row r="353" spans="1:5" x14ac:dyDescent="0.25">
      <c r="A353" s="1073"/>
      <c r="B353" s="1074"/>
      <c r="C353" s="1074"/>
      <c r="D353" s="1074"/>
      <c r="E353" s="1075"/>
    </row>
    <row r="354" spans="1:5" x14ac:dyDescent="0.25">
      <c r="A354" s="1073"/>
      <c r="B354" s="1074"/>
      <c r="C354" s="1074"/>
      <c r="D354" s="1074"/>
      <c r="E354" s="1075"/>
    </row>
    <row r="355" spans="1:5" x14ac:dyDescent="0.25">
      <c r="A355" s="1073"/>
      <c r="B355" s="1074"/>
      <c r="C355" s="1074"/>
      <c r="D355" s="1074"/>
      <c r="E355" s="1075"/>
    </row>
    <row r="356" spans="1:5" x14ac:dyDescent="0.25">
      <c r="A356" s="1073"/>
      <c r="B356" s="1074"/>
      <c r="C356" s="1074"/>
      <c r="D356" s="1074"/>
      <c r="E356" s="1075"/>
    </row>
    <row r="357" spans="1:5" x14ac:dyDescent="0.25">
      <c r="A357" s="1073"/>
      <c r="B357" s="1074"/>
      <c r="C357" s="1074"/>
      <c r="D357" s="1074"/>
      <c r="E357" s="1075"/>
    </row>
    <row r="358" spans="1:5" x14ac:dyDescent="0.25">
      <c r="A358" s="1073"/>
      <c r="B358" s="1074"/>
      <c r="C358" s="1074"/>
      <c r="D358" s="1074"/>
      <c r="E358" s="1075"/>
    </row>
    <row r="359" spans="1:5" x14ac:dyDescent="0.25">
      <c r="A359" s="1073"/>
      <c r="B359" s="1074"/>
      <c r="C359" s="1074"/>
      <c r="D359" s="1074"/>
      <c r="E359" s="1075"/>
    </row>
    <row r="360" spans="1:5" x14ac:dyDescent="0.25">
      <c r="A360" s="1073"/>
      <c r="B360" s="1074"/>
      <c r="C360" s="1074"/>
      <c r="D360" s="1074"/>
      <c r="E360" s="1075"/>
    </row>
    <row r="361" spans="1:5" x14ac:dyDescent="0.25">
      <c r="A361" s="1073"/>
      <c r="B361" s="1074"/>
      <c r="C361" s="1074"/>
      <c r="D361" s="1074"/>
      <c r="E361" s="1075"/>
    </row>
    <row r="362" spans="1:5" x14ac:dyDescent="0.25">
      <c r="A362" s="1073"/>
      <c r="B362" s="1074"/>
      <c r="C362" s="1074"/>
      <c r="D362" s="1074"/>
      <c r="E362" s="1075"/>
    </row>
    <row r="363" spans="1:5" x14ac:dyDescent="0.25">
      <c r="A363" s="1224" t="s">
        <v>1629</v>
      </c>
      <c r="B363" s="1224"/>
      <c r="C363" s="1224"/>
      <c r="D363" s="1224"/>
      <c r="E363" s="1224"/>
    </row>
    <row r="364" spans="1:5" x14ac:dyDescent="0.25">
      <c r="A364" s="967" t="s">
        <v>284</v>
      </c>
      <c r="B364" s="968"/>
      <c r="C364" s="967" t="s">
        <v>998</v>
      </c>
      <c r="D364" s="968"/>
      <c r="E364" s="229" t="s">
        <v>1630</v>
      </c>
    </row>
    <row r="365" spans="1:5" ht="30.75" customHeight="1" x14ac:dyDescent="0.25">
      <c r="A365" s="1222" t="s">
        <v>1671</v>
      </c>
      <c r="B365" s="1223"/>
      <c r="C365" s="1098" t="s">
        <v>1672</v>
      </c>
      <c r="D365" s="1100"/>
      <c r="E365" s="423">
        <v>2</v>
      </c>
    </row>
    <row r="366" spans="1:5" ht="30.75" customHeight="1" x14ac:dyDescent="0.25">
      <c r="A366" s="1222" t="s">
        <v>1673</v>
      </c>
      <c r="B366" s="1223"/>
      <c r="C366" s="1098" t="s">
        <v>1672</v>
      </c>
      <c r="D366" s="1100"/>
      <c r="E366" s="423">
        <v>1</v>
      </c>
    </row>
    <row r="367" spans="1:5" ht="30.75" customHeight="1" x14ac:dyDescent="0.25">
      <c r="A367" s="1222" t="s">
        <v>1674</v>
      </c>
      <c r="B367" s="1223"/>
      <c r="C367" s="1098" t="s">
        <v>1672</v>
      </c>
      <c r="D367" s="1100"/>
      <c r="E367" s="423">
        <v>6</v>
      </c>
    </row>
    <row r="368" spans="1:5" ht="30.75" customHeight="1" x14ac:dyDescent="0.25">
      <c r="A368" s="1222" t="s">
        <v>1675</v>
      </c>
      <c r="B368" s="1223"/>
      <c r="C368" s="1098" t="s">
        <v>1672</v>
      </c>
      <c r="D368" s="1100"/>
      <c r="E368" s="423">
        <v>1</v>
      </c>
    </row>
    <row r="369" spans="1:5" ht="30.75" customHeight="1" x14ac:dyDescent="0.25">
      <c r="A369" s="1222" t="s">
        <v>1676</v>
      </c>
      <c r="B369" s="1223"/>
      <c r="C369" s="1098" t="s">
        <v>1672</v>
      </c>
      <c r="D369" s="1100"/>
      <c r="E369" s="423">
        <v>5</v>
      </c>
    </row>
    <row r="370" spans="1:5" ht="30.75" customHeight="1" x14ac:dyDescent="0.25">
      <c r="A370" s="1222" t="s">
        <v>1677</v>
      </c>
      <c r="B370" s="1223"/>
      <c r="C370" s="1098" t="s">
        <v>1672</v>
      </c>
      <c r="D370" s="1100"/>
      <c r="E370" s="423">
        <v>1</v>
      </c>
    </row>
    <row r="371" spans="1:5" ht="30.75" customHeight="1" x14ac:dyDescent="0.25">
      <c r="A371" s="1222" t="s">
        <v>1678</v>
      </c>
      <c r="B371" s="1223"/>
      <c r="C371" s="1098" t="s">
        <v>1672</v>
      </c>
      <c r="D371" s="1100"/>
      <c r="E371" s="423">
        <v>2</v>
      </c>
    </row>
    <row r="372" spans="1:5" ht="30.75" customHeight="1" x14ac:dyDescent="0.25">
      <c r="A372" s="1222" t="s">
        <v>1679</v>
      </c>
      <c r="B372" s="1223"/>
      <c r="C372" s="1098" t="s">
        <v>1672</v>
      </c>
      <c r="D372" s="1100"/>
      <c r="E372" s="423">
        <v>9</v>
      </c>
    </row>
    <row r="373" spans="1:5" ht="30.75" customHeight="1" x14ac:dyDescent="0.25">
      <c r="A373" s="1222" t="s">
        <v>1680</v>
      </c>
      <c r="B373" s="1223"/>
      <c r="C373" s="1098" t="s">
        <v>1672</v>
      </c>
      <c r="D373" s="1100"/>
      <c r="E373" s="423">
        <v>5</v>
      </c>
    </row>
    <row r="374" spans="1:5" ht="30.75" customHeight="1" x14ac:dyDescent="0.25">
      <c r="A374" s="1222" t="s">
        <v>1681</v>
      </c>
      <c r="B374" s="1223"/>
      <c r="C374" s="1098" t="s">
        <v>1672</v>
      </c>
      <c r="D374" s="1100"/>
      <c r="E374" s="423">
        <v>2</v>
      </c>
    </row>
    <row r="375" spans="1:5" ht="30.75" customHeight="1" x14ac:dyDescent="0.25">
      <c r="A375" s="1222" t="s">
        <v>1682</v>
      </c>
      <c r="B375" s="1223"/>
      <c r="C375" s="1098" t="s">
        <v>1672</v>
      </c>
      <c r="D375" s="1100"/>
      <c r="E375" s="423">
        <v>24</v>
      </c>
    </row>
    <row r="376" spans="1:5" ht="30.75" customHeight="1" x14ac:dyDescent="0.25">
      <c r="A376" s="1222" t="s">
        <v>1683</v>
      </c>
      <c r="B376" s="1223"/>
      <c r="C376" s="1098" t="s">
        <v>1672</v>
      </c>
      <c r="D376" s="1100"/>
      <c r="E376" s="423">
        <v>2</v>
      </c>
    </row>
    <row r="377" spans="1:5" ht="30.75" customHeight="1" x14ac:dyDescent="0.25">
      <c r="A377" s="1222" t="s">
        <v>1684</v>
      </c>
      <c r="B377" s="1223"/>
      <c r="C377" s="1098" t="s">
        <v>1672</v>
      </c>
      <c r="D377" s="1100"/>
      <c r="E377" s="423">
        <v>5</v>
      </c>
    </row>
    <row r="378" spans="1:5" ht="30.75" customHeight="1" x14ac:dyDescent="0.25">
      <c r="A378" s="1222" t="s">
        <v>1685</v>
      </c>
      <c r="B378" s="1223"/>
      <c r="C378" s="1098" t="s">
        <v>1672</v>
      </c>
      <c r="D378" s="1100"/>
      <c r="E378" s="423">
        <v>6</v>
      </c>
    </row>
    <row r="379" spans="1:5" ht="30.75" customHeight="1" x14ac:dyDescent="0.25">
      <c r="A379" s="1222" t="s">
        <v>1686</v>
      </c>
      <c r="B379" s="1223"/>
      <c r="C379" s="1098" t="s">
        <v>1672</v>
      </c>
      <c r="D379" s="1100"/>
      <c r="E379" s="423">
        <v>18</v>
      </c>
    </row>
    <row r="380" spans="1:5" ht="30.6" customHeight="1" x14ac:dyDescent="0.25">
      <c r="A380" s="1222" t="s">
        <v>1687</v>
      </c>
      <c r="B380" s="1223"/>
      <c r="C380" s="1098" t="s">
        <v>1672</v>
      </c>
      <c r="D380" s="1100"/>
      <c r="E380" s="423">
        <v>5</v>
      </c>
    </row>
    <row r="381" spans="1:5" ht="30.75" customHeight="1" x14ac:dyDescent="0.25">
      <c r="A381" s="1222" t="s">
        <v>1688</v>
      </c>
      <c r="B381" s="1223"/>
      <c r="C381" s="1098" t="s">
        <v>1672</v>
      </c>
      <c r="D381" s="1100"/>
      <c r="E381" s="423">
        <v>3</v>
      </c>
    </row>
    <row r="382" spans="1:5" ht="30.75" customHeight="1" x14ac:dyDescent="0.25">
      <c r="A382" s="1222" t="s">
        <v>1689</v>
      </c>
      <c r="B382" s="1223"/>
      <c r="C382" s="1098" t="s">
        <v>1672</v>
      </c>
      <c r="D382" s="1100"/>
      <c r="E382" s="423">
        <v>4</v>
      </c>
    </row>
    <row r="383" spans="1:5" ht="30.75" customHeight="1" x14ac:dyDescent="0.25">
      <c r="A383" s="1222" t="s">
        <v>1690</v>
      </c>
      <c r="B383" s="1223"/>
      <c r="C383" s="1098" t="s">
        <v>1672</v>
      </c>
      <c r="D383" s="1100"/>
      <c r="E383" s="423">
        <v>3</v>
      </c>
    </row>
    <row r="384" spans="1:5" ht="30.75" customHeight="1" x14ac:dyDescent="0.25">
      <c r="A384" s="1222" t="s">
        <v>1691</v>
      </c>
      <c r="B384" s="1223"/>
      <c r="C384" s="1098" t="s">
        <v>1672</v>
      </c>
      <c r="D384" s="1100"/>
      <c r="E384" s="423">
        <v>4</v>
      </c>
    </row>
    <row r="385" spans="1:5" ht="30.75" customHeight="1" x14ac:dyDescent="0.25">
      <c r="A385" s="1222" t="s">
        <v>1692</v>
      </c>
      <c r="B385" s="1223"/>
      <c r="C385" s="1098" t="s">
        <v>1643</v>
      </c>
      <c r="D385" s="1100"/>
      <c r="E385" s="423">
        <v>2</v>
      </c>
    </row>
    <row r="386" spans="1:5" ht="30.75" customHeight="1" x14ac:dyDescent="0.25">
      <c r="A386" s="1222" t="s">
        <v>1693</v>
      </c>
      <c r="B386" s="1223"/>
      <c r="C386" s="1098" t="s">
        <v>1643</v>
      </c>
      <c r="D386" s="1100"/>
      <c r="E386" s="423">
        <v>7</v>
      </c>
    </row>
    <row r="387" spans="1:5" ht="30.75" customHeight="1" x14ac:dyDescent="0.25">
      <c r="A387" s="1222" t="s">
        <v>1694</v>
      </c>
      <c r="B387" s="1223"/>
      <c r="C387" s="1098" t="s">
        <v>1643</v>
      </c>
      <c r="D387" s="1100"/>
      <c r="E387" s="423">
        <v>4</v>
      </c>
    </row>
    <row r="388" spans="1:5" ht="30.75" customHeight="1" x14ac:dyDescent="0.25">
      <c r="A388" s="1222" t="s">
        <v>1695</v>
      </c>
      <c r="B388" s="1223"/>
      <c r="C388" s="1098" t="s">
        <v>1643</v>
      </c>
      <c r="D388" s="1100"/>
      <c r="E388" s="423">
        <v>5</v>
      </c>
    </row>
    <row r="389" spans="1:5" ht="30.75" customHeight="1" x14ac:dyDescent="0.25">
      <c r="A389" s="1222" t="s">
        <v>1696</v>
      </c>
      <c r="B389" s="1223"/>
      <c r="C389" s="1098" t="s">
        <v>1643</v>
      </c>
      <c r="D389" s="1100"/>
      <c r="E389" s="423">
        <v>1</v>
      </c>
    </row>
    <row r="390" spans="1:5" ht="30.75" customHeight="1" x14ac:dyDescent="0.25">
      <c r="A390" s="1222" t="s">
        <v>1697</v>
      </c>
      <c r="B390" s="1223"/>
      <c r="C390" s="1098" t="s">
        <v>1672</v>
      </c>
      <c r="D390" s="1100"/>
      <c r="E390" s="423">
        <v>4</v>
      </c>
    </row>
    <row r="391" spans="1:5" ht="30.75" customHeight="1" x14ac:dyDescent="0.25">
      <c r="A391" s="1222"/>
      <c r="B391" s="1223"/>
      <c r="C391" s="1098"/>
      <c r="D391" s="1100"/>
      <c r="E391" s="423"/>
    </row>
    <row r="392" spans="1:5" ht="30.75" customHeight="1" x14ac:dyDescent="0.25">
      <c r="A392" s="1222"/>
      <c r="B392" s="1223"/>
      <c r="C392" s="1098"/>
      <c r="D392" s="1100"/>
      <c r="E392" s="423"/>
    </row>
    <row r="393" spans="1:5" x14ac:dyDescent="0.25">
      <c r="A393" s="1224" t="s">
        <v>1629</v>
      </c>
      <c r="B393" s="1224"/>
      <c r="C393" s="1224"/>
      <c r="D393" s="1224"/>
      <c r="E393" s="1224"/>
    </row>
    <row r="394" spans="1:5" x14ac:dyDescent="0.25">
      <c r="A394" s="967" t="s">
        <v>284</v>
      </c>
      <c r="B394" s="968"/>
      <c r="C394" s="967" t="s">
        <v>998</v>
      </c>
      <c r="D394" s="968"/>
      <c r="E394" s="229" t="s">
        <v>1635</v>
      </c>
    </row>
    <row r="395" spans="1:5" ht="30.75" customHeight="1" x14ac:dyDescent="0.25">
      <c r="A395" s="1222" t="s">
        <v>1698</v>
      </c>
      <c r="B395" s="1223"/>
      <c r="C395" s="1098" t="s">
        <v>1672</v>
      </c>
      <c r="D395" s="1100"/>
      <c r="E395" s="423">
        <f>30+6</f>
        <v>36</v>
      </c>
    </row>
    <row r="396" spans="1:5" ht="30.75" customHeight="1" x14ac:dyDescent="0.25">
      <c r="A396" s="1222" t="s">
        <v>1699</v>
      </c>
      <c r="B396" s="1223"/>
      <c r="C396" s="1098" t="s">
        <v>1672</v>
      </c>
      <c r="D396" s="1100"/>
      <c r="E396" s="423">
        <f>180.4+15</f>
        <v>195.4</v>
      </c>
    </row>
    <row r="397" spans="1:5" ht="30.75" customHeight="1" x14ac:dyDescent="0.25">
      <c r="A397" s="1222" t="s">
        <v>1700</v>
      </c>
      <c r="B397" s="1223"/>
      <c r="C397" s="1098" t="s">
        <v>1672</v>
      </c>
      <c r="D397" s="1100"/>
      <c r="E397" s="423">
        <f>16.25+6</f>
        <v>22.25</v>
      </c>
    </row>
    <row r="398" spans="1:5" ht="30.75" customHeight="1" x14ac:dyDescent="0.25">
      <c r="A398" s="1222" t="s">
        <v>1701</v>
      </c>
      <c r="B398" s="1223"/>
      <c r="C398" s="1098" t="s">
        <v>1672</v>
      </c>
      <c r="D398" s="1100"/>
      <c r="E398" s="423">
        <f>106.25+6</f>
        <v>112.25</v>
      </c>
    </row>
    <row r="399" spans="1:5" ht="30.75" customHeight="1" x14ac:dyDescent="0.25">
      <c r="A399" s="1222"/>
      <c r="B399" s="1223"/>
      <c r="C399" s="1098"/>
      <c r="D399" s="1100"/>
      <c r="E399" s="423"/>
    </row>
    <row r="400" spans="1:5" ht="15" customHeight="1" x14ac:dyDescent="0.25">
      <c r="A400" s="995" t="s">
        <v>1164</v>
      </c>
      <c r="B400" s="996"/>
      <c r="C400" s="996"/>
      <c r="D400" s="997"/>
      <c r="E400" s="424">
        <f>SUM(E365:E399)</f>
        <v>496.9</v>
      </c>
    </row>
    <row r="401" spans="1:5" x14ac:dyDescent="0.25">
      <c r="A401" s="995" t="s">
        <v>1270</v>
      </c>
      <c r="B401" s="996"/>
      <c r="C401" s="996"/>
      <c r="D401" s="997"/>
      <c r="E401" s="422">
        <f>E400</f>
        <v>496.9</v>
      </c>
    </row>
    <row r="402" spans="1:5" x14ac:dyDescent="0.25">
      <c r="A402" s="1010"/>
      <c r="B402" s="1011"/>
      <c r="C402" s="1011"/>
      <c r="D402" s="1011"/>
      <c r="E402" s="1012"/>
    </row>
    <row r="403" spans="1:5" x14ac:dyDescent="0.25">
      <c r="A403" s="1013"/>
      <c r="B403" s="1014"/>
      <c r="C403" s="1014"/>
      <c r="D403" s="1014"/>
      <c r="E403" s="1015"/>
    </row>
    <row r="404" spans="1:5" x14ac:dyDescent="0.25">
      <c r="A404" s="1013"/>
      <c r="B404" s="1014"/>
      <c r="C404" s="1014"/>
      <c r="D404" s="1014"/>
      <c r="E404" s="1015"/>
    </row>
    <row r="405" spans="1:5" x14ac:dyDescent="0.25">
      <c r="A405" s="1013"/>
      <c r="B405" s="1014"/>
      <c r="C405" s="1014"/>
      <c r="D405" s="1014"/>
      <c r="E405" s="1015"/>
    </row>
    <row r="406" spans="1:5" x14ac:dyDescent="0.25">
      <c r="A406" s="1013"/>
      <c r="B406" s="1014"/>
      <c r="C406" s="1014"/>
      <c r="D406" s="1014"/>
      <c r="E406" s="1015"/>
    </row>
    <row r="407" spans="1:5" x14ac:dyDescent="0.25">
      <c r="A407" s="1013"/>
      <c r="B407" s="1014"/>
      <c r="C407" s="1014"/>
      <c r="D407" s="1014"/>
      <c r="E407" s="1015"/>
    </row>
    <row r="408" spans="1:5" x14ac:dyDescent="0.25">
      <c r="A408" s="1013"/>
      <c r="B408" s="1014"/>
      <c r="C408" s="1014"/>
      <c r="D408" s="1014"/>
      <c r="E408" s="1015"/>
    </row>
    <row r="409" spans="1:5" x14ac:dyDescent="0.25">
      <c r="A409" s="1013"/>
      <c r="B409" s="1014"/>
      <c r="C409" s="1014"/>
      <c r="D409" s="1014"/>
      <c r="E409" s="1015"/>
    </row>
    <row r="410" spans="1:5" x14ac:dyDescent="0.25">
      <c r="A410" s="1013"/>
      <c r="B410" s="1014"/>
      <c r="C410" s="1014"/>
      <c r="D410" s="1014"/>
      <c r="E410" s="1015"/>
    </row>
    <row r="411" spans="1:5" x14ac:dyDescent="0.25">
      <c r="A411" s="1013"/>
      <c r="B411" s="1014"/>
      <c r="C411" s="1014"/>
      <c r="D411" s="1014"/>
      <c r="E411" s="1015"/>
    </row>
    <row r="412" spans="1:5" x14ac:dyDescent="0.25">
      <c r="A412" s="1016"/>
      <c r="B412" s="1017"/>
      <c r="C412" s="1017"/>
      <c r="D412" s="1017"/>
      <c r="E412" s="1018"/>
    </row>
  </sheetData>
  <mergeCells count="244">
    <mergeCell ref="A402:E412"/>
    <mergeCell ref="A9:E9"/>
    <mergeCell ref="A10:E10"/>
    <mergeCell ref="A12:E12"/>
    <mergeCell ref="A13:E13"/>
    <mergeCell ref="A14:E14"/>
    <mergeCell ref="A15:E15"/>
    <mergeCell ref="A1:E2"/>
    <mergeCell ref="A3:C3"/>
    <mergeCell ref="D3:D8"/>
    <mergeCell ref="A4:C8"/>
    <mergeCell ref="E4:E5"/>
    <mergeCell ref="E7:E8"/>
    <mergeCell ref="A42:B42"/>
    <mergeCell ref="C42:D42"/>
    <mergeCell ref="A43:B43"/>
    <mergeCell ref="C43:D43"/>
    <mergeCell ref="A44:B44"/>
    <mergeCell ref="C44:D44"/>
    <mergeCell ref="A16:E16"/>
    <mergeCell ref="A17:E17"/>
    <mergeCell ref="A18:E39"/>
    <mergeCell ref="A40:E40"/>
    <mergeCell ref="A41:B41"/>
    <mergeCell ref="A76:B76"/>
    <mergeCell ref="C76:D76"/>
    <mergeCell ref="A77:B77"/>
    <mergeCell ref="C77:D77"/>
    <mergeCell ref="A78:B78"/>
    <mergeCell ref="C78:D78"/>
    <mergeCell ref="C41:D41"/>
    <mergeCell ref="A72:E72"/>
    <mergeCell ref="A73:B73"/>
    <mergeCell ref="C73:D73"/>
    <mergeCell ref="A74:B74"/>
    <mergeCell ref="C74:D74"/>
    <mergeCell ref="A75:B75"/>
    <mergeCell ref="C75:D75"/>
    <mergeCell ref="A46:B46"/>
    <mergeCell ref="C46:D46"/>
    <mergeCell ref="A47:D47"/>
    <mergeCell ref="A48:D48"/>
    <mergeCell ref="A49:E49"/>
    <mergeCell ref="A50:E71"/>
    <mergeCell ref="A85:E106"/>
    <mergeCell ref="A107:E107"/>
    <mergeCell ref="A108:B108"/>
    <mergeCell ref="C108:D108"/>
    <mergeCell ref="A109:B109"/>
    <mergeCell ref="C109:D109"/>
    <mergeCell ref="A79:B79"/>
    <mergeCell ref="A81:B81"/>
    <mergeCell ref="C81:D81"/>
    <mergeCell ref="A82:D82"/>
    <mergeCell ref="A83:D83"/>
    <mergeCell ref="A84:E84"/>
    <mergeCell ref="A113:B113"/>
    <mergeCell ref="C113:D113"/>
    <mergeCell ref="A114:D114"/>
    <mergeCell ref="A115:D115"/>
    <mergeCell ref="A116:E116"/>
    <mergeCell ref="A117:E138"/>
    <mergeCell ref="A110:B110"/>
    <mergeCell ref="C110:D110"/>
    <mergeCell ref="A111:B111"/>
    <mergeCell ref="C111:D111"/>
    <mergeCell ref="A112:B112"/>
    <mergeCell ref="C112:D112"/>
    <mergeCell ref="A143:B143"/>
    <mergeCell ref="C143:D143"/>
    <mergeCell ref="A144:B144"/>
    <mergeCell ref="C144:D144"/>
    <mergeCell ref="A145:B145"/>
    <mergeCell ref="C145:D145"/>
    <mergeCell ref="A139:E139"/>
    <mergeCell ref="A140:B140"/>
    <mergeCell ref="C140:D140"/>
    <mergeCell ref="A141:B141"/>
    <mergeCell ref="C141:D141"/>
    <mergeCell ref="A142:B142"/>
    <mergeCell ref="C142:D142"/>
    <mergeCell ref="A149:B149"/>
    <mergeCell ref="C149:D149"/>
    <mergeCell ref="A150:D150"/>
    <mergeCell ref="A151:D151"/>
    <mergeCell ref="A152:E152"/>
    <mergeCell ref="A153:E174"/>
    <mergeCell ref="A146:B146"/>
    <mergeCell ref="C146:D146"/>
    <mergeCell ref="A147:B147"/>
    <mergeCell ref="C147:D147"/>
    <mergeCell ref="A148:B148"/>
    <mergeCell ref="C148:D148"/>
    <mergeCell ref="A179:B179"/>
    <mergeCell ref="C179:D179"/>
    <mergeCell ref="A180:B180"/>
    <mergeCell ref="C180:D180"/>
    <mergeCell ref="A181:B181"/>
    <mergeCell ref="C181:D181"/>
    <mergeCell ref="A175:E175"/>
    <mergeCell ref="A176:B176"/>
    <mergeCell ref="C176:D176"/>
    <mergeCell ref="A177:B177"/>
    <mergeCell ref="C177:D177"/>
    <mergeCell ref="A178:B178"/>
    <mergeCell ref="C178:D178"/>
    <mergeCell ref="A185:B185"/>
    <mergeCell ref="C185:D185"/>
    <mergeCell ref="A186:D186"/>
    <mergeCell ref="A187:D187"/>
    <mergeCell ref="A188:E188"/>
    <mergeCell ref="A189:E210"/>
    <mergeCell ref="A182:B182"/>
    <mergeCell ref="C182:D182"/>
    <mergeCell ref="A183:B183"/>
    <mergeCell ref="C183:D183"/>
    <mergeCell ref="A184:B184"/>
    <mergeCell ref="C184:D184"/>
    <mergeCell ref="A215:B215"/>
    <mergeCell ref="C215:D215"/>
    <mergeCell ref="A216:B216"/>
    <mergeCell ref="C216:D216"/>
    <mergeCell ref="A217:B217"/>
    <mergeCell ref="C217:D217"/>
    <mergeCell ref="A211:E211"/>
    <mergeCell ref="A212:B212"/>
    <mergeCell ref="C212:D212"/>
    <mergeCell ref="A213:B213"/>
    <mergeCell ref="C213:D213"/>
    <mergeCell ref="A214:B214"/>
    <mergeCell ref="C214:D214"/>
    <mergeCell ref="A221:B221"/>
    <mergeCell ref="C221:D221"/>
    <mergeCell ref="A222:D222"/>
    <mergeCell ref="A223:D223"/>
    <mergeCell ref="A224:E224"/>
    <mergeCell ref="A225:E246"/>
    <mergeCell ref="A218:B218"/>
    <mergeCell ref="C218:D218"/>
    <mergeCell ref="A219:B219"/>
    <mergeCell ref="C219:D219"/>
    <mergeCell ref="A220:B220"/>
    <mergeCell ref="C220:D220"/>
    <mergeCell ref="A251:B251"/>
    <mergeCell ref="C251:D251"/>
    <mergeCell ref="A252:B252"/>
    <mergeCell ref="C252:D252"/>
    <mergeCell ref="A253:B253"/>
    <mergeCell ref="C253:D253"/>
    <mergeCell ref="A247:E247"/>
    <mergeCell ref="A248:B248"/>
    <mergeCell ref="C248:D248"/>
    <mergeCell ref="A249:B249"/>
    <mergeCell ref="C249:D249"/>
    <mergeCell ref="A250:B250"/>
    <mergeCell ref="C250:D250"/>
    <mergeCell ref="A257:D257"/>
    <mergeCell ref="A258:D258"/>
    <mergeCell ref="A259:E259"/>
    <mergeCell ref="A260:E276"/>
    <mergeCell ref="A277:E296"/>
    <mergeCell ref="A297:E324"/>
    <mergeCell ref="A254:B254"/>
    <mergeCell ref="C254:D254"/>
    <mergeCell ref="A255:B255"/>
    <mergeCell ref="C255:D255"/>
    <mergeCell ref="A256:B256"/>
    <mergeCell ref="C256:D256"/>
    <mergeCell ref="A366:B366"/>
    <mergeCell ref="C366:D366"/>
    <mergeCell ref="A367:B367"/>
    <mergeCell ref="C367:D367"/>
    <mergeCell ref="A368:B368"/>
    <mergeCell ref="C368:D368"/>
    <mergeCell ref="A325:E346"/>
    <mergeCell ref="A347:E362"/>
    <mergeCell ref="A363:E363"/>
    <mergeCell ref="A364:B364"/>
    <mergeCell ref="C364:D364"/>
    <mergeCell ref="A365:B365"/>
    <mergeCell ref="C365:D365"/>
    <mergeCell ref="A372:B372"/>
    <mergeCell ref="C372:D372"/>
    <mergeCell ref="A373:B373"/>
    <mergeCell ref="C373:D373"/>
    <mergeCell ref="A374:B374"/>
    <mergeCell ref="C374:D374"/>
    <mergeCell ref="A369:B369"/>
    <mergeCell ref="C369:D369"/>
    <mergeCell ref="A370:B370"/>
    <mergeCell ref="C370:D370"/>
    <mergeCell ref="A371:B371"/>
    <mergeCell ref="C371:D371"/>
    <mergeCell ref="A378:B378"/>
    <mergeCell ref="C378:D378"/>
    <mergeCell ref="A379:B379"/>
    <mergeCell ref="C379:D379"/>
    <mergeCell ref="A380:B380"/>
    <mergeCell ref="C380:D380"/>
    <mergeCell ref="A375:B375"/>
    <mergeCell ref="C375:D375"/>
    <mergeCell ref="A376:B376"/>
    <mergeCell ref="C376:D376"/>
    <mergeCell ref="A377:B377"/>
    <mergeCell ref="C377:D377"/>
    <mergeCell ref="A384:B384"/>
    <mergeCell ref="C384:D384"/>
    <mergeCell ref="A385:B385"/>
    <mergeCell ref="C385:D385"/>
    <mergeCell ref="A386:B386"/>
    <mergeCell ref="C386:D386"/>
    <mergeCell ref="A381:B381"/>
    <mergeCell ref="C381:D381"/>
    <mergeCell ref="A382:B382"/>
    <mergeCell ref="C382:D382"/>
    <mergeCell ref="A383:B383"/>
    <mergeCell ref="C383:D383"/>
    <mergeCell ref="A390:B390"/>
    <mergeCell ref="C390:D390"/>
    <mergeCell ref="A391:B391"/>
    <mergeCell ref="C391:D391"/>
    <mergeCell ref="A392:B392"/>
    <mergeCell ref="C392:D392"/>
    <mergeCell ref="A387:B387"/>
    <mergeCell ref="C387:D387"/>
    <mergeCell ref="A388:B388"/>
    <mergeCell ref="C388:D388"/>
    <mergeCell ref="A389:B389"/>
    <mergeCell ref="C389:D389"/>
    <mergeCell ref="A400:D400"/>
    <mergeCell ref="A401:D401"/>
    <mergeCell ref="A397:B397"/>
    <mergeCell ref="C397:D397"/>
    <mergeCell ref="A398:B398"/>
    <mergeCell ref="C398:D398"/>
    <mergeCell ref="A399:B399"/>
    <mergeCell ref="C399:D399"/>
    <mergeCell ref="A393:E393"/>
    <mergeCell ref="A394:B394"/>
    <mergeCell ref="C394:D394"/>
    <mergeCell ref="A395:B395"/>
    <mergeCell ref="C395:D395"/>
    <mergeCell ref="A396:B396"/>
    <mergeCell ref="C396:D396"/>
  </mergeCells>
  <pageMargins left="0.7" right="0.7" top="0.75" bottom="0.75" header="0.3" footer="0.3"/>
  <pageSetup paperSize="9" scale="69" orientation="portrait" horizontalDpi="4294967293"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07A73-D485-4B18-A343-539A04DF8388}">
  <sheetPr>
    <tabColor theme="1" tint="0.34998626667073579"/>
  </sheetPr>
  <dimension ref="A1:E50"/>
  <sheetViews>
    <sheetView view="pageBreakPreview" topLeftCell="A21" zoomScaleNormal="120" zoomScaleSheetLayoutView="100" workbookViewId="0">
      <selection activeCell="A40" sqref="A40:E50"/>
    </sheetView>
  </sheetViews>
  <sheetFormatPr defaultRowHeight="15" x14ac:dyDescent="0.25"/>
  <cols>
    <col min="1" max="1" width="31.42578125" customWidth="1"/>
    <col min="2" max="2" width="18" customWidth="1"/>
    <col min="3" max="3" width="18.7109375" customWidth="1"/>
    <col min="4" max="4" width="29.5703125" customWidth="1"/>
    <col min="5" max="5" width="27.7109375" customWidth="1"/>
  </cols>
  <sheetData>
    <row r="1" spans="1:5" ht="15" customHeight="1" x14ac:dyDescent="0.25">
      <c r="A1" s="980" t="s">
        <v>991</v>
      </c>
      <c r="B1" s="981"/>
      <c r="C1" s="981"/>
      <c r="D1" s="981"/>
      <c r="E1" s="982"/>
    </row>
    <row r="2" spans="1:5" x14ac:dyDescent="0.25">
      <c r="A2" s="983"/>
      <c r="B2" s="984"/>
      <c r="C2" s="984"/>
      <c r="D2" s="984"/>
      <c r="E2" s="985"/>
    </row>
    <row r="3" spans="1:5" x14ac:dyDescent="0.25">
      <c r="A3" s="986" t="s">
        <v>828</v>
      </c>
      <c r="B3" s="987"/>
      <c r="C3" s="988"/>
      <c r="D3" s="989"/>
      <c r="E3" s="228" t="s">
        <v>993</v>
      </c>
    </row>
    <row r="4" spans="1:5" ht="15" customHeight="1" x14ac:dyDescent="0.25">
      <c r="A4" s="992" t="s">
        <v>994</v>
      </c>
      <c r="B4" s="992"/>
      <c r="C4" s="992"/>
      <c r="D4" s="990"/>
      <c r="E4" s="993"/>
    </row>
    <row r="5" spans="1:5" x14ac:dyDescent="0.25">
      <c r="A5" s="992"/>
      <c r="B5" s="992"/>
      <c r="C5" s="992"/>
      <c r="D5" s="990"/>
      <c r="E5" s="993"/>
    </row>
    <row r="6" spans="1:5" x14ac:dyDescent="0.25">
      <c r="A6" s="992"/>
      <c r="B6" s="992"/>
      <c r="C6" s="992"/>
      <c r="D6" s="990"/>
      <c r="E6" s="228" t="s">
        <v>995</v>
      </c>
    </row>
    <row r="7" spans="1:5" x14ac:dyDescent="0.25">
      <c r="A7" s="992"/>
      <c r="B7" s="992"/>
      <c r="C7" s="992"/>
      <c r="D7" s="990"/>
      <c r="E7" s="994"/>
    </row>
    <row r="8" spans="1:5" x14ac:dyDescent="0.25">
      <c r="A8" s="992"/>
      <c r="B8" s="992"/>
      <c r="C8" s="992"/>
      <c r="D8" s="991"/>
      <c r="E8" s="994"/>
    </row>
    <row r="9" spans="1:5" ht="15" customHeight="1" x14ac:dyDescent="0.25">
      <c r="A9" s="974" t="s">
        <v>1234</v>
      </c>
      <c r="B9" s="975"/>
      <c r="C9" s="975"/>
      <c r="D9" s="976"/>
      <c r="E9" s="977"/>
    </row>
    <row r="10" spans="1:5" x14ac:dyDescent="0.25">
      <c r="A10" s="978" t="s">
        <v>997</v>
      </c>
      <c r="B10" s="978"/>
      <c r="C10" s="978"/>
      <c r="D10" s="978"/>
      <c r="E10" s="978"/>
    </row>
    <row r="11" spans="1:5" x14ac:dyDescent="0.25">
      <c r="A11" s="979"/>
      <c r="B11" s="979"/>
      <c r="C11" s="979"/>
      <c r="D11" s="979"/>
      <c r="E11" s="979"/>
    </row>
    <row r="12" spans="1:5" x14ac:dyDescent="0.25">
      <c r="A12" s="979"/>
      <c r="B12" s="979"/>
      <c r="C12" s="979"/>
      <c r="D12" s="979"/>
      <c r="E12" s="979"/>
    </row>
    <row r="13" spans="1:5" x14ac:dyDescent="0.25">
      <c r="A13" s="979"/>
      <c r="B13" s="979"/>
      <c r="C13" s="979"/>
      <c r="D13" s="979"/>
      <c r="E13" s="979"/>
    </row>
    <row r="14" spans="1:5" x14ac:dyDescent="0.25">
      <c r="A14" s="979"/>
      <c r="B14" s="979"/>
      <c r="C14" s="979"/>
      <c r="D14" s="979"/>
      <c r="E14" s="979"/>
    </row>
    <row r="15" spans="1:5" x14ac:dyDescent="0.25">
      <c r="A15" s="979"/>
      <c r="B15" s="979"/>
      <c r="C15" s="979"/>
      <c r="D15" s="979"/>
      <c r="E15" s="979"/>
    </row>
    <row r="16" spans="1:5" x14ac:dyDescent="0.25">
      <c r="A16" s="979"/>
      <c r="B16" s="979"/>
      <c r="C16" s="979"/>
      <c r="D16" s="979"/>
      <c r="E16" s="979"/>
    </row>
    <row r="17" spans="1:5" x14ac:dyDescent="0.25">
      <c r="A17" s="979"/>
      <c r="B17" s="979"/>
      <c r="C17" s="979"/>
      <c r="D17" s="979"/>
      <c r="E17" s="979"/>
    </row>
    <row r="18" spans="1:5" x14ac:dyDescent="0.25">
      <c r="A18" s="979"/>
      <c r="B18" s="979"/>
      <c r="C18" s="979"/>
      <c r="D18" s="979"/>
      <c r="E18" s="979"/>
    </row>
    <row r="19" spans="1:5" x14ac:dyDescent="0.25">
      <c r="A19" s="979"/>
      <c r="B19" s="979"/>
      <c r="C19" s="979"/>
      <c r="D19" s="979"/>
      <c r="E19" s="979"/>
    </row>
    <row r="20" spans="1:5" x14ac:dyDescent="0.25">
      <c r="A20" s="979"/>
      <c r="B20" s="979"/>
      <c r="C20" s="979"/>
      <c r="D20" s="979"/>
      <c r="E20" s="979"/>
    </row>
    <row r="21" spans="1:5" x14ac:dyDescent="0.25">
      <c r="A21" s="979"/>
      <c r="B21" s="979"/>
      <c r="C21" s="979"/>
      <c r="D21" s="979"/>
      <c r="E21" s="979"/>
    </row>
    <row r="22" spans="1:5" x14ac:dyDescent="0.25">
      <c r="A22" s="979"/>
      <c r="B22" s="979"/>
      <c r="C22" s="979"/>
      <c r="D22" s="979"/>
      <c r="E22" s="979"/>
    </row>
    <row r="23" spans="1:5" x14ac:dyDescent="0.25">
      <c r="A23" s="979"/>
      <c r="B23" s="979"/>
      <c r="C23" s="979"/>
      <c r="D23" s="979"/>
      <c r="E23" s="979"/>
    </row>
    <row r="24" spans="1:5" x14ac:dyDescent="0.25">
      <c r="A24" s="979"/>
      <c r="B24" s="979"/>
      <c r="C24" s="979"/>
      <c r="D24" s="979"/>
      <c r="E24" s="979"/>
    </row>
    <row r="25" spans="1:5" x14ac:dyDescent="0.25">
      <c r="A25" s="979"/>
      <c r="B25" s="979"/>
      <c r="C25" s="979"/>
      <c r="D25" s="979"/>
      <c r="E25" s="979"/>
    </row>
    <row r="26" spans="1:5" x14ac:dyDescent="0.25">
      <c r="A26" s="979"/>
      <c r="B26" s="979"/>
      <c r="C26" s="979"/>
      <c r="D26" s="979"/>
      <c r="E26" s="979"/>
    </row>
    <row r="27" spans="1:5" x14ac:dyDescent="0.25">
      <c r="A27" s="979"/>
      <c r="B27" s="979"/>
      <c r="C27" s="979"/>
      <c r="D27" s="979"/>
      <c r="E27" s="979"/>
    </row>
    <row r="28" spans="1:5" x14ac:dyDescent="0.25">
      <c r="A28" s="979"/>
      <c r="B28" s="979"/>
      <c r="C28" s="979"/>
      <c r="D28" s="979"/>
      <c r="E28" s="979"/>
    </row>
    <row r="29" spans="1:5" x14ac:dyDescent="0.25">
      <c r="A29" s="979"/>
      <c r="B29" s="979"/>
      <c r="C29" s="979"/>
      <c r="D29" s="979"/>
      <c r="E29" s="979"/>
    </row>
    <row r="30" spans="1:5" x14ac:dyDescent="0.25">
      <c r="A30" s="979"/>
      <c r="B30" s="979"/>
      <c r="C30" s="979"/>
      <c r="D30" s="979"/>
      <c r="E30" s="979"/>
    </row>
    <row r="31" spans="1:5" x14ac:dyDescent="0.25">
      <c r="A31" s="979"/>
      <c r="B31" s="979"/>
      <c r="C31" s="979"/>
      <c r="D31" s="979"/>
      <c r="E31" s="979"/>
    </row>
    <row r="32" spans="1:5" x14ac:dyDescent="0.25">
      <c r="A32" s="979"/>
      <c r="B32" s="979"/>
      <c r="C32" s="979"/>
      <c r="D32" s="979"/>
      <c r="E32" s="979"/>
    </row>
    <row r="33" spans="1:5" x14ac:dyDescent="0.25">
      <c r="A33" s="966" t="s">
        <v>1407</v>
      </c>
      <c r="B33" s="966"/>
      <c r="C33" s="966"/>
      <c r="D33" s="966"/>
      <c r="E33" s="966"/>
    </row>
    <row r="34" spans="1:5" x14ac:dyDescent="0.25">
      <c r="A34" s="229" t="s">
        <v>1105</v>
      </c>
      <c r="B34" s="239" t="s">
        <v>1408</v>
      </c>
      <c r="C34" s="967" t="s">
        <v>998</v>
      </c>
      <c r="D34" s="968"/>
      <c r="E34" s="229" t="s">
        <v>1003</v>
      </c>
    </row>
    <row r="35" spans="1:5" ht="30.75" customHeight="1" x14ac:dyDescent="0.25">
      <c r="A35" s="230" t="s">
        <v>1173</v>
      </c>
      <c r="B35" s="231" t="s">
        <v>1409</v>
      </c>
      <c r="C35" s="969" t="s">
        <v>1288</v>
      </c>
      <c r="D35" s="970"/>
      <c r="E35" s="232">
        <v>10.54</v>
      </c>
    </row>
    <row r="36" spans="1:5" ht="30.75" customHeight="1" x14ac:dyDescent="0.25">
      <c r="A36" s="230" t="s">
        <v>1174</v>
      </c>
      <c r="B36" s="231" t="s">
        <v>1409</v>
      </c>
      <c r="C36" s="969" t="s">
        <v>1288</v>
      </c>
      <c r="D36" s="970"/>
      <c r="E36" s="232">
        <v>18.559999999999999</v>
      </c>
    </row>
    <row r="37" spans="1:5" ht="30.75" customHeight="1" x14ac:dyDescent="0.25">
      <c r="A37" s="230" t="s">
        <v>1176</v>
      </c>
      <c r="B37" s="231" t="s">
        <v>1410</v>
      </c>
      <c r="C37" s="969" t="s">
        <v>1288</v>
      </c>
      <c r="D37" s="970"/>
      <c r="E37" s="232">
        <v>10.01</v>
      </c>
    </row>
    <row r="38" spans="1:5" ht="30.75" customHeight="1" x14ac:dyDescent="0.25">
      <c r="A38" s="230" t="s">
        <v>1178</v>
      </c>
      <c r="B38" s="231" t="s">
        <v>1409</v>
      </c>
      <c r="C38" s="969" t="s">
        <v>1288</v>
      </c>
      <c r="D38" s="970"/>
      <c r="E38" s="232">
        <v>9.75</v>
      </c>
    </row>
    <row r="39" spans="1:5" ht="15" customHeight="1" x14ac:dyDescent="0.25">
      <c r="A39" s="971" t="s">
        <v>1001</v>
      </c>
      <c r="B39" s="972"/>
      <c r="C39" s="972"/>
      <c r="D39" s="973"/>
      <c r="E39" s="238">
        <f>E37</f>
        <v>10.01</v>
      </c>
    </row>
    <row r="40" spans="1:5" x14ac:dyDescent="0.25">
      <c r="A40" s="1010"/>
      <c r="B40" s="1011"/>
      <c r="C40" s="1011"/>
      <c r="D40" s="1011"/>
      <c r="E40" s="1012"/>
    </row>
    <row r="41" spans="1:5" x14ac:dyDescent="0.25">
      <c r="A41" s="1013"/>
      <c r="B41" s="1014"/>
      <c r="C41" s="1014"/>
      <c r="D41" s="1014"/>
      <c r="E41" s="1015"/>
    </row>
    <row r="42" spans="1:5" x14ac:dyDescent="0.25">
      <c r="A42" s="1013"/>
      <c r="B42" s="1014"/>
      <c r="C42" s="1014"/>
      <c r="D42" s="1014"/>
      <c r="E42" s="1015"/>
    </row>
    <row r="43" spans="1:5" x14ac:dyDescent="0.25">
      <c r="A43" s="1013"/>
      <c r="B43" s="1014"/>
      <c r="C43" s="1014"/>
      <c r="D43" s="1014"/>
      <c r="E43" s="1015"/>
    </row>
    <row r="44" spans="1:5" x14ac:dyDescent="0.25">
      <c r="A44" s="1013"/>
      <c r="B44" s="1014"/>
      <c r="C44" s="1014"/>
      <c r="D44" s="1014"/>
      <c r="E44" s="1015"/>
    </row>
    <row r="45" spans="1:5" x14ac:dyDescent="0.25">
      <c r="A45" s="1013"/>
      <c r="B45" s="1014"/>
      <c r="C45" s="1014"/>
      <c r="D45" s="1014"/>
      <c r="E45" s="1015"/>
    </row>
    <row r="46" spans="1:5" x14ac:dyDescent="0.25">
      <c r="A46" s="1013"/>
      <c r="B46" s="1014"/>
      <c r="C46" s="1014"/>
      <c r="D46" s="1014"/>
      <c r="E46" s="1015"/>
    </row>
    <row r="47" spans="1:5" x14ac:dyDescent="0.25">
      <c r="A47" s="1013"/>
      <c r="B47" s="1014"/>
      <c r="C47" s="1014"/>
      <c r="D47" s="1014"/>
      <c r="E47" s="1015"/>
    </row>
    <row r="48" spans="1:5" x14ac:dyDescent="0.25">
      <c r="A48" s="1013"/>
      <c r="B48" s="1014"/>
      <c r="C48" s="1014"/>
      <c r="D48" s="1014"/>
      <c r="E48" s="1015"/>
    </row>
    <row r="49" spans="1:5" x14ac:dyDescent="0.25">
      <c r="A49" s="1013"/>
      <c r="B49" s="1014"/>
      <c r="C49" s="1014"/>
      <c r="D49" s="1014"/>
      <c r="E49" s="1015"/>
    </row>
    <row r="50" spans="1:5" x14ac:dyDescent="0.25">
      <c r="A50" s="1016"/>
      <c r="B50" s="1017"/>
      <c r="C50" s="1017"/>
      <c r="D50" s="1017"/>
      <c r="E50" s="1018"/>
    </row>
  </sheetData>
  <mergeCells count="17">
    <mergeCell ref="A40:E50"/>
    <mergeCell ref="A9:E9"/>
    <mergeCell ref="A10:E10"/>
    <mergeCell ref="A11:E32"/>
    <mergeCell ref="A33:E33"/>
    <mergeCell ref="C34:D34"/>
    <mergeCell ref="C35:D35"/>
    <mergeCell ref="C36:D36"/>
    <mergeCell ref="C37:D37"/>
    <mergeCell ref="C38:D38"/>
    <mergeCell ref="A39:D39"/>
    <mergeCell ref="A1:E2"/>
    <mergeCell ref="A3:C3"/>
    <mergeCell ref="D3:D8"/>
    <mergeCell ref="A4:C8"/>
    <mergeCell ref="E4:E5"/>
    <mergeCell ref="E7:E8"/>
  </mergeCells>
  <pageMargins left="0.7" right="0.7" top="0.75" bottom="0.75" header="0.3" footer="0.3"/>
  <pageSetup paperSize="9" scale="69"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28</vt:i4>
      </vt:variant>
      <vt:variant>
        <vt:lpstr>Intervalos Nomeados</vt:lpstr>
      </vt:variant>
      <vt:variant>
        <vt:i4>19</vt:i4>
      </vt:variant>
    </vt:vector>
  </HeadingPairs>
  <TitlesOfParts>
    <vt:vector size="47" baseType="lpstr">
      <vt:lpstr>RESUMO</vt:lpstr>
      <vt:lpstr>SINTÉTICA</vt:lpstr>
      <vt:lpstr>ANALÍTICA</vt:lpstr>
      <vt:lpstr>QCP</vt:lpstr>
      <vt:lpstr>BDI EQUIPAMENTOS</vt:lpstr>
      <vt:lpstr>BDI SERVIÇOS</vt:lpstr>
      <vt:lpstr>Encargos Sociais</vt:lpstr>
      <vt:lpstr>Cronograma</vt:lpstr>
      <vt:lpstr>Curva ABC</vt:lpstr>
      <vt:lpstr>Curva S</vt:lpstr>
      <vt:lpstr>Curva S Ref.</vt:lpstr>
      <vt:lpstr>MC DIVERSOS</vt:lpstr>
      <vt:lpstr>MC DRENAGEM</vt:lpstr>
      <vt:lpstr>MC ESQUADRIAS</vt:lpstr>
      <vt:lpstr>MC PINTURA</vt:lpstr>
      <vt:lpstr>MC CORRIMÃO E GUARDA CORPO</vt:lpstr>
      <vt:lpstr>MC PEDRAS</vt:lpstr>
      <vt:lpstr>MC FORRO</vt:lpstr>
      <vt:lpstr>MC REVESTIMENTOS</vt:lpstr>
      <vt:lpstr>MC ALVENARIA</vt:lpstr>
      <vt:lpstr>MC PISO</vt:lpstr>
      <vt:lpstr>MC DEMOLIÇÕES E REMOÇÕES</vt:lpstr>
      <vt:lpstr>MC ESCADAS</vt:lpstr>
      <vt:lpstr>MC REFORÇO FUNDAÇÃO</vt:lpstr>
      <vt:lpstr>MC ARRIMO</vt:lpstr>
      <vt:lpstr>MC ELÉTRICO</vt:lpstr>
      <vt:lpstr>MC HIDRO</vt:lpstr>
      <vt:lpstr>MC LIMPO</vt:lpstr>
      <vt:lpstr>ANALÍTICA!Area_de_impressao</vt:lpstr>
      <vt:lpstr>'BDI EQUIPAMENTOS'!Area_de_impressao</vt:lpstr>
      <vt:lpstr>'BDI SERVIÇOS'!Area_de_impressao</vt:lpstr>
      <vt:lpstr>Cronograma!Area_de_impressao</vt:lpstr>
      <vt:lpstr>'Curva ABC'!Area_de_impressao</vt:lpstr>
      <vt:lpstr>'Curva S'!Area_de_impressao</vt:lpstr>
      <vt:lpstr>'Curva S Ref.'!Area_de_impressao</vt:lpstr>
      <vt:lpstr>'Encargos Sociais'!Area_de_impressao</vt:lpstr>
      <vt:lpstr>'MC ARRIMO'!Area_de_impressao</vt:lpstr>
      <vt:lpstr>'MC DEMOLIÇÕES E REMOÇÕES'!Area_de_impressao</vt:lpstr>
      <vt:lpstr>'MC DRENAGEM'!Area_de_impressao</vt:lpstr>
      <vt:lpstr>'MC ELÉTRICO'!Area_de_impressao</vt:lpstr>
      <vt:lpstr>'MC ESCADAS'!Area_de_impressao</vt:lpstr>
      <vt:lpstr>'MC ESQUADRIAS'!Area_de_impressao</vt:lpstr>
      <vt:lpstr>'MC HIDRO'!Area_de_impressao</vt:lpstr>
      <vt:lpstr>'MC REFORÇO FUNDAÇÃO'!Area_de_impressao</vt:lpstr>
      <vt:lpstr>RESUMO!Area_de_impressao</vt:lpstr>
      <vt:lpstr>SINTÉTICA!Area_de_impressao</vt:lpstr>
      <vt:lpstr>'BDI SERVIÇOS'!Titulos_de_impressao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Neiva</dc:creator>
  <cp:keywords/>
  <dc:description/>
  <cp:lastModifiedBy>USUÁRIO</cp:lastModifiedBy>
  <cp:revision/>
  <cp:lastPrinted>2025-09-24T01:34:01Z</cp:lastPrinted>
  <dcterms:created xsi:type="dcterms:W3CDTF">2024-05-02T19:59:36Z</dcterms:created>
  <dcterms:modified xsi:type="dcterms:W3CDTF">2026-04-16T15:58:29Z</dcterms:modified>
  <cp:category/>
  <cp:contentStatus/>
</cp:coreProperties>
</file>