
<file path=[Content_Types].xml><?xml version="1.0" encoding="utf-8"?>
<Types xmlns="http://schemas.openxmlformats.org/package/2006/content-types">
  <Default Extension="png" ContentType="image/png"/>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workbookPr/>
  <bookViews>
    <workbookView xWindow="-60" yWindow="-60" windowWidth="15480" windowHeight="11640" tabRatio="788" firstSheet="1" activeTab="1"/>
  </bookViews>
  <sheets>
    <sheet name="Planilha2" sheetId="12" state="hidden" r:id="rId1"/>
    <sheet name="ORÇAMENTO ANALITICO" sheetId="3" r:id="rId2"/>
    <sheet name="LEVANT." sheetId="17" state="hidden" r:id="rId3"/>
    <sheet name="Plan2" sheetId="20" state="hidden" r:id="rId4"/>
    <sheet name="ORÇAMENTO SINTÉTICO" sheetId="25" r:id="rId5"/>
    <sheet name="CRON. FISICO-FINAC" sheetId="11" r:id="rId6"/>
    <sheet name="BDI" sheetId="7" r:id="rId7"/>
    <sheet name="MEMORIA - CALCULO" sheetId="22" state="hidden" r:id="rId8"/>
    <sheet name=" COTAÇÃO." sheetId="18" state="hidden" r:id="rId9"/>
    <sheet name="Plan5" sheetId="23" state="hidden" r:id="rId10"/>
    <sheet name="BDI CALCULO" sheetId="24" state="hidden" r:id="rId11"/>
    <sheet name="MEMORIA CALCULO" sheetId="26" r:id="rId12"/>
  </sheets>
  <externalReferences>
    <externalReference r:id="rId13"/>
    <externalReference r:id="rId14"/>
  </externalReferences>
  <definedNames>
    <definedName name="_0">#REF!</definedName>
    <definedName name="_expansao">#REF!</definedName>
    <definedName name="_xlnm.Print_Area" localSheetId="6">BDI!$A$5:$N$46</definedName>
    <definedName name="_xlnm.Print_Area" localSheetId="5">'CRON. FISICO-FINAC'!$A$3:$P$38</definedName>
    <definedName name="_xlnm.Print_Area" localSheetId="7">'MEMORIA - CALCULO'!$A$2:$L$570</definedName>
    <definedName name="_xlnm.Print_Area" localSheetId="11">'MEMORIA CALCULO'!$A$2:$L$582</definedName>
    <definedName name="_xlnm.Print_Area" localSheetId="1">'ORÇAMENTO ANALITICO'!$A$1:$J$193</definedName>
    <definedName name="_xlnm.Print_Area" localSheetId="4">'ORÇAMENTO SINTÉTICO'!$A$1:$J$192</definedName>
    <definedName name="Área_impressão_IM">NA()</definedName>
    <definedName name="bocais">#REF!</definedName>
    <definedName name="calculo_de_hf">#REF!</definedName>
    <definedName name="DIMENSIONAMENTO_DE_TUBULAÇÃO">#REF!</definedName>
    <definedName name="DTUBOS">#REF!</definedName>
    <definedName name="Excel_BuiltIn_Database">#REF!</definedName>
    <definedName name="Excel_BuiltIn_Database_7">#REF!</definedName>
    <definedName name="Excel_BuiltIn_Print_Area" localSheetId="6">BDI!#REF!</definedName>
    <definedName name="Excel_BuiltIn_Print_Area" localSheetId="5">'CRON. FISICO-FINAC'!$A$8:$P$28</definedName>
    <definedName name="Excel_BuiltIn_Print_Area">#REF!</definedName>
    <definedName name="ff">#REF!</definedName>
    <definedName name="kk">#REF!</definedName>
    <definedName name="LL">[1]PL018407!$A$7:$E$161</definedName>
    <definedName name="M">#REF!</definedName>
    <definedName name="N">#REF!</definedName>
    <definedName name="OUTRO">#REF!</definedName>
    <definedName name="Payment_Needed">"Pagamento necessário"</definedName>
    <definedName name="reducao">#REF!</definedName>
    <definedName name="Reimbursement">"Reembolso"</definedName>
    <definedName name="RESUMO">#REF!</definedName>
    <definedName name="ss">[2]PL001708!$A$7:$E$206</definedName>
    <definedName name="SUCCAO">#REF!</definedName>
    <definedName name="tabtubo">#REF!</definedName>
    <definedName name="TABTUBOMM">#REF!</definedName>
    <definedName name="TEST">#REF!</definedName>
    <definedName name="_xlnm.Print_Titles" localSheetId="7">'MEMORIA - CALCULO'!$2:$11</definedName>
    <definedName name="_xlnm.Print_Titles" localSheetId="11">'MEMORIA CALCULO'!$2:$11</definedName>
    <definedName name="_xlnm.Print_Titles" localSheetId="1">'ORÇAMENTO ANALITICO'!$2:$11</definedName>
    <definedName name="Tubos_PRFV">#REF!</definedName>
    <definedName name="VAZAO">#REF!</definedName>
  </definedNames>
  <calcPr calcId="1257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87" i="25"/>
  <c r="H187"/>
  <c r="J187"/>
  <c r="I186"/>
  <c r="H186"/>
  <c r="J186"/>
  <c r="I185"/>
  <c r="H185"/>
  <c r="J185"/>
  <c r="I184"/>
  <c r="H184"/>
  <c r="J184" s="1"/>
  <c r="I183"/>
  <c r="H183"/>
  <c r="J183"/>
  <c r="I182"/>
  <c r="H182"/>
  <c r="J182"/>
  <c r="I181"/>
  <c r="H181"/>
  <c r="J181"/>
  <c r="I180"/>
  <c r="H180"/>
  <c r="J180"/>
  <c r="I179"/>
  <c r="H179"/>
  <c r="J179"/>
  <c r="I178"/>
  <c r="H178"/>
  <c r="J178"/>
  <c r="I177"/>
  <c r="H177"/>
  <c r="J177" s="1"/>
  <c r="H176"/>
  <c r="F176"/>
  <c r="I175"/>
  <c r="H175"/>
  <c r="J175" s="1"/>
  <c r="I174"/>
  <c r="H174"/>
  <c r="J174"/>
  <c r="I173"/>
  <c r="H173"/>
  <c r="J173"/>
  <c r="I169"/>
  <c r="H169"/>
  <c r="J169"/>
  <c r="I168"/>
  <c r="H168"/>
  <c r="J168"/>
  <c r="I167"/>
  <c r="H167"/>
  <c r="J167"/>
  <c r="I166"/>
  <c r="H166"/>
  <c r="J166"/>
  <c r="H165"/>
  <c r="F165"/>
  <c r="I165" s="1"/>
  <c r="I164"/>
  <c r="H164"/>
  <c r="J164"/>
  <c r="I163"/>
  <c r="H163"/>
  <c r="J163"/>
  <c r="I162"/>
  <c r="H162"/>
  <c r="J162" s="1"/>
  <c r="I161"/>
  <c r="H161"/>
  <c r="J161"/>
  <c r="I160"/>
  <c r="H160"/>
  <c r="J160"/>
  <c r="I159"/>
  <c r="H159"/>
  <c r="J159"/>
  <c r="I158"/>
  <c r="H158"/>
  <c r="J158"/>
  <c r="I157"/>
  <c r="H157"/>
  <c r="J157" s="1"/>
  <c r="I156"/>
  <c r="H156"/>
  <c r="J156"/>
  <c r="I155"/>
  <c r="H155"/>
  <c r="J155"/>
  <c r="I154"/>
  <c r="H154"/>
  <c r="J154" s="1"/>
  <c r="I153"/>
  <c r="H153"/>
  <c r="J153"/>
  <c r="I152"/>
  <c r="H152"/>
  <c r="J152"/>
  <c r="I151"/>
  <c r="H151"/>
  <c r="J151"/>
  <c r="I150"/>
  <c r="H150"/>
  <c r="J150"/>
  <c r="I149"/>
  <c r="H149"/>
  <c r="J149" s="1"/>
  <c r="I148"/>
  <c r="H148"/>
  <c r="J148"/>
  <c r="I147"/>
  <c r="H147"/>
  <c r="J147"/>
  <c r="I146"/>
  <c r="H146"/>
  <c r="J146" s="1"/>
  <c r="I145"/>
  <c r="H145"/>
  <c r="J145"/>
  <c r="I144"/>
  <c r="H144"/>
  <c r="J144"/>
  <c r="I143"/>
  <c r="H143"/>
  <c r="J143"/>
  <c r="I142"/>
  <c r="H142"/>
  <c r="J142"/>
  <c r="I139"/>
  <c r="H139"/>
  <c r="J139"/>
  <c r="I138"/>
  <c r="H138"/>
  <c r="J138"/>
  <c r="I137"/>
  <c r="H137"/>
  <c r="J137"/>
  <c r="I136"/>
  <c r="H136"/>
  <c r="J136"/>
  <c r="I135"/>
  <c r="H135"/>
  <c r="J135"/>
  <c r="I134"/>
  <c r="H134"/>
  <c r="J134" s="1"/>
  <c r="I131"/>
  <c r="H131"/>
  <c r="J131"/>
  <c r="I130"/>
  <c r="H130"/>
  <c r="J130" s="1"/>
  <c r="H129"/>
  <c r="F129"/>
  <c r="H128"/>
  <c r="F128"/>
  <c r="I127"/>
  <c r="H127"/>
  <c r="J127"/>
  <c r="I126"/>
  <c r="H126"/>
  <c r="J126"/>
  <c r="I125"/>
  <c r="H125"/>
  <c r="J125"/>
  <c r="I124"/>
  <c r="H124"/>
  <c r="J124"/>
  <c r="I123"/>
  <c r="H123"/>
  <c r="J123" s="1"/>
  <c r="I122"/>
  <c r="H122"/>
  <c r="J122"/>
  <c r="I121"/>
  <c r="H121"/>
  <c r="J121"/>
  <c r="I120"/>
  <c r="H120"/>
  <c r="J120" s="1"/>
  <c r="H119"/>
  <c r="F119"/>
  <c r="I118"/>
  <c r="H118"/>
  <c r="J118"/>
  <c r="I117"/>
  <c r="H117"/>
  <c r="J117"/>
  <c r="I116"/>
  <c r="H116"/>
  <c r="J116"/>
  <c r="I115"/>
  <c r="H115"/>
  <c r="J115"/>
  <c r="I114"/>
  <c r="H114"/>
  <c r="J114" s="1"/>
  <c r="I113"/>
  <c r="H113"/>
  <c r="J113"/>
  <c r="I112"/>
  <c r="H112"/>
  <c r="J112"/>
  <c r="I111"/>
  <c r="H111"/>
  <c r="J111" s="1"/>
  <c r="I110"/>
  <c r="H110"/>
  <c r="J110"/>
  <c r="I109"/>
  <c r="H109"/>
  <c r="J109"/>
  <c r="I108"/>
  <c r="H108"/>
  <c r="J108"/>
  <c r="I107"/>
  <c r="H107"/>
  <c r="J107"/>
  <c r="I106"/>
  <c r="H106"/>
  <c r="J106" s="1"/>
  <c r="I105"/>
  <c r="H105"/>
  <c r="J105"/>
  <c r="I104"/>
  <c r="H104"/>
  <c r="J104"/>
  <c r="I103"/>
  <c r="H103"/>
  <c r="J103" s="1"/>
  <c r="I102"/>
  <c r="H102"/>
  <c r="J102"/>
  <c r="I101"/>
  <c r="H101"/>
  <c r="J101"/>
  <c r="I100"/>
  <c r="H100"/>
  <c r="J100"/>
  <c r="I99"/>
  <c r="H99"/>
  <c r="J99"/>
  <c r="I98"/>
  <c r="H98"/>
  <c r="J98" s="1"/>
  <c r="I97"/>
  <c r="H97"/>
  <c r="J97"/>
  <c r="I96"/>
  <c r="H96"/>
  <c r="J96"/>
  <c r="I95"/>
  <c r="H95"/>
  <c r="J95" s="1"/>
  <c r="I94"/>
  <c r="H94"/>
  <c r="J94"/>
  <c r="I91"/>
  <c r="H91"/>
  <c r="J91" s="1"/>
  <c r="I90"/>
  <c r="H90"/>
  <c r="J90" s="1"/>
  <c r="I89"/>
  <c r="H89"/>
  <c r="J89"/>
  <c r="I88"/>
  <c r="H88"/>
  <c r="J88"/>
  <c r="I87"/>
  <c r="H87"/>
  <c r="J87"/>
  <c r="I86"/>
  <c r="H86"/>
  <c r="J86"/>
  <c r="I85"/>
  <c r="H85"/>
  <c r="J85"/>
  <c r="I84"/>
  <c r="I83" s="1"/>
  <c r="H84"/>
  <c r="J84"/>
  <c r="I81"/>
  <c r="H81"/>
  <c r="J81"/>
  <c r="H80"/>
  <c r="F80"/>
  <c r="J80" s="1"/>
  <c r="I80"/>
  <c r="I79"/>
  <c r="H79"/>
  <c r="J79"/>
  <c r="I78"/>
  <c r="H78"/>
  <c r="J78" s="1"/>
  <c r="I77"/>
  <c r="H77"/>
  <c r="J77" s="1"/>
  <c r="H74"/>
  <c r="F74"/>
  <c r="H73"/>
  <c r="F73"/>
  <c r="J73"/>
  <c r="I70"/>
  <c r="H70"/>
  <c r="J70"/>
  <c r="I69"/>
  <c r="I68" s="1"/>
  <c r="H69"/>
  <c r="J69"/>
  <c r="J68"/>
  <c r="I66"/>
  <c r="H66"/>
  <c r="J66"/>
  <c r="I65"/>
  <c r="H65"/>
  <c r="J65"/>
  <c r="J64"/>
  <c r="I62"/>
  <c r="H62"/>
  <c r="J62"/>
  <c r="I61"/>
  <c r="H61"/>
  <c r="J61"/>
  <c r="I60"/>
  <c r="H60"/>
  <c r="J60"/>
  <c r="I59"/>
  <c r="H59"/>
  <c r="J59"/>
  <c r="I58"/>
  <c r="H58"/>
  <c r="J58"/>
  <c r="I57"/>
  <c r="H57"/>
  <c r="J57"/>
  <c r="I56"/>
  <c r="H56"/>
  <c r="J56" s="1"/>
  <c r="I55"/>
  <c r="H55"/>
  <c r="J55" s="1"/>
  <c r="I54"/>
  <c r="H54"/>
  <c r="J54"/>
  <c r="I53"/>
  <c r="H53"/>
  <c r="J53"/>
  <c r="I50"/>
  <c r="H50"/>
  <c r="J50"/>
  <c r="I49"/>
  <c r="H49"/>
  <c r="J49"/>
  <c r="I48"/>
  <c r="H48"/>
  <c r="J48" s="1"/>
  <c r="I47"/>
  <c r="H47"/>
  <c r="J47" s="1"/>
  <c r="I46"/>
  <c r="H46"/>
  <c r="J46"/>
  <c r="I45"/>
  <c r="H45"/>
  <c r="J45"/>
  <c r="H44"/>
  <c r="F44"/>
  <c r="J44"/>
  <c r="I43"/>
  <c r="H43"/>
  <c r="J43" s="1"/>
  <c r="I42"/>
  <c r="H42"/>
  <c r="J42" s="1"/>
  <c r="I41"/>
  <c r="H41"/>
  <c r="J41"/>
  <c r="I38"/>
  <c r="H38"/>
  <c r="J38"/>
  <c r="I37"/>
  <c r="H37"/>
  <c r="J37"/>
  <c r="I36"/>
  <c r="H36"/>
  <c r="J36"/>
  <c r="H35"/>
  <c r="F35"/>
  <c r="J35"/>
  <c r="I34"/>
  <c r="H34"/>
  <c r="J34" s="1"/>
  <c r="I31"/>
  <c r="H31"/>
  <c r="J31"/>
  <c r="I30"/>
  <c r="H30"/>
  <c r="J30"/>
  <c r="I29"/>
  <c r="H29"/>
  <c r="J29" s="1"/>
  <c r="I28"/>
  <c r="H28"/>
  <c r="J28"/>
  <c r="I27"/>
  <c r="H27"/>
  <c r="J27"/>
  <c r="H26"/>
  <c r="H25"/>
  <c r="I24"/>
  <c r="H24"/>
  <c r="J24"/>
  <c r="I23"/>
  <c r="H23"/>
  <c r="J23"/>
  <c r="H22"/>
  <c r="F22"/>
  <c r="I21"/>
  <c r="H21"/>
  <c r="J21"/>
  <c r="I20"/>
  <c r="H20"/>
  <c r="J20"/>
  <c r="I19"/>
  <c r="H19"/>
  <c r="J19"/>
  <c r="I16"/>
  <c r="H16"/>
  <c r="J16"/>
  <c r="I15"/>
  <c r="H15"/>
  <c r="J15" s="1"/>
  <c r="I14"/>
  <c r="I13"/>
  <c r="H14"/>
  <c r="J14"/>
  <c r="J13"/>
  <c r="K404" i="26"/>
  <c r="K386"/>
  <c r="K563"/>
  <c r="K561"/>
  <c r="K559"/>
  <c r="K557"/>
  <c r="K555"/>
  <c r="K553"/>
  <c r="K551"/>
  <c r="K549"/>
  <c r="K547"/>
  <c r="K545"/>
  <c r="K543"/>
  <c r="J541"/>
  <c r="K541" s="1"/>
  <c r="K539"/>
  <c r="K537"/>
  <c r="K535"/>
  <c r="K531"/>
  <c r="K529"/>
  <c r="K527"/>
  <c r="K525"/>
  <c r="K523"/>
  <c r="K521"/>
  <c r="K519"/>
  <c r="K517"/>
  <c r="K515"/>
  <c r="K513"/>
  <c r="K511"/>
  <c r="K509"/>
  <c r="K507"/>
  <c r="K505"/>
  <c r="K503"/>
  <c r="K501"/>
  <c r="K499"/>
  <c r="K497"/>
  <c r="K495"/>
  <c r="K493"/>
  <c r="K491"/>
  <c r="K489"/>
  <c r="K487"/>
  <c r="K485"/>
  <c r="K483"/>
  <c r="K481"/>
  <c r="K479"/>
  <c r="K477"/>
  <c r="K474"/>
  <c r="K473"/>
  <c r="K471"/>
  <c r="K469"/>
  <c r="K467"/>
  <c r="K465"/>
  <c r="K461"/>
  <c r="K459"/>
  <c r="K457"/>
  <c r="K455"/>
  <c r="K453"/>
  <c r="K451"/>
  <c r="K449"/>
  <c r="K447"/>
  <c r="K445"/>
  <c r="K443"/>
  <c r="K441"/>
  <c r="K439"/>
  <c r="K437"/>
  <c r="K435"/>
  <c r="K433"/>
  <c r="K431"/>
  <c r="K429"/>
  <c r="K427"/>
  <c r="K425"/>
  <c r="K423"/>
  <c r="K421"/>
  <c r="K419"/>
  <c r="K417"/>
  <c r="K415"/>
  <c r="K413"/>
  <c r="K411"/>
  <c r="K405"/>
  <c r="K403"/>
  <c r="K401"/>
  <c r="K399"/>
  <c r="K397"/>
  <c r="K395"/>
  <c r="K393"/>
  <c r="K391"/>
  <c r="K389"/>
  <c r="K387"/>
  <c r="K385"/>
  <c r="K382"/>
  <c r="E381"/>
  <c r="J381" s="1"/>
  <c r="K381" s="1"/>
  <c r="E379"/>
  <c r="J379"/>
  <c r="K379"/>
  <c r="K377"/>
  <c r="K375"/>
  <c r="J373"/>
  <c r="K373"/>
  <c r="K371"/>
  <c r="J369"/>
  <c r="K369" s="1"/>
  <c r="K366"/>
  <c r="E363"/>
  <c r="J363"/>
  <c r="I361"/>
  <c r="E361"/>
  <c r="J361" s="1"/>
  <c r="I360"/>
  <c r="E360"/>
  <c r="J360"/>
  <c r="E359"/>
  <c r="J359"/>
  <c r="I358"/>
  <c r="E358"/>
  <c r="J358" s="1"/>
  <c r="I357"/>
  <c r="J357" s="1"/>
  <c r="I356"/>
  <c r="J356" s="1"/>
  <c r="I354"/>
  <c r="E354"/>
  <c r="J354"/>
  <c r="I352"/>
  <c r="E352"/>
  <c r="J352"/>
  <c r="I351"/>
  <c r="E351"/>
  <c r="J351" s="1"/>
  <c r="I350"/>
  <c r="E350"/>
  <c r="J350" s="1"/>
  <c r="I349"/>
  <c r="E349"/>
  <c r="J349"/>
  <c r="I348"/>
  <c r="E348"/>
  <c r="J348"/>
  <c r="I347"/>
  <c r="E347"/>
  <c r="J347" s="1"/>
  <c r="I346"/>
  <c r="E346"/>
  <c r="J346" s="1"/>
  <c r="I345"/>
  <c r="J345" s="1"/>
  <c r="I344"/>
  <c r="E344"/>
  <c r="J344" s="1"/>
  <c r="J343"/>
  <c r="I342"/>
  <c r="E342"/>
  <c r="J342" s="1"/>
  <c r="I341"/>
  <c r="E341"/>
  <c r="J341" s="1"/>
  <c r="I340"/>
  <c r="E340"/>
  <c r="J340"/>
  <c r="I339"/>
  <c r="E339"/>
  <c r="J339"/>
  <c r="I338"/>
  <c r="E338"/>
  <c r="J338" s="1"/>
  <c r="I337"/>
  <c r="E337"/>
  <c r="J337" s="1"/>
  <c r="I336"/>
  <c r="E336"/>
  <c r="J336"/>
  <c r="I335"/>
  <c r="E335"/>
  <c r="J335"/>
  <c r="I334"/>
  <c r="E334"/>
  <c r="J334" s="1"/>
  <c r="I333"/>
  <c r="E333"/>
  <c r="J333" s="1"/>
  <c r="I332"/>
  <c r="E332"/>
  <c r="J332"/>
  <c r="I331"/>
  <c r="E331"/>
  <c r="J331"/>
  <c r="J328"/>
  <c r="J327"/>
  <c r="J326"/>
  <c r="J325"/>
  <c r="K325" s="1"/>
  <c r="K315"/>
  <c r="J311"/>
  <c r="J310"/>
  <c r="J309"/>
  <c r="G308"/>
  <c r="J308" s="1"/>
  <c r="G307"/>
  <c r="J307" s="1"/>
  <c r="G306"/>
  <c r="J306" s="1"/>
  <c r="F304"/>
  <c r="J304" s="1"/>
  <c r="G303"/>
  <c r="J303" s="1"/>
  <c r="G302"/>
  <c r="J302" s="1"/>
  <c r="J301"/>
  <c r="K301" s="1"/>
  <c r="J299"/>
  <c r="J298"/>
  <c r="J297"/>
  <c r="G296"/>
  <c r="J296"/>
  <c r="J295"/>
  <c r="J294"/>
  <c r="J293"/>
  <c r="J292"/>
  <c r="J291"/>
  <c r="K291"/>
  <c r="K287"/>
  <c r="K285"/>
  <c r="J281"/>
  <c r="J280"/>
  <c r="J279"/>
  <c r="J278"/>
  <c r="J277"/>
  <c r="J276"/>
  <c r="J275"/>
  <c r="J274"/>
  <c r="K274" s="1"/>
  <c r="J268"/>
  <c r="J267"/>
  <c r="J266"/>
  <c r="J265"/>
  <c r="J264"/>
  <c r="J263"/>
  <c r="J262"/>
  <c r="J261"/>
  <c r="J260"/>
  <c r="J259"/>
  <c r="J257"/>
  <c r="J256"/>
  <c r="J255"/>
  <c r="J254"/>
  <c r="K254"/>
  <c r="J252"/>
  <c r="K252"/>
  <c r="K250"/>
  <c r="K248"/>
  <c r="K243"/>
  <c r="K238"/>
  <c r="J236"/>
  <c r="J235"/>
  <c r="J234"/>
  <c r="J233"/>
  <c r="K233" s="1"/>
  <c r="J231"/>
  <c r="K231" s="1"/>
  <c r="J228"/>
  <c r="J227"/>
  <c r="J226"/>
  <c r="J225"/>
  <c r="J224"/>
  <c r="J223"/>
  <c r="J222"/>
  <c r="K222" s="1"/>
  <c r="K218"/>
  <c r="K208"/>
  <c r="K199"/>
  <c r="J197"/>
  <c r="J196"/>
  <c r="J195"/>
  <c r="J194"/>
  <c r="K194" s="1"/>
  <c r="K180"/>
  <c r="J178"/>
  <c r="I177"/>
  <c r="J177" s="1"/>
  <c r="I176"/>
  <c r="J176" s="1"/>
  <c r="I175"/>
  <c r="J175" s="1"/>
  <c r="I174"/>
  <c r="J174" s="1"/>
  <c r="I173"/>
  <c r="J173" s="1"/>
  <c r="I172"/>
  <c r="J172"/>
  <c r="K172"/>
  <c r="J166"/>
  <c r="J165"/>
  <c r="J164"/>
  <c r="J163"/>
  <c r="J162"/>
  <c r="J161"/>
  <c r="J160"/>
  <c r="J159"/>
  <c r="K159" s="1"/>
  <c r="J156"/>
  <c r="J155"/>
  <c r="J154"/>
  <c r="J153"/>
  <c r="J152"/>
  <c r="J151"/>
  <c r="K151"/>
  <c r="I147"/>
  <c r="J147"/>
  <c r="I146"/>
  <c r="J146"/>
  <c r="I145"/>
  <c r="J145"/>
  <c r="I144"/>
  <c r="J144" s="1"/>
  <c r="K144" s="1"/>
  <c r="J142"/>
  <c r="I141"/>
  <c r="J141"/>
  <c r="I140"/>
  <c r="J140"/>
  <c r="I139"/>
  <c r="J139"/>
  <c r="J138"/>
  <c r="J137"/>
  <c r="J136"/>
  <c r="K136"/>
  <c r="J134"/>
  <c r="J133"/>
  <c r="E132"/>
  <c r="J132"/>
  <c r="E131"/>
  <c r="J131" s="1"/>
  <c r="K131" s="1"/>
  <c r="J129"/>
  <c r="J128"/>
  <c r="J127"/>
  <c r="J126"/>
  <c r="K126"/>
  <c r="J124"/>
  <c r="J123"/>
  <c r="E122"/>
  <c r="J122"/>
  <c r="I121"/>
  <c r="E121"/>
  <c r="J121"/>
  <c r="I120"/>
  <c r="E120"/>
  <c r="J120" s="1"/>
  <c r="I119"/>
  <c r="E119"/>
  <c r="J119" s="1"/>
  <c r="E118"/>
  <c r="J118" s="1"/>
  <c r="J117"/>
  <c r="J116"/>
  <c r="J115"/>
  <c r="J114"/>
  <c r="I113"/>
  <c r="J113" s="1"/>
  <c r="I112"/>
  <c r="J112" s="1"/>
  <c r="I111"/>
  <c r="J111" s="1"/>
  <c r="I110"/>
  <c r="J110"/>
  <c r="K110"/>
  <c r="K106"/>
  <c r="K104"/>
  <c r="K99"/>
  <c r="J97"/>
  <c r="J96"/>
  <c r="J95"/>
  <c r="J94"/>
  <c r="J93"/>
  <c r="J92"/>
  <c r="K92"/>
  <c r="K90"/>
  <c r="J84"/>
  <c r="J83"/>
  <c r="J82"/>
  <c r="J81"/>
  <c r="J80"/>
  <c r="J79"/>
  <c r="J78"/>
  <c r="J77"/>
  <c r="J76"/>
  <c r="J75"/>
  <c r="J74"/>
  <c r="J73"/>
  <c r="J72"/>
  <c r="K72" s="1"/>
  <c r="J70"/>
  <c r="J69"/>
  <c r="J68"/>
  <c r="J67"/>
  <c r="J66"/>
  <c r="J65"/>
  <c r="J64"/>
  <c r="J63"/>
  <c r="J62"/>
  <c r="J61"/>
  <c r="J60"/>
  <c r="J59"/>
  <c r="J58"/>
  <c r="K58" s="1"/>
  <c r="J56"/>
  <c r="K56" s="1"/>
  <c r="J54"/>
  <c r="J53"/>
  <c r="J52"/>
  <c r="J51"/>
  <c r="J50"/>
  <c r="J49"/>
  <c r="J48"/>
  <c r="J47"/>
  <c r="J46"/>
  <c r="J45"/>
  <c r="J44"/>
  <c r="J43"/>
  <c r="J42"/>
  <c r="K42" s="1"/>
  <c r="J40"/>
  <c r="J39"/>
  <c r="I38"/>
  <c r="J38" s="1"/>
  <c r="I37"/>
  <c r="E37"/>
  <c r="J37" s="1"/>
  <c r="I36"/>
  <c r="E36"/>
  <c r="J36" s="1"/>
  <c r="I35"/>
  <c r="E35"/>
  <c r="J35"/>
  <c r="I34"/>
  <c r="E34"/>
  <c r="J34"/>
  <c r="I33"/>
  <c r="J33"/>
  <c r="E31"/>
  <c r="J31"/>
  <c r="J30"/>
  <c r="J29"/>
  <c r="J28"/>
  <c r="J27"/>
  <c r="J26"/>
  <c r="J25"/>
  <c r="J24"/>
  <c r="J23"/>
  <c r="J22"/>
  <c r="J21"/>
  <c r="J20"/>
  <c r="J19"/>
  <c r="K19" s="1"/>
  <c r="H136" i="3"/>
  <c r="J136"/>
  <c r="I136"/>
  <c r="F119"/>
  <c r="I119"/>
  <c r="H105"/>
  <c r="J105"/>
  <c r="I105"/>
  <c r="I95"/>
  <c r="H95"/>
  <c r="J95"/>
  <c r="H173"/>
  <c r="J173"/>
  <c r="K474" i="22"/>
  <c r="K366"/>
  <c r="I5" i="23"/>
  <c r="I81" i="3"/>
  <c r="H81"/>
  <c r="J81"/>
  <c r="H139"/>
  <c r="J139"/>
  <c r="I139"/>
  <c r="I138"/>
  <c r="H138"/>
  <c r="J138"/>
  <c r="J373" i="22"/>
  <c r="O26" i="11"/>
  <c r="Q24" i="24"/>
  <c r="V22"/>
  <c r="Q22"/>
  <c r="L22"/>
  <c r="J22"/>
  <c r="H22"/>
  <c r="G13" i="11"/>
  <c r="B26"/>
  <c r="B25"/>
  <c r="B24"/>
  <c r="B23"/>
  <c r="B22"/>
  <c r="B21"/>
  <c r="B20"/>
  <c r="B19"/>
  <c r="B18"/>
  <c r="B17"/>
  <c r="B16"/>
  <c r="B15"/>
  <c r="B14"/>
  <c r="B13"/>
  <c r="Q22"/>
  <c r="Q23"/>
  <c r="Q24"/>
  <c r="P5" i="23"/>
  <c r="G455" i="17"/>
  <c r="G454"/>
  <c r="G452"/>
  <c r="G451"/>
  <c r="G463"/>
  <c r="K382" i="22"/>
  <c r="I91" i="3"/>
  <c r="H91"/>
  <c r="J91"/>
  <c r="K563" i="22"/>
  <c r="K561"/>
  <c r="K559"/>
  <c r="K557"/>
  <c r="K555"/>
  <c r="K553"/>
  <c r="K551"/>
  <c r="K549"/>
  <c r="K547"/>
  <c r="K545"/>
  <c r="K543"/>
  <c r="J541"/>
  <c r="K541"/>
  <c r="K539"/>
  <c r="K537"/>
  <c r="K535"/>
  <c r="K531"/>
  <c r="K529"/>
  <c r="K527"/>
  <c r="K525"/>
  <c r="K523"/>
  <c r="K521"/>
  <c r="K519"/>
  <c r="K517"/>
  <c r="K515"/>
  <c r="K513"/>
  <c r="K511"/>
  <c r="K509"/>
  <c r="K507"/>
  <c r="K505"/>
  <c r="K503"/>
  <c r="K501"/>
  <c r="K499"/>
  <c r="K497"/>
  <c r="K495"/>
  <c r="H152" i="3"/>
  <c r="J152"/>
  <c r="I152"/>
  <c r="K493" i="22"/>
  <c r="K491"/>
  <c r="K489"/>
  <c r="K487"/>
  <c r="K485"/>
  <c r="K483"/>
  <c r="K481"/>
  <c r="K479"/>
  <c r="K477"/>
  <c r="K473"/>
  <c r="K471"/>
  <c r="K469"/>
  <c r="K467"/>
  <c r="K465"/>
  <c r="K461"/>
  <c r="I131" i="3"/>
  <c r="H131"/>
  <c r="J131"/>
  <c r="K459" i="22"/>
  <c r="K457"/>
  <c r="K455"/>
  <c r="K453"/>
  <c r="K451"/>
  <c r="K449"/>
  <c r="K447"/>
  <c r="K445"/>
  <c r="K443"/>
  <c r="K441"/>
  <c r="K439"/>
  <c r="K437"/>
  <c r="K435"/>
  <c r="K433"/>
  <c r="K431"/>
  <c r="K429"/>
  <c r="K427"/>
  <c r="K425"/>
  <c r="K423"/>
  <c r="K421"/>
  <c r="K419"/>
  <c r="K417"/>
  <c r="K415"/>
  <c r="K413"/>
  <c r="K411"/>
  <c r="K409"/>
  <c r="K407"/>
  <c r="K405"/>
  <c r="K403"/>
  <c r="K401"/>
  <c r="K399"/>
  <c r="K397"/>
  <c r="K395"/>
  <c r="K393"/>
  <c r="K391"/>
  <c r="K389"/>
  <c r="I174" i="3"/>
  <c r="H174"/>
  <c r="J174"/>
  <c r="F176"/>
  <c r="I176"/>
  <c r="I130"/>
  <c r="H130"/>
  <c r="J130"/>
  <c r="F128"/>
  <c r="I128"/>
  <c r="F129"/>
  <c r="I129"/>
  <c r="J369" i="22"/>
  <c r="K369"/>
  <c r="K387"/>
  <c r="K385"/>
  <c r="E381"/>
  <c r="J381"/>
  <c r="K381"/>
  <c r="E379"/>
  <c r="J379"/>
  <c r="K379"/>
  <c r="K377"/>
  <c r="K375"/>
  <c r="K373"/>
  <c r="K371"/>
  <c r="F80" i="3"/>
  <c r="I80"/>
  <c r="E363" i="22"/>
  <c r="J363"/>
  <c r="I361"/>
  <c r="E361"/>
  <c r="J361"/>
  <c r="I360"/>
  <c r="E360"/>
  <c r="J360"/>
  <c r="E359"/>
  <c r="J359"/>
  <c r="I358"/>
  <c r="E358"/>
  <c r="J358" s="1"/>
  <c r="I357"/>
  <c r="J357"/>
  <c r="I356"/>
  <c r="J356"/>
  <c r="I354"/>
  <c r="E354"/>
  <c r="J354"/>
  <c r="I349"/>
  <c r="I350"/>
  <c r="I345"/>
  <c r="J345"/>
  <c r="I352"/>
  <c r="E352"/>
  <c r="J352" s="1"/>
  <c r="I351"/>
  <c r="E351"/>
  <c r="J351"/>
  <c r="E350"/>
  <c r="J350" s="1"/>
  <c r="E349"/>
  <c r="J349"/>
  <c r="I348"/>
  <c r="E348"/>
  <c r="J348"/>
  <c r="I347"/>
  <c r="E347"/>
  <c r="J347" s="1"/>
  <c r="I346"/>
  <c r="E346"/>
  <c r="J346"/>
  <c r="I344"/>
  <c r="E344"/>
  <c r="I342"/>
  <c r="E342"/>
  <c r="J342" s="1"/>
  <c r="I341"/>
  <c r="E341"/>
  <c r="J341" s="1"/>
  <c r="I340"/>
  <c r="E340"/>
  <c r="I339"/>
  <c r="E339"/>
  <c r="J339" s="1"/>
  <c r="I338"/>
  <c r="E338"/>
  <c r="I337"/>
  <c r="E337"/>
  <c r="J337"/>
  <c r="I336"/>
  <c r="E336"/>
  <c r="J336"/>
  <c r="E335"/>
  <c r="I335"/>
  <c r="I334"/>
  <c r="E334"/>
  <c r="J334"/>
  <c r="I333"/>
  <c r="E333"/>
  <c r="J333"/>
  <c r="J344"/>
  <c r="J343"/>
  <c r="J340"/>
  <c r="J338"/>
  <c r="E332"/>
  <c r="E331"/>
  <c r="I332"/>
  <c r="J332"/>
  <c r="I331"/>
  <c r="J331"/>
  <c r="J328"/>
  <c r="J327"/>
  <c r="J326"/>
  <c r="J325"/>
  <c r="K325"/>
  <c r="I38"/>
  <c r="J38"/>
  <c r="I37"/>
  <c r="I36"/>
  <c r="I35"/>
  <c r="I34"/>
  <c r="I33"/>
  <c r="J33"/>
  <c r="F74" i="3"/>
  <c r="I74"/>
  <c r="F73"/>
  <c r="I73"/>
  <c r="J299" i="22"/>
  <c r="J298"/>
  <c r="J297"/>
  <c r="J295"/>
  <c r="J294"/>
  <c r="J293"/>
  <c r="J292"/>
  <c r="J291"/>
  <c r="J280"/>
  <c r="J281"/>
  <c r="J279"/>
  <c r="J278"/>
  <c r="J268"/>
  <c r="J267"/>
  <c r="J266"/>
  <c r="J265"/>
  <c r="J264"/>
  <c r="J263"/>
  <c r="J262"/>
  <c r="J261"/>
  <c r="J260"/>
  <c r="J259"/>
  <c r="J257"/>
  <c r="J256"/>
  <c r="J255"/>
  <c r="J254"/>
  <c r="K254" s="1"/>
  <c r="K218"/>
  <c r="I50" i="3"/>
  <c r="H50"/>
  <c r="J50"/>
  <c r="I177" i="22"/>
  <c r="J177"/>
  <c r="I176"/>
  <c r="J176"/>
  <c r="I175"/>
  <c r="J175"/>
  <c r="I174"/>
  <c r="J174"/>
  <c r="I173"/>
  <c r="J173"/>
  <c r="I172"/>
  <c r="J172"/>
  <c r="I119"/>
  <c r="E119"/>
  <c r="J119"/>
  <c r="I120"/>
  <c r="J156"/>
  <c r="J155"/>
  <c r="J154"/>
  <c r="J153"/>
  <c r="J152"/>
  <c r="J151"/>
  <c r="I147"/>
  <c r="J147"/>
  <c r="I146"/>
  <c r="J146"/>
  <c r="I145"/>
  <c r="J145"/>
  <c r="I144"/>
  <c r="J144"/>
  <c r="I141"/>
  <c r="J141"/>
  <c r="I140"/>
  <c r="J140"/>
  <c r="I139"/>
  <c r="J139"/>
  <c r="J142"/>
  <c r="J138"/>
  <c r="J137"/>
  <c r="J136"/>
  <c r="E132"/>
  <c r="J132"/>
  <c r="E131"/>
  <c r="J131"/>
  <c r="E122"/>
  <c r="J122"/>
  <c r="I121"/>
  <c r="E121"/>
  <c r="J121" s="1"/>
  <c r="E120"/>
  <c r="E118"/>
  <c r="J118"/>
  <c r="I113"/>
  <c r="J113"/>
  <c r="I112"/>
  <c r="J112"/>
  <c r="I111"/>
  <c r="J111"/>
  <c r="J124"/>
  <c r="J117"/>
  <c r="J116"/>
  <c r="J115"/>
  <c r="J114"/>
  <c r="J123"/>
  <c r="I110"/>
  <c r="J110"/>
  <c r="K106"/>
  <c r="J95"/>
  <c r="J93"/>
  <c r="J96"/>
  <c r="J94"/>
  <c r="J92"/>
  <c r="I31" i="3"/>
  <c r="H31"/>
  <c r="J31"/>
  <c r="J311" i="22"/>
  <c r="J310"/>
  <c r="J309"/>
  <c r="G308"/>
  <c r="J308"/>
  <c r="G307"/>
  <c r="J307"/>
  <c r="G306"/>
  <c r="J306"/>
  <c r="F304"/>
  <c r="J304"/>
  <c r="G303"/>
  <c r="J303"/>
  <c r="G302"/>
  <c r="J302"/>
  <c r="J301"/>
  <c r="K301" s="1"/>
  <c r="G296"/>
  <c r="J296"/>
  <c r="K287"/>
  <c r="K285"/>
  <c r="J277"/>
  <c r="J276"/>
  <c r="J275"/>
  <c r="J274"/>
  <c r="J252"/>
  <c r="K252"/>
  <c r="K250"/>
  <c r="K248"/>
  <c r="K243"/>
  <c r="K238"/>
  <c r="J236"/>
  <c r="J235"/>
  <c r="J234"/>
  <c r="J233"/>
  <c r="J231"/>
  <c r="K231"/>
  <c r="J228"/>
  <c r="J227"/>
  <c r="J226"/>
  <c r="J225"/>
  <c r="J224"/>
  <c r="J223"/>
  <c r="J222"/>
  <c r="K222" s="1"/>
  <c r="K208"/>
  <c r="K199"/>
  <c r="J197"/>
  <c r="J196"/>
  <c r="J195"/>
  <c r="J194"/>
  <c r="K194"/>
  <c r="K180"/>
  <c r="J178"/>
  <c r="J166"/>
  <c r="J165"/>
  <c r="J164"/>
  <c r="J163"/>
  <c r="J162"/>
  <c r="J161"/>
  <c r="J160"/>
  <c r="J159"/>
  <c r="J134"/>
  <c r="J133"/>
  <c r="K131" s="1"/>
  <c r="J129"/>
  <c r="J128"/>
  <c r="J127"/>
  <c r="J126"/>
  <c r="K126"/>
  <c r="K104"/>
  <c r="K99"/>
  <c r="J97"/>
  <c r="K92" s="1"/>
  <c r="K90"/>
  <c r="J84"/>
  <c r="J83"/>
  <c r="J82"/>
  <c r="J81"/>
  <c r="J80"/>
  <c r="J79"/>
  <c r="J78"/>
  <c r="J77"/>
  <c r="J76"/>
  <c r="J75"/>
  <c r="J74"/>
  <c r="J73"/>
  <c r="J72"/>
  <c r="K72" s="1"/>
  <c r="J70"/>
  <c r="J69"/>
  <c r="J68"/>
  <c r="J67"/>
  <c r="J66"/>
  <c r="J65"/>
  <c r="J64"/>
  <c r="J63"/>
  <c r="J62"/>
  <c r="J61"/>
  <c r="J60"/>
  <c r="J59"/>
  <c r="J58"/>
  <c r="J56"/>
  <c r="K56"/>
  <c r="J54"/>
  <c r="J53"/>
  <c r="J52"/>
  <c r="J51"/>
  <c r="J50"/>
  <c r="J49"/>
  <c r="J48"/>
  <c r="J47"/>
  <c r="J46"/>
  <c r="J45"/>
  <c r="J44"/>
  <c r="J43"/>
  <c r="J42"/>
  <c r="K42" s="1"/>
  <c r="J40"/>
  <c r="J39"/>
  <c r="E37"/>
  <c r="J37"/>
  <c r="E36"/>
  <c r="J36" s="1"/>
  <c r="E35"/>
  <c r="E34"/>
  <c r="E31"/>
  <c r="J31"/>
  <c r="J30"/>
  <c r="J29"/>
  <c r="J28"/>
  <c r="J27"/>
  <c r="J26"/>
  <c r="J25"/>
  <c r="J24"/>
  <c r="J23"/>
  <c r="J22"/>
  <c r="J21"/>
  <c r="J20"/>
  <c r="J19"/>
  <c r="K19" s="1"/>
  <c r="C249" i="17"/>
  <c r="I43" i="3"/>
  <c r="E126" i="17"/>
  <c r="G126"/>
  <c r="C25"/>
  <c r="H14" i="3"/>
  <c r="J14"/>
  <c r="F165"/>
  <c r="I165"/>
  <c r="I88"/>
  <c r="H88"/>
  <c r="J88"/>
  <c r="I84"/>
  <c r="I85"/>
  <c r="H85"/>
  <c r="J85"/>
  <c r="G238" i="17"/>
  <c r="H165" i="3"/>
  <c r="J165"/>
  <c r="I164"/>
  <c r="H164"/>
  <c r="J164"/>
  <c r="I163"/>
  <c r="I162"/>
  <c r="H162"/>
  <c r="J162"/>
  <c r="I161"/>
  <c r="H161"/>
  <c r="J161"/>
  <c r="H163"/>
  <c r="J163"/>
  <c r="H185"/>
  <c r="J185"/>
  <c r="I185"/>
  <c r="I137"/>
  <c r="H137"/>
  <c r="J137"/>
  <c r="G94" i="17"/>
  <c r="G93"/>
  <c r="G95"/>
  <c r="G98"/>
  <c r="I29" i="3"/>
  <c r="H29"/>
  <c r="J29"/>
  <c r="G80" i="17"/>
  <c r="G123"/>
  <c r="G124"/>
  <c r="G128"/>
  <c r="E125"/>
  <c r="G125"/>
  <c r="I142" i="3"/>
  <c r="H142"/>
  <c r="J142"/>
  <c r="I169"/>
  <c r="H169"/>
  <c r="J169"/>
  <c r="H168"/>
  <c r="J168"/>
  <c r="I168"/>
  <c r="I167"/>
  <c r="H167"/>
  <c r="J167"/>
  <c r="I159"/>
  <c r="H159"/>
  <c r="J159"/>
  <c r="I156"/>
  <c r="I157"/>
  <c r="I158"/>
  <c r="H158"/>
  <c r="J158"/>
  <c r="H157"/>
  <c r="J157"/>
  <c r="H156"/>
  <c r="J156"/>
  <c r="I135"/>
  <c r="I186"/>
  <c r="H186"/>
  <c r="J186"/>
  <c r="I184"/>
  <c r="H184"/>
  <c r="J184"/>
  <c r="H183"/>
  <c r="J183"/>
  <c r="I183"/>
  <c r="I182"/>
  <c r="H182"/>
  <c r="J182"/>
  <c r="H181"/>
  <c r="J181"/>
  <c r="I181"/>
  <c r="H180"/>
  <c r="J180"/>
  <c r="I180"/>
  <c r="H179"/>
  <c r="J179"/>
  <c r="I179"/>
  <c r="G140" i="17"/>
  <c r="G141"/>
  <c r="E143"/>
  <c r="G143"/>
  <c r="E142"/>
  <c r="G142"/>
  <c r="E139"/>
  <c r="G139"/>
  <c r="E138"/>
  <c r="G150"/>
  <c r="G149"/>
  <c r="G148"/>
  <c r="G147"/>
  <c r="G146"/>
  <c r="G145"/>
  <c r="G144"/>
  <c r="G138"/>
  <c r="G275"/>
  <c r="G273"/>
  <c r="G272"/>
  <c r="G269"/>
  <c r="G270"/>
  <c r="G271"/>
  <c r="G274"/>
  <c r="G268"/>
  <c r="G206"/>
  <c r="G205"/>
  <c r="G204"/>
  <c r="G203"/>
  <c r="G202"/>
  <c r="G201"/>
  <c r="G200"/>
  <c r="G199"/>
  <c r="G212"/>
  <c r="G213"/>
  <c r="G214"/>
  <c r="G215"/>
  <c r="G216"/>
  <c r="G217"/>
  <c r="G218"/>
  <c r="G219"/>
  <c r="I62" i="3"/>
  <c r="H62"/>
  <c r="J62"/>
  <c r="C256" i="17"/>
  <c r="H54" i="3"/>
  <c r="J54"/>
  <c r="I54"/>
  <c r="G319" i="17"/>
  <c r="H80" i="3"/>
  <c r="I121"/>
  <c r="H121"/>
  <c r="J121"/>
  <c r="I120"/>
  <c r="H120"/>
  <c r="J120"/>
  <c r="H119"/>
  <c r="I118"/>
  <c r="H118"/>
  <c r="J118"/>
  <c r="I117"/>
  <c r="H117"/>
  <c r="J117"/>
  <c r="I116"/>
  <c r="H116"/>
  <c r="J116"/>
  <c r="I115"/>
  <c r="I114"/>
  <c r="I113"/>
  <c r="I111"/>
  <c r="I109"/>
  <c r="I108"/>
  <c r="I107"/>
  <c r="I187"/>
  <c r="H187"/>
  <c r="J187"/>
  <c r="Q26" i="11"/>
  <c r="Q25"/>
  <c r="Q21"/>
  <c r="Q20"/>
  <c r="Q19"/>
  <c r="Q18"/>
  <c r="Q17"/>
  <c r="Q16"/>
  <c r="Q15"/>
  <c r="Q14"/>
  <c r="Q13"/>
  <c r="I49" i="3"/>
  <c r="H49"/>
  <c r="J49"/>
  <c r="H166"/>
  <c r="J166"/>
  <c r="H160"/>
  <c r="J160"/>
  <c r="I166"/>
  <c r="I160"/>
  <c r="I155"/>
  <c r="H155"/>
  <c r="J155"/>
  <c r="I151"/>
  <c r="H151"/>
  <c r="J151"/>
  <c r="I150"/>
  <c r="H150"/>
  <c r="J150"/>
  <c r="I149"/>
  <c r="H149"/>
  <c r="J149"/>
  <c r="I148"/>
  <c r="H148"/>
  <c r="J148"/>
  <c r="I147"/>
  <c r="H147"/>
  <c r="J147"/>
  <c r="I146"/>
  <c r="H146"/>
  <c r="J146"/>
  <c r="I145"/>
  <c r="H145"/>
  <c r="J145"/>
  <c r="H115"/>
  <c r="J115"/>
  <c r="H114"/>
  <c r="J114"/>
  <c r="H112"/>
  <c r="J112"/>
  <c r="H111"/>
  <c r="H154"/>
  <c r="J154"/>
  <c r="H153"/>
  <c r="J153"/>
  <c r="H144"/>
  <c r="J144"/>
  <c r="H143"/>
  <c r="J143"/>
  <c r="H129"/>
  <c r="J129"/>
  <c r="H128"/>
  <c r="J128"/>
  <c r="H127"/>
  <c r="J127"/>
  <c r="H126"/>
  <c r="J126"/>
  <c r="H135"/>
  <c r="J135"/>
  <c r="H134"/>
  <c r="J134"/>
  <c r="H125"/>
  <c r="J125"/>
  <c r="H124"/>
  <c r="J124"/>
  <c r="H123"/>
  <c r="J123"/>
  <c r="H122"/>
  <c r="J122"/>
  <c r="H113"/>
  <c r="J113"/>
  <c r="I122"/>
  <c r="I123"/>
  <c r="I124"/>
  <c r="I125"/>
  <c r="I134"/>
  <c r="I126"/>
  <c r="I127"/>
  <c r="I143"/>
  <c r="I144"/>
  <c r="I153"/>
  <c r="I154"/>
  <c r="H110"/>
  <c r="J110"/>
  <c r="H109"/>
  <c r="J109"/>
  <c r="H108"/>
  <c r="J108"/>
  <c r="H107"/>
  <c r="J107"/>
  <c r="I106"/>
  <c r="I104"/>
  <c r="I103"/>
  <c r="I102"/>
  <c r="I101"/>
  <c r="I100"/>
  <c r="I99"/>
  <c r="I98"/>
  <c r="H97"/>
  <c r="J97"/>
  <c r="I97"/>
  <c r="H98"/>
  <c r="J98"/>
  <c r="H99"/>
  <c r="J99"/>
  <c r="H100"/>
  <c r="J100"/>
  <c r="H101"/>
  <c r="J101"/>
  <c r="H102"/>
  <c r="J102"/>
  <c r="H103"/>
  <c r="J103"/>
  <c r="H104"/>
  <c r="J104"/>
  <c r="H106"/>
  <c r="J106"/>
  <c r="H96"/>
  <c r="J96"/>
  <c r="I96"/>
  <c r="I90"/>
  <c r="H90"/>
  <c r="J90"/>
  <c r="I16"/>
  <c r="H16"/>
  <c r="J16"/>
  <c r="D16" i="18"/>
  <c r="G462" i="17"/>
  <c r="G461"/>
  <c r="G460"/>
  <c r="G459"/>
  <c r="G458"/>
  <c r="G457"/>
  <c r="G456"/>
  <c r="G453"/>
  <c r="G450"/>
  <c r="G449"/>
  <c r="G448"/>
  <c r="G447"/>
  <c r="G446"/>
  <c r="G445"/>
  <c r="G444"/>
  <c r="G443"/>
  <c r="G442"/>
  <c r="G441"/>
  <c r="G440"/>
  <c r="C432"/>
  <c r="G432"/>
  <c r="E430"/>
  <c r="G430" s="1"/>
  <c r="E428"/>
  <c r="G428"/>
  <c r="E427"/>
  <c r="G427"/>
  <c r="E429"/>
  <c r="G429"/>
  <c r="E415"/>
  <c r="G415"/>
  <c r="E416"/>
  <c r="G416"/>
  <c r="E417"/>
  <c r="G417"/>
  <c r="E418"/>
  <c r="G418"/>
  <c r="E419"/>
  <c r="G419"/>
  <c r="E420"/>
  <c r="G420"/>
  <c r="E421"/>
  <c r="G421"/>
  <c r="G425"/>
  <c r="E424"/>
  <c r="G424"/>
  <c r="E423"/>
  <c r="G423"/>
  <c r="E422"/>
  <c r="G422"/>
  <c r="E414"/>
  <c r="G414"/>
  <c r="E413"/>
  <c r="G413"/>
  <c r="E412"/>
  <c r="G412"/>
  <c r="E411"/>
  <c r="G411"/>
  <c r="E410"/>
  <c r="G410" s="1"/>
  <c r="E409"/>
  <c r="G409"/>
  <c r="E408"/>
  <c r="G408"/>
  <c r="E407"/>
  <c r="G407"/>
  <c r="E405"/>
  <c r="G405"/>
  <c r="E404"/>
  <c r="G404"/>
  <c r="E406"/>
  <c r="G406"/>
  <c r="G397"/>
  <c r="G396"/>
  <c r="G395"/>
  <c r="G394"/>
  <c r="G393"/>
  <c r="G392"/>
  <c r="G391"/>
  <c r="G390"/>
  <c r="G384"/>
  <c r="G383"/>
  <c r="G382"/>
  <c r="G381"/>
  <c r="G380"/>
  <c r="G379"/>
  <c r="G378"/>
  <c r="G377"/>
  <c r="I377"/>
  <c r="I89" i="3"/>
  <c r="H89"/>
  <c r="J89"/>
  <c r="H87"/>
  <c r="J87"/>
  <c r="I87"/>
  <c r="G370" i="17"/>
  <c r="G369"/>
  <c r="G368"/>
  <c r="G367"/>
  <c r="G366"/>
  <c r="G365"/>
  <c r="G364"/>
  <c r="G363"/>
  <c r="G362"/>
  <c r="G361"/>
  <c r="G360"/>
  <c r="G359"/>
  <c r="G358"/>
  <c r="G357"/>
  <c r="G356"/>
  <c r="G350"/>
  <c r="G349"/>
  <c r="G348"/>
  <c r="G347"/>
  <c r="G346"/>
  <c r="G345"/>
  <c r="G344"/>
  <c r="G343"/>
  <c r="G342"/>
  <c r="G341"/>
  <c r="G340"/>
  <c r="I340"/>
  <c r="G334"/>
  <c r="G333"/>
  <c r="G332"/>
  <c r="G331"/>
  <c r="G330"/>
  <c r="G329"/>
  <c r="G328"/>
  <c r="G327"/>
  <c r="G326"/>
  <c r="G325"/>
  <c r="G324"/>
  <c r="G318"/>
  <c r="G317"/>
  <c r="G316"/>
  <c r="G315"/>
  <c r="G314"/>
  <c r="G313"/>
  <c r="G312"/>
  <c r="G311"/>
  <c r="G310"/>
  <c r="G309"/>
  <c r="G308"/>
  <c r="G302"/>
  <c r="G301"/>
  <c r="G300"/>
  <c r="G299"/>
  <c r="G298"/>
  <c r="G297"/>
  <c r="G296"/>
  <c r="G295"/>
  <c r="G294"/>
  <c r="G293"/>
  <c r="G292"/>
  <c r="H61" i="3"/>
  <c r="J61"/>
  <c r="I61"/>
  <c r="H60"/>
  <c r="J60"/>
  <c r="H57"/>
  <c r="J57"/>
  <c r="I57"/>
  <c r="G286" i="17"/>
  <c r="G285"/>
  <c r="G284"/>
  <c r="G283"/>
  <c r="G282"/>
  <c r="G281"/>
  <c r="G280"/>
  <c r="I280"/>
  <c r="C250"/>
  <c r="G250"/>
  <c r="G249"/>
  <c r="C248"/>
  <c r="G248"/>
  <c r="C246"/>
  <c r="G246"/>
  <c r="C244"/>
  <c r="G244"/>
  <c r="C245"/>
  <c r="G245"/>
  <c r="C247"/>
  <c r="G247"/>
  <c r="G262"/>
  <c r="G261"/>
  <c r="G260"/>
  <c r="G259"/>
  <c r="G258"/>
  <c r="G257"/>
  <c r="G256"/>
  <c r="G251"/>
  <c r="C226"/>
  <c r="G226"/>
  <c r="G237"/>
  <c r="G236"/>
  <c r="G235"/>
  <c r="G234"/>
  <c r="G233"/>
  <c r="G232"/>
  <c r="G231"/>
  <c r="G225"/>
  <c r="G224"/>
  <c r="G223"/>
  <c r="G220"/>
  <c r="G221"/>
  <c r="G222"/>
  <c r="E189"/>
  <c r="G189"/>
  <c r="E187"/>
  <c r="G187"/>
  <c r="G188"/>
  <c r="G190"/>
  <c r="G191"/>
  <c r="G192"/>
  <c r="G193"/>
  <c r="G194"/>
  <c r="G180"/>
  <c r="G175"/>
  <c r="G176"/>
  <c r="G177"/>
  <c r="G178"/>
  <c r="G179"/>
  <c r="G174"/>
  <c r="G173"/>
  <c r="I173"/>
  <c r="I41" i="3"/>
  <c r="G157" i="17"/>
  <c r="G158"/>
  <c r="G159"/>
  <c r="G156"/>
  <c r="G168"/>
  <c r="G167"/>
  <c r="G166"/>
  <c r="G165"/>
  <c r="G164"/>
  <c r="G163"/>
  <c r="G162"/>
  <c r="G161"/>
  <c r="G160"/>
  <c r="E127"/>
  <c r="G127"/>
  <c r="G122"/>
  <c r="I122"/>
  <c r="G117"/>
  <c r="C116"/>
  <c r="G116"/>
  <c r="G115"/>
  <c r="G107"/>
  <c r="G108"/>
  <c r="G109"/>
  <c r="G110"/>
  <c r="G111"/>
  <c r="G112"/>
  <c r="G113"/>
  <c r="G114"/>
  <c r="G106"/>
  <c r="G105"/>
  <c r="F35" i="3"/>
  <c r="I35"/>
  <c r="F99" i="17"/>
  <c r="G99"/>
  <c r="F97"/>
  <c r="G97"/>
  <c r="F96"/>
  <c r="G96"/>
  <c r="F92"/>
  <c r="G92"/>
  <c r="F90"/>
  <c r="G90"/>
  <c r="F91"/>
  <c r="G91"/>
  <c r="G81"/>
  <c r="G79"/>
  <c r="G78"/>
  <c r="G77"/>
  <c r="G76"/>
  <c r="G75"/>
  <c r="G64"/>
  <c r="G65"/>
  <c r="G66"/>
  <c r="G67"/>
  <c r="G68"/>
  <c r="G69"/>
  <c r="G63"/>
  <c r="G52"/>
  <c r="G53"/>
  <c r="G54"/>
  <c r="G55"/>
  <c r="G56"/>
  <c r="G57"/>
  <c r="G51"/>
  <c r="F22" i="3"/>
  <c r="I22"/>
  <c r="G44" i="17"/>
  <c r="G43"/>
  <c r="G42"/>
  <c r="G41"/>
  <c r="G40"/>
  <c r="G39"/>
  <c r="G38"/>
  <c r="I38" s="1"/>
  <c r="F29"/>
  <c r="C29"/>
  <c r="G29"/>
  <c r="F28"/>
  <c r="C28"/>
  <c r="F27"/>
  <c r="C27"/>
  <c r="G27"/>
  <c r="F26"/>
  <c r="C26"/>
  <c r="F25"/>
  <c r="G25"/>
  <c r="F24"/>
  <c r="C24"/>
  <c r="G24"/>
  <c r="G14"/>
  <c r="G7"/>
  <c r="G8"/>
  <c r="G9"/>
  <c r="G10"/>
  <c r="G11"/>
  <c r="G12"/>
  <c r="G13"/>
  <c r="G15"/>
  <c r="G16"/>
  <c r="G17"/>
  <c r="G18"/>
  <c r="G6"/>
  <c r="I6" s="1"/>
  <c r="H86" i="3"/>
  <c r="J86"/>
  <c r="I86"/>
  <c r="I173"/>
  <c r="H175"/>
  <c r="J175"/>
  <c r="I175"/>
  <c r="H176"/>
  <c r="J176"/>
  <c r="H177"/>
  <c r="J177"/>
  <c r="I177"/>
  <c r="I178"/>
  <c r="H178"/>
  <c r="J178"/>
  <c r="I94"/>
  <c r="H94"/>
  <c r="J94"/>
  <c r="H84"/>
  <c r="J84"/>
  <c r="H79"/>
  <c r="J79"/>
  <c r="I79"/>
  <c r="I78"/>
  <c r="H78"/>
  <c r="J78"/>
  <c r="I77"/>
  <c r="H77"/>
  <c r="J77"/>
  <c r="H48"/>
  <c r="J48"/>
  <c r="I48"/>
  <c r="H44"/>
  <c r="H45"/>
  <c r="J45"/>
  <c r="I45"/>
  <c r="H46"/>
  <c r="J46"/>
  <c r="I46"/>
  <c r="H47"/>
  <c r="J47"/>
  <c r="I47"/>
  <c r="H74"/>
  <c r="H73"/>
  <c r="J73"/>
  <c r="H15"/>
  <c r="J15"/>
  <c r="I15"/>
  <c r="H70"/>
  <c r="J70"/>
  <c r="I70"/>
  <c r="I60"/>
  <c r="H59"/>
  <c r="J59"/>
  <c r="I59"/>
  <c r="H58"/>
  <c r="J58"/>
  <c r="I58"/>
  <c r="H42"/>
  <c r="J42"/>
  <c r="I42"/>
  <c r="H43"/>
  <c r="J43"/>
  <c r="H37"/>
  <c r="J37"/>
  <c r="I37"/>
  <c r="H38"/>
  <c r="J38"/>
  <c r="I38"/>
  <c r="H41"/>
  <c r="J41"/>
  <c r="H30"/>
  <c r="J30"/>
  <c r="I30"/>
  <c r="H28"/>
  <c r="J28"/>
  <c r="I28"/>
  <c r="H27"/>
  <c r="J27"/>
  <c r="I27"/>
  <c r="H26"/>
  <c r="H25"/>
  <c r="G28" i="17"/>
  <c r="G26"/>
  <c r="I24" s="1"/>
  <c r="I63"/>
  <c r="H22" i="3"/>
  <c r="J22"/>
  <c r="H23"/>
  <c r="J23"/>
  <c r="I23"/>
  <c r="H24"/>
  <c r="J24"/>
  <c r="I24"/>
  <c r="Q32" i="11"/>
  <c r="Q33"/>
  <c r="R33"/>
  <c r="I56" i="3"/>
  <c r="I21"/>
  <c r="I19"/>
  <c r="H65"/>
  <c r="J65"/>
  <c r="I14"/>
  <c r="I13" s="1"/>
  <c r="I65"/>
  <c r="H69"/>
  <c r="J69"/>
  <c r="J68" s="1"/>
  <c r="D19" i="11" s="1"/>
  <c r="I66" i="3"/>
  <c r="H21"/>
  <c r="J21"/>
  <c r="H56"/>
  <c r="J56"/>
  <c r="I53"/>
  <c r="H35"/>
  <c r="H55"/>
  <c r="J55"/>
  <c r="I55"/>
  <c r="H66"/>
  <c r="J66"/>
  <c r="I36"/>
  <c r="H36"/>
  <c r="J36"/>
  <c r="I34"/>
  <c r="I33" s="1"/>
  <c r="H34"/>
  <c r="J34"/>
  <c r="I69"/>
  <c r="H53"/>
  <c r="J53"/>
  <c r="I20"/>
  <c r="H20"/>
  <c r="J20"/>
  <c r="H19"/>
  <c r="J19"/>
  <c r="I199" i="17"/>
  <c r="I324"/>
  <c r="F44" i="3"/>
  <c r="AA22" i="24"/>
  <c r="I68" i="3"/>
  <c r="I105" i="17"/>
  <c r="I156"/>
  <c r="I75"/>
  <c r="I390"/>
  <c r="I440"/>
  <c r="I212"/>
  <c r="I51"/>
  <c r="I231"/>
  <c r="I244"/>
  <c r="I308"/>
  <c r="I268"/>
  <c r="I256"/>
  <c r="I292"/>
  <c r="I356"/>
  <c r="I138"/>
  <c r="I90"/>
  <c r="I187"/>
  <c r="I404"/>
  <c r="J335" i="22"/>
  <c r="K331" s="1"/>
  <c r="J34"/>
  <c r="J120"/>
  <c r="K315"/>
  <c r="J35"/>
  <c r="K159"/>
  <c r="K58"/>
  <c r="K233"/>
  <c r="K151"/>
  <c r="K274"/>
  <c r="J111" i="3"/>
  <c r="I110"/>
  <c r="I112"/>
  <c r="K33" i="26"/>
  <c r="K331"/>
  <c r="J168"/>
  <c r="J86"/>
  <c r="J365"/>
  <c r="K365"/>
  <c r="J119" i="3"/>
  <c r="F25"/>
  <c r="J25"/>
  <c r="J44"/>
  <c r="I64"/>
  <c r="I72"/>
  <c r="J35"/>
  <c r="J74"/>
  <c r="I44"/>
  <c r="F26"/>
  <c r="J26" s="1"/>
  <c r="J80"/>
  <c r="J72"/>
  <c r="D20" i="11"/>
  <c r="I25" i="3"/>
  <c r="J86" i="22"/>
  <c r="K136"/>
  <c r="K33"/>
  <c r="K291"/>
  <c r="J365"/>
  <c r="K365"/>
  <c r="K144"/>
  <c r="J88" i="26"/>
  <c r="K88"/>
  <c r="K86"/>
  <c r="K168"/>
  <c r="J170"/>
  <c r="K170"/>
  <c r="I26" i="3"/>
  <c r="K86" i="22"/>
  <c r="J88"/>
  <c r="K88"/>
  <c r="I141" i="25"/>
  <c r="J165"/>
  <c r="J141"/>
  <c r="J133"/>
  <c r="I133"/>
  <c r="I76"/>
  <c r="J74"/>
  <c r="J72"/>
  <c r="I64"/>
  <c r="I52"/>
  <c r="J52"/>
  <c r="J40"/>
  <c r="J33"/>
  <c r="J22"/>
  <c r="J83"/>
  <c r="J76"/>
  <c r="I35"/>
  <c r="I33"/>
  <c r="I44"/>
  <c r="I40"/>
  <c r="I73"/>
  <c r="I74"/>
  <c r="I18" i="3"/>
  <c r="J18"/>
  <c r="D14" i="11"/>
  <c r="F14"/>
  <c r="J171" i="3"/>
  <c r="D26" i="11"/>
  <c r="H26"/>
  <c r="I171" i="3"/>
  <c r="I141"/>
  <c r="J141"/>
  <c r="D25" i="11"/>
  <c r="P25"/>
  <c r="I133" i="3"/>
  <c r="J133"/>
  <c r="D24" i="11"/>
  <c r="N24"/>
  <c r="I93" i="3"/>
  <c r="J93"/>
  <c r="D23" i="11"/>
  <c r="H23"/>
  <c r="I83" i="3"/>
  <c r="J83"/>
  <c r="D22" i="11"/>
  <c r="J22"/>
  <c r="J76" i="3"/>
  <c r="D21" i="11"/>
  <c r="J21"/>
  <c r="I76" i="3"/>
  <c r="N20" i="11"/>
  <c r="R20" s="1"/>
  <c r="P20"/>
  <c r="F20"/>
  <c r="L20"/>
  <c r="J20"/>
  <c r="H20"/>
  <c r="H19"/>
  <c r="N19"/>
  <c r="L19"/>
  <c r="R19" s="1"/>
  <c r="F19"/>
  <c r="P19"/>
  <c r="J19"/>
  <c r="J64" i="3"/>
  <c r="D18" i="11"/>
  <c r="F18"/>
  <c r="N18"/>
  <c r="J52" i="3"/>
  <c r="D17" i="11"/>
  <c r="H17"/>
  <c r="I52" i="3"/>
  <c r="I40"/>
  <c r="J40"/>
  <c r="D16" i="11"/>
  <c r="P16"/>
  <c r="J33" i="3"/>
  <c r="D15" i="11"/>
  <c r="L15"/>
  <c r="J15"/>
  <c r="L14"/>
  <c r="J13" i="3"/>
  <c r="I72" i="25"/>
  <c r="H14" i="11"/>
  <c r="J14"/>
  <c r="N14"/>
  <c r="P14"/>
  <c r="J26"/>
  <c r="F26"/>
  <c r="N26"/>
  <c r="L26"/>
  <c r="P26"/>
  <c r="L25"/>
  <c r="N25"/>
  <c r="J25"/>
  <c r="F25"/>
  <c r="H25"/>
  <c r="P24"/>
  <c r="J24"/>
  <c r="L24"/>
  <c r="F24"/>
  <c r="H24"/>
  <c r="J23"/>
  <c r="L23"/>
  <c r="F23"/>
  <c r="N23"/>
  <c r="P23"/>
  <c r="P22"/>
  <c r="H22"/>
  <c r="L22"/>
  <c r="F22"/>
  <c r="N22"/>
  <c r="N21"/>
  <c r="H21"/>
  <c r="P21"/>
  <c r="F21"/>
  <c r="L21"/>
  <c r="P18"/>
  <c r="H18"/>
  <c r="R18" s="1"/>
  <c r="L18"/>
  <c r="J18"/>
  <c r="L17"/>
  <c r="J17"/>
  <c r="I11" i="3"/>
  <c r="P17" i="11"/>
  <c r="R17" s="1"/>
  <c r="F17"/>
  <c r="N17"/>
  <c r="F16"/>
  <c r="H16"/>
  <c r="J11" i="3"/>
  <c r="N16" i="11"/>
  <c r="J16"/>
  <c r="L16"/>
  <c r="H15"/>
  <c r="N15"/>
  <c r="F15"/>
  <c r="P15"/>
  <c r="R15" s="1"/>
  <c r="D13"/>
  <c r="D27" s="1"/>
  <c r="R24"/>
  <c r="R14"/>
  <c r="R26"/>
  <c r="R25"/>
  <c r="R23"/>
  <c r="R22"/>
  <c r="R21"/>
  <c r="R16"/>
  <c r="F13"/>
  <c r="F27" s="1"/>
  <c r="P13"/>
  <c r="P27" s="1"/>
  <c r="H13"/>
  <c r="H27" s="1"/>
  <c r="G27" s="1"/>
  <c r="C17" l="1"/>
  <c r="C24"/>
  <c r="C18"/>
  <c r="C13"/>
  <c r="C20"/>
  <c r="C25"/>
  <c r="C14"/>
  <c r="C16"/>
  <c r="C23"/>
  <c r="C21"/>
  <c r="C19"/>
  <c r="C22"/>
  <c r="C26"/>
  <c r="C15"/>
  <c r="O27"/>
  <c r="E27"/>
  <c r="E28" s="1"/>
  <c r="G28" s="1"/>
  <c r="F28"/>
  <c r="H28" s="1"/>
  <c r="L13"/>
  <c r="L27" s="1"/>
  <c r="K27" s="1"/>
  <c r="J13"/>
  <c r="J27" s="1"/>
  <c r="I27" s="1"/>
  <c r="N13"/>
  <c r="N27" s="1"/>
  <c r="M27" s="1"/>
  <c r="K110" i="22"/>
  <c r="J168" s="1"/>
  <c r="K172"/>
  <c r="F25" i="25"/>
  <c r="I22"/>
  <c r="I119"/>
  <c r="J119"/>
  <c r="I128"/>
  <c r="J128"/>
  <c r="I129"/>
  <c r="J129"/>
  <c r="J176"/>
  <c r="J171" s="1"/>
  <c r="I176"/>
  <c r="I171" s="1"/>
  <c r="I28" i="11" l="1"/>
  <c r="K28" s="1"/>
  <c r="M28" s="1"/>
  <c r="O28" s="1"/>
  <c r="J28"/>
  <c r="L28" s="1"/>
  <c r="N28" s="1"/>
  <c r="P28" s="1"/>
  <c r="Q27"/>
  <c r="R13"/>
  <c r="R27"/>
  <c r="C27"/>
  <c r="J93" i="25"/>
  <c r="I93"/>
  <c r="F26"/>
  <c r="I25"/>
  <c r="J25"/>
  <c r="J170" i="22"/>
  <c r="K170" s="1"/>
  <c r="K168"/>
  <c r="J26" i="25" l="1"/>
  <c r="J18" s="1"/>
  <c r="J11" s="1"/>
  <c r="I26"/>
  <c r="I18" s="1"/>
  <c r="I11" s="1"/>
</calcChain>
</file>

<file path=xl/sharedStrings.xml><?xml version="1.0" encoding="utf-8"?>
<sst xmlns="http://schemas.openxmlformats.org/spreadsheetml/2006/main" count="3192" uniqueCount="937">
  <si>
    <t>Obra: Reforma, Ampliação e Adequação Sede Própria do IMP</t>
  </si>
  <si>
    <t>BDI</t>
  </si>
  <si>
    <t>PRAZO EXECUÇÃO</t>
  </si>
  <si>
    <t>6 MESES</t>
  </si>
  <si>
    <t>DATA</t>
  </si>
  <si>
    <t>REFERÊNCIAS</t>
  </si>
  <si>
    <t>Endereço: Rua Newton Penido n° 54/56 Municipío de Itaúna</t>
  </si>
  <si>
    <t>SETOP OUT/2025</t>
  </si>
  <si>
    <t>SINAPI 12/2025</t>
  </si>
  <si>
    <t>ITEM</t>
  </si>
  <si>
    <t>CODIGO</t>
  </si>
  <si>
    <t>BANCO</t>
  </si>
  <si>
    <t>SERVIÇO</t>
  </si>
  <si>
    <t>UND</t>
  </si>
  <si>
    <t>QUANT.</t>
  </si>
  <si>
    <t>VALOR UNITÁRIO</t>
  </si>
  <si>
    <t>VALOR UNITÁRIO 
(COM BDI)</t>
  </si>
  <si>
    <t>CUSTO TOTAL</t>
  </si>
  <si>
    <t>CUSTO TOTAL (COM BDI)</t>
  </si>
  <si>
    <t>01</t>
  </si>
  <si>
    <t>SERVIÇOS PRELIMINARES</t>
  </si>
  <si>
    <t>01.01</t>
  </si>
  <si>
    <t>ED-28427</t>
  </si>
  <si>
    <t>SETOP</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</si>
  <si>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</si>
  <si>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01.02</t>
  </si>
  <si>
    <t>ED-19633</t>
  </si>
  <si>
    <t>ESCORAMENTO METÁLICO PARA LAJE E VIGA EM CONCRETO ARMADO, TIPO "A", ALTURA DE (200 ATÉ 310)CM, INCLUSIVE DESCARGA, MONTAGEM, DESMONTAGEM E CARGA</t>
  </si>
  <si>
    <t>M2XMES</t>
  </si>
  <si>
    <t>01.03</t>
  </si>
  <si>
    <t>CO-27430</t>
  </si>
  <si>
    <t>PROJETO EXECUTIVO DE INSTALAÇÕES HIDRO SANITÁRIAS</t>
  </si>
  <si>
    <t>PR A1</t>
  </si>
  <si>
    <t>02</t>
  </si>
  <si>
    <t>ESCAVAÇÕES, DEMOLIÇÕES E REMOÇÃO</t>
  </si>
  <si>
    <t>02.01</t>
  </si>
  <si>
    <t>ED-48435</t>
  </si>
  <si>
    <t>DEMOLIÇÃO MANUAL DE ALVENARIA DE TIJOLO CERÂMICO OU BLOCO DE CONCRETO, INCLUSIVE AFASTAMENTO E EMPILHAMENTO, EXCLUSIVE TRANSPORTE E RETIRADA DO MATERIAL DEMOLIDO</t>
  </si>
  <si>
    <t>M3</t>
  </si>
  <si>
    <t>02.02</t>
  </si>
  <si>
    <t>ED-48502</t>
  </si>
  <si>
    <t>DEMOLIÇÃO MANUAL DE REVESTIMENTO CERÂMICO, AZULEJO OU LADRILHO HIDRÁULICO, INCLUSIVE AFASTAMENTO E EMPILHAMENTO, EXCLUSIVE DEMOLIÇÃO DO REBOCO OU EMBOÇO, TRANSPORTE E RETIRADA DO MATERIAL DEMOLIDO</t>
  </si>
  <si>
    <t>M2</t>
  </si>
  <si>
    <t>02.03</t>
  </si>
  <si>
    <t>ED-48480</t>
  </si>
  <si>
    <t>DEMOLIÇÃO MANUAL DE PISO CERÂMICO OU LADRILHO HIDRÁULICO, INCLUSIVE AFASTAMENTO E EMPILHAMENTO, EXCLUSIVE DEMOLIÇÃO DE CONTRAPISO, TRANSPORTE E RETIRADA DO MATERIAL DEMOLIDO</t>
  </si>
  <si>
    <t>02.04</t>
  </si>
  <si>
    <t>97628</t>
  </si>
  <si>
    <t>SINAPI</t>
  </si>
  <si>
    <t>DEMOLIÇÃO DE LAJES, EM CONCRETO ARMADO, DE FORMA MANUAL, SEM REAPROVEITAMENTO. AF_09/2023</t>
  </si>
  <si>
    <t>02.05</t>
  </si>
  <si>
    <t>ED-51107</t>
  </si>
  <si>
    <t>ESCAVAÇÃO MANUAL DE VALA COM PROFUNDIDADE MENOR OU IGUAL A 1,5M, INCLUSIVE DESCARGA LATERAL</t>
  </si>
  <si>
    <t>02.06</t>
  </si>
  <si>
    <t>ED-51093</t>
  </si>
  <si>
    <t>PILOAMENTO MANUAL EM FUNDO DE VALA COM SOQUETE, EXCLUSIVE ESCAVAÇÃO</t>
  </si>
  <si>
    <t>02.07</t>
  </si>
  <si>
    <t>ED-51133</t>
  </si>
  <si>
    <t>TRANSPORTE DE MATERIAL DE QUALQUER NATUREZA COM CARRINHO DE MÃO, COM DISTÂNCIAS MENORES OU IGUAIS A 50M, INCLUSIVE CARGA/DESCARGA</t>
  </si>
  <si>
    <t>02.08</t>
  </si>
  <si>
    <t>ED-51125</t>
  </si>
  <si>
    <t>TRANSPORTE DE MATERIAL DEMOLIDO EM CAÇAMBA, EXCLUSIVE CARGA MANUAL OU MECÂNICA</t>
  </si>
  <si>
    <t>02.09</t>
  </si>
  <si>
    <t>ED-48512</t>
  </si>
  <si>
    <t>REMOÇÃO MANUAL DE TELHA  EM FIBROCIMENTO, TIPO ONDULADA, COM REAPROVEITAMENTO, INCLUSIVE AFASTAMENTO E EMPILHAMENTO, EXCLUSIVE TRANSPORTE E RETIRADA DO MATERIAL REMOVIDO NÃO REAPROVEITÁVEL</t>
  </si>
  <si>
    <t>02.10</t>
  </si>
  <si>
    <t>ED-48494</t>
  </si>
  <si>
    <t>REMOÇÃO MANUAL DE FOLHA DE PORTA OU JANELA DE MADEIRA OU METÁLICA, COM REAPROVEITAMENTO, INCLUSIVE AFASTAMENTO E EMPILHAMENTO, EXCLUSIVE TRANSPORTE E RETIRADA DO MATERIAL REMOVIDO NÃO REAPROVEITÁVEL</t>
  </si>
  <si>
    <t>02.11</t>
  </si>
  <si>
    <t>ED-48495</t>
  </si>
  <si>
    <t>REMOÇÃO MANUAL DE MARCO EM MADEIRA OU METÁLICO, COM REAPROVEITAMENTO, INCLUSIVE AFASTAMENTO E EMPILHAMENTO, EXCLUSIVE TRANSPORTE E RETIRADA DO MATERIAL REMOVIDO NÃO REAPROVEITÁVEL</t>
  </si>
  <si>
    <t>U</t>
  </si>
  <si>
    <t>02.12</t>
  </si>
  <si>
    <t>ED-48509</t>
  </si>
  <si>
    <t>REMOÇÃO MANUAL DE TELHA METÁLICA OU PVC, COM REAPROVEITAMENTO, INCLUSIVE AFASTAMENTO E EMPILHAMENTO, EXCLUSIVE TRANSPORTE E RETIRADA DO MATERIAL REMOVIDO NÃO REAPROVEITÁVEL</t>
  </si>
  <si>
    <t>02.13</t>
  </si>
  <si>
    <t>ED-48479</t>
  </si>
  <si>
    <t xml:space="preserve">DEMOLIÇÃO MANUAL DE PISO CIMENTADO OU CONTRAPISO DE ARGAMASSA, COM ESPESSURA MÁXIMA DE 10CM, INCLUSIVE AFASTAMENTO E EMPILHAMENTO, EXCLUSIVE TRANSPORTE E RETIRADA DO MATERIAL DEMOLIDO
</t>
  </si>
  <si>
    <t>03</t>
  </si>
  <si>
    <t>ALVENÁRIAS</t>
  </si>
  <si>
    <t>03.01</t>
  </si>
  <si>
    <t>ED-48232</t>
  </si>
  <si>
    <t>ALVENARIA DE VEDAÇÃO COM TIJOLO CERÂMICO FURADO, ESP. 14CM, PARA REVESTIMENTO, INCLUSIVE ARGAMASSA PARA ASSENTAMENTO</t>
  </si>
  <si>
    <t>03.02</t>
  </si>
  <si>
    <t>ED-8346</t>
  </si>
  <si>
    <t>ENCUNHAMENTO DE ALVENARIA DE VEDAÇÃO COM ARGAMASSA, INCLUSIVE ADITIVO EXPANSOR PARA ENCUNHAMENTO</t>
  </si>
  <si>
    <t>M</t>
  </si>
  <si>
    <t>03.03</t>
  </si>
  <si>
    <t>ED-9903</t>
  </si>
  <si>
    <t>VERGA OU CONTRAVERGA EM CONCRETO ESTRUTURAL PARA VÃOS DE ATÉ 150CM, PREPARADO EM OBRA COM BETONEIRA, CONTROLE "A", COM FCK 20 MPA, MOLDADA IN LOCO, INCLUSIVE ARMAÇÃO</t>
  </si>
  <si>
    <t>03.04</t>
  </si>
  <si>
    <t>ED-48201</t>
  </si>
  <si>
    <t>ALVENARIA ESTRUTURAL COM BLOCO DE CONCRETO, ESP. 14CM , (FBK 4,5MPA), PARA REVESTIMENTO, INCLUSIVE ARGAMASSA PARA ASSENTAMENTO</t>
  </si>
  <si>
    <t>03.05</t>
  </si>
  <si>
    <t>ED-48213</t>
  </si>
  <si>
    <t>ALVENARIA DE BLOCO DE CONCRETO CHEIO COM ARMAÇÃO, EM CONCRETO COM FCK 15MPA , ESP. 14CM, PARA REVESTIMENTO, INCLUSIVE ARGAMASSA PARA ASSENTAMENTO (DETALHE D CADERNO SEDS)</t>
  </si>
  <si>
    <t>04</t>
  </si>
  <si>
    <t>DIVISÕES E REVESTIMENTOS</t>
  </si>
  <si>
    <t>04.01</t>
  </si>
  <si>
    <t>ED-48209</t>
  </si>
  <si>
    <t>PAREDE EM CHAPA DE GESSO ACARTONADO (DRYWALL), DIVISÃO ENTRE ÁREAS SECAS DE UMA MESMA UNIDADE (ST/ST), ESP. 115 MM, INCLUSIVE MONTANTES, GUIAS E ACESSÓRIOS, EXCLUSIVE ISOLANTE TÉRMICO/ACÚSTICO</t>
  </si>
  <si>
    <t>04.02</t>
  </si>
  <si>
    <t>ED-48533</t>
  </si>
  <si>
    <t>DIVISÓRIA EM GRANITO CINZA ANDORINHA, ESP. 3CM, INCLUSIVE INSTALAÇÃO, FERRAGENS EM LATÃO CROMADO E ACESSÓRIOS</t>
  </si>
  <si>
    <t>04.03</t>
  </si>
  <si>
    <t>ED-50730</t>
  </si>
  <si>
    <t>CHAPISCO COM ARGAMASSA, TRAÇO 1:2:3 (CIMENTO, AREIA E PEDRISCO), APLICADO COM COLHER, ESP. 5MM, INCLUSIVE ARGAMASSA COM PREPARO MECANIZADO</t>
  </si>
  <si>
    <t>04.04</t>
  </si>
  <si>
    <t>ED-50761</t>
  </si>
  <si>
    <t>REBOCO COM ARGAMASSA, TRAÇO 1:2:8 (CIMENTO, CAL E AREIA) , ESP. 20MM, APLICAÇÃO MANUAL, INCLUSIVE ARGAMASSA COM PREPARO MECANIZADO, EXCLUSIVE CHAPISCO</t>
  </si>
  <si>
    <t>04.05</t>
  </si>
  <si>
    <t>ED-9081</t>
  </si>
  <si>
    <t>REVESTIMENTO COM CERÂMICA APLICADO EM PAREDE, ACABAMENTO ESMALTADO, AMBIENTE INTERNO/EXTERNO, PADRÃO EXTRA, DIMENSÃO DA PEÇA ATÉ 2025 CM2, PEI III, ASSENTAMENTO COM ARGAMASSA INDUSTRIALIZADA, INCLUSIVE REJUNTAMENTO</t>
  </si>
  <si>
    <t>04.06</t>
  </si>
  <si>
    <t>ED-50724</t>
  </si>
  <si>
    <t>REVESTIMENTO COM CERÂMICA APLICADO EM PISO, ACABAMENTO ESMALTADO, AMBIENTE INTERNO, PADRÃO EXTRA, DIMENSÃO DA PEÇA ATÉ 2025 CM2, PEI IV, ASSENTAMENTO COM ARGAMASSA INDUSTRIALIZADA, INCLUSIVE REJUNTAMENTO</t>
  </si>
  <si>
    <t>04.07</t>
  </si>
  <si>
    <t>ED-50715</t>
  </si>
  <si>
    <t>REVESTIMENTO COM AZULEJO BRANCO (15X15CM), JUNTA A PRUMO ASSENTAMENTO COM ARGAMASSA INDUSTRIALIZADA , INCLUSIVE REJUNTAMENTO</t>
  </si>
  <si>
    <t>04.08</t>
  </si>
  <si>
    <t>ED-50568</t>
  </si>
  <si>
    <t>CONTRAPISO DESEMPENADO COM ARGAMASSA, TRAÇO 1:3 ( CIMENTO E AREIA), ESP. 30MM</t>
  </si>
  <si>
    <t>04.09</t>
  </si>
  <si>
    <t>88648</t>
  </si>
  <si>
    <t>RODAPÉ CERÂMICO DE 7CM DE ALTURA COM PLACAS TIPO ESMALTADA EXTRA DE DIMENSÕES 35X35CM. AF_02/2023</t>
  </si>
  <si>
    <t>04.10</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</si>
  <si>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</si>
  <si>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</si>
  <si>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05</t>
  </si>
  <si>
    <t>ESQUADRIAS , GRADE PROTEÇÃO</t>
  </si>
  <si>
    <t>05.01</t>
  </si>
  <si>
    <t>ED-50955</t>
  </si>
  <si>
    <t>FORNECIMENTO DE JANELA DE CORRER EM FERRO, INCLUSIVE ASSENTAMENTO, FERRAGENS E ACESSÓRIOS</t>
  </si>
  <si>
    <t>05.02</t>
  </si>
  <si>
    <t>ED-50957</t>
  </si>
  <si>
    <t>FORNECIMENTO DE JANELA BASCULANTE EM METALON, INCLUSIVE ASSENTAMENTO, FERRAGENS E ACESSÓRIOS</t>
  </si>
  <si>
    <t>05.03</t>
  </si>
  <si>
    <t>ED-50983</t>
  </si>
  <si>
    <t>PORTÃO DE GRADE EM BARRA REDONDA 1/2" E REQUADRO EM BARRA CHATA 1.1/4"X3/16", EXCLUSIVE CADEADO E PINTURA</t>
  </si>
  <si>
    <t>05.04</t>
  </si>
  <si>
    <t>ED-49603</t>
  </si>
  <si>
    <t>PORTA DE MADEIRA COMPLETA, DIMENSÃO (90X210)CM, TIPO DE ABRIR, UMA (1) FOLHA, ACABAMENTO NATURAL PARA PINTURA/ VERNIZ, TIPO PRANCHETA/SARRAFEADA, INCLUSIVE MARCO, ALIZAR E FERRAGENS, EXCLUSIVE PINTURA/VERNIZ</t>
  </si>
  <si>
    <t>UNID</t>
  </si>
  <si>
    <t>05.05</t>
  </si>
  <si>
    <t>ED-49602</t>
  </si>
  <si>
    <t>PORTA DE MADEIRA COMPLETA, DIMENSÃO (80X210)CM, TIPO DE ABRIR, UMA (1) FOLHA, ACABAMENTO NATURAL PARA PINTURA/ VERNIZ, TIPO PRANCHETA/SARRAFEADA, INCLUSIVE MARCO, ALIZAR E FERRAGENS, EXCLUSIVE PINTURA/VERNIZ</t>
  </si>
  <si>
    <t>05.06</t>
  </si>
  <si>
    <t>ED-50975</t>
  </si>
  <si>
    <t>PORTA METÁLICA EM CHAPA DOBRADA, DIMENSÃO (90X210)CM, TIPO DE ABRIR, UMA (1) FOLHA, INCLUSIVE ESTRUTURA, DOBRADIÇA E MARCO, EXCLUSIVE FECHADURA E PINTURA</t>
  </si>
  <si>
    <t>05.07</t>
  </si>
  <si>
    <t>ED-50976</t>
  </si>
  <si>
    <t>PORTA METÁLICA PARA SANITÁRIO EM EM CHAPA GALVANIZADA, ESP. 1,25MM (GSG-18), DIMENSÃO (60X150)CM, TIPO DE ABRIR, UMA (1) FOLHA, INCLUSIVE BATENTE, ESTRUTURA EM METALON ( 20X30)MM, DOBRADIÇA E TRANQUETA, EXCLUSIVE PINTURA</t>
  </si>
  <si>
    <t>05.08</t>
  </si>
  <si>
    <t>ED-13888</t>
  </si>
  <si>
    <t>PORTA METÁLICA, TIPO DE CORRER, COM UMA (1) FOLHA, EM CHAPA GALVANIZADA LAMBRIL, MODELO ONDULADA, INCLUSIVE FORNECIMENTO, ASSENTAMENTO, PERFIS PARA MARCO E PINTURA ANTICORROSIVA COM UMA (1) DEMÃO, EXCLUSIVE FECHADURA E ROLDANAS</t>
  </si>
  <si>
    <t>05.09</t>
  </si>
  <si>
    <t>ED-50951</t>
  </si>
  <si>
    <t>FORNECIMENTO DE GRADE FIXA DE FERRO, PARA PROTEÇÃO DE JANELA, INCLUSIVE ASSENTAMENTO, FERRAGENS E ACESSÓRIOS</t>
  </si>
  <si>
    <t>05.10</t>
  </si>
  <si>
    <t>ED-51155</t>
  </si>
  <si>
    <t>VIDRO COMUM TRANSPARENTE INCOLOR, ESP. 3MM, INCLUSIVE FIXAÇÃO E VEDAÇÃO COM GUARNIÇÃO/GAXETA DE BORRACHA NEOPRENE, FORNECIMENTO E INSTALAÇÃO, EXCLUSIVE CAIXILHO/PERFIL</t>
  </si>
  <si>
    <t>06</t>
  </si>
  <si>
    <t>CORTE E DOBRA DE AÇO</t>
  </si>
  <si>
    <t>06.01</t>
  </si>
  <si>
    <t>ED-48295</t>
  </si>
  <si>
    <t>CORTE, DOBRA E MONTAGEM DE AÇO CA-50, DIÂMETRO (6,3MM A 12,5MM), INCLUSIVE ESPAÇADOR</t>
  </si>
  <si>
    <t>KG</t>
  </si>
  <si>
    <t>06.02</t>
  </si>
  <si>
    <t>ED-48297</t>
  </si>
  <si>
    <t>CORTE, DOBRA E MONTAGEM DE AÇO CA-60, DIÂMETRO (4,2MM A 5,0MM), INCLUSIVE ESPAÇADOR</t>
  </si>
  <si>
    <t>07</t>
  </si>
  <si>
    <t>CONCRETO, FORMA E DESFORMA</t>
  </si>
  <si>
    <t>07.01</t>
  </si>
  <si>
    <t>ED-49643</t>
  </si>
  <si>
    <t>FÔRMA E DESFORMA DE TÁBUA E SARRAFO, REAPROVEITAMENTO (3X), EXCLUSIVE ESCORAMENTO</t>
  </si>
  <si>
    <t>07.02</t>
  </si>
  <si>
    <t>ED-49638</t>
  </si>
  <si>
    <t>FORNECIMENTO DE CONCRETO ESTRUTURAL, USINADO BOMBEADO, COM FCK 25MPA, INCLUSIVE LANÇAMENTO, ADENSAMENTO E ACABAMENTO</t>
  </si>
  <si>
    <t>08</t>
  </si>
  <si>
    <t>ANDAIME</t>
  </si>
  <si>
    <t>08.01</t>
  </si>
  <si>
    <t>ED-9075</t>
  </si>
  <si>
    <t>FORNECIMENTO DE ANDAIME METÁLICO PARA FACHADA ( LOCAÇÃO), INCLUSIVE PISO METÁLICO E SAPATAS, EXCLUSIVE MONTAGEM E DESMONTAGEM</t>
  </si>
  <si>
    <t>08.02</t>
  </si>
  <si>
    <t>ED-48246</t>
  </si>
  <si>
    <t>MONTAGEM E DESMONTAGEM DE ANDAIME METÁLICO PARA FACHADA COM PISO METÁLICO, EXCLUSIVE FORNECIMENTO DO ANDAIME E RODAPÉ/GUARDA-CORPO EM MADEIRA</t>
  </si>
  <si>
    <t>09</t>
  </si>
  <si>
    <t>PINTURA</t>
  </si>
  <si>
    <t>09.01</t>
  </si>
  <si>
    <t>ED-17867</t>
  </si>
  <si>
    <t>APLICAÇÃO DE VERNIZ COM ACABAMENTO BRILHANTE EM PISO DE MADEIRA TIPO TACO, DUAS (2) DEMÃOS, INCLUSIVE RASPAGEM E CALAFETAÇÃO</t>
  </si>
  <si>
    <t>09.02</t>
  </si>
  <si>
    <t>ED-1454</t>
  </si>
  <si>
    <t>PINTURA COM VERNIZ POLIURETANO COM FILTRO SOLAR EM MADEIRA, DUAS (2) DEMÃOS, ACABAMENTO TIPO FOSCO</t>
  </si>
  <si>
    <t>09.03</t>
  </si>
  <si>
    <t>ED-50451</t>
  </si>
  <si>
    <t>PINTURA ACRÍLICA EM PAREDE, DUAS (2) DEMÃOS, EXCLUSIVE SELADOR ACRÍLICO E MASSA ACRÍLICA/CORRIDA (PVA)</t>
  </si>
  <si>
    <t>09.04</t>
  </si>
  <si>
    <t>ED-50491</t>
  </si>
  <si>
    <t>PINTURA ESMALTE EM ESQUADRIAS DE FERRO, DUAS (2) DEMÃOS, INCLUSIVE UMA (1) DEMÃO DE FUNDO ANTICORROSIVO</t>
  </si>
  <si>
    <t>09.05</t>
  </si>
  <si>
    <t>ED-50452</t>
  </si>
  <si>
    <t>PINTURA ACRÍLICA EM TETO, DUAS (2) DEMÃOS, COM APLICAÇÃO MANUAL, EXCLUSIVE SELADOR ACRÍLICO E MASSA ACRÍLICA/ CORRIDA (PVA)</t>
  </si>
  <si>
    <t>10</t>
  </si>
  <si>
    <t>COBERTURA</t>
  </si>
  <si>
    <t>10.01</t>
  </si>
  <si>
    <t>ED-48429</t>
  </si>
  <si>
    <t>COBERTURA EM TELHA METÁLICA GALVANIZADA TRAPEZOIDAL, TIPO DUPLA TERMOACÚSTICA COM DUAS FACES TRAPEZOIDAIS, ESP. 0,43MM, PREENCHIMENTO EM POLIESTIRENO EXPANDIDO/ ISOPOR COM ESP. 30MM, ACABAMENTO NATURAL, INCLUSIVE ACESSÓRIOS PARA FIXAÇÃO, FORNECIMENTO E INSTALAÇÃO</t>
  </si>
  <si>
    <t>10.02</t>
  </si>
  <si>
    <t>ED-20603</t>
  </si>
  <si>
    <t>FORNECIMENTO DE ESTRUTURA METÁLICA E ENGRADAMENTO METÁLICO, EM AÇO, PARA TELHADO, EXCLUSIVE TELHA, INCLUSIVE FABRICAÇÃO, TRANSPORTE, MONTAGEM E APLICAÇÃO DE FUNDO PREPARADOR ANTICORROSIVO EM SUPERFÍCIE METÁLICA, UMA (1) DEMÃO</t>
  </si>
  <si>
    <t>10.03</t>
  </si>
  <si>
    <t>ED-49686</t>
  </si>
  <si>
    <t>FORRO EM CHAPA DE GESSO ACARTONADA, ESP. 12,5MM, COM FIXAÇÃO DO TIPO ESTRUTURADA EM PERFIL METÁLICO, EXCLUSIVE PERFIL TABICA, SANCA E MOLDURA, INCLUSIVE ACESSÓRIOS E FIXAÇÃO</t>
  </si>
  <si>
    <t>10.04</t>
  </si>
  <si>
    <t>ED-28728</t>
  </si>
  <si>
    <t>FORRO EM RÉGUA DE PVC, LARGURA 20CM, NA COR BRANCA, INCLUSIVE ESTRUTURA DE FIXAÇÃO E PENDURAIS METÁLICOS E ACESSÓRIOS DE FIXAÇÃO, EXCLUSIVE RODAFORRO OU MOLDURA</t>
  </si>
  <si>
    <t>10.05</t>
  </si>
  <si>
    <t>ED-28751</t>
  </si>
  <si>
    <t xml:space="preserve">RODAFORRO EM PVC, TIPO "U", NA COR BRANCA, PARA FORRO EM RÉGUA DE PVC, INCLUSIVE ACESSÓRIOS PARA FIXAÇÃO
</t>
  </si>
  <si>
    <t>10.06</t>
  </si>
  <si>
    <t>ED-50663</t>
  </si>
  <si>
    <t xml:space="preserve"> CALHA EM CHAPA GALVANIZADA, ESP. 0,5MM (GSG-26), COM DESENVOLVIMENTO DE 50CM, INCLUSIVE IÇAMENTO MANUAL VERTICAL</t>
  </si>
  <si>
    <t>10.07</t>
  </si>
  <si>
    <t>ED-50678</t>
  </si>
  <si>
    <t>RUFO E CONTRARRUFO EM CHAPA GALVANIZADA, ESP. 0,65MM ( GSG-24), COM DESENVOLVIMENTO DE 33CM, INCLUSIVE IÇAMENTO MANUAL VERTICAL</t>
  </si>
  <si>
    <t>10.08</t>
  </si>
  <si>
    <t>ED-50668</t>
  </si>
  <si>
    <t xml:space="preserve">CONDUTOR CIRCULAR DE ÁGUA PLUVIAL PARA DO TELHADO EM TUBO DE PVC, DIÂMETRO DE 100MM, INCLUSIVE CONEXÕES E SUPORTES </t>
  </si>
  <si>
    <t>11</t>
  </si>
  <si>
    <t>INSTALAÇÕES ELETRICAS</t>
  </si>
  <si>
    <t>11.01</t>
  </si>
  <si>
    <t xml:space="preserve">ED-20588 </t>
  </si>
  <si>
    <t>ENTRADA DE ENERGIA AÉREA, TIPO C8, PADRÃO CEMIG, CARGA INSTALADA DE 66,1KVA ATÉ 75KVA, TRIFÁSICO, COM SAÍDA SUBTERRÂNEA, INCLUSIVE POSTE, CAIXA PARA MEDIDOR, DISJUNTOR, BARRAMENTO, ATERRAMENTO E ACESSÓRIOS</t>
  </si>
  <si>
    <t>11.02</t>
  </si>
  <si>
    <t>ED-34493</t>
  </si>
  <si>
    <t>DISJUNTOR TRIPOLAR TIPO DIN, CORRENTE NOMINAL DE 63A, FORNECIMENTO E INSTALAÇÃO, INCLUSIVE TERMINAL ILHÓS</t>
  </si>
  <si>
    <t>11.03</t>
  </si>
  <si>
    <t xml:space="preserve">ED-34461 </t>
  </si>
  <si>
    <t xml:space="preserve">DISJUNTOR MONOPOLAR TIPO DIN, CORRENTE NOMINAL DE 16A, FORNECIMENTO E INSTALAÇÃO, INCLUSIVE TERMINAL ILHÓS
</t>
  </si>
  <si>
    <t>11.04</t>
  </si>
  <si>
    <t>ED-34474</t>
  </si>
  <si>
    <t>DISJUNTOR BIPOLAR TIPO DIN, CORRENTE NOMINAL DE 16A, FORNECIMENTO E INSTALAÇÃO, INCLUSIVE TERMINAL ILHÓS</t>
  </si>
  <si>
    <t>11.05</t>
  </si>
  <si>
    <t>ED-34475</t>
  </si>
  <si>
    <t>DISJUNTOR BIPOLAR TIPO DIN, CORRENTE NOMINAL DE 20A, FORNECIMENTO E INSTALAÇÃO, INCLUSIVE TERMINAL ILHÓS</t>
  </si>
  <si>
    <t>11.06</t>
  </si>
  <si>
    <t xml:space="preserve">ED-34460 </t>
  </si>
  <si>
    <t>DISJUNTOR MONOPOLAR TIPO DIN, CORRENTE NOMINAL DE 10A, FORNECIMENTO E INSTALAÇÃO, INCLUSIVE TERMINAL ILHÓS</t>
  </si>
  <si>
    <t>11.07</t>
  </si>
  <si>
    <t>ED-34462</t>
  </si>
  <si>
    <t xml:space="preserve">DISJUNTOR MONOPOLAR TIPO DIN, CORRENTE NOMINAL DE 20A, FORNECIMENTO E INSTALAÇÃO, INCLUSIVE TERMINAL ILHÓS
</t>
  </si>
  <si>
    <t>11.08</t>
  </si>
  <si>
    <t>ED-34463</t>
  </si>
  <si>
    <t>DISJUNTOR MONOPOLAR TIPO DIN, CORRENTE NOMINAL DE 25A, FORNECIMENTO E INSTALAÇÃO, INCLUSIVE TERMINAL ILHÓS</t>
  </si>
  <si>
    <t>11.09</t>
  </si>
  <si>
    <t>ED-34473</t>
  </si>
  <si>
    <t>DISJUNTOR BIPOLAR TIPO DIN, CORRENTE NOMINAL DE 10A, FORNECIMENTO E INSTALAÇÃO, INCLUSIVE TERMINAL ILHÓS</t>
  </si>
  <si>
    <t>11.10</t>
  </si>
  <si>
    <t>ED-34492</t>
  </si>
  <si>
    <t>DISJUNTOR TRIPOLAR TIPO DIN, CORRENTE NOMINAL DE 50A, FORNECIMENTO E INSTALAÇÃO, INCLUSIVE TERMINAL ILHÓS</t>
  </si>
  <si>
    <t>11.11</t>
  </si>
  <si>
    <t>ED-34495</t>
  </si>
  <si>
    <t>DISJUNTOR TRIPOLAR TIPO DIN, CORRENTE NOMINAL DE 80A, FORNECIMENTO E INSTALAÇÃO, INCLUSIVE TERMINAL ILHÓS</t>
  </si>
  <si>
    <t>11.12</t>
  </si>
  <si>
    <t>ED-34496</t>
  </si>
  <si>
    <t>DISJUNTOR TRIPOLAR TIPO DIN, CORRENTE NOMINAL DE 100A, FORNECIMENTO E INSTALAÇÃO, INCLUSIVE TERMINAL ILHÓS</t>
  </si>
  <si>
    <t>11.13</t>
  </si>
  <si>
    <t>ED-34491</t>
  </si>
  <si>
    <t>DISJUNTOR TRIPOLAR TIPO DIN, CORRENTE NOMINAL DE 40A, FORNECIMENTO E INSTALAÇÃO, INCLUSIVE TERMINAL ILHÓS</t>
  </si>
  <si>
    <t>11.14</t>
  </si>
  <si>
    <t>ED-48956</t>
  </si>
  <si>
    <t>CABO DE COBRE FLEXÍVEL, CLASSE 5, ISOLAMENTO TIPO LSHF/ ATOX, NÃO HALOGENADO, ANTICHAMA, TERMOPLÁSTICO, UNIPOLAR, SEÇÃO 4 MM2, 70°C, 450/750V (PRETO)</t>
  </si>
  <si>
    <t>11.15</t>
  </si>
  <si>
    <t>CABO DE COBRE FLEXÍVEL, CLASSE 5, ISOLAMENTO TIPO LSHF/ ATOX, NÃO HALOGENADO, ANTICHAMA, TERMOPLÁSTICO, UNIPOLAR, SEÇÃO 4 MM2, 70°C, 450/750V (AZUL)</t>
  </si>
  <si>
    <t>11.16</t>
  </si>
  <si>
    <t>CABO DE COBRE FLEXÍVEL, CLASSE 5, ISOLAMENTO TIPO LSHF/ ATOX, NÃO HALOGENADO, ANTICHAMA, TERMOPLÁSTICO, UNIPOLAR, SEÇÃO 4 MM2, 70°C, 450/750V (VERDE)</t>
  </si>
  <si>
    <t>11.17</t>
  </si>
  <si>
    <t>ED-48951</t>
  </si>
  <si>
    <t>CABO DE COBRE FLEXÍVEL, CLASSE 5, ISOLAMENTO TIPO LSHF/ ATOX, NÃO HALOGENADO, ANTICHAMA, TERMOPLÁSTICO, UNIPOLAR, SEÇÃO 2,5 MM2, 70°C, 450/750V (PRETO)</t>
  </si>
  <si>
    <t>11.18</t>
  </si>
  <si>
    <t>CABO DE COBRE FLEXÍVEL, CLASSE 5, ISOLAMENTO TIPO LSHF/ ATOX, NÃO HALOGENADO, ANTICHAMA, TERMOPLÁSTICO, UNIPOLAR, SEÇÃO 2,5 MM2, 70°C, 450/750V (VERDE)</t>
  </si>
  <si>
    <t>11.19</t>
  </si>
  <si>
    <t>CABO DE COBRE FLEXÍVEL, CLASSE 5, ISOLAMENTO TIPO LSHF/ ATOX, NÃO HALOGENADO, ANTICHAMA, TERMOPLÁSTICO, UNIPOLAR, SEÇÃO 2,5 MM2, 70°C, 450/750V (AZUL)</t>
  </si>
  <si>
    <t>11.20</t>
  </si>
  <si>
    <t>ED-48946</t>
  </si>
  <si>
    <t>CABO DE COBRE FLEXÍVEL, CLASSE 5, ISOLAMENTO TIPO LSHF/ ATOX, NÃO HALOGENADO, ANTICHAMA, TERMOPLÁSTICO, UNIPOLAR, SEÇÃO 1,5 MM2, 70°C, 450/750V(PRETO)</t>
  </si>
  <si>
    <t>11.21</t>
  </si>
  <si>
    <t>CABO DE COBRE FLEXÍVEL, CLASSE 5, ISOLAMENTO TIPO LSHF/ ATOX, NÃO HALOGENADO, ANTICHAMA, TERMOPLÁSTICO, UNIPOLAR, SEÇÃO 1,5 MM2, 70°C, 450/750V(AZUL)</t>
  </si>
  <si>
    <t>11.22</t>
  </si>
  <si>
    <t>CABO DE COBRE FLEXÍVEL, CLASSE 5, ISOLAMENTO TIPO LSHF/ ATOX, NÃO HALOGENADO, ANTICHAMA, TERMOPLÁSTICO, UNIPOLAR, SEÇÃO 1,5 MM2, 70°C, 450/750V(CINZA)</t>
  </si>
  <si>
    <t>11.23</t>
  </si>
  <si>
    <t>ED-48966</t>
  </si>
  <si>
    <t>CABO DE COBRE FLEXÍVEL, CLASSE 5, ISOLAMENTO TIPO LSHF/ ATOX, NÃO HALOGENADO, ANTICHAMA, TERMOPLÁSTICO, UNIPOLAR, SEÇÃO 10 MM2, 70°C, 450/750V (PRETO)</t>
  </si>
  <si>
    <t>11.24</t>
  </si>
  <si>
    <t>CABO DE COBRE FLEXÍVEL, CLASSE 5, ISOLAMENTO TIPO LSHF/ ATOX, NÃO HALOGENADO, ANTICHAMA, TERMOPLÁSTICO, UNIPOLAR, SEÇÃO 10 MM2, 70°C, 450/750V (AZUL)</t>
  </si>
  <si>
    <t>11.25</t>
  </si>
  <si>
    <t>CABO DE COBRE FLEXÍVEL, CLASSE 5, ISOLAMENTO TIPO LSHF/ ATOX, NÃO HALOGENADO, ANTICHAMA, TERMOPLÁSTICO, UNIPOLAR, SEÇÃO 10 MM2, 70°C, 450/750V (VERDE)</t>
  </si>
  <si>
    <t>11.26</t>
  </si>
  <si>
    <t>ED-49013</t>
  </si>
  <si>
    <t>CABO DE COBRE FLEXÍVEL, CLASSE 5, ISOLAMENTO TIPO EPR/ HEPR, NÃO HALOGENADO, ANTICHAMA, TERMOFIXO, UNIPOLAR, SEÇÃO 70 MM2, 90°C, 0,6/1KV (PRETO)</t>
  </si>
  <si>
    <t>11.27</t>
  </si>
  <si>
    <t>CABO DE COBRE FLEXÍVEL, CLASSE 5, ISOLAMENTO TIPO EPR/ HEPR, NÃO HALOGENADO, ANTICHAMA, TERMOFIXO, UNIPOLAR, SEÇÃO 70 MM2, 90°C, 0,6/1KV  (AZUL)</t>
  </si>
  <si>
    <t>11.28</t>
  </si>
  <si>
    <t>ED-48971</t>
  </si>
  <si>
    <t>CABO DE COBRE FLEXÍVEL, CLASSE 5, ISOLAMENTO TIPO LSHF/ ATOX, NÃO HALOGENADO, ANTICHAMA, TERMOPLÁSTICO, UNIPOLAR, SEÇÃO 16 MM2, 70°C, 450/750V(VERDE)</t>
  </si>
  <si>
    <t>11.29</t>
  </si>
  <si>
    <t>ED-15733</t>
  </si>
  <si>
    <t>CONJUNTO DE UM (1) INTERRUPTOR SIMPLES, CORRENTE 10A, TENSÃO 250V, (10A-250V), COM PLACA 4"X2" DE UM (1) POSTO, INCLUSIVE FORNECIMENTO, INSTALAÇÃO, SUPORTE, MÓDULO E PLACA</t>
  </si>
  <si>
    <t>11.30</t>
  </si>
  <si>
    <t>ED-15748</t>
  </si>
  <si>
    <t>CONJUNTO DE UMA (1) TOMADA PADRÃO, TRÊS (3) POLOS, CORRENTE 10A, TENSÃO 250V, (2P+T/10A-250V), COM PLACA 4"X2" DE UM (1) POSTO, INCLUSIVE FORNECIMENTO, INSTALAÇÃO, SUPORTE, MÓDULO E PLACA</t>
  </si>
  <si>
    <t>11.31</t>
  </si>
  <si>
    <t>ED-15749</t>
  </si>
  <si>
    <t>CONJUNTO DE UMA (1) TOMADA PADRÃO, TRÊS (3) POLOS, CORRENTE 20A, TENSÃO 250V, (2P+T/20A-250V), COM PLACA 4"X2" DE UM (1) POSTO, INCLUSIVE FORNECIMENTO, INSTALAÇÃO, SUPORTE, MÓDULO E PLACA</t>
  </si>
  <si>
    <t>11.32</t>
  </si>
  <si>
    <t>101883</t>
  </si>
  <si>
    <t>QUADRO DE DISTRIBUIÇÃO DE ENERGIA EM CHAPA DE AÇO GALVANIZADO, DE EMBUTIR, COM BARRAMENTO
TRIFÁSICO, PARA 18 DISJUNTORES DIN 100A - FORNECIMENTO E INSTALAÇÃO. AF_07/2025</t>
  </si>
  <si>
    <t>11.33</t>
  </si>
  <si>
    <t>ED-27085</t>
  </si>
  <si>
    <t>LUMINÁRIA COMERCIAL COM ALETAS DE SOBREPOR, PARA DUAS (2) LÂMPADAS TUBULARES LED 2X9W-ØT8, FORNECIMENTO E INSTALAÇÃO, EXCLUSIVE BASE E LÂMPADA</t>
  </si>
  <si>
    <t>11.34</t>
  </si>
  <si>
    <t>ED-27089</t>
  </si>
  <si>
    <t>LUMINÁRIA COMERCIAL COM ALETAS DE SOBREPOR, PARA DUAS (2) LÂMPADAS TUBULARES LED 2X18W-ØT8, FORNECIMENTO E INSTALAÇÃO, EXCLUSIVE BASE E LÂMPADA</t>
  </si>
  <si>
    <t>11.35</t>
  </si>
  <si>
    <t>ED-9973</t>
  </si>
  <si>
    <t>LÂMPADA TUBULAR LED, BASE G13, POTÊNCIA 18W, DIÂMETRO 26MM/T8, TEMPERATURA DA COR 6500K, FORNECIMENTO E INSTALAÇÃO, EXCLUSIVE LUMINÁRIA</t>
  </si>
  <si>
    <t>11.36</t>
  </si>
  <si>
    <t>ED-9972</t>
  </si>
  <si>
    <t>LÂMPADA TUBULAR LED, BASE G13, POTÊNCIA 9W, DIÂMETRO 26MM/T8, TEMPERATURA DA COR 6500K, FORNECIMENTO E INSTALAÇÃO, EXCLUSIVE LUMINÁRIA</t>
  </si>
  <si>
    <t>11.37</t>
  </si>
  <si>
    <t>ED-49414</t>
  </si>
  <si>
    <t>ELETRODUTO FLEXÍVEL CORRUGADO, PVC, ANTI-CHAMA, DN 25MM (3/4"), APLICADO EM ALVENARIA, INCLUSIVE RASGO</t>
  </si>
  <si>
    <t>11.38</t>
  </si>
  <si>
    <t>ED-26537</t>
  </si>
  <si>
    <t>ELETRODUTO DE PVC RÍGIDO ROSCÁVEL, DIÂMETRO DE 25MM (1"), INSTALAÇÃO APARENTE OU SOBRE FORRO COM ABRAÇADEIRA METÁLICA DE CUNHA, TIPO "D", INCLUSIVE ACESSÓRIOS PARA FIXAÇÃO E CONEXÕES</t>
  </si>
  <si>
    <t>12</t>
  </si>
  <si>
    <t xml:space="preserve">CABEAMENTO </t>
  </si>
  <si>
    <t>12.01</t>
  </si>
  <si>
    <t>ED-9194</t>
  </si>
  <si>
    <t>CABO UTP COM QUATRO (4) PARES, CATEGORIA 6,
CLASSIFICAÇÃO LSZH, COM ISOLAMENTO NÃO HALOGENADO E ANTICHAMA, EXCLUSIVE CONECTOR/PLUG MACHO RJ45 E CRIMPAGEM</t>
  </si>
  <si>
    <t>12.02</t>
  </si>
  <si>
    <t>ED-19519</t>
  </si>
  <si>
    <t>ELETROCALHA PERFURADA (100X50)MM EM CHAPA DE AÇO GALVANIZADO #18, COM TRATAMENTO PRÉ-ZINCADO, INCLUSIVE TAMPA DE ENCAIXE, FIXAÇÃO SUPERIOR, CONEXÕES E ACESSÓRIOS</t>
  </si>
  <si>
    <t>12.03</t>
  </si>
  <si>
    <t xml:space="preserve">ELETRODUTO DE PVC RÍGIDO ROSCÁVEL, DIÂMETRO DE 25MM (1"), INSTALAÇÃO APARENTE OU SOBRE FORRO COM ABRAÇADEIRA METÁLICA DE CUNHA, TIPO "D", INCLUSIVE ACESSÓRIOS PARA FIXAÇÃO E CONEXÕES
</t>
  </si>
  <si>
    <t>12.04</t>
  </si>
  <si>
    <t>ED-17985</t>
  </si>
  <si>
    <t>CONJUNTO PARA CONDULETE DE 1" (25MM) COM DUAS (2) TOMADA DE DADOS OU TELEFONIA (CONECTOR RJ45 CAT.6E OU RJ11) E PLACA DE DOIS (2) POSTOS, INCLUSIVE FORNECIMENTO, INSTALAÇÃO, SUPORTE, MÓDULO E PLACA, EXCLUSIVE CONDULETE</t>
  </si>
  <si>
    <t>12.05</t>
  </si>
  <si>
    <t>100555</t>
  </si>
  <si>
    <t>RACK ABERTO EM COLUNA 44U PARA SERVIDOR - FORNECIMENTO E INSTALAÇÃO. AF_08/2025</t>
  </si>
  <si>
    <t>12.06</t>
  </si>
  <si>
    <t>98301</t>
  </si>
  <si>
    <t>PATCH PANEL 24 PORTAS, CATEGORIA 5E - FORNECIMENTO E INSTALAÇÃO. AF_08/2025</t>
  </si>
  <si>
    <t>13</t>
  </si>
  <si>
    <t>INSTALAÇÕES HIDRO SANITÁRIAS</t>
  </si>
  <si>
    <t>13.01</t>
  </si>
  <si>
    <t>ED-50105</t>
  </si>
  <si>
    <t>FORNECIMENTO E ASSENTAMENTO DE TUBO PVC RÍGIDO, COLETOR DE ESGOTO LISO (JEI), DN 100 MM (4"), INCLUSIVE CONEXÕES</t>
  </si>
  <si>
    <t>13.02</t>
  </si>
  <si>
    <t>ED-50223</t>
  </si>
  <si>
    <t>PONTO DE EMBUTIR PARA ESGOTO EM TUBO PVC RÍGIDO, PB SÉRIE NORMAL, DN 40MM (1.1/2"), EMBUTIDO NA ALVENARIA/PISO, COM ALTURA (SAÍDA) DE 50CM DO PISO, COM DISTÂNCIA DE ATÉ CINCO (5) METROS DO RAMAL DE ESGOTO, EXCLUSIVE ESCAVAÇÃO, INCLUSIVE CONEXÕES E FIXAÇÃO DO TUBO COM ENCHIMENTO DO RASGO NA ALVENARIA/CONCRETO COM ARGAMASSA</t>
  </si>
  <si>
    <t>13.03</t>
  </si>
  <si>
    <t>ED-50225</t>
  </si>
  <si>
    <t>PONTO DE EMBUTIR PARA ESGOTO EM TUBO PVC RÍGIDO, PBV SÉRIE NORMAL, DN 100MM (4"), EMBUTIDO EM PISO COM DISTÂNCIA DE ATÉ CINCO (5) METROS DO RAMAL DE ESGOTO, INCLUSIVE CONEXÕES E FIXAÇÃO DO TUBO COM ENCHIMENTO DO RASGO NO CONCRETO COM ARGAMASSA</t>
  </si>
  <si>
    <t>13.04</t>
  </si>
  <si>
    <t>ED-50224</t>
  </si>
  <si>
    <t>PONTO DE EMBUTIR PARA ESGOTO EM TUBO PVC RÍGIDO, PBV SÉRIE NORMAL, DN 50MM (2"), EMBUTIDO EM PISO COM DISTÂNCIA DE ATÉ CINCO (5) METROS DO RAMAL DE ESGOTO, EXCLUSIVE ESCAVAÇÃO, INCLUSIVE CONEXÕES E FIXAÇÃO DO TUBO COM ENCHIMENTO DO RASGO NO CONCRETO COM ARGAMASSA</t>
  </si>
  <si>
    <t>13.05</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</si>
  <si>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</si>
  <si>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</si>
  <si>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13.06</t>
  </si>
  <si>
    <t>ED-49846</t>
  </si>
  <si>
    <t>ADAPTADOR SOLDÁVEL DE PVC MARROM COM FLANGES E ANEL PARA CAIXA DÁGUA Ø 32 MM X 1"</t>
  </si>
  <si>
    <t>13.07</t>
  </si>
  <si>
    <t>ED-50020</t>
  </si>
  <si>
    <t>FORNECIMENTO E ASSENTAMENTO DE TUBO PVC RÍGIDO SOLDÁVEL, ÁGUA FRIA, DN 32 MM (1") , INCLUSIVE CONEXÕES</t>
  </si>
  <si>
    <t>13.08</t>
  </si>
  <si>
    <t>ED-50019</t>
  </si>
  <si>
    <t>FORNECIMENTO E ASSENTAMENTO DE TUBO PVC RÍGIDO SOLDÁVEL, ÁGUA FRIA, DN 25 MM (3/4") , INCLUSIVE CONEXÕES</t>
  </si>
  <si>
    <t>13.09</t>
  </si>
  <si>
    <t>ED-50018</t>
  </si>
  <si>
    <t>FORNECIMENTO E ASSENTAMENTO DE TUBO PVC RÍGIDO SOLDÁVEL, ÁGUA FRIA, DN 20 MM (1/2"), INCLUSIVE CONEXÕES</t>
  </si>
  <si>
    <t>13.10</t>
  </si>
  <si>
    <t>ED-49992</t>
  </si>
  <si>
    <t>REGISTRO DE GAVETA, TIPO BASE, ROSCÁVEL 1" (PARA TUBO SOLDÁVEL OU PPR DN 32MM/CPVC DN 28MM), INCLUSIVE ACABAMENTO (PADRÃO POPULAR) E CANOPLA CROMADOS</t>
  </si>
  <si>
    <t>13.11</t>
  </si>
  <si>
    <t>ED-49990</t>
  </si>
  <si>
    <t>REGISTRO DE GAVETA, TIPO BASE, ROSCÁVEL 3/4" (PARA TUBO SOLDÁVEL OU PPR DN 25MM/CPVC DN 22MM), INCLUSIVE ACABAMENTO (PADRÃO POPULAR) E CANOPLA CROMADOS</t>
  </si>
  <si>
    <t>13.12</t>
  </si>
  <si>
    <t>ED-50007</t>
  </si>
  <si>
    <t>CAIXA SIFONADA EM PVC COM GRELHA QUADRADA150 X 150 X 50 MM</t>
  </si>
  <si>
    <t>13.13</t>
  </si>
  <si>
    <t>ED-49936</t>
  </si>
  <si>
    <t>CAIXA D´ÁGUA DE POLIETILENO, CAPACIDADE DE 1.000L, INCLUSIVE TAMPA, TORNEIRA DE BOIA, EXTRAVASOR, TUBO DE LIMPEZA E ACESSÓRIOS, EXCLUSIVE TUBULAÇÃO DE ENTRADA/ SAÍDA DE ÁGUA</t>
  </si>
  <si>
    <t>13.14</t>
  </si>
  <si>
    <t>86888</t>
  </si>
  <si>
    <t>VASO SANITÁRIO SIFONADO COM CAIXA ACOPLADA LOUÇA BRANCA - FORNECIMENTO E INSTALAÇÃO. AF_01/2020</t>
  </si>
  <si>
    <t>13.15</t>
  </si>
  <si>
    <t>ED-48167</t>
  </si>
  <si>
    <t>BARRA DE APOIO EM AÇO INOX POLIDO PARA LAVATÓRIO DE CANTO, DN 1.1/4" (31,75MM), PARA ACESSIBILIDADE (PMR/PCR), INSTALADO EM PAREDE, INCLUSIVE FORNECIMENTO, INSTALAÇÃO E ACESSÓRIOS PARA FIXAÇÃO</t>
  </si>
  <si>
    <t>13.16</t>
  </si>
  <si>
    <t>ED-48164</t>
  </si>
  <si>
    <t>BARRA DE APOIO EM AÇO INOX POLIDO RETA, DN 1.1/4" (31,75MM) , PARA ACESSIBILIDADE (PMR/PCR), COMPRIMENTO 70CM, INSTALADO EM PAREDE, INCLUSIVE FORNECIMENTO, INSTALAÇÃO E ACESSÓRIOS PARA FIXAÇÃO</t>
  </si>
  <si>
    <t>13.17</t>
  </si>
  <si>
    <t>ED-48160</t>
  </si>
  <si>
    <t>BARRA DE APOIO EM AÇO INOX POLIDO RETA, DN 1.1/4" (31,75MM) , PARA ACESSIBILIDADE (PMR/PCR), COMPRIMENTO 80CM, INSTALADO EM PAREDE, INCLUSIVE FORNECIMENTO, INSTALAÇÃO E ACESSÓRIOS PARA FIXAÇÃO</t>
  </si>
  <si>
    <t>13.18</t>
  </si>
  <si>
    <t>ED-48163</t>
  </si>
  <si>
    <t>BARRA DE APOIO EM AÇO INOX POLIDO RETA, DN 1.1/4" (31,75MM) , PARA ACESSIBILIDADE (PMR/PCR), COMPRIMENTO 40CM, INSTALADO EM PORTA/PAREDE, INCLUSIVE FORNECIMENTO, INSTALAÇÃO E ACESSÓRIOS PARA FIXAÇÃO</t>
  </si>
  <si>
    <t>13.19</t>
  </si>
  <si>
    <t>86942</t>
  </si>
  <si>
    <t>LAVATÓRIO LOUÇA BRANCA SUSPENSO, 29,5 X 39CM OU EQUIVALENTE, PADRÃO POPULAR, INCLUSO SIFÃO TIPO GARRAFA EM PVC, VÁLVULA E ENGATE FLEXÍVEL 30CM EM PLÁSTICO E TORNEIRA CROMADA DE MESA, PADRÃO POPULAR - FORNECIMENTO E INSTALAÇÃO. AF_01/2020</t>
  </si>
  <si>
    <t>13.20</t>
  </si>
  <si>
    <t>ED-50279</t>
  </si>
  <si>
    <t>CUBA DE LOUÇA BRANCA DE EMBUTIR, FORMATO OVAL, INCLUSIVE VÁLVULA DE ESCOAMENTO DE METAL COM ACABAMENTO CROMADO, SIFÃO DE METAL TIPO COPO COM ACABAMENTO CROMADO, FORNECIMENTO E INSTALAÇÃO</t>
  </si>
  <si>
    <t>13.21</t>
  </si>
  <si>
    <t>ED-50330</t>
  </si>
  <si>
    <t>TORNEIRA METÁLICA PARA LAVATÓRIO, ABERTURA 1/4 DE VOLTA, ACABAMENTO CROMADO, COM AREJADOR, APLICAÇÃO DE MESA , INCLUSIVE ENGATE FLEXÍVEL METÁLICO, FORNECIMENTO E INSTALAÇÃO</t>
  </si>
  <si>
    <t>13.22</t>
  </si>
  <si>
    <t>ED-21631</t>
  </si>
  <si>
    <t>BANCADA EM GRANITO, COR CINZA ANDORINHA, ESP. 2CM, ACABAMENTO POLIDO, APOIADA EM CONSOLE DE METALON ( 50X30)MM, EXCLUSIVE RODABANCA/FRONTÃO, TESTEIRA/FAIXA, FURO EM BANCADA, CUBA METÁLICA, VÁLVULA, SIFÃO, TORNEIRA E ENGATE FLEXÍVEL</t>
  </si>
  <si>
    <t>13.23</t>
  </si>
  <si>
    <t>ED-48342</t>
  </si>
  <si>
    <t>FURO DE BOJO EM BANCADA DE GRANITO/MÁRMORE, INCLUSIVE COLAGEM COM MASSA PLÁSTICA</t>
  </si>
  <si>
    <t>13.24</t>
  </si>
  <si>
    <t>ED-48349</t>
  </si>
  <si>
    <t>RODABANCA/FRONTÃO PARA BANCADA EM MÁRMORE, COR BRANCO COMUM, ESP. 2CM, ALTURA DE 7CM, INCLUSIVE REJUNTAMENTO EM MASSA PLÁSTICA NA COR DA PEDRA</t>
  </si>
  <si>
    <t>13.25</t>
  </si>
  <si>
    <t>100858</t>
  </si>
  <si>
    <t>MICTÓRIO SIFONADO LOUÇA BRANCA - PADRÃO MÉDIO - FORNECIMENTO E INSTALAÇÃO. AF_01/2020</t>
  </si>
  <si>
    <t>13.26</t>
  </si>
  <si>
    <t>ED-48183</t>
  </si>
  <si>
    <t>DISTRIBUIDOR/DISPENSER PARA PAPEL HIGIÊNICO EM PLÁSTICO,  TIPO SOBREPOR, INCLUSIVE ACESSÓRIOS DE FIXAÇÃO</t>
  </si>
  <si>
    <t>13.27</t>
  </si>
  <si>
    <t>ED-48188</t>
  </si>
  <si>
    <t>DISTRIBUIDOR/DISPENSER PARA ÁLCOOL EM GEL OU SABONETE LÍQUIDO, EM PLÁSTICO, CAPACIDADE RESERVATÓRIO 800ML, INCLUSIVE ACESSÓRIOS PARA FIXAÇÃ</t>
  </si>
  <si>
    <t>13.28</t>
  </si>
  <si>
    <t>ED-51150</t>
  </si>
  <si>
    <t>ESPELHO CRISTAL, DIMENSÃO (60X90)CM, COM ESP. 4MM, EM ACABAMENTO LAPIDADO, INCLUSIVE FIXAÇÃO COM PARAFUSO TIPO FINESSON, FORNECIMENTO E INSTALAÇÃO</t>
  </si>
  <si>
    <t>14</t>
  </si>
  <si>
    <t>SERVIÇOS COMPLEMENTARES</t>
  </si>
  <si>
    <t>14.01</t>
  </si>
  <si>
    <t>ED-32093</t>
  </si>
  <si>
    <t>GUARDA-CORPO INTERNO, ALTURA 110CM, EM TUBO
GALVANIZADO, COM COSTURA, DIÂMETRO DE 2", ESP. 3MM, GRADIL COM DIVISÃO HORIZONTAL EM TUBO GALVANIZADO, COM COSTURA, DIÂMETRO DE 1", ESP. 3MM, INCLUSIVE CORRIMÃO SIMPLES, EXCLUSIVE PINTURA</t>
  </si>
  <si>
    <t>14.02</t>
  </si>
  <si>
    <t>ED-50935</t>
  </si>
  <si>
    <t>CORRIMÃO SIMPLES EM TUBO GALVANIZADO, COM COSTURA, DIÂMETRO DE 1.1/2", ESP. 3MM, FIXADO EM ALVENARIA, INCLUSIVE SUPORTE PARA CORRIMÃO EM BARRA CHATA (1"X1/2") , EXCLUSIVE PINTURA</t>
  </si>
  <si>
    <t>14.03</t>
  </si>
  <si>
    <t>1</t>
  </si>
  <si>
    <t>ORÇ.</t>
  </si>
  <si>
    <t xml:space="preserve">FORNECIMENTO E INSTALAÇÃO DE ELEVADOR </t>
  </si>
  <si>
    <t>UNI</t>
  </si>
  <si>
    <t>14.04</t>
  </si>
  <si>
    <t>ED-50250</t>
  </si>
  <si>
    <t>LAJE PRÉ-MOLDADA UNIDIRECIONAL COM LAJOTA CERÂMICA, CAPEAMENTO DE 4CM, SOBRECARGA DE 300KG/M2, ALTURA TOTAL DE 11CM E VÃO LIVRE MÁXIMO DE 5M, INCLUSIVE CONCRETO ESTRUTURAL, USINADO BOMBEADO COM FCK DE 20MPA, EXCLUSIVE TELA ARMADA E CIMBRAMENTO</t>
  </si>
  <si>
    <t>14.05</t>
  </si>
  <si>
    <t>ED-50193</t>
  </si>
  <si>
    <t>EXTINTOR DE INCÊNDIO TIPO PÓ QUÍMICO 2-A:20-B:C,
CAPACIDADE 6 KG</t>
  </si>
  <si>
    <t>14.06</t>
  </si>
  <si>
    <t>ED-26993</t>
  </si>
  <si>
    <t>LUMINÁRIA DE EMERGÊNCIA AUTÔNOMA, TIPO LED COM DOIS FARÓIS, POTÊNCIA TOTAL DE 8W, FORNECIMENTO E INSTALAÇÃO</t>
  </si>
  <si>
    <t>14.07</t>
  </si>
  <si>
    <t>ED-26989</t>
  </si>
  <si>
    <t>LUMINÁRIA DE EMERGÊNCIA AUTÔNOMA, TIPO LED POTÊNCIA TOTAL DE 2W, FORNECIMENTO E INSTALAÇÃO</t>
  </si>
  <si>
    <t>14.08</t>
  </si>
  <si>
    <t>ED-29411</t>
  </si>
  <si>
    <t>PLACA FOTOLUMINESCENTE PARA SINALIZAÇÃO DE EMERGÊNCIA, TIPO "S17", DIMENSÃO (150X150)MM, INCLUSIVE FIXAÇÃO</t>
  </si>
  <si>
    <t>14.09</t>
  </si>
  <si>
    <t>ED-50205</t>
  </si>
  <si>
    <t>PLACA FOTOLUMINESCENTE PARA SINALIZAÇÃO DE EMERGÊNCIA, TIPO "S12", DIMENSÃO (380X190)MM, INCLUSIVE FIXAÇÃO</t>
  </si>
  <si>
    <t>14.10</t>
  </si>
  <si>
    <t>ED-50203</t>
  </si>
  <si>
    <t>PLACA FOTOLUMINESCENTE PARA SINALIZAÇÃO DE EMERGÊNCIA, TIPO "S9", DIMENSÃO (380X190)MM, INCLUSIVE FIXAÇÃO</t>
  </si>
  <si>
    <t>14.11</t>
  </si>
  <si>
    <t>ED-29400</t>
  </si>
  <si>
    <t>PLACA FOTOLUMINESCENTE PARA SINALIZAÇÃO DE EMERGÊNCIA, TIPO "S3", DIMENSÃO (380X190)MM, INCLUSIVE FIXAÇÃO</t>
  </si>
  <si>
    <t>14.12</t>
  </si>
  <si>
    <t>ED-50201</t>
  </si>
  <si>
    <t>PLACA FOTOLUMINESCENTE PARA SINALIZAÇÃO DE EMERGÊNCIA, TIPO "S2", DIMENSÃO (380X190)MM, INCLUSIVE FIXAÇÃO - DIREITO/ESQUERDO</t>
  </si>
  <si>
    <t>14.13</t>
  </si>
  <si>
    <t>ED-50199</t>
  </si>
  <si>
    <t>PLACA FOTOLUMINESCENTE PARA SINALIZAÇÃO DE EMERGÊNCIA, TIPO "E5", DIMENSÃO (300X300)MM, INCLUSIVE FIXAÇÃO</t>
  </si>
  <si>
    <t>14.14</t>
  </si>
  <si>
    <t>ED-32246</t>
  </si>
  <si>
    <t>PLACA FOTOLUMINESCENTE PARA SINALIZAÇÃO DE EMERGÊNCIA, TIPO "M1", DIMENSÃO (400X600)MM, INCLUSIVE FIXAÇÃO</t>
  </si>
  <si>
    <t>14.15</t>
  </si>
  <si>
    <t>ED-50266</t>
  </si>
  <si>
    <t>LIMPEZA FINAL PARA ENTREGA DA OBRA</t>
  </si>
  <si>
    <t>LEVANTAMENTO</t>
  </si>
  <si>
    <t>demoliçaõ alvenaria</t>
  </si>
  <si>
    <t>COMPRI.</t>
  </si>
  <si>
    <t>ALTU.</t>
  </si>
  <si>
    <t>ESPESSURA</t>
  </si>
  <si>
    <t>demolição revestimento</t>
  </si>
  <si>
    <t>compri</t>
  </si>
  <si>
    <t>altu</t>
  </si>
  <si>
    <t>area desconto</t>
  </si>
  <si>
    <t>total</t>
  </si>
  <si>
    <t>m2</t>
  </si>
  <si>
    <t>demolição revest. Piso</t>
  </si>
  <si>
    <t>larg</t>
  </si>
  <si>
    <t>escavação manual de vala</t>
  </si>
  <si>
    <t>altura</t>
  </si>
  <si>
    <t>APILOAMENTO FUNDO DE VALA</t>
  </si>
  <si>
    <t>REMOÇÃO DE PORTA COM REAPROVEITAMENTO</t>
  </si>
  <si>
    <t>ALTURA</t>
  </si>
  <si>
    <t>ALVENARIA DE VEDAÇÃO</t>
  </si>
  <si>
    <t>QUANT</t>
  </si>
  <si>
    <t>DESCONTO</t>
  </si>
  <si>
    <t>1 PISO</t>
  </si>
  <si>
    <t>FECH. PORTAS</t>
  </si>
  <si>
    <t>ELEVADOR</t>
  </si>
  <si>
    <t>AUDITORIO</t>
  </si>
  <si>
    <t>ESCADA</t>
  </si>
  <si>
    <t>RESERVATORIO</t>
  </si>
  <si>
    <t>VERGA E CONTRAVERGA</t>
  </si>
  <si>
    <t>ALVENARIA ESTRUTURAL</t>
  </si>
  <si>
    <t>DESCONTO AREA</t>
  </si>
  <si>
    <t>PAREDE DRYWALL</t>
  </si>
  <si>
    <t>ALVENARIA ESTRUTURAL BLOCO ARMADO CHEIO</t>
  </si>
  <si>
    <t>DIVISORIA EM GRANITO</t>
  </si>
  <si>
    <t xml:space="preserve"> </t>
  </si>
  <si>
    <t>REVESTIMENTO APLICADO EM PAREDE</t>
  </si>
  <si>
    <t>REVESTIMENTO APLICADO EM FACHADA PRINCIPAL</t>
  </si>
  <si>
    <t>REVESTIMENTO APLICADO EM PISO</t>
  </si>
  <si>
    <t>AREA</t>
  </si>
  <si>
    <t>escada</t>
  </si>
  <si>
    <t xml:space="preserve">CONTRA PISO </t>
  </si>
  <si>
    <t>auditório</t>
  </si>
  <si>
    <t>banh. Audi</t>
  </si>
  <si>
    <t>1 pavim.</t>
  </si>
  <si>
    <t xml:space="preserve">FORNECIMENTO DE JANELA DE BASCULANTE EM FERRO, </t>
  </si>
  <si>
    <t xml:space="preserve">VIDRO PARA JANELAS </t>
  </si>
  <si>
    <t>LARG</t>
  </si>
  <si>
    <t>ALT</t>
  </si>
  <si>
    <t>3 PISO</t>
  </si>
  <si>
    <t>BANHEIROS</t>
  </si>
  <si>
    <t xml:space="preserve">ASSENTAMENTO GRADIL E PORTÃO </t>
  </si>
  <si>
    <t>LARG.</t>
  </si>
  <si>
    <t>ALT.</t>
  </si>
  <si>
    <t>1 PAV.</t>
  </si>
  <si>
    <t>1 PAV. A. GARAGEM</t>
  </si>
  <si>
    <t>ACESSO GAR.</t>
  </si>
  <si>
    <t>GRADE PROTAÇÃO JANELAS</t>
  </si>
  <si>
    <t>2 PAV.</t>
  </si>
  <si>
    <t>auditóro</t>
  </si>
  <si>
    <t>aço CA 50</t>
  </si>
  <si>
    <t>quant.</t>
  </si>
  <si>
    <t>aço CA 60</t>
  </si>
  <si>
    <t>AREA FORMA</t>
  </si>
  <si>
    <t>COMP</t>
  </si>
  <si>
    <t>CONCRETO</t>
  </si>
  <si>
    <t>TUBULÃO</t>
  </si>
  <si>
    <t>VERNIZ COM ACABAMENTO BRILHANTE EM PISO DE MADEIRA TIPO TACO</t>
  </si>
  <si>
    <t>PINTURA COM VERNIZ EM MADEIRA - ARMARIO</t>
  </si>
  <si>
    <t>COMPR</t>
  </si>
  <si>
    <t>PINTURA EM PAREDE</t>
  </si>
  <si>
    <t>AREA A DESCONTAR</t>
  </si>
  <si>
    <t>PARTE INTERNA</t>
  </si>
  <si>
    <t>3 PAV.</t>
  </si>
  <si>
    <t>EXTERNO</t>
  </si>
  <si>
    <t>MURO</t>
  </si>
  <si>
    <t>FORRO PVC</t>
  </si>
  <si>
    <t>1 PAV. Ban</t>
  </si>
  <si>
    <t>2 PAV. Ban</t>
  </si>
  <si>
    <t>2 PAV</t>
  </si>
  <si>
    <t>ORÇAMENTO ELEVADOR</t>
  </si>
  <si>
    <t>EMPRESA 1</t>
  </si>
  <si>
    <t>ELEVADORES DE CARGA BRAGANÇA - CNPJ 21.094.394/0001-64 - TEL.: 31 97112-9569</t>
  </si>
  <si>
    <t>FABR. ELEVADOR PASSSAGEIRO CAP. DE CARGA 450 KG</t>
  </si>
  <si>
    <t xml:space="preserve">VALOR: </t>
  </si>
  <si>
    <t>CRONOGRAMA FISICO FINANCEIRO</t>
  </si>
  <si>
    <t>DISCRIMINAÇÃO DOS SERVIÇOS</t>
  </si>
  <si>
    <t>PESO (%)</t>
  </si>
  <si>
    <t>VALOR (R$)</t>
  </si>
  <si>
    <t>MESES</t>
  </si>
  <si>
    <t>1º MÊS</t>
  </si>
  <si>
    <t>2 MÊS</t>
  </si>
  <si>
    <t>3 MÊS</t>
  </si>
  <si>
    <t>4 MÊS</t>
  </si>
  <si>
    <t>5 MÊS</t>
  </si>
  <si>
    <t>6 MÊS</t>
  </si>
  <si>
    <t>%</t>
  </si>
  <si>
    <t>R$</t>
  </si>
  <si>
    <t>TOTAL</t>
  </si>
  <si>
    <t>SIMPLES</t>
  </si>
  <si>
    <t>ACUMULADO</t>
  </si>
  <si>
    <t>SETOP ABRIL/2025</t>
  </si>
  <si>
    <t>SINAPI 07/2025</t>
  </si>
  <si>
    <t>DESCRIÇÃO SERVIÇO</t>
  </si>
  <si>
    <t>LOCAL</t>
  </si>
  <si>
    <t>COMPRIM.</t>
  </si>
  <si>
    <t>LARGURA</t>
  </si>
  <si>
    <t>REPET.</t>
  </si>
  <si>
    <t>QUANTI.</t>
  </si>
  <si>
    <t>DEMOLIÇÃO MANUAL DE ALVENARIA</t>
  </si>
  <si>
    <t>Sala1 - 1° piso</t>
  </si>
  <si>
    <r>
      <t>m</t>
    </r>
    <r>
      <rPr>
        <i/>
        <sz val="11"/>
        <color indexed="8"/>
        <rFont val="Calibri"/>
        <family val="2"/>
      </rPr>
      <t>3</t>
    </r>
  </si>
  <si>
    <t>Antiga cozinha 1° piso</t>
  </si>
  <si>
    <t>abertura para porta Sala 1° piso</t>
  </si>
  <si>
    <t>abert. porta banheiro 1° piso</t>
  </si>
  <si>
    <t>abert. Porta hall escada 1° piso</t>
  </si>
  <si>
    <t>abert. Acesso elevador</t>
  </si>
  <si>
    <t>abertura para porta Sala 2° piso</t>
  </si>
  <si>
    <t>abert. porta banheiro 2° piso</t>
  </si>
  <si>
    <t>abert. Acesso elevador 2° piso</t>
  </si>
  <si>
    <t>platibanda frontal 3° piso</t>
  </si>
  <si>
    <t>abert. Acesso elevador 3° piso</t>
  </si>
  <si>
    <t>banheiro existente 3° piso</t>
  </si>
  <si>
    <t>DEMOLIÇÃO MANUAL DE REVESTIMENTO CERÂMICO</t>
  </si>
  <si>
    <t>Banheiro pdc 1° piso</t>
  </si>
  <si>
    <t>Banheiro 1° piso</t>
  </si>
  <si>
    <t>Banheiro pdc 2° piso</t>
  </si>
  <si>
    <t>Banheiro 2° piso</t>
  </si>
  <si>
    <t>Antiga cozinha 2° piso</t>
  </si>
  <si>
    <t>DEMOLIÇÃO MANUAL DE PISO CERÂMICO</t>
  </si>
  <si>
    <t xml:space="preserve">Sala 1° pavimento </t>
  </si>
  <si>
    <t>Corredor 1° pavimento</t>
  </si>
  <si>
    <t>antiga cozinha 1° pavimento</t>
  </si>
  <si>
    <t>Antiga varanda 1° pavimento</t>
  </si>
  <si>
    <t>Banheiro pdc 1° pavimento</t>
  </si>
  <si>
    <t>Banheiro 1° pavimento</t>
  </si>
  <si>
    <t>Banheiro pdc 2° pavimento</t>
  </si>
  <si>
    <t>Banheiro 2° pavimento</t>
  </si>
  <si>
    <t>DEMOLIÇÃO DE LAJE</t>
  </si>
  <si>
    <t>Hall escada 2° pavimento</t>
  </si>
  <si>
    <t>ESCAVAÇÃO MANUAL DE VALA</t>
  </si>
  <si>
    <t>Sala  1 - 1° piso</t>
  </si>
  <si>
    <t>Sala 1 - 1° piso</t>
  </si>
  <si>
    <t>Fosso elevador</t>
  </si>
  <si>
    <t>Taxa empolamento 30%</t>
  </si>
  <si>
    <t>Sala 1° piso</t>
  </si>
  <si>
    <t>TRASNPORTE DEMOLIÇÃO</t>
  </si>
  <si>
    <t>Material demolido</t>
  </si>
  <si>
    <t>TRASNPORTE EM CAÇAMBA</t>
  </si>
  <si>
    <t>REMOÇÃO TELHA FIBROCIMENTO</t>
  </si>
  <si>
    <t>Cobertura garagem (ret. Auto cad)</t>
  </si>
  <si>
    <t>REMOÇÃO MANUAL FOLHA PORTA ou JANELA MADEIRA/METALICA</t>
  </si>
  <si>
    <t>Portas 0.70  1° pavimento 4x</t>
  </si>
  <si>
    <t>Portas 0.80 1° pavimento 2x</t>
  </si>
  <si>
    <t>Portas 0.70  2° pavimento 4x</t>
  </si>
  <si>
    <t>Portas 0.80 1° pavimento 1x</t>
  </si>
  <si>
    <t>Janela hall escada</t>
  </si>
  <si>
    <t>REMOÇÃO MANUAL MARCO PORTA MADEIRA/METALICA</t>
  </si>
  <si>
    <t>REMOÇÃO TELHA METALICA OU PVC</t>
  </si>
  <si>
    <t>Cobertura  (ret. Auto cad)</t>
  </si>
  <si>
    <t>DEMOLIÇÃO PISO CIMENTADO</t>
  </si>
  <si>
    <t>Garagem  (ret. Auto cad)</t>
  </si>
  <si>
    <t>ALVENARIAS</t>
  </si>
  <si>
    <t>ALVENÁRIA DE VEDAÇÃO ESP. 14 CM</t>
  </si>
  <si>
    <t>Sala 1 - 1° Piso</t>
  </si>
  <si>
    <t>Sala 2 - 1° Piso</t>
  </si>
  <si>
    <t>Sala 3 - 1° Piso</t>
  </si>
  <si>
    <t>Fechamento porta sala 1° piso</t>
  </si>
  <si>
    <t>Fechamento porta banheiro 1° piso</t>
  </si>
  <si>
    <t>Fechamento porta sala 2° piso</t>
  </si>
  <si>
    <t>Fechamento porta banheiro 2° piso</t>
  </si>
  <si>
    <t>Caixa Elevador</t>
  </si>
  <si>
    <t>Auditório</t>
  </si>
  <si>
    <t>Escada</t>
  </si>
  <si>
    <t>Reservatório</t>
  </si>
  <si>
    <t>ENCUNHAMENTO</t>
  </si>
  <si>
    <t>Sala 1° pavimento</t>
  </si>
  <si>
    <t>m</t>
  </si>
  <si>
    <t>VERGA E CONTRA VERGA</t>
  </si>
  <si>
    <t>1° pavimento</t>
  </si>
  <si>
    <t>m3</t>
  </si>
  <si>
    <t>3° pavimento</t>
  </si>
  <si>
    <t>Banheiros 3° pavimento</t>
  </si>
  <si>
    <t xml:space="preserve">ALVENARIA DE BLOCO CHEIO </t>
  </si>
  <si>
    <t>FOSSO ELEVADOR</t>
  </si>
  <si>
    <t>PAREDE EM CHAPA DE GESSO - DRYWALL</t>
  </si>
  <si>
    <t>Sala 2° pavimento</t>
  </si>
  <si>
    <t>Banheiros 3° piso</t>
  </si>
  <si>
    <t xml:space="preserve">CHAPISCO COM ARGAMASSA </t>
  </si>
  <si>
    <t xml:space="preserve">AREAS DE ALVENÁRIA </t>
  </si>
  <si>
    <t>REBOCO COM ARGAMASSA</t>
  </si>
  <si>
    <t>Banheiro PDC 1° piso</t>
  </si>
  <si>
    <t>Banheiro PDC 2° piso</t>
  </si>
  <si>
    <t>Banheiro 3° piso</t>
  </si>
  <si>
    <t>Sala 1° piso (projeto)</t>
  </si>
  <si>
    <t>Corredor 1° piso (projeto)</t>
  </si>
  <si>
    <t>Banheiro PDC 1° piso (projeto)</t>
  </si>
  <si>
    <t>Banheiro 1° piso (projeto)</t>
  </si>
  <si>
    <t>Banheiro PDC 2° piso (projeto)</t>
  </si>
  <si>
    <t>Banheiro 2° piso (projeto)</t>
  </si>
  <si>
    <t>Área descoberta 3° piso (projeto)</t>
  </si>
  <si>
    <t>Banheiro 3° pavimento (projeto)</t>
  </si>
  <si>
    <t>Auditorio 3° pavimento (projeto)</t>
  </si>
  <si>
    <t>Escada 3° pavimento (projeto)</t>
  </si>
  <si>
    <t>REVESTIMENTO AZULEJO BRANCO</t>
  </si>
  <si>
    <t>Fachada principal (projeto)</t>
  </si>
  <si>
    <t>CONTRA PISO</t>
  </si>
  <si>
    <t>Complemento corredor e sala arquivo 1° pisco (projeto)</t>
  </si>
  <si>
    <t>Rodapé</t>
  </si>
  <si>
    <t>Sala arquivo 1° piso (projeto)</t>
  </si>
  <si>
    <t>Auditório 3° piso (projeto)</t>
  </si>
  <si>
    <t>Escada 3° piso (projeto)</t>
  </si>
  <si>
    <t>PISO INTERTRAVADO</t>
  </si>
  <si>
    <t>Área piso intertravado garagem (projeto)</t>
  </si>
  <si>
    <t>ESQUADRIAS, GRADE DE PROTEÇÃO</t>
  </si>
  <si>
    <t>JANELA DE CORRER DE FERRO</t>
  </si>
  <si>
    <t>auditório (projeto)</t>
  </si>
  <si>
    <t>banh. Auditório (projeto)</t>
  </si>
  <si>
    <t>Sala 1° pavim. (projeto)</t>
  </si>
  <si>
    <t>JANELA BASCULANTE EM METALON</t>
  </si>
  <si>
    <t>Hall escada 3° piso (projeto)</t>
  </si>
  <si>
    <t>PORTÃO DE GRADE</t>
  </si>
  <si>
    <t xml:space="preserve">Corredor 1 pav. </t>
  </si>
  <si>
    <t>Acesso a Garagem</t>
  </si>
  <si>
    <t>PORTA DE MADEIRA COMPLETA (90*210)</t>
  </si>
  <si>
    <t>und</t>
  </si>
  <si>
    <t>2° pavimento</t>
  </si>
  <si>
    <t>PORTA DE MADEIRA COMPLETA (80*210)</t>
  </si>
  <si>
    <t>PORTA METALICA (90*210)</t>
  </si>
  <si>
    <t>PORTAS SANITÁRIO</t>
  </si>
  <si>
    <t>Banheiros auditóiro (projeto)</t>
  </si>
  <si>
    <t>PORTA METÁLICA CORRER</t>
  </si>
  <si>
    <t xml:space="preserve">GRADE PROTEÇÃO </t>
  </si>
  <si>
    <t>JANELAS E PORTAS 1° PISO</t>
  </si>
  <si>
    <t>JANELAS E PORTAS 2° PISO</t>
  </si>
  <si>
    <t>JANELAS E PORTAS 3° PISO</t>
  </si>
  <si>
    <t>VIDRO COMUM TRANSPARENTE</t>
  </si>
  <si>
    <t>Sala 1 PISO</t>
  </si>
  <si>
    <t>BANHEIROS AUDITÓRIO</t>
  </si>
  <si>
    <t>AÇO CA50</t>
  </si>
  <si>
    <t>Projeto</t>
  </si>
  <si>
    <t>kg</t>
  </si>
  <si>
    <t>AÇO CA60</t>
  </si>
  <si>
    <t>FORMA E DESFORMA</t>
  </si>
  <si>
    <t>Viga baldrame sala 1° piso (proj.)</t>
  </si>
  <si>
    <t>Elevador vigas</t>
  </si>
  <si>
    <t>Pilar elevador</t>
  </si>
  <si>
    <t>Vigas auditório e banheiro 3° piso</t>
  </si>
  <si>
    <t>Pilar auditório</t>
  </si>
  <si>
    <t>Hall escada 3° piso</t>
  </si>
  <si>
    <t>CONCRETO ESTRUTURAL</t>
  </si>
  <si>
    <t>Tubulão Elevador</t>
  </si>
  <si>
    <t>Laje elevador</t>
  </si>
  <si>
    <t>APLICAÇÃO DE VERNIZ COM ACABAMENTO BRILHANTE EM PISO</t>
  </si>
  <si>
    <t>Sala 1° pavimento (projeto)</t>
  </si>
  <si>
    <t>Sala 2° pavimento (projeto)</t>
  </si>
  <si>
    <t>APLICAÇÃO DE VERNIZ EM ARMARIO EXISTENTE</t>
  </si>
  <si>
    <t>APLICAÇÃO DE PINTURA</t>
  </si>
  <si>
    <t>Circulação</t>
  </si>
  <si>
    <t>Varanda frontal coberta</t>
  </si>
  <si>
    <t>hall escada</t>
  </si>
  <si>
    <t>Cozinha 2° pavimento</t>
  </si>
  <si>
    <t>Auditório 3° piso</t>
  </si>
  <si>
    <t>Área externa frontal</t>
  </si>
  <si>
    <t>Área externa lateral direita</t>
  </si>
  <si>
    <t>Área externa lateral esquerda</t>
  </si>
  <si>
    <t>Área externa 3° piso</t>
  </si>
  <si>
    <t>Área externa 2° piso</t>
  </si>
  <si>
    <t>muro</t>
  </si>
  <si>
    <t>PINTURA ESQUADRIAS DE FERRO</t>
  </si>
  <si>
    <t>Esquadrias de ferro</t>
  </si>
  <si>
    <t>PINTURA ACRÍLICA EM TETO</t>
  </si>
  <si>
    <t>Banheiros 1 e 2 piso, cozinha, area circulação e sala 2 piso</t>
  </si>
  <si>
    <t>COBERTURA EM TELHA METÁLICA GALVANIZADA</t>
  </si>
  <si>
    <t>Projeto extimativa</t>
  </si>
  <si>
    <t>ENGRADAMENTO ESTRUTURA METÁLICA</t>
  </si>
  <si>
    <t>FORRO EM CHAPA DE GESSO ACARTONADA</t>
  </si>
  <si>
    <t>Projeto - Auditório e hall escada e banheiro auditório</t>
  </si>
  <si>
    <t>FORRO EM RÉGUA DE PVC</t>
  </si>
  <si>
    <t>Projeto - estimativa - 1° e 2° pavimento</t>
  </si>
  <si>
    <t>RODAFORRO EM PVC "U"</t>
  </si>
  <si>
    <t>Projeto - estimativa 1° e 2° pavimento</t>
  </si>
  <si>
    <t xml:space="preserve"> CALHA EM CHAPA GALVANIZADA</t>
  </si>
  <si>
    <t>Projeto - Estimativa</t>
  </si>
  <si>
    <t>RUFO E CONTRA RUFO</t>
  </si>
  <si>
    <t>CONDUTOR CIRCULAR DE ÁGUA PLUVIAL PARA DO TELHADO EM TUBO DE PVC, DIÂMETRO DE 100MM</t>
  </si>
  <si>
    <t>ENTRADA DE ENERGIA AÉREA, TIPO C7, PADRÃO CEMIG, CARGA INSTALADA DE 57,1KVA ATÉ 66KVA, TRIFÁSICO, COM SAÍDA SUBTERRÂNEA, INCLUSIVE POSTE, CAIXA PARA MEDIDOR, DISJUNTOR, BARRAMENTO, ATERRAMENTO E ACESSÓRIOS</t>
  </si>
  <si>
    <t>DISJUNTOR MONOPOLAR TERMOMAGNÉTICO 5KA, DE 15A</t>
  </si>
  <si>
    <t>DISJUNTOR BIPOLAR TIPO DIN, CORRENTE NOMINAL DE 16A</t>
  </si>
  <si>
    <t>DISJUNTOR BIPOLAR TIPO DIN, CORRENTE NOMINAL DE 20A</t>
  </si>
  <si>
    <t>DISJUNTOR MONOPOLAR TIPO DIN, CORRENTE NOMINAL DE 10A</t>
  </si>
  <si>
    <t>DISJUNTOR MONOPOLAR TIPO DIN, CORRENTE NOMINAL DE 20A</t>
  </si>
  <si>
    <t>DISJUNTOR MONOPOLAR TIPO DIN, CORRENTE NOMINAL DE 25A</t>
  </si>
  <si>
    <t>DISJUNTOR BIPOLAR TIPO DIN, CORRENTE NOMINAL DE 10A</t>
  </si>
  <si>
    <t>DISJUNTOR TRIPOLAR TIPO DIN, CORRENTE NOMINAL DE 50A</t>
  </si>
  <si>
    <t>DISJUNTOR TRIPOLAR TIPO DIN, CORRENTE NOMINAL DE 70A</t>
  </si>
  <si>
    <t>DISJUNTOR TRIPOLAR TIPO DIN, CORRENTE NOMINAL DE 40A</t>
  </si>
  <si>
    <t>CABO COBRE FLEXÍVEL 6MM BRANCO</t>
  </si>
  <si>
    <t>CABO COBRE FLEXÍVEL 6MM PRETO</t>
  </si>
  <si>
    <t>CABO COBRE FLEXÍVEL 4MM PRETO</t>
  </si>
  <si>
    <t>CABO COBRE FLEXÍVEL 4MM AZUL</t>
  </si>
  <si>
    <t>CABO COBRE FLEXÍVEL 4MM VERDE</t>
  </si>
  <si>
    <t>CABO COBRE FLEXÍVEL 2.5MM PRETO</t>
  </si>
  <si>
    <t>CABO COBRE FLEXÍVEL 2.5MM VERDE</t>
  </si>
  <si>
    <t>CABO COBRE FLEXÍVEL 2.5MM AZUL</t>
  </si>
  <si>
    <t xml:space="preserve">CABO COBRE FLEXÍVEL 1.5MM  PRETO </t>
  </si>
  <si>
    <t>CABO COBRE FLEXÍVEL 1.5MM  AZUL</t>
  </si>
  <si>
    <t>CABO COBRE FLEXÍVEL 1.5MM  CINZA</t>
  </si>
  <si>
    <t>CABO COBRE FLEXÍVEL 10MM  PRETO</t>
  </si>
  <si>
    <t>CABO COBRE FLEXÍVEL 10MM  AZUL</t>
  </si>
  <si>
    <t>CABO COBRE FLEXÍVEL 10MM  VERDE</t>
  </si>
  <si>
    <t>CABO COBRE FLEXÍVEL 16MM  PRETO</t>
  </si>
  <si>
    <t>CABO COBRE FLEXÍVEL 16MM  AZUL</t>
  </si>
  <si>
    <t>CABO COBRE FLEXÍVEL 16MM  VERDE</t>
  </si>
  <si>
    <t>CONJUNTO DE UM (1) INTERRUPTOR SIMPLES, CORRENTE 10A, TENSÃO 250V, (10A-250V), COM PLACA 4"X2"</t>
  </si>
  <si>
    <t>CONJUNTO DE UMA (1) TOMADA PADRÃO, TRÊS (3) POLOS, CORRENTE 10A</t>
  </si>
  <si>
    <t>CONJUNTO DE UMA (1) TOMADA PADRÃO, TRÊS (3) POLOS, CORRENTE 20A</t>
  </si>
  <si>
    <t>QUADRO DE DISTRIBUIÇÃO DE ENERGIA EM CHAPA DE AÇO GALVANIZADO, DE EMBUTIR, COM BARRAMENTO
TRIFÁSICO, PARA 24 DISJUNTORES</t>
  </si>
  <si>
    <t>LUMINÁRIA COMERCIAL COM ALETAS DE EMBUTIR, PARA DUAS (2) LÂMPADAS TUBULARES LED 2X9W-ØT8</t>
  </si>
  <si>
    <t>LUMINÁRIA COMERCIAL COM ALETAS DE EMBUTIR, PARA DUAS (2) LÂMPADAS TUBULARES LED 2X18W-ØT8</t>
  </si>
  <si>
    <t>LÂMPADA TUBULAR LED, BASE G13, POTÊNCIA 18W, DIÂMETRO 26MM/T8, TEMPERATURA DA COR 6500K</t>
  </si>
  <si>
    <t>LÂMPADA TUBULAR LED, BASE G13, POTÊNCIA 9W, DIÂMETRO 26MM/T8, TEMPERATURA DA COR 6500K</t>
  </si>
  <si>
    <t>ELETRODUTO FLEXÍVEL CORRUGADO, PVC, ANTI-CHAMA, DN
25MM (3/4"), APLICADO EM ALVENARIA, INCLUSIVE RASGO</t>
  </si>
  <si>
    <t>ELETRODUTO DE PVC RÍGIDO ROSCÁVEL, DN 25 MM (1"),
INCLUSIVE CONEXÕES, SUPORTES E FIXAÇÃO</t>
  </si>
  <si>
    <t>ELETRODUTO FLEXÍVEL CORRUGADO REFORÇADO, PVC, DN 25 MM (3/4"), PARA CIRCUITOS TERMINAIS,INSTALADO EM FORRO</t>
  </si>
  <si>
    <t>CABEAMENTO</t>
  </si>
  <si>
    <t>CABO UTP COM QUATRO (4) PARES, CATEGORIA 6,
CLASSIFICAÇÃO LSZH</t>
  </si>
  <si>
    <t>ELETROCALHA PERFURADA (100X50)MM EM CHAPA DE AÇO GALVANIZADO #18</t>
  </si>
  <si>
    <t>CONJUNTO PARA CONDULETE DE 1" (25MM) COM DUAS (2) TOMADA DE DADOS OU TELEFONIA (CONECTOR RJ45 CAT.6E OU RJ11)</t>
  </si>
  <si>
    <t>RACK ABERTO</t>
  </si>
  <si>
    <t>PATCH PANEL 24 PORTAS, CATEGORIA 5E</t>
  </si>
  <si>
    <t>INSTALAÇÕES HIDROSSANITÁRIAS</t>
  </si>
  <si>
    <t>Estimativa</t>
  </si>
  <si>
    <t>PONTO DE EMBUTIR PARA ESGOTO EM TUBO PVC RÍGIDO, PB SÉRIE NORMAL, DN 40MM (1.1/2")</t>
  </si>
  <si>
    <t>PONTO DE EMBUTIR PARA ESGOTO EM TUBO PVC RÍGIDO, PBV SÉRIE NORMAL, DN 100MM (4")</t>
  </si>
  <si>
    <t>PONTO DE EMBUTIR PARA ESGOTO EM TUBO PVC RÍGIDO, PBV SÉRIE NORMAL, DN 50MM (2")</t>
  </si>
  <si>
    <t>PONTO DE EMBUTIR PARA ÁGUA FRIA EM TUBO DE PVC RÍGIDO SOLDÁVEL, DN 20MM (1/2")</t>
  </si>
  <si>
    <t>FORNECIMENTO E ASSENTAMENTO DE TUBO PVC RÍGIDO SOLDÁVEL, ÁGUA FRIA, DN 32 MM (1")</t>
  </si>
  <si>
    <t>FORNECIMENTO E ASSENTAMENTO DE TUBO PVC RÍGIDO SOLDÁVEL, ÁGUA FRIA, DN 25 MM (3/4")</t>
  </si>
  <si>
    <t>REGISTRO DE GAVETA, TIPO BASE, ROSCÁVEL 1" (PARA TUBO SOLDÁVEL OU PPR DN 32MM/CPVC DN 28MM)</t>
  </si>
  <si>
    <t>REGISTRO DE GAVETA, TIPO BASE, ROSCÁVEL 3/4" (PARA TUBO
SOLDÁVEL OU PPR DN 25MM/CPVC DN 22MM)</t>
  </si>
  <si>
    <t>CAIXA D´ÁGUA DE POLIETILENO, CAPACIDADE DE 1.000L</t>
  </si>
  <si>
    <t xml:space="preserve">VASO SANITÁRIO SIFONADO COM CAIXA ACOPLADA LOUÇA BRANCA - </t>
  </si>
  <si>
    <t>BARRA DE APOIO EM AÇO INOX POLIDO PARA LAVATÓRIO DE CANTO, DN 1.1/4" (31,75MM)</t>
  </si>
  <si>
    <t>BARRA DE APOIO EM AÇO INOX POLIDO RETA, DN 1.1/4" (31,75MM) , PARA ACESSIBILIDADE (PMR/PCR), COMPRIMENTO 70CM</t>
  </si>
  <si>
    <t>BARRA DE APOIO EM AÇO INOX POLIDO RETA, DN 1.1/4" (31,75MM) , PARA ACESSIBILIDADE (PMR/PCR), COMPRIMENTO 80CM</t>
  </si>
  <si>
    <t>BARRA DE APOIO EM AÇO INOX POLIDO RETA, DN 1.1/4" (31,75MM) , PARA ACESSIBILIDADE (PMR/PCR), COMPRIMENTO 40CM</t>
  </si>
  <si>
    <t>LAVATÓRIO LOUÇA BRANCA SUSPENSO, 29,5 X 39CM OU EQUIVALENTE, PADRÃO POPULAR</t>
  </si>
  <si>
    <t>CUBA DE LOUÇA BRANCA DE EMBUTIR, FORMATO OVAL</t>
  </si>
  <si>
    <t>TORNEIRA METÁLICA PARA LAVATÓRIO, ABERTURA 1/4 DE VOLTA</t>
  </si>
  <si>
    <t>BANCADA EM GRANITO, COR CINZA ANDORINHA, ESP. 2CM</t>
  </si>
  <si>
    <t>FURO DE BOJO EM BANCADA DE GRANITO/MÁRMORE</t>
  </si>
  <si>
    <t>RODABANCA/FRONTÃO PARA BANCADA EM MÁRMORE</t>
  </si>
  <si>
    <t>MICTÓRIO SIFONADO LOUÇA BRANCA - PADRÃO MÉDIO</t>
  </si>
  <si>
    <t>DISTRIBUIDOR/DISPENSER PARA PAPEL HIGIÊNICO EM PLÁSTICO</t>
  </si>
  <si>
    <t>DISTRIBUIDOR/DISPENSER PARA ÁLCOOL EM GEL OU SABONETE
LÍQUIDO, EM PLÁSTICO</t>
  </si>
  <si>
    <t>ESPELHO CRISTAL, DIMENSÃO (60X90)CM, COM ESP. 4MM</t>
  </si>
  <si>
    <t>GUARDA-CORPO INTERNO, ALTURA 110CM, EM TUBO
GALVANIZADO</t>
  </si>
  <si>
    <t>CORRIMÃO SIMPLES EM TUBO GALVANIZADO</t>
  </si>
  <si>
    <t>LAJE PRÉ-MOLDADA UNIDIRECIONAL COM LAJOTA CERÂMICA</t>
  </si>
  <si>
    <t>Projeto - Laje Banheiros Auditório</t>
  </si>
  <si>
    <t>LUMINÁRIA DE EMERGÊNCIA AUTÔNOMA, TIPO LED COM DOIS FARÓIS, POTÊNCIA TOTAL DE 8W</t>
  </si>
  <si>
    <t>LUMINÁRIA DE EMERGÊNCIA AUTÔNOMA, TIPO LED POTÊNCIA TOTAL DE 2W</t>
  </si>
  <si>
    <t>PLACA FOTOLUMINESCENTE PARA SINALIZAÇÃO DE EMERGÊNCIA, TIPO "S17", DIMENSÃO (150X150)MM</t>
  </si>
  <si>
    <t>PLACA FOTOLUMINESCENTE PARA SINALIZAÇÃO DE EMERGÊNCIA, TIPO "S12",DIMENSÃO (380X190)MM</t>
  </si>
  <si>
    <t>PLACA FOTOLUMINESCENTE PARA SINALIZAÇÃO DE EMERGÊNCIA, TIPO "S9", DIMENSÃO (380X190)MM</t>
  </si>
  <si>
    <t>PLACA FOTOLUMINESCENTE PARA SINALIZAÇÃO DE EMERGÊNCIA, TIPO "S3", DIMENSÃO (380X190)MM</t>
  </si>
  <si>
    <t>PLACA FOTOLUMINESCENTE PARA SINALIZAÇÃO DE EMERGÊNCIA, TIPO "S2", DIMENSÃO (380X190)MM</t>
  </si>
  <si>
    <t>PLACA FOTOLUMINESCENTE PARA SINALIZAÇÃO DE EMERGÊNCIA, TIPO "E5", DIMENSÃO (300X300)MM</t>
  </si>
  <si>
    <t>PLACA FOTOLUMINESCENTE PARA SINALIZAÇÃO DE EMERGÊNCIA, TIPO "M1", DIMENSÃO (400X600)MM</t>
  </si>
  <si>
    <t>COTAÇÃO ELEVADOR</t>
  </si>
  <si>
    <t>FABRICAÇÃO DE UM ELEVADOR DE PASSAGEIRO CARGA MIN. DE 400 KG - 03 PARADAS</t>
  </si>
  <si>
    <t>EMPRESA: ELEVADORES DE CARGA BRAGANÇA</t>
  </si>
  <si>
    <t>EMPRESA: MONTELE ELEVADORES</t>
  </si>
  <si>
    <t>EMPRESA: AMPLA ELEVADORES</t>
  </si>
  <si>
    <t>CNPJ: 21.094.394/0001-64</t>
  </si>
  <si>
    <t xml:space="preserve">CNPJ: </t>
  </si>
  <si>
    <t>CNPJ: 29.622.429/0001-00</t>
  </si>
  <si>
    <t>EMAIL: CONTATO@ELEVADORESBRAGANCA.COM.BR</t>
  </si>
  <si>
    <t>EMAIL: RAFAEL.MOURA@MONTELE.IND.BR</t>
  </si>
  <si>
    <t>EMAIL:  PROJETOS.AMPLAELEVADORES@GMAIL.COM</t>
  </si>
  <si>
    <t>FONE: 31 971129569</t>
  </si>
  <si>
    <t>FONE: 31 996010286</t>
  </si>
  <si>
    <t>FONE: 31 41341230</t>
  </si>
  <si>
    <t>VALOR:</t>
  </si>
  <si>
    <t>MÉDIA</t>
  </si>
  <si>
    <t>AREA FORRO PVC</t>
  </si>
  <si>
    <t>AREA PINTURA TETO</t>
  </si>
  <si>
    <t>1 piso</t>
  </si>
  <si>
    <t>2 piso</t>
  </si>
  <si>
    <t>COZINHA</t>
  </si>
  <si>
    <t>CONSTRUÇÃO DE EDIFÍCIOS</t>
  </si>
  <si>
    <t>PLANILHA MODELO:</t>
  </si>
  <si>
    <t>REV_00</t>
  </si>
  <si>
    <t>CONSTRUÇÃO DE RODOVIAS E FERROVIAS</t>
  </si>
  <si>
    <t>NÃO DESONERADA</t>
  </si>
  <si>
    <t>01/03/</t>
  </si>
  <si>
    <t>CONSTRUÇÃO DE REDES DE ABASTECIMENTO DE ÁGUA, COLETA DE ESGOTO E CONSTRUÇÕES CORRELATAS</t>
  </si>
  <si>
    <t>PROJETO:</t>
  </si>
  <si>
    <t>Reforma, Ampliação e Adequação Sede Própria do IMP</t>
  </si>
  <si>
    <t>TERCEIRO QUARTIL</t>
  </si>
  <si>
    <t>CONSTRUÇÃO DE MANUNTEÇÃO DE ESTAÇÕES E REDES DE DISTRIBUIÇÃO DE ENERGIA ELÉTRICA</t>
  </si>
  <si>
    <t>OBRAS PORTUÁRIAS, MARÍTIMAS E FLUVIAIS</t>
  </si>
  <si>
    <t>CAEMA</t>
  </si>
  <si>
    <t>AC =</t>
  </si>
  <si>
    <t>ADMINISTRAÇÃO CENTRAL =</t>
  </si>
  <si>
    <t>S + G =</t>
  </si>
  <si>
    <t>SEGURO + GARANTIAS =</t>
  </si>
  <si>
    <t>QUARTIL MÉDIO</t>
  </si>
  <si>
    <t>1 QUARTIL</t>
  </si>
  <si>
    <t>3 QUARTIL</t>
  </si>
  <si>
    <t>R =</t>
  </si>
  <si>
    <t>RISCO =</t>
  </si>
  <si>
    <t>ADM</t>
  </si>
  <si>
    <t>SG</t>
  </si>
  <si>
    <t>RI</t>
  </si>
  <si>
    <t>DF</t>
  </si>
  <si>
    <t>LU</t>
  </si>
  <si>
    <t>DF =</t>
  </si>
  <si>
    <t>DESPESAS FINANCEIRAS =</t>
  </si>
  <si>
    <t>L =</t>
  </si>
  <si>
    <t>LUCRO =</t>
  </si>
  <si>
    <t>I =</t>
  </si>
  <si>
    <t>IMPOSTOS =</t>
  </si>
  <si>
    <t>COFINS</t>
  </si>
  <si>
    <t>PIS</t>
  </si>
  <si>
    <t>ISS</t>
  </si>
  <si>
    <t>CPRB</t>
  </si>
  <si>
    <t>-</t>
  </si>
  <si>
    <t>BDI =</t>
  </si>
  <si>
    <t>[</t>
  </si>
  <si>
    <t>[(</t>
  </si>
  <si>
    <t>+</t>
  </si>
  <si>
    <t>)x</t>
  </si>
  <si>
    <t>(</t>
  </si>
  <si>
    <t>)]</t>
  </si>
  <si>
    <t>]</t>
  </si>
  <si>
    <t>=</t>
  </si>
  <si>
    <t>)</t>
  </si>
  <si>
    <t>1 - FORMULA CONFORME ACORDAO nº 2622/2013 TCU - PLENÁRIO</t>
  </si>
  <si>
    <t>Salas 1 e 2 piso</t>
  </si>
  <si>
    <t>DISJUNTOR TRIPOLAR TIPO DIN, CORRENTE NOMINAL DE 63A</t>
  </si>
  <si>
    <t>DISJUNTOR MONOPOLAR TIPO DIN, CORRENTE NOMINAL DE 16A</t>
  </si>
  <si>
    <t>DISJUNTOR TRIPOLAR TIPO DIN, CORRENTE NOMINAL DE 80A</t>
  </si>
  <si>
    <t>DISJUNTOR TRIPOLAR TIPO DIN, CORRENTE NOMINAL DE 100A</t>
  </si>
  <si>
    <t>CABO COBRE FLEXÍVEL 70MM  PRETO</t>
  </si>
  <si>
    <t>CABO COBRE FLEXÍVEL 70MM  AZUL</t>
  </si>
  <si>
    <t xml:space="preserve">LUMINÁRIA COMERCIAL COM ALETAS DE SOBREPOR, PARA DUAS (2) LÂMPADAS TUBULARES LED 2X18W-ØT8, </t>
  </si>
  <si>
    <t>ELETRODUTO DE PVC RÍGIDO ROSCÁVEL, DN 25 MM (1ELETRODUTO DE PVC RÍGIDO ROSCÁVEL, DIÂMETRO DE 25MM (1"), INSTALAÇÃO APARENTE OU SOBRE FORRO COM ABRAÇADEIRA METÁLICA DE CUNHA, TIPO "D", INCLUSIVE ACESSÓRIOS PARA FIXAÇÃO E CONEXÕES"),
INCLUSIVE CONEXÕES, SUPORTES E FIXAÇÃO</t>
  </si>
</sst>
</file>

<file path=xl/styles.xml><?xml version="1.0" encoding="utf-8"?>
<styleSheet xmlns="http://schemas.openxmlformats.org/spreadsheetml/2006/main">
  <numFmts count="20">
    <numFmt numFmtId="164" formatCode="_-* #,##0.00_-;\-* #,##0.00_-;_-* &quot;-&quot;??_-;_-@_-"/>
    <numFmt numFmtId="165" formatCode="_([$€-2]* #,##0.00_);_([$€-2]* \(#,##0.00\);_([$€-2]* \-??_)"/>
    <numFmt numFmtId="166" formatCode="_(&quot;Cr$&quot;* #,##0.00_);_(&quot;Cr$&quot;* \(#,##0.00\);_(&quot;Cr$&quot;* \-??_);_(@_)"/>
    <numFmt numFmtId="167" formatCode="_(&quot;R$ &quot;* #,##0.00_);_(&quot;R$ &quot;* \(#,##0.00\);_(&quot;R$ &quot;* \-??_);_(@_)"/>
    <numFmt numFmtId="168" formatCode="_-&quot;R$ &quot;* #,##0.00_-;&quot;-R$ &quot;* #,##0.00_-;_-&quot;R$ &quot;* \-??_-;_-@_-"/>
    <numFmt numFmtId="169" formatCode="_(\$* #,##0.00_);_(\$* \(#,##0.00\);_(\$* \-??_);_(@_)"/>
    <numFmt numFmtId="170" formatCode="_(* #,##0.00_);_(* \(#,##0.00\);_(* \-??_);_(@_)"/>
    <numFmt numFmtId="171" formatCode="_-[$R$-416]* #,##0.00_-;\-[$R$-416]* #,##0.00_-;_-[$R$-416]* \-??_-;_-@_-"/>
    <numFmt numFmtId="172" formatCode="_(* #.##000_);_(* \(#.##000\);_(* \-??_);_(@_)"/>
    <numFmt numFmtId="173" formatCode="&quot;R$ &quot;#,##0.00_);[Red]&quot;(R$ &quot;#,##0.00\)"/>
    <numFmt numFmtId="174" formatCode="_-[$R$-416]\ * #,##0.00_-;\-[$R$-416]\ * #,##0.00_-;_-[$R$-416]\ * \-??_-;_-@_-"/>
    <numFmt numFmtId="175" formatCode="0.0000"/>
    <numFmt numFmtId="176" formatCode="_(* #,##0.000_);_(* \(#,##0.000\);_(* \-??_);_(@_)"/>
    <numFmt numFmtId="177" formatCode="&quot;R$&quot;\ #,##0.00"/>
    <numFmt numFmtId="178" formatCode="_-[$R$-416]\ * #,##0.00_-;\-[$R$-416]\ * #,##0.00_-;_-[$R$-416]\ * &quot;-&quot;??_-;_-@_-"/>
    <numFmt numFmtId="179" formatCode="0.000%"/>
    <numFmt numFmtId="180" formatCode="0.0000%"/>
    <numFmt numFmtId="181" formatCode="0.000"/>
    <numFmt numFmtId="182" formatCode="#,##0.000"/>
    <numFmt numFmtId="183" formatCode="0.0"/>
  </numFmts>
  <fonts count="50">
    <font>
      <sz val="11"/>
      <color indexed="8"/>
      <name val="Calibri"/>
      <family val="2"/>
    </font>
    <font>
      <sz val="11"/>
      <color indexed="9"/>
      <name val="Calibri"/>
      <family val="2"/>
    </font>
    <font>
      <sz val="11"/>
      <color indexed="20"/>
      <name val="Calibri"/>
      <family val="2"/>
    </font>
    <font>
      <b/>
      <sz val="15"/>
      <color indexed="56"/>
      <name val="Calibri"/>
      <family val="2"/>
    </font>
    <font>
      <b/>
      <sz val="13"/>
      <color indexed="56"/>
      <name val="Calibri"/>
      <family val="2"/>
    </font>
    <font>
      <b/>
      <sz val="11"/>
      <color indexed="56"/>
      <name val="Calibri"/>
      <family val="2"/>
    </font>
    <font>
      <b/>
      <sz val="11"/>
      <color indexed="10"/>
      <name val="Calibri"/>
      <family val="2"/>
    </font>
    <font>
      <b/>
      <sz val="11"/>
      <color indexed="9"/>
      <name val="Calibri"/>
      <family val="2"/>
    </font>
    <font>
      <sz val="11"/>
      <color indexed="17"/>
      <name val="Calibri"/>
      <family val="2"/>
    </font>
    <font>
      <sz val="11"/>
      <color indexed="52"/>
      <name val="Calibri"/>
      <family val="2"/>
    </font>
    <font>
      <b/>
      <sz val="11"/>
      <color indexed="8"/>
      <name val="Calibri"/>
      <family val="2"/>
    </font>
    <font>
      <u/>
      <sz val="10"/>
      <color indexed="20"/>
      <name val="Arial"/>
      <family val="2"/>
    </font>
    <font>
      <b/>
      <sz val="15"/>
      <color indexed="62"/>
      <name val="Calibri"/>
      <family val="2"/>
    </font>
    <font>
      <b/>
      <sz val="13"/>
      <color indexed="62"/>
      <name val="Calibri"/>
      <family val="2"/>
    </font>
    <font>
      <b/>
      <sz val="11"/>
      <color indexed="62"/>
      <name val="Calibri"/>
      <family val="2"/>
    </font>
    <font>
      <u/>
      <sz val="11"/>
      <color indexed="12"/>
      <name val="Calibri"/>
      <family val="2"/>
    </font>
    <font>
      <sz val="11"/>
      <color indexed="19"/>
      <name val="Calibri"/>
      <family val="2"/>
    </font>
    <font>
      <sz val="11"/>
      <color indexed="8"/>
      <name val="Calibri"/>
      <family val="2"/>
      <charset val="1"/>
    </font>
    <font>
      <sz val="10"/>
      <name val="Arial"/>
      <family val="2"/>
    </font>
    <font>
      <sz val="10"/>
      <name val="Times New Roman"/>
      <family val="1"/>
    </font>
    <font>
      <b/>
      <sz val="11"/>
      <color indexed="63"/>
      <name val="Calibri"/>
      <family val="2"/>
    </font>
    <font>
      <b/>
      <sz val="18"/>
      <color indexed="62"/>
      <name val="Cambria"/>
      <family val="2"/>
    </font>
    <font>
      <b/>
      <sz val="18"/>
      <color indexed="56"/>
      <name val="Cambria"/>
      <family val="2"/>
    </font>
    <font>
      <b/>
      <sz val="20"/>
      <color indexed="18"/>
      <name val="Arial"/>
      <family val="2"/>
    </font>
    <font>
      <b/>
      <sz val="20"/>
      <name val="Arial"/>
      <family val="2"/>
    </font>
    <font>
      <b/>
      <sz val="11"/>
      <name val="Arial"/>
      <family val="2"/>
    </font>
    <font>
      <sz val="11"/>
      <name val="Arial"/>
      <family val="2"/>
    </font>
    <font>
      <b/>
      <sz val="12"/>
      <name val="Arial"/>
      <family val="2"/>
    </font>
    <font>
      <b/>
      <sz val="12"/>
      <name val="Calibri"/>
      <family val="2"/>
    </font>
    <font>
      <sz val="12"/>
      <color indexed="8"/>
      <name val="Calibri"/>
      <family val="2"/>
    </font>
    <font>
      <b/>
      <sz val="12"/>
      <color indexed="8"/>
      <name val="Calibri"/>
      <family val="2"/>
    </font>
    <font>
      <sz val="12"/>
      <name val="Calibri"/>
      <family val="2"/>
    </font>
    <font>
      <sz val="11"/>
      <name val="Calibri"/>
      <family val="2"/>
    </font>
    <font>
      <b/>
      <sz val="10"/>
      <name val="Arial"/>
      <family val="2"/>
    </font>
    <font>
      <b/>
      <sz val="9"/>
      <name val="Arial"/>
      <family val="2"/>
    </font>
    <font>
      <sz val="9"/>
      <name val="Arial"/>
      <family val="2"/>
    </font>
    <font>
      <sz val="11"/>
      <color indexed="8"/>
      <name val="Calibri"/>
      <family val="2"/>
    </font>
    <font>
      <b/>
      <sz val="16"/>
      <name val="Arial"/>
      <family val="2"/>
    </font>
    <font>
      <b/>
      <u/>
      <sz val="11"/>
      <color indexed="8"/>
      <name val="Calibri"/>
      <family val="2"/>
    </font>
    <font>
      <b/>
      <sz val="14"/>
      <color indexed="8"/>
      <name val="Calibri"/>
      <family val="2"/>
    </font>
    <font>
      <b/>
      <sz val="8"/>
      <name val="Arial"/>
      <family val="2"/>
    </font>
    <font>
      <i/>
      <sz val="11"/>
      <color indexed="8"/>
      <name val="Calibri"/>
      <family val="2"/>
    </font>
    <font>
      <sz val="9"/>
      <name val="Calibri"/>
      <family val="2"/>
    </font>
    <font>
      <sz val="11"/>
      <color theme="1"/>
      <name val="Calibri"/>
      <family val="2"/>
      <scheme val="minor"/>
    </font>
    <font>
      <b/>
      <sz val="11"/>
      <color theme="1"/>
      <name val="Calibri"/>
      <family val="2"/>
      <scheme val="minor"/>
    </font>
    <font>
      <sz val="9"/>
      <color theme="1"/>
      <name val="Calibri"/>
      <family val="2"/>
      <scheme val="minor"/>
    </font>
    <font>
      <sz val="10"/>
      <color theme="1"/>
      <name val="Calibri"/>
      <family val="2"/>
      <scheme val="minor"/>
    </font>
    <font>
      <sz val="9"/>
      <color theme="1"/>
      <name val="Arial"/>
      <family val="2"/>
    </font>
    <font>
      <sz val="28"/>
      <color theme="1"/>
      <name val="Calibri"/>
      <family val="2"/>
      <scheme val="minor"/>
    </font>
    <font>
      <b/>
      <sz val="16"/>
      <color rgb="FF000000"/>
      <name val="Arial"/>
      <family val="2"/>
    </font>
  </fonts>
  <fills count="38">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45"/>
      </patternFill>
    </fill>
    <fill>
      <patternFill patternType="solid">
        <fgColor indexed="27"/>
        <bgColor indexed="42"/>
      </patternFill>
    </fill>
    <fill>
      <patternFill patternType="solid">
        <fgColor indexed="47"/>
        <bgColor indexed="34"/>
      </patternFill>
    </fill>
    <fill>
      <patternFill patternType="solid">
        <fgColor indexed="44"/>
        <bgColor indexed="31"/>
      </patternFill>
    </fill>
    <fill>
      <patternFill patternType="solid">
        <fgColor indexed="29"/>
        <bgColor indexed="24"/>
      </patternFill>
    </fill>
    <fill>
      <patternFill patternType="solid">
        <fgColor indexed="11"/>
        <bgColor indexed="49"/>
      </patternFill>
    </fill>
    <fill>
      <patternFill patternType="solid">
        <fgColor indexed="51"/>
        <bgColor indexed="41"/>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24"/>
      </patternFill>
    </fill>
    <fill>
      <patternFill patternType="solid">
        <fgColor indexed="56"/>
        <bgColor indexed="62"/>
      </patternFill>
    </fill>
    <fill>
      <patternFill patternType="solid">
        <fgColor indexed="53"/>
        <bgColor indexed="24"/>
      </patternFill>
    </fill>
    <fill>
      <patternFill patternType="solid">
        <fgColor indexed="26"/>
        <bgColor indexed="9"/>
      </patternFill>
    </fill>
    <fill>
      <patternFill patternType="solid">
        <fgColor indexed="43"/>
        <bgColor indexed="26"/>
      </patternFill>
    </fill>
    <fill>
      <patternFill patternType="solid">
        <fgColor indexed="54"/>
        <bgColor indexed="48"/>
      </patternFill>
    </fill>
    <fill>
      <patternFill patternType="solid">
        <fgColor indexed="10"/>
        <bgColor indexed="60"/>
      </patternFill>
    </fill>
    <fill>
      <patternFill patternType="solid">
        <fgColor indexed="9"/>
        <bgColor indexed="26"/>
      </patternFill>
    </fill>
    <fill>
      <patternFill patternType="solid">
        <fgColor indexed="55"/>
        <bgColor indexed="23"/>
      </patternFill>
    </fill>
    <fill>
      <patternFill patternType="solid">
        <fgColor indexed="62"/>
        <bgColor indexed="56"/>
      </patternFill>
    </fill>
    <fill>
      <patternFill patternType="solid">
        <fgColor indexed="57"/>
        <bgColor indexed="21"/>
      </patternFill>
    </fill>
    <fill>
      <patternFill patternType="solid">
        <fgColor indexed="48"/>
        <bgColor indexed="54"/>
      </patternFill>
    </fill>
    <fill>
      <patternFill patternType="solid">
        <fgColor indexed="24"/>
        <bgColor indexed="52"/>
      </patternFill>
    </fill>
    <fill>
      <patternFill patternType="solid">
        <fgColor indexed="34"/>
        <bgColor indexed="51"/>
      </patternFill>
    </fill>
    <fill>
      <patternFill patternType="solid">
        <fgColor indexed="22"/>
        <bgColor indexed="31"/>
      </patternFill>
    </fill>
    <fill>
      <patternFill patternType="solid">
        <fgColor theme="4" tint="0.79998168889431442"/>
        <bgColor indexed="31"/>
      </patternFill>
    </fill>
    <fill>
      <patternFill patternType="solid">
        <fgColor theme="0" tint="-0.249977111117893"/>
        <bgColor indexed="64"/>
      </patternFill>
    </fill>
    <fill>
      <patternFill patternType="gray0625">
        <fgColor indexed="9"/>
        <bgColor theme="0"/>
      </patternFill>
    </fill>
    <fill>
      <patternFill patternType="solid">
        <fgColor theme="0"/>
        <bgColor indexed="64"/>
      </patternFill>
    </fill>
    <fill>
      <patternFill patternType="solid">
        <fgColor theme="3" tint="0.79998168889431442"/>
        <bgColor indexed="64"/>
      </patternFill>
    </fill>
    <fill>
      <patternFill patternType="solid">
        <fgColor rgb="FFFFFF00"/>
        <bgColor indexed="64"/>
      </patternFill>
    </fill>
    <fill>
      <patternFill patternType="gray0625">
        <fgColor indexed="9"/>
        <bgColor theme="9" tint="0.79998168889431442"/>
      </patternFill>
    </fill>
    <fill>
      <patternFill patternType="solid">
        <fgColor theme="0" tint="-0.14999847407452621"/>
        <bgColor indexed="64"/>
      </patternFill>
    </fill>
  </fills>
  <borders count="115">
    <border>
      <left/>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56"/>
      </bottom>
      <diagonal/>
    </border>
    <border>
      <left/>
      <right/>
      <top/>
      <bottom style="thick">
        <color indexed="27"/>
      </bottom>
      <diagonal/>
    </border>
    <border>
      <left/>
      <right/>
      <top/>
      <bottom style="medium">
        <color indexed="27"/>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8"/>
      </right>
      <top/>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medium">
        <color indexed="8"/>
      </bottom>
      <diagonal/>
    </border>
    <border>
      <left style="thin">
        <color indexed="8"/>
      </left>
      <right style="thin">
        <color indexed="8"/>
      </right>
      <top style="thin">
        <color indexed="64"/>
      </top>
      <bottom style="medium">
        <color indexed="64"/>
      </bottom>
      <diagonal/>
    </border>
    <border>
      <left/>
      <right/>
      <top/>
      <bottom style="medium">
        <color indexed="64"/>
      </bottom>
      <diagonal/>
    </border>
    <border>
      <left style="thin">
        <color indexed="8"/>
      </left>
      <right style="thin">
        <color indexed="8"/>
      </right>
      <top/>
      <bottom/>
      <diagonal/>
    </border>
    <border>
      <left/>
      <right/>
      <top style="thin">
        <color indexed="8"/>
      </top>
      <bottom style="thin">
        <color indexed="8"/>
      </bottom>
      <diagonal/>
    </border>
    <border>
      <left style="thin">
        <color indexed="8"/>
      </left>
      <right style="medium">
        <color indexed="8"/>
      </right>
      <top style="thin">
        <color indexed="8"/>
      </top>
      <bottom style="thin">
        <color indexed="8"/>
      </bottom>
      <diagonal/>
    </border>
    <border>
      <left/>
      <right/>
      <top style="thin">
        <color indexed="8"/>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8"/>
      </top>
      <bottom/>
      <diagonal/>
    </border>
    <border>
      <left style="medium">
        <color indexed="64"/>
      </left>
      <right/>
      <top style="medium">
        <color indexed="64"/>
      </top>
      <bottom style="thin">
        <color indexed="8"/>
      </bottom>
      <diagonal/>
    </border>
    <border>
      <left style="thin">
        <color indexed="8"/>
      </left>
      <right/>
      <top style="medium">
        <color indexed="64"/>
      </top>
      <bottom style="thin">
        <color indexed="8"/>
      </bottom>
      <diagonal/>
    </border>
    <border>
      <left/>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diagonal/>
    </border>
    <border>
      <left style="medium">
        <color indexed="64"/>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64"/>
      </top>
      <bottom style="medium">
        <color indexed="64"/>
      </bottom>
      <diagonal/>
    </border>
    <border>
      <left style="thin">
        <color indexed="8"/>
      </left>
      <right style="medium">
        <color indexed="64"/>
      </right>
      <top style="medium">
        <color indexed="64"/>
      </top>
      <bottom/>
      <diagonal/>
    </border>
    <border>
      <left style="thin">
        <color indexed="8"/>
      </left>
      <right style="medium">
        <color indexed="64"/>
      </right>
      <top/>
      <bottom style="thin">
        <color indexed="8"/>
      </bottom>
      <diagonal/>
    </border>
    <border>
      <left style="thin">
        <color indexed="8"/>
      </left>
      <right style="medium">
        <color indexed="64"/>
      </right>
      <top/>
      <bottom/>
      <diagonal/>
    </border>
    <border>
      <left style="thin">
        <color indexed="8"/>
      </left>
      <right style="medium">
        <color indexed="64"/>
      </right>
      <top/>
      <bottom style="medium">
        <color indexed="8"/>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8"/>
      </left>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8"/>
      </bottom>
      <diagonal/>
    </border>
    <border>
      <left style="medium">
        <color indexed="8"/>
      </left>
      <right/>
      <top style="medium">
        <color indexed="64"/>
      </top>
      <bottom style="medium">
        <color indexed="8"/>
      </bottom>
      <diagonal/>
    </border>
    <border>
      <left style="medium">
        <color indexed="64"/>
      </left>
      <right/>
      <top style="medium">
        <color indexed="8"/>
      </top>
      <bottom style="medium">
        <color indexed="8"/>
      </bottom>
      <diagonal/>
    </border>
    <border>
      <left style="medium">
        <color indexed="8"/>
      </left>
      <right/>
      <top style="medium">
        <color indexed="8"/>
      </top>
      <bottom style="medium">
        <color indexed="8"/>
      </bottom>
      <diagonal/>
    </border>
    <border>
      <left style="thin">
        <color indexed="8"/>
      </left>
      <right/>
      <top style="medium">
        <color indexed="64"/>
      </top>
      <bottom/>
      <diagonal/>
    </border>
    <border>
      <left/>
      <right style="thin">
        <color indexed="8"/>
      </right>
      <top style="medium">
        <color indexed="64"/>
      </top>
      <bottom/>
      <diagonal/>
    </border>
    <border>
      <left style="thin">
        <color indexed="8"/>
      </left>
      <right/>
      <top/>
      <bottom/>
      <diagonal/>
    </border>
    <border>
      <left style="thin">
        <color indexed="8"/>
      </left>
      <right/>
      <top/>
      <bottom style="thin">
        <color indexed="8"/>
      </bottom>
      <diagonal/>
    </border>
    <border>
      <left/>
      <right/>
      <top/>
      <bottom style="thin">
        <color indexed="8"/>
      </bottom>
      <diagonal/>
    </border>
    <border>
      <left/>
      <right style="medium">
        <color indexed="8"/>
      </right>
      <top/>
      <bottom/>
      <diagonal/>
    </border>
    <border>
      <left/>
      <right style="medium">
        <color indexed="8"/>
      </right>
      <top/>
      <bottom style="medium">
        <color indexed="8"/>
      </bottom>
      <diagonal/>
    </border>
    <border>
      <left/>
      <right style="medium">
        <color indexed="64"/>
      </right>
      <top/>
      <bottom style="medium">
        <color indexed="8"/>
      </bottom>
      <diagonal/>
    </border>
    <border>
      <left style="thin">
        <color indexed="8"/>
      </left>
      <right style="thin">
        <color indexed="8"/>
      </right>
      <top style="medium">
        <color indexed="64"/>
      </top>
      <bottom/>
      <diagonal/>
    </border>
    <border>
      <left style="thin">
        <color indexed="8"/>
      </left>
      <right style="thin">
        <color indexed="8"/>
      </right>
      <top/>
      <bottom style="thin">
        <color indexed="8"/>
      </bottom>
      <diagonal/>
    </border>
    <border>
      <left style="thin">
        <color indexed="8"/>
      </left>
      <right style="thin">
        <color indexed="8"/>
      </right>
      <top/>
      <bottom style="medium">
        <color indexed="8"/>
      </bottom>
      <diagonal/>
    </border>
    <border>
      <left style="medium">
        <color indexed="64"/>
      </left>
      <right style="thin">
        <color indexed="8"/>
      </right>
      <top/>
      <bottom style="medium">
        <color indexed="8"/>
      </bottom>
      <diagonal/>
    </border>
    <border>
      <left style="medium">
        <color indexed="8"/>
      </left>
      <right style="thin">
        <color indexed="8"/>
      </right>
      <top style="thin">
        <color indexed="8"/>
      </top>
      <bottom style="medium">
        <color indexed="8"/>
      </bottom>
      <diagonal/>
    </border>
    <border>
      <left/>
      <right style="thin">
        <color indexed="8"/>
      </right>
      <top style="thin">
        <color indexed="8"/>
      </top>
      <bottom style="thin">
        <color indexed="8"/>
      </bottom>
      <diagonal/>
    </border>
    <border>
      <left style="medium">
        <color indexed="8"/>
      </left>
      <right style="thin">
        <color indexed="8"/>
      </right>
      <top style="thin">
        <color indexed="8"/>
      </top>
      <bottom/>
      <diagonal/>
    </border>
    <border>
      <left style="medium">
        <color indexed="8"/>
      </left>
      <right style="thin">
        <color indexed="8"/>
      </right>
      <top/>
      <bottom/>
      <diagonal/>
    </border>
    <border>
      <left style="medium">
        <color indexed="8"/>
      </left>
      <right style="thin">
        <color indexed="8"/>
      </right>
      <top/>
      <bottom style="thin">
        <color indexed="8"/>
      </bottom>
      <diagonal/>
    </border>
    <border>
      <left/>
      <right style="medium">
        <color indexed="8"/>
      </right>
      <top style="thin">
        <color indexed="8"/>
      </top>
      <bottom style="thin">
        <color indexed="8"/>
      </bottom>
      <diagonal/>
    </border>
    <border>
      <left style="medium">
        <color indexed="8"/>
      </left>
      <right/>
      <top style="medium">
        <color indexed="8"/>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8"/>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8"/>
      </right>
      <top style="medium">
        <color indexed="64"/>
      </top>
      <bottom style="medium">
        <color indexed="8"/>
      </bottom>
      <diagonal/>
    </border>
    <border>
      <left/>
      <right style="thin">
        <color indexed="8"/>
      </right>
      <top/>
      <bottom style="medium">
        <color indexed="64"/>
      </bottom>
      <diagonal/>
    </border>
    <border>
      <left style="thin">
        <color indexed="8"/>
      </left>
      <right style="thin">
        <color indexed="8"/>
      </right>
      <top style="medium">
        <color indexed="64"/>
      </top>
      <bottom style="medium">
        <color indexed="8"/>
      </bottom>
      <diagonal/>
    </border>
    <border>
      <left style="thin">
        <color indexed="8"/>
      </left>
      <right style="thin">
        <color indexed="8"/>
      </right>
      <top/>
      <bottom style="medium">
        <color indexed="64"/>
      </bottom>
      <diagonal/>
    </border>
    <border>
      <left style="thin">
        <color indexed="8"/>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s>
  <cellStyleXfs count="121">
    <xf numFmtId="0" fontId="0" fillId="0" borderId="0"/>
    <xf numFmtId="0" fontId="36" fillId="2" borderId="0" applyNumberFormat="0" applyBorder="0" applyAlignment="0" applyProtection="0"/>
    <xf numFmtId="0" fontId="36" fillId="3" borderId="0" applyNumberFormat="0" applyBorder="0" applyAlignment="0" applyProtection="0"/>
    <xf numFmtId="0" fontId="36" fillId="4" borderId="0" applyNumberFormat="0" applyBorder="0" applyAlignment="0" applyProtection="0"/>
    <xf numFmtId="0" fontId="36" fillId="5" borderId="0" applyNumberFormat="0" applyBorder="0" applyAlignment="0" applyProtection="0"/>
    <xf numFmtId="0" fontId="36" fillId="6" borderId="0" applyNumberFormat="0" applyBorder="0" applyAlignment="0" applyProtection="0"/>
    <xf numFmtId="0" fontId="36" fillId="7" borderId="0" applyNumberFormat="0" applyBorder="0" applyAlignment="0" applyProtection="0"/>
    <xf numFmtId="0" fontId="36" fillId="8" borderId="0" applyNumberFormat="0" applyBorder="0" applyAlignment="0" applyProtection="0"/>
    <xf numFmtId="0" fontId="36" fillId="9" borderId="0" applyNumberFormat="0" applyBorder="0" applyAlignment="0" applyProtection="0"/>
    <xf numFmtId="0" fontId="36" fillId="10" borderId="0" applyNumberFormat="0" applyBorder="0" applyAlignment="0" applyProtection="0"/>
    <xf numFmtId="0" fontId="36" fillId="5" borderId="0" applyNumberFormat="0" applyBorder="0" applyAlignment="0" applyProtection="0"/>
    <xf numFmtId="0" fontId="36" fillId="8" borderId="0" applyNumberFormat="0" applyBorder="0" applyAlignment="0" applyProtection="0"/>
    <xf numFmtId="0" fontId="36" fillId="11" borderId="0" applyNumberFormat="0" applyBorder="0" applyAlignment="0" applyProtection="0"/>
    <xf numFmtId="0" fontId="1" fillId="12"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36" fillId="8" borderId="0" applyNumberFormat="0" applyBorder="0" applyAlignment="0" applyProtection="0"/>
    <xf numFmtId="0" fontId="36" fillId="6" borderId="0" applyNumberFormat="0" applyBorder="0" applyAlignment="0" applyProtection="0"/>
    <xf numFmtId="0" fontId="1" fillId="6" borderId="0" applyNumberFormat="0" applyBorder="0" applyAlignment="0" applyProtection="0"/>
    <xf numFmtId="0" fontId="1" fillId="17" borderId="0" applyNumberFormat="0" applyBorder="0" applyAlignment="0" applyProtection="0"/>
    <xf numFmtId="0" fontId="36" fillId="9" borderId="0" applyNumberFormat="0" applyBorder="0" applyAlignment="0" applyProtection="0"/>
    <xf numFmtId="0" fontId="36" fillId="9" borderId="0" applyNumberFormat="0" applyBorder="0" applyAlignment="0" applyProtection="0"/>
    <xf numFmtId="0" fontId="1" fillId="17" borderId="0" applyNumberFormat="0" applyBorder="0" applyAlignment="0" applyProtection="0"/>
    <xf numFmtId="0" fontId="1" fillId="11" borderId="0" applyNumberFormat="0" applyBorder="0" applyAlignment="0" applyProtection="0"/>
    <xf numFmtId="0" fontId="36" fillId="18" borderId="0" applyNumberFormat="0" applyBorder="0" applyAlignment="0" applyProtection="0"/>
    <xf numFmtId="0" fontId="36" fillId="19" borderId="0" applyNumberFormat="0" applyBorder="0" applyAlignment="0" applyProtection="0"/>
    <xf numFmtId="0" fontId="1" fillId="11" borderId="0" applyNumberFormat="0" applyBorder="0" applyAlignment="0" applyProtection="0"/>
    <xf numFmtId="0" fontId="1" fillId="20" borderId="0" applyNumberFormat="0" applyBorder="0" applyAlignment="0" applyProtection="0"/>
    <xf numFmtId="0" fontId="36" fillId="7" borderId="0" applyNumberFormat="0" applyBorder="0" applyAlignment="0" applyProtection="0"/>
    <xf numFmtId="0" fontId="36" fillId="3" borderId="0" applyNumberFormat="0" applyBorder="0" applyAlignment="0" applyProtection="0"/>
    <xf numFmtId="0" fontId="1" fillId="3" borderId="0" applyNumberFormat="0" applyBorder="0" applyAlignment="0" applyProtection="0"/>
    <xf numFmtId="0" fontId="1" fillId="14"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1" fillId="6" borderId="0" applyNumberFormat="0" applyBorder="0" applyAlignment="0" applyProtection="0"/>
    <xf numFmtId="0" fontId="1" fillId="21" borderId="0" applyNumberFormat="0" applyBorder="0" applyAlignment="0" applyProtection="0"/>
    <xf numFmtId="0" fontId="36" fillId="18" borderId="0" applyNumberFormat="0" applyBorder="0" applyAlignment="0" applyProtection="0"/>
    <xf numFmtId="0" fontId="36" fillId="18" borderId="0" applyNumberFormat="0" applyBorder="0" applyAlignment="0" applyProtection="0"/>
    <xf numFmtId="0" fontId="1" fillId="9" borderId="0" applyNumberFormat="0" applyBorder="0" applyAlignment="0" applyProtection="0"/>
    <xf numFmtId="0" fontId="2" fillId="5" borderId="0" applyNumberFormat="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2" borderId="4" applyNumberFormat="0" applyAlignment="0" applyProtection="0"/>
    <xf numFmtId="0" fontId="9" fillId="0" borderId="6" applyNumberFormat="0" applyFill="0" applyAlignment="0" applyProtection="0"/>
    <xf numFmtId="0" fontId="1" fillId="24"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8" fillId="4"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165" fontId="36" fillId="0" borderId="0" applyFill="0" applyBorder="0" applyAlignment="0" applyProtection="0"/>
    <xf numFmtId="165" fontId="36" fillId="0" borderId="0" applyFill="0" applyBorder="0" applyAlignment="0" applyProtection="0"/>
    <xf numFmtId="170" fontId="17" fillId="0" borderId="0"/>
    <xf numFmtId="0" fontId="11" fillId="0" borderId="0" applyNumberFormat="0" applyFill="0" applyBorder="0" applyAlignment="0" applyProtection="0"/>
    <xf numFmtId="0" fontId="8" fillId="6" borderId="0" applyNumberFormat="0" applyBorder="0" applyAlignment="0" applyProtection="0"/>
    <xf numFmtId="0" fontId="12" fillId="0" borderId="7" applyNumberFormat="0" applyFill="0" applyAlignment="0" applyProtection="0"/>
    <xf numFmtId="0" fontId="13" fillId="0" borderId="8" applyNumberFormat="0" applyFill="0" applyAlignment="0" applyProtection="0"/>
    <xf numFmtId="0" fontId="14" fillId="0" borderId="9" applyNumberFormat="0" applyFill="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2" fillId="3" borderId="0" applyNumberFormat="0" applyBorder="0" applyAlignment="0" applyProtection="0"/>
    <xf numFmtId="167" fontId="36" fillId="0" borderId="0" applyFill="0" applyBorder="0" applyAlignment="0" applyProtection="0"/>
    <xf numFmtId="166" fontId="36" fillId="0" borderId="0" applyFill="0" applyBorder="0" applyAlignment="0" applyProtection="0"/>
    <xf numFmtId="167" fontId="36" fillId="0" borderId="0" applyFill="0" applyBorder="0" applyAlignment="0" applyProtection="0"/>
    <xf numFmtId="167" fontId="36" fillId="0" borderId="0" applyFill="0" applyBorder="0" applyAlignment="0" applyProtection="0"/>
    <xf numFmtId="168" fontId="36" fillId="0" borderId="0" applyFill="0" applyBorder="0" applyAlignment="0" applyProtection="0"/>
    <xf numFmtId="169" fontId="36" fillId="0" borderId="0" applyFill="0" applyBorder="0" applyAlignment="0" applyProtection="0"/>
    <xf numFmtId="168" fontId="36" fillId="0" borderId="0" applyFill="0" applyBorder="0" applyAlignment="0" applyProtection="0"/>
    <xf numFmtId="0" fontId="16" fillId="19" borderId="0" applyNumberFormat="0" applyBorder="0" applyAlignment="0" applyProtection="0"/>
    <xf numFmtId="170" fontId="17" fillId="0" borderId="0"/>
    <xf numFmtId="0" fontId="18" fillId="0" borderId="0"/>
    <xf numFmtId="0" fontId="19" fillId="0" borderId="0"/>
    <xf numFmtId="0" fontId="18" fillId="0" borderId="0"/>
    <xf numFmtId="0" fontId="17" fillId="0" borderId="0"/>
    <xf numFmtId="171" fontId="36" fillId="0" borderId="0"/>
    <xf numFmtId="0" fontId="36" fillId="0" borderId="0"/>
    <xf numFmtId="0" fontId="19" fillId="0" borderId="0"/>
    <xf numFmtId="0" fontId="18" fillId="0" borderId="0"/>
    <xf numFmtId="0" fontId="36" fillId="0" borderId="0"/>
    <xf numFmtId="0" fontId="18" fillId="0" borderId="0"/>
    <xf numFmtId="0" fontId="18" fillId="0" borderId="0"/>
    <xf numFmtId="0" fontId="18" fillId="0" borderId="0"/>
    <xf numFmtId="0" fontId="18" fillId="0" borderId="0"/>
    <xf numFmtId="0" fontId="36" fillId="0" borderId="0"/>
    <xf numFmtId="0" fontId="19" fillId="0" borderId="0"/>
    <xf numFmtId="0" fontId="18" fillId="0" borderId="0"/>
    <xf numFmtId="0" fontId="36" fillId="0" borderId="0"/>
    <xf numFmtId="0" fontId="36" fillId="18" borderId="10" applyNumberFormat="0" applyAlignment="0" applyProtection="0"/>
    <xf numFmtId="0" fontId="36" fillId="18" borderId="10" applyNumberFormat="0" applyAlignment="0" applyProtection="0"/>
    <xf numFmtId="0" fontId="36" fillId="18" borderId="10" applyNumberFormat="0" applyAlignment="0" applyProtection="0"/>
    <xf numFmtId="0" fontId="20" fillId="22" borderId="11" applyNumberFormat="0" applyAlignment="0" applyProtection="0"/>
    <xf numFmtId="9" fontId="36" fillId="0" borderId="0" applyFill="0" applyBorder="0" applyAlignment="0" applyProtection="0"/>
    <xf numFmtId="9" fontId="36" fillId="0" borderId="0" applyFill="0" applyBorder="0" applyAlignment="0" applyProtection="0"/>
    <xf numFmtId="9" fontId="18" fillId="0" borderId="0" applyFont="0" applyFill="0" applyBorder="0" applyAlignment="0" applyProtection="0"/>
    <xf numFmtId="9" fontId="36" fillId="0" borderId="0" applyFill="0" applyBorder="0" applyAlignment="0" applyProtection="0"/>
    <xf numFmtId="9" fontId="36" fillId="0" borderId="0" applyFill="0" applyBorder="0" applyAlignment="0" applyProtection="0"/>
    <xf numFmtId="170" fontId="36" fillId="0" borderId="0" applyFill="0" applyBorder="0" applyAlignment="0" applyProtection="0"/>
    <xf numFmtId="170" fontId="36" fillId="0" borderId="0" applyFill="0" applyBorder="0" applyAlignment="0" applyProtection="0"/>
    <xf numFmtId="170" fontId="36" fillId="0" borderId="0" applyFill="0" applyBorder="0" applyAlignment="0" applyProtection="0"/>
    <xf numFmtId="172" fontId="36" fillId="0" borderId="0" applyFill="0" applyBorder="0" applyAlignment="0" applyProtection="0"/>
    <xf numFmtId="172" fontId="36" fillId="0" borderId="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7" fillId="23" borderId="5" applyNumberFormat="0" applyAlignment="0" applyProtection="0"/>
    <xf numFmtId="170" fontId="36" fillId="0" borderId="0" applyFill="0" applyBorder="0" applyAlignment="0" applyProtection="0"/>
    <xf numFmtId="170" fontId="36" fillId="0" borderId="0" applyFill="0" applyBorder="0" applyAlignment="0" applyProtection="0"/>
    <xf numFmtId="173" fontId="36" fillId="0" borderId="0" applyFill="0" applyBorder="0" applyAlignment="0" applyProtection="0"/>
    <xf numFmtId="170" fontId="36" fillId="0" borderId="0" applyFill="0" applyBorder="0" applyAlignment="0" applyProtection="0"/>
    <xf numFmtId="170" fontId="36" fillId="0" borderId="0" applyFill="0" applyBorder="0" applyAlignment="0" applyProtection="0"/>
    <xf numFmtId="169" fontId="36" fillId="0" borderId="0" applyFill="0" applyBorder="0" applyAlignment="0" applyProtection="0"/>
    <xf numFmtId="169" fontId="36" fillId="0" borderId="0" applyFill="0" applyBorder="0" applyAlignment="0" applyProtection="0"/>
  </cellStyleXfs>
  <cellXfs count="453">
    <xf numFmtId="0" fontId="0" fillId="0" borderId="0" xfId="0"/>
    <xf numFmtId="0" fontId="0" fillId="0" borderId="0" xfId="0" applyAlignment="1">
      <alignment horizontal="left" vertical="center"/>
    </xf>
    <xf numFmtId="49" fontId="0" fillId="0" borderId="0" xfId="0" applyNumberFormat="1" applyAlignment="1">
      <alignment horizontal="center"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4" fontId="0" fillId="0" borderId="0" xfId="0" applyNumberFormat="1" applyAlignment="1">
      <alignment vertical="center"/>
    </xf>
    <xf numFmtId="0" fontId="0" fillId="0" borderId="0" xfId="0" applyAlignment="1">
      <alignment vertical="center"/>
    </xf>
    <xf numFmtId="10" fontId="25" fillId="0" borderId="12" xfId="102" applyNumberFormat="1" applyFont="1" applyFill="1" applyBorder="1" applyAlignment="1" applyProtection="1">
      <alignment horizontal="center" vertical="center" wrapText="1"/>
    </xf>
    <xf numFmtId="10" fontId="26" fillId="0" borderId="13" xfId="102" applyNumberFormat="1" applyFont="1" applyFill="1" applyBorder="1" applyAlignment="1" applyProtection="1">
      <alignment horizontal="center" vertical="center" wrapText="1"/>
    </xf>
    <xf numFmtId="49" fontId="0" fillId="0" borderId="0" xfId="0" applyNumberFormat="1" applyBorder="1" applyAlignment="1">
      <alignment horizontal="center" vertical="center"/>
    </xf>
    <xf numFmtId="0" fontId="0" fillId="0" borderId="0" xfId="0" applyBorder="1" applyAlignment="1">
      <alignment horizontal="center" vertical="center" wrapText="1"/>
    </xf>
    <xf numFmtId="0" fontId="0" fillId="0" borderId="0" xfId="0" applyBorder="1" applyAlignment="1">
      <alignment vertical="center" wrapText="1"/>
    </xf>
    <xf numFmtId="0" fontId="0" fillId="0" borderId="0" xfId="0" applyBorder="1" applyAlignment="1">
      <alignment horizontal="center" vertical="center"/>
    </xf>
    <xf numFmtId="4" fontId="0" fillId="0" borderId="0" xfId="0" applyNumberFormat="1" applyBorder="1" applyAlignment="1">
      <alignment vertical="center"/>
    </xf>
    <xf numFmtId="0" fontId="0" fillId="0" borderId="0" xfId="0" applyBorder="1" applyAlignment="1">
      <alignment vertical="center"/>
    </xf>
    <xf numFmtId="4" fontId="0" fillId="0" borderId="0" xfId="0" applyNumberFormat="1"/>
    <xf numFmtId="49" fontId="31" fillId="22" borderId="14" xfId="0" applyNumberFormat="1" applyFont="1" applyFill="1" applyBorder="1" applyAlignment="1">
      <alignment horizontal="center" vertical="center"/>
    </xf>
    <xf numFmtId="0" fontId="31" fillId="22" borderId="14" xfId="0" applyFont="1" applyFill="1" applyBorder="1" applyAlignment="1">
      <alignment horizontal="center" vertical="center" wrapText="1"/>
    </xf>
    <xf numFmtId="0" fontId="31" fillId="22" borderId="14" xfId="0" applyFont="1" applyFill="1" applyBorder="1" applyAlignment="1">
      <alignment vertical="center" wrapText="1"/>
    </xf>
    <xf numFmtId="0" fontId="31" fillId="22" borderId="14" xfId="0" applyFont="1" applyFill="1" applyBorder="1" applyAlignment="1">
      <alignment horizontal="center" vertical="center"/>
    </xf>
    <xf numFmtId="4" fontId="31" fillId="22" borderId="14" xfId="0" applyNumberFormat="1" applyFont="1" applyFill="1" applyBorder="1" applyAlignment="1">
      <alignment vertical="center"/>
    </xf>
    <xf numFmtId="0" fontId="32" fillId="22" borderId="0" xfId="0" applyFont="1" applyFill="1"/>
    <xf numFmtId="0" fontId="29" fillId="22" borderId="14" xfId="0" applyFont="1" applyFill="1" applyBorder="1" applyAlignment="1">
      <alignment horizontal="center" vertical="center"/>
    </xf>
    <xf numFmtId="4" fontId="29" fillId="22" borderId="14" xfId="0" applyNumberFormat="1" applyFont="1" applyFill="1" applyBorder="1" applyAlignment="1">
      <alignment vertical="center"/>
    </xf>
    <xf numFmtId="0" fontId="0" fillId="22" borderId="0" xfId="0" applyFill="1"/>
    <xf numFmtId="4" fontId="29" fillId="0" borderId="14" xfId="0" applyNumberFormat="1" applyFont="1" applyFill="1" applyBorder="1" applyAlignment="1">
      <alignment vertical="center"/>
    </xf>
    <xf numFmtId="0" fontId="31" fillId="0" borderId="14" xfId="0" applyFont="1" applyFill="1" applyBorder="1" applyAlignment="1">
      <alignment vertical="center" wrapText="1"/>
    </xf>
    <xf numFmtId="0" fontId="31" fillId="0" borderId="15" xfId="0" applyFont="1" applyFill="1" applyBorder="1" applyAlignment="1">
      <alignment horizontal="center" vertical="center" wrapText="1"/>
    </xf>
    <xf numFmtId="0" fontId="32" fillId="0" borderId="0" xfId="0" applyFont="1"/>
    <xf numFmtId="0" fontId="31" fillId="22" borderId="16" xfId="0" applyFont="1" applyFill="1" applyBorder="1" applyAlignment="1">
      <alignment horizontal="center" vertical="center"/>
    </xf>
    <xf numFmtId="4" fontId="31" fillId="22" borderId="16" xfId="0" applyNumberFormat="1" applyFont="1" applyFill="1" applyBorder="1" applyAlignment="1">
      <alignment vertical="center"/>
    </xf>
    <xf numFmtId="0" fontId="0" fillId="0" borderId="0" xfId="0" applyBorder="1"/>
    <xf numFmtId="0" fontId="18" fillId="0" borderId="0" xfId="92"/>
    <xf numFmtId="170" fontId="18" fillId="0" borderId="0" xfId="92" applyNumberFormat="1" applyAlignment="1">
      <alignment wrapText="1"/>
    </xf>
    <xf numFmtId="0" fontId="35" fillId="0" borderId="0" xfId="92" applyFont="1"/>
    <xf numFmtId="0" fontId="34" fillId="29" borderId="14" xfId="92" applyFont="1" applyFill="1" applyBorder="1" applyAlignment="1">
      <alignment horizontal="center"/>
    </xf>
    <xf numFmtId="0" fontId="35" fillId="0" borderId="17" xfId="92" applyFont="1" applyBorder="1" applyAlignment="1">
      <alignment horizontal="center" vertical="center" wrapText="1"/>
    </xf>
    <xf numFmtId="170" fontId="35" fillId="0" borderId="14" xfId="114" applyFont="1" applyFill="1" applyBorder="1" applyAlignment="1" applyProtection="1"/>
    <xf numFmtId="10" fontId="35" fillId="0" borderId="0" xfId="92" applyNumberFormat="1" applyFont="1"/>
    <xf numFmtId="0" fontId="35" fillId="0" borderId="14" xfId="92" applyFont="1" applyBorder="1" applyAlignment="1">
      <alignment horizontal="left" vertical="center" wrapText="1"/>
    </xf>
    <xf numFmtId="0" fontId="34" fillId="29" borderId="14" xfId="92" applyFont="1" applyFill="1" applyBorder="1"/>
    <xf numFmtId="10" fontId="34" fillId="29" borderId="14" xfId="92" applyNumberFormat="1" applyFont="1" applyFill="1" applyBorder="1"/>
    <xf numFmtId="170" fontId="34" fillId="29" borderId="14" xfId="92" applyNumberFormat="1" applyFont="1" applyFill="1" applyBorder="1" applyAlignment="1">
      <alignment wrapText="1"/>
    </xf>
    <xf numFmtId="10" fontId="34" fillId="29" borderId="14" xfId="101" applyNumberFormat="1" applyFont="1" applyFill="1" applyBorder="1" applyAlignment="1" applyProtection="1"/>
    <xf numFmtId="170" fontId="34" fillId="29" borderId="14" xfId="92" applyNumberFormat="1" applyFont="1" applyFill="1" applyBorder="1"/>
    <xf numFmtId="0" fontId="34" fillId="0" borderId="0" xfId="92" applyFont="1"/>
    <xf numFmtId="0" fontId="34" fillId="29" borderId="18" xfId="92" applyFont="1" applyFill="1" applyBorder="1"/>
    <xf numFmtId="10" fontId="34" fillId="29" borderId="18" xfId="101" applyNumberFormat="1" applyFont="1" applyFill="1" applyBorder="1" applyAlignment="1" applyProtection="1"/>
    <xf numFmtId="170" fontId="34" fillId="29" borderId="18" xfId="92" applyNumberFormat="1" applyFont="1" applyFill="1" applyBorder="1" applyAlignment="1">
      <alignment wrapText="1"/>
    </xf>
    <xf numFmtId="170" fontId="34" fillId="29" borderId="18" xfId="92" applyNumberFormat="1" applyFont="1" applyFill="1" applyBorder="1"/>
    <xf numFmtId="170" fontId="35" fillId="0" borderId="0" xfId="92" applyNumberFormat="1" applyFont="1" applyAlignment="1">
      <alignment wrapText="1"/>
    </xf>
    <xf numFmtId="49" fontId="34" fillId="0" borderId="0" xfId="92" applyNumberFormat="1" applyFont="1"/>
    <xf numFmtId="170" fontId="35" fillId="0" borderId="0" xfId="92" applyNumberFormat="1" applyFont="1"/>
    <xf numFmtId="176" fontId="35" fillId="0" borderId="0" xfId="92" applyNumberFormat="1" applyFont="1" applyAlignment="1">
      <alignment wrapText="1"/>
    </xf>
    <xf numFmtId="176" fontId="35" fillId="0" borderId="0" xfId="92" applyNumberFormat="1" applyFont="1"/>
    <xf numFmtId="9" fontId="36" fillId="0" borderId="0" xfId="101" applyAlignment="1">
      <alignment vertical="center"/>
    </xf>
    <xf numFmtId="180" fontId="36" fillId="0" borderId="0" xfId="101" applyNumberFormat="1"/>
    <xf numFmtId="0" fontId="31" fillId="22" borderId="16" xfId="0" applyFont="1" applyFill="1" applyBorder="1" applyAlignment="1">
      <alignment vertical="center" wrapText="1"/>
    </xf>
    <xf numFmtId="0" fontId="31" fillId="22" borderId="19" xfId="0" applyFont="1" applyFill="1" applyBorder="1" applyAlignment="1">
      <alignment vertical="center" wrapText="1"/>
    </xf>
    <xf numFmtId="0" fontId="31" fillId="22" borderId="19" xfId="0" applyFont="1" applyFill="1" applyBorder="1" applyAlignment="1">
      <alignment horizontal="center" vertical="center"/>
    </xf>
    <xf numFmtId="4" fontId="31" fillId="22" borderId="19" xfId="0" applyNumberFormat="1" applyFont="1" applyFill="1" applyBorder="1" applyAlignment="1">
      <alignment vertical="center"/>
    </xf>
    <xf numFmtId="167" fontId="36" fillId="0" borderId="0" xfId="71"/>
    <xf numFmtId="164" fontId="35" fillId="0" borderId="0" xfId="92" applyNumberFormat="1" applyFont="1"/>
    <xf numFmtId="180" fontId="35" fillId="0" borderId="0" xfId="92" applyNumberFormat="1" applyFont="1"/>
    <xf numFmtId="178" fontId="0" fillId="0" borderId="0" xfId="0" applyNumberFormat="1"/>
    <xf numFmtId="0" fontId="0" fillId="0" borderId="20" xfId="0" applyBorder="1"/>
    <xf numFmtId="174" fontId="27" fillId="30" borderId="21" xfId="72" applyNumberFormat="1" applyFont="1" applyFill="1" applyBorder="1" applyAlignment="1" applyProtection="1">
      <alignment horizontal="center" vertical="center" wrapText="1"/>
    </xf>
    <xf numFmtId="49" fontId="28" fillId="30" borderId="15" xfId="0" applyNumberFormat="1" applyFont="1" applyFill="1" applyBorder="1" applyAlignment="1">
      <alignment horizontal="center" vertical="center"/>
    </xf>
    <xf numFmtId="0" fontId="28" fillId="30" borderId="15" xfId="0" applyFont="1" applyFill="1" applyBorder="1" applyAlignment="1">
      <alignment horizontal="center" vertical="center" wrapText="1"/>
    </xf>
    <xf numFmtId="0" fontId="28" fillId="30" borderId="22" xfId="0" applyFont="1" applyFill="1" applyBorder="1" applyAlignment="1">
      <alignment vertical="center" wrapText="1"/>
    </xf>
    <xf numFmtId="0" fontId="29" fillId="30" borderId="22" xfId="0" applyFont="1" applyFill="1" applyBorder="1" applyAlignment="1">
      <alignment horizontal="center" vertical="center"/>
    </xf>
    <xf numFmtId="4" fontId="29" fillId="30" borderId="22" xfId="0" applyNumberFormat="1" applyFont="1" applyFill="1" applyBorder="1" applyAlignment="1">
      <alignment vertical="center"/>
    </xf>
    <xf numFmtId="4" fontId="30" fillId="30" borderId="14" xfId="0" applyNumberFormat="1" applyFont="1" applyFill="1" applyBorder="1" applyAlignment="1">
      <alignment vertical="center"/>
    </xf>
    <xf numFmtId="4" fontId="30" fillId="30" borderId="23" xfId="0" applyNumberFormat="1" applyFont="1" applyFill="1" applyBorder="1" applyAlignment="1">
      <alignment vertical="center"/>
    </xf>
    <xf numFmtId="0" fontId="28" fillId="30" borderId="24" xfId="0" applyFont="1" applyFill="1" applyBorder="1" applyAlignment="1">
      <alignment vertical="center" wrapText="1"/>
    </xf>
    <xf numFmtId="0" fontId="29" fillId="30" borderId="24" xfId="0" applyFont="1" applyFill="1" applyBorder="1" applyAlignment="1">
      <alignment horizontal="center" vertical="center"/>
    </xf>
    <xf numFmtId="4" fontId="29" fillId="30" borderId="24" xfId="0" applyNumberFormat="1" applyFont="1" applyFill="1" applyBorder="1" applyAlignment="1">
      <alignment vertical="center"/>
    </xf>
    <xf numFmtId="4" fontId="30" fillId="30" borderId="16" xfId="0" applyNumberFormat="1" applyFont="1" applyFill="1" applyBorder="1" applyAlignment="1">
      <alignment vertical="center"/>
    </xf>
    <xf numFmtId="0" fontId="31" fillId="30" borderId="22" xfId="0" applyFont="1" applyFill="1" applyBorder="1" applyAlignment="1">
      <alignment horizontal="center" vertical="center"/>
    </xf>
    <xf numFmtId="4" fontId="31" fillId="30" borderId="22" xfId="0" applyNumberFormat="1" applyFont="1" applyFill="1" applyBorder="1" applyAlignment="1">
      <alignment vertical="center"/>
    </xf>
    <xf numFmtId="4" fontId="28" fillId="30" borderId="14" xfId="0" applyNumberFormat="1" applyFont="1" applyFill="1" applyBorder="1" applyAlignment="1">
      <alignment vertical="center"/>
    </xf>
    <xf numFmtId="0" fontId="0" fillId="31" borderId="0" xfId="0" applyFill="1"/>
    <xf numFmtId="0" fontId="0" fillId="31" borderId="0" xfId="0" applyFill="1" applyAlignment="1">
      <alignment horizontal="center" vertical="center"/>
    </xf>
    <xf numFmtId="10" fontId="0" fillId="31" borderId="0" xfId="0" applyNumberFormat="1" applyFill="1"/>
    <xf numFmtId="10" fontId="43" fillId="31" borderId="0" xfId="101" applyNumberFormat="1" applyFont="1" applyFill="1" applyProtection="1"/>
    <xf numFmtId="182" fontId="33" fillId="32" borderId="25" xfId="0" applyNumberFormat="1" applyFont="1" applyFill="1" applyBorder="1" applyAlignment="1">
      <alignment vertical="center"/>
    </xf>
    <xf numFmtId="0" fontId="18" fillId="32" borderId="0" xfId="0" applyFont="1" applyFill="1" applyAlignment="1">
      <alignment vertical="center"/>
    </xf>
    <xf numFmtId="0" fontId="0" fillId="31" borderId="0" xfId="0" applyFill="1" applyAlignment="1">
      <alignment wrapText="1"/>
    </xf>
    <xf numFmtId="0" fontId="0" fillId="33" borderId="26" xfId="0" applyFill="1" applyBorder="1"/>
    <xf numFmtId="0" fontId="0" fillId="33" borderId="27" xfId="0" applyFill="1" applyBorder="1"/>
    <xf numFmtId="0" fontId="0" fillId="33" borderId="27" xfId="0" applyFill="1" applyBorder="1" applyAlignment="1">
      <alignment horizontal="center" vertical="center"/>
    </xf>
    <xf numFmtId="0" fontId="0" fillId="33" borderId="28" xfId="0" applyFill="1" applyBorder="1"/>
    <xf numFmtId="0" fontId="0" fillId="33" borderId="25" xfId="0" applyFill="1" applyBorder="1"/>
    <xf numFmtId="0" fontId="45" fillId="33" borderId="0" xfId="0" applyFont="1" applyFill="1"/>
    <xf numFmtId="10" fontId="43" fillId="33" borderId="0" xfId="101" applyNumberFormat="1" applyFont="1" applyFill="1" applyProtection="1"/>
    <xf numFmtId="0" fontId="0" fillId="33" borderId="0" xfId="0" applyFill="1"/>
    <xf numFmtId="0" fontId="0" fillId="33" borderId="0" xfId="0" applyFill="1" applyAlignment="1">
      <alignment horizontal="center" vertical="center"/>
    </xf>
    <xf numFmtId="10" fontId="43" fillId="33" borderId="0" xfId="101" applyNumberFormat="1" applyFont="1" applyFill="1" applyAlignment="1" applyProtection="1">
      <alignment horizontal="center"/>
    </xf>
    <xf numFmtId="0" fontId="0" fillId="33" borderId="29" xfId="0" applyFill="1" applyBorder="1"/>
    <xf numFmtId="0" fontId="46" fillId="33" borderId="25" xfId="0" applyFont="1" applyFill="1" applyBorder="1"/>
    <xf numFmtId="0" fontId="46" fillId="33" borderId="0" xfId="0" applyFont="1" applyFill="1"/>
    <xf numFmtId="10" fontId="46" fillId="33" borderId="0" xfId="101" applyNumberFormat="1" applyFont="1" applyFill="1" applyProtection="1"/>
    <xf numFmtId="0" fontId="46" fillId="33" borderId="0" xfId="0" applyFont="1" applyFill="1" applyAlignment="1">
      <alignment horizontal="center" vertical="center"/>
    </xf>
    <xf numFmtId="10" fontId="46" fillId="33" borderId="0" xfId="101" applyNumberFormat="1" applyFont="1" applyFill="1" applyAlignment="1" applyProtection="1">
      <alignment horizontal="center"/>
    </xf>
    <xf numFmtId="0" fontId="46" fillId="33" borderId="29" xfId="0" applyFont="1" applyFill="1" applyBorder="1"/>
    <xf numFmtId="0" fontId="44" fillId="33" borderId="0" xfId="0" applyFont="1" applyFill="1"/>
    <xf numFmtId="175" fontId="44" fillId="33" borderId="0" xfId="0" applyNumberFormat="1" applyFont="1" applyFill="1" applyAlignment="1">
      <alignment horizontal="center" vertical="center"/>
    </xf>
    <xf numFmtId="0" fontId="0" fillId="31" borderId="0" xfId="0" applyFill="1" applyAlignment="1">
      <alignment vertical="top"/>
    </xf>
    <xf numFmtId="0" fontId="0" fillId="33" borderId="25" xfId="0" applyFill="1" applyBorder="1" applyAlignment="1">
      <alignment vertical="top"/>
    </xf>
    <xf numFmtId="0" fontId="0" fillId="33" borderId="0" xfId="0" applyFill="1" applyAlignment="1">
      <alignment vertical="top"/>
    </xf>
    <xf numFmtId="0" fontId="44" fillId="33" borderId="0" xfId="0" applyFont="1" applyFill="1" applyAlignment="1">
      <alignment horizontal="center" vertical="top"/>
    </xf>
    <xf numFmtId="0" fontId="44" fillId="33" borderId="0" xfId="0" applyFont="1" applyFill="1" applyAlignment="1">
      <alignment vertical="top"/>
    </xf>
    <xf numFmtId="175" fontId="44" fillId="33" borderId="0" xfId="0" applyNumberFormat="1" applyFont="1" applyFill="1" applyAlignment="1">
      <alignment horizontal="center" vertical="top"/>
    </xf>
    <xf numFmtId="0" fontId="0" fillId="33" borderId="29" xfId="0" applyFill="1" applyBorder="1" applyAlignment="1">
      <alignment vertical="top"/>
    </xf>
    <xf numFmtId="0" fontId="0" fillId="0" borderId="0" xfId="0" applyAlignment="1">
      <alignment vertical="top"/>
    </xf>
    <xf numFmtId="0" fontId="45" fillId="33" borderId="30" xfId="0" applyFont="1" applyFill="1" applyBorder="1"/>
    <xf numFmtId="0" fontId="0" fillId="33" borderId="20" xfId="0" applyFill="1" applyBorder="1"/>
    <xf numFmtId="0" fontId="0" fillId="33" borderId="20" xfId="0" applyFill="1" applyBorder="1" applyAlignment="1">
      <alignment horizontal="center" vertical="center"/>
    </xf>
    <xf numFmtId="0" fontId="0" fillId="33" borderId="31" xfId="0" applyFill="1" applyBorder="1"/>
    <xf numFmtId="0" fontId="45" fillId="33" borderId="25" xfId="0" applyFont="1" applyFill="1" applyBorder="1"/>
    <xf numFmtId="0" fontId="0" fillId="0" borderId="0" xfId="0" applyAlignment="1"/>
    <xf numFmtId="0" fontId="38" fillId="0" borderId="0" xfId="0" applyFont="1"/>
    <xf numFmtId="0" fontId="0" fillId="0" borderId="26" xfId="0" applyBorder="1"/>
    <xf numFmtId="0" fontId="0" fillId="0" borderId="27" xfId="0" applyBorder="1"/>
    <xf numFmtId="0" fontId="0" fillId="0" borderId="28" xfId="0" applyBorder="1"/>
    <xf numFmtId="0" fontId="0" fillId="0" borderId="25" xfId="0" applyBorder="1"/>
    <xf numFmtId="0" fontId="0" fillId="0" borderId="29" xfId="0" applyBorder="1"/>
    <xf numFmtId="0" fontId="0" fillId="0" borderId="30" xfId="0" applyBorder="1"/>
    <xf numFmtId="167" fontId="36" fillId="0" borderId="20" xfId="71" applyBorder="1"/>
    <xf numFmtId="0" fontId="0" fillId="0" borderId="31" xfId="0" applyBorder="1"/>
    <xf numFmtId="0" fontId="35" fillId="0" borderId="14" xfId="92" applyFont="1" applyBorder="1" applyAlignment="1">
      <alignment vertical="center" wrapText="1"/>
    </xf>
    <xf numFmtId="10" fontId="35" fillId="0" borderId="14" xfId="92" applyNumberFormat="1" applyFont="1" applyBorder="1" applyAlignment="1">
      <alignment vertical="center"/>
    </xf>
    <xf numFmtId="170" fontId="35" fillId="0" borderId="14" xfId="92" applyNumberFormat="1" applyFont="1" applyBorder="1" applyAlignment="1">
      <alignment vertical="center" wrapText="1"/>
    </xf>
    <xf numFmtId="0" fontId="0" fillId="0" borderId="32" xfId="0" applyBorder="1" applyAlignment="1">
      <alignment vertical="center"/>
    </xf>
    <xf numFmtId="49" fontId="28" fillId="30" borderId="33" xfId="0" applyNumberFormat="1" applyFont="1" applyFill="1" applyBorder="1" applyAlignment="1">
      <alignment horizontal="center" vertical="center"/>
    </xf>
    <xf numFmtId="49" fontId="28" fillId="30" borderId="34" xfId="0" applyNumberFormat="1" applyFont="1" applyFill="1" applyBorder="1" applyAlignment="1">
      <alignment horizontal="center" vertical="center"/>
    </xf>
    <xf numFmtId="0" fontId="28" fillId="30" borderId="34" xfId="0" applyFont="1" applyFill="1" applyBorder="1" applyAlignment="1">
      <alignment horizontal="center" vertical="center" wrapText="1"/>
    </xf>
    <xf numFmtId="0" fontId="28" fillId="30" borderId="35" xfId="0" applyFont="1" applyFill="1" applyBorder="1" applyAlignment="1">
      <alignment vertical="center" wrapText="1"/>
    </xf>
    <xf numFmtId="0" fontId="29" fillId="30" borderId="35" xfId="0" applyFont="1" applyFill="1" applyBorder="1" applyAlignment="1">
      <alignment horizontal="center" vertical="center"/>
    </xf>
    <xf numFmtId="4" fontId="29" fillId="30" borderId="35" xfId="0" applyNumberFormat="1" applyFont="1" applyFill="1" applyBorder="1" applyAlignment="1">
      <alignment vertical="center"/>
    </xf>
    <xf numFmtId="4" fontId="30" fillId="30" borderId="36" xfId="0" applyNumberFormat="1" applyFont="1" applyFill="1" applyBorder="1" applyAlignment="1">
      <alignment vertical="center"/>
    </xf>
    <xf numFmtId="4" fontId="30" fillId="30" borderId="37" xfId="0" applyNumberFormat="1" applyFont="1" applyFill="1" applyBorder="1" applyAlignment="1">
      <alignment vertical="center"/>
    </xf>
    <xf numFmtId="49" fontId="31" fillId="22" borderId="38" xfId="0" applyNumberFormat="1" applyFont="1" applyFill="1" applyBorder="1" applyAlignment="1">
      <alignment horizontal="center" vertical="center"/>
    </xf>
    <xf numFmtId="4" fontId="31" fillId="22" borderId="39" xfId="0" applyNumberFormat="1" applyFont="1" applyFill="1" applyBorder="1" applyAlignment="1">
      <alignment vertical="center"/>
    </xf>
    <xf numFmtId="4" fontId="29" fillId="22" borderId="39" xfId="0" applyNumberFormat="1" applyFont="1" applyFill="1" applyBorder="1" applyAlignment="1">
      <alignment vertical="center"/>
    </xf>
    <xf numFmtId="49" fontId="28" fillId="30" borderId="40" xfId="0" applyNumberFormat="1" applyFont="1" applyFill="1" applyBorder="1" applyAlignment="1">
      <alignment horizontal="center" vertical="center"/>
    </xf>
    <xf numFmtId="4" fontId="30" fillId="30" borderId="39" xfId="0" applyNumberFormat="1" applyFont="1" applyFill="1" applyBorder="1" applyAlignment="1">
      <alignment vertical="center"/>
    </xf>
    <xf numFmtId="49" fontId="31" fillId="0" borderId="40" xfId="0" applyNumberFormat="1" applyFont="1" applyFill="1" applyBorder="1" applyAlignment="1">
      <alignment horizontal="center" vertical="center"/>
    </xf>
    <xf numFmtId="4" fontId="28" fillId="30" borderId="39" xfId="0" applyNumberFormat="1" applyFont="1" applyFill="1" applyBorder="1" applyAlignment="1">
      <alignment vertical="center"/>
    </xf>
    <xf numFmtId="49" fontId="31" fillId="0" borderId="38" xfId="0" applyNumberFormat="1" applyFont="1" applyFill="1" applyBorder="1" applyAlignment="1">
      <alignment horizontal="center" vertical="center"/>
    </xf>
    <xf numFmtId="4" fontId="31" fillId="22" borderId="41" xfId="0" applyNumberFormat="1" applyFont="1" applyFill="1" applyBorder="1" applyAlignment="1">
      <alignment vertical="center"/>
    </xf>
    <xf numFmtId="49" fontId="31" fillId="22" borderId="42" xfId="0" applyNumberFormat="1" applyFont="1" applyFill="1" applyBorder="1" applyAlignment="1">
      <alignment horizontal="center" vertical="center"/>
    </xf>
    <xf numFmtId="49" fontId="31" fillId="22" borderId="43" xfId="0" applyNumberFormat="1" applyFont="1" applyFill="1" applyBorder="1" applyAlignment="1">
      <alignment horizontal="center" vertical="center"/>
    </xf>
    <xf numFmtId="0" fontId="31" fillId="22" borderId="43" xfId="0" applyFont="1" applyFill="1" applyBorder="1" applyAlignment="1">
      <alignment horizontal="center" vertical="center" wrapText="1"/>
    </xf>
    <xf numFmtId="4" fontId="31" fillId="22" borderId="44" xfId="0" applyNumberFormat="1" applyFont="1" applyFill="1" applyBorder="1" applyAlignment="1">
      <alignment vertical="center"/>
    </xf>
    <xf numFmtId="10" fontId="25" fillId="0" borderId="45" xfId="92" applyNumberFormat="1" applyFont="1" applyFill="1" applyBorder="1" applyAlignment="1">
      <alignment horizontal="center" vertical="top" wrapText="1"/>
    </xf>
    <xf numFmtId="2" fontId="26" fillId="0" borderId="46" xfId="92" applyNumberFormat="1" applyFont="1" applyFill="1" applyBorder="1" applyAlignment="1">
      <alignment horizontal="center" vertical="center" wrapText="1"/>
    </xf>
    <xf numFmtId="10" fontId="25" fillId="0" borderId="47" xfId="92" applyNumberFormat="1" applyFont="1" applyFill="1" applyBorder="1" applyAlignment="1">
      <alignment horizontal="center" vertical="center" wrapText="1"/>
    </xf>
    <xf numFmtId="17" fontId="26" fillId="0" borderId="46" xfId="92" applyNumberFormat="1" applyFont="1" applyFill="1" applyBorder="1" applyAlignment="1">
      <alignment horizontal="center" vertical="center" wrapText="1"/>
    </xf>
    <xf numFmtId="174" fontId="27" fillId="30" borderId="47" xfId="72" applyNumberFormat="1" applyFont="1" applyFill="1" applyBorder="1" applyAlignment="1" applyProtection="1">
      <alignment horizontal="center" vertical="center" wrapText="1"/>
    </xf>
    <xf numFmtId="174" fontId="27" fillId="30" borderId="48" xfId="72" applyNumberFormat="1" applyFont="1" applyFill="1" applyBorder="1" applyAlignment="1" applyProtection="1">
      <alignment vertical="center" wrapText="1"/>
    </xf>
    <xf numFmtId="0" fontId="0" fillId="0" borderId="25" xfId="0" applyBorder="1" applyAlignment="1">
      <alignment horizontal="center" vertical="center"/>
    </xf>
    <xf numFmtId="0" fontId="0" fillId="0" borderId="29" xfId="0" applyBorder="1" applyAlignment="1">
      <alignment vertical="center"/>
    </xf>
    <xf numFmtId="4" fontId="31" fillId="0" borderId="16" xfId="0" applyNumberFormat="1" applyFont="1" applyFill="1" applyBorder="1" applyAlignment="1">
      <alignment vertical="center"/>
    </xf>
    <xf numFmtId="4" fontId="31" fillId="0" borderId="14" xfId="0" applyNumberFormat="1" applyFont="1" applyFill="1" applyBorder="1" applyAlignment="1">
      <alignment vertical="center"/>
    </xf>
    <xf numFmtId="0" fontId="31" fillId="0" borderId="16" xfId="0" applyFont="1" applyFill="1" applyBorder="1" applyAlignment="1">
      <alignment vertical="center" wrapText="1"/>
    </xf>
    <xf numFmtId="49" fontId="31" fillId="0" borderId="14" xfId="0" applyNumberFormat="1" applyFont="1" applyFill="1" applyBorder="1" applyAlignment="1">
      <alignment horizontal="center" vertical="center"/>
    </xf>
    <xf numFmtId="0" fontId="31" fillId="0" borderId="14" xfId="0" applyFont="1" applyFill="1" applyBorder="1" applyAlignment="1">
      <alignment horizontal="center" vertical="center" wrapText="1"/>
    </xf>
    <xf numFmtId="0" fontId="31" fillId="0" borderId="16" xfId="0" applyFont="1" applyFill="1" applyBorder="1" applyAlignment="1">
      <alignment horizontal="center" vertical="center"/>
    </xf>
    <xf numFmtId="4" fontId="31" fillId="0" borderId="41" xfId="0" applyNumberFormat="1" applyFont="1" applyFill="1" applyBorder="1" applyAlignment="1">
      <alignment vertical="center"/>
    </xf>
    <xf numFmtId="0" fontId="0" fillId="0" borderId="49" xfId="0" applyBorder="1" applyAlignment="1">
      <alignment vertical="center" wrapText="1"/>
    </xf>
    <xf numFmtId="4" fontId="0" fillId="0" borderId="49" xfId="0" applyNumberFormat="1" applyBorder="1" applyAlignment="1">
      <alignment vertical="center"/>
    </xf>
    <xf numFmtId="0" fontId="0" fillId="0" borderId="49" xfId="0" applyBorder="1" applyAlignment="1">
      <alignment vertical="center"/>
    </xf>
    <xf numFmtId="0" fontId="0" fillId="0" borderId="26" xfId="0" applyBorder="1" applyAlignment="1">
      <alignment vertical="center"/>
    </xf>
    <xf numFmtId="0" fontId="0" fillId="0" borderId="27" xfId="0" applyBorder="1" applyAlignment="1">
      <alignment vertical="center"/>
    </xf>
    <xf numFmtId="0" fontId="0" fillId="0" borderId="49" xfId="0" applyBorder="1"/>
    <xf numFmtId="2" fontId="0" fillId="0" borderId="49" xfId="0" applyNumberFormat="1" applyBorder="1" applyAlignment="1">
      <alignment vertical="center"/>
    </xf>
    <xf numFmtId="0" fontId="30" fillId="34" borderId="50" xfId="0" applyFont="1" applyFill="1" applyBorder="1" applyAlignment="1">
      <alignment horizontal="left" vertical="center"/>
    </xf>
    <xf numFmtId="0" fontId="30" fillId="34" borderId="50" xfId="0" applyFont="1" applyFill="1" applyBorder="1" applyAlignment="1">
      <alignment horizontal="center" vertical="center"/>
    </xf>
    <xf numFmtId="2" fontId="0" fillId="0" borderId="49" xfId="0" applyNumberFormat="1" applyBorder="1"/>
    <xf numFmtId="49" fontId="31" fillId="22" borderId="15" xfId="0" applyNumberFormat="1" applyFont="1" applyFill="1" applyBorder="1" applyAlignment="1">
      <alignment horizontal="center" vertical="center"/>
    </xf>
    <xf numFmtId="0" fontId="31" fillId="0" borderId="24" xfId="0" applyFont="1" applyFill="1" applyBorder="1" applyAlignment="1">
      <alignment vertical="center" wrapText="1"/>
    </xf>
    <xf numFmtId="0" fontId="29" fillId="22" borderId="24" xfId="0" applyFont="1" applyFill="1" applyBorder="1" applyAlignment="1">
      <alignment horizontal="center" vertical="center"/>
    </xf>
    <xf numFmtId="4" fontId="29" fillId="22" borderId="24" xfId="0" applyNumberFormat="1" applyFont="1" applyFill="1" applyBorder="1" applyAlignment="1">
      <alignment vertical="center"/>
    </xf>
    <xf numFmtId="4" fontId="29" fillId="22" borderId="16" xfId="0" applyNumberFormat="1" applyFont="1" applyFill="1" applyBorder="1" applyAlignment="1">
      <alignment vertical="center"/>
    </xf>
    <xf numFmtId="0" fontId="42" fillId="22" borderId="16" xfId="0" applyFont="1" applyFill="1" applyBorder="1" applyAlignment="1">
      <alignment horizontal="center" vertical="center"/>
    </xf>
    <xf numFmtId="181" fontId="0" fillId="0" borderId="49" xfId="0" applyNumberFormat="1" applyBorder="1" applyAlignment="1">
      <alignment vertical="center"/>
    </xf>
    <xf numFmtId="49" fontId="31" fillId="22" borderId="40" xfId="0" applyNumberFormat="1" applyFont="1" applyFill="1" applyBorder="1" applyAlignment="1">
      <alignment horizontal="center" vertical="center"/>
    </xf>
    <xf numFmtId="0" fontId="31" fillId="22" borderId="15" xfId="0" applyFont="1" applyFill="1" applyBorder="1" applyAlignment="1">
      <alignment horizontal="center" vertical="center" wrapText="1"/>
    </xf>
    <xf numFmtId="0" fontId="31" fillId="22" borderId="24" xfId="0" applyFont="1" applyFill="1" applyBorder="1" applyAlignment="1">
      <alignment vertical="center" wrapText="1"/>
    </xf>
    <xf numFmtId="0" fontId="31" fillId="22" borderId="24" xfId="0" applyFont="1" applyFill="1" applyBorder="1" applyAlignment="1">
      <alignment horizontal="center" vertical="center"/>
    </xf>
    <xf numFmtId="4" fontId="31" fillId="22" borderId="24" xfId="0" applyNumberFormat="1" applyFont="1" applyFill="1" applyBorder="1" applyAlignment="1">
      <alignment vertical="center"/>
    </xf>
    <xf numFmtId="4" fontId="31" fillId="22" borderId="51" xfId="0" applyNumberFormat="1" applyFont="1" applyFill="1" applyBorder="1" applyAlignment="1">
      <alignment vertical="center"/>
    </xf>
    <xf numFmtId="1" fontId="0" fillId="0" borderId="49" xfId="0" applyNumberFormat="1" applyBorder="1" applyAlignment="1">
      <alignment vertical="center"/>
    </xf>
    <xf numFmtId="2" fontId="0" fillId="0" borderId="0" xfId="0" applyNumberFormat="1"/>
    <xf numFmtId="0" fontId="0" fillId="35" borderId="0" xfId="0" applyFill="1"/>
    <xf numFmtId="4" fontId="29" fillId="0" borderId="24" xfId="0" applyNumberFormat="1" applyFont="1" applyFill="1" applyBorder="1" applyAlignment="1">
      <alignment vertical="center"/>
    </xf>
    <xf numFmtId="4" fontId="31" fillId="0" borderId="24" xfId="0" applyNumberFormat="1" applyFont="1" applyFill="1" applyBorder="1" applyAlignment="1">
      <alignment vertical="center"/>
    </xf>
    <xf numFmtId="0" fontId="31" fillId="0" borderId="14" xfId="0" applyFont="1" applyFill="1" applyBorder="1" applyAlignment="1">
      <alignment horizontal="center" vertical="center"/>
    </xf>
    <xf numFmtId="4" fontId="31" fillId="0" borderId="39" xfId="0" applyNumberFormat="1" applyFont="1" applyFill="1" applyBorder="1" applyAlignment="1">
      <alignment vertical="center"/>
    </xf>
    <xf numFmtId="4" fontId="31" fillId="0" borderId="19" xfId="0" applyNumberFormat="1" applyFont="1" applyFill="1" applyBorder="1" applyAlignment="1">
      <alignment vertical="center"/>
    </xf>
    <xf numFmtId="179" fontId="36" fillId="0" borderId="14" xfId="101" applyNumberFormat="1" applyFill="1" applyBorder="1" applyAlignment="1" applyProtection="1"/>
    <xf numFmtId="10" fontId="35" fillId="0" borderId="14" xfId="101" applyNumberFormat="1" applyFont="1" applyFill="1" applyBorder="1" applyAlignment="1" applyProtection="1"/>
    <xf numFmtId="10" fontId="36" fillId="0" borderId="14" xfId="101" applyNumberFormat="1" applyFill="1" applyBorder="1" applyAlignment="1" applyProtection="1"/>
    <xf numFmtId="0" fontId="42" fillId="22" borderId="14" xfId="0" applyFont="1" applyFill="1" applyBorder="1" applyAlignment="1">
      <alignment horizontal="center" vertical="center"/>
    </xf>
    <xf numFmtId="0" fontId="35" fillId="0" borderId="14" xfId="92" applyFont="1" applyFill="1" applyBorder="1" applyAlignment="1">
      <alignment vertical="center" wrapText="1"/>
    </xf>
    <xf numFmtId="0" fontId="35" fillId="0" borderId="14" xfId="92" applyFont="1" applyFill="1" applyBorder="1" applyAlignment="1">
      <alignment horizontal="left" vertical="center" wrapText="1"/>
    </xf>
    <xf numFmtId="0" fontId="0" fillId="0" borderId="49" xfId="0" applyFill="1" applyBorder="1" applyAlignment="1">
      <alignment horizontal="center" vertical="center"/>
    </xf>
    <xf numFmtId="0" fontId="0" fillId="0" borderId="49" xfId="0" applyFill="1" applyBorder="1" applyAlignment="1">
      <alignment vertical="center" wrapText="1"/>
    </xf>
    <xf numFmtId="4" fontId="0" fillId="0" borderId="49" xfId="0" applyNumberFormat="1" applyFill="1" applyBorder="1" applyAlignment="1">
      <alignment vertical="center"/>
    </xf>
    <xf numFmtId="2" fontId="0" fillId="0" borderId="49" xfId="0" applyNumberFormat="1" applyFill="1" applyBorder="1" applyAlignment="1">
      <alignment vertical="center"/>
    </xf>
    <xf numFmtId="2" fontId="0" fillId="0" borderId="49" xfId="0" applyNumberFormat="1" applyFill="1" applyBorder="1" applyAlignment="1">
      <alignment horizontal="center" vertical="center"/>
    </xf>
    <xf numFmtId="0" fontId="0" fillId="0" borderId="27" xfId="0" applyBorder="1" applyAlignment="1">
      <alignment vertical="center" wrapText="1"/>
    </xf>
    <xf numFmtId="4" fontId="0" fillId="0" borderId="27" xfId="0" applyNumberFormat="1" applyBorder="1" applyAlignment="1">
      <alignment vertical="center"/>
    </xf>
    <xf numFmtId="0" fontId="0" fillId="0" borderId="52" xfId="0" applyBorder="1" applyAlignment="1">
      <alignment horizontal="left" vertical="center"/>
    </xf>
    <xf numFmtId="0" fontId="0" fillId="0" borderId="25" xfId="0" applyBorder="1" applyAlignment="1">
      <alignment horizontal="left" vertical="center"/>
    </xf>
    <xf numFmtId="0" fontId="0" fillId="0" borderId="52" xfId="0" applyFill="1" applyBorder="1" applyAlignment="1">
      <alignment horizontal="center" vertical="center"/>
    </xf>
    <xf numFmtId="0" fontId="0" fillId="0" borderId="53" xfId="0" applyFill="1" applyBorder="1" applyAlignment="1">
      <alignment horizontal="center" vertical="center"/>
    </xf>
    <xf numFmtId="0" fontId="0" fillId="0" borderId="25" xfId="0" applyFill="1" applyBorder="1" applyAlignment="1">
      <alignment horizontal="left" vertical="center"/>
    </xf>
    <xf numFmtId="49" fontId="0" fillId="0" borderId="0" xfId="0" applyNumberFormat="1" applyFill="1" applyBorder="1" applyAlignment="1">
      <alignment horizontal="center" vertical="center"/>
    </xf>
    <xf numFmtId="0" fontId="0" fillId="0" borderId="0" xfId="0" applyFill="1" applyBorder="1" applyAlignment="1">
      <alignment horizontal="center" vertical="center" wrapText="1"/>
    </xf>
    <xf numFmtId="0" fontId="0" fillId="0" borderId="0" xfId="0" applyFill="1" applyBorder="1" applyAlignment="1">
      <alignment vertical="center" wrapText="1"/>
    </xf>
    <xf numFmtId="0" fontId="0" fillId="0" borderId="0" xfId="0" applyFill="1" applyBorder="1" applyAlignment="1">
      <alignment horizontal="center" vertical="center"/>
    </xf>
    <xf numFmtId="4" fontId="0" fillId="0" borderId="0" xfId="0" applyNumberFormat="1" applyFill="1" applyBorder="1" applyAlignment="1">
      <alignment vertical="center"/>
    </xf>
    <xf numFmtId="0" fontId="0" fillId="0" borderId="0" xfId="0" applyFill="1" applyBorder="1" applyAlignment="1">
      <alignment vertical="center"/>
    </xf>
    <xf numFmtId="0" fontId="0" fillId="0" borderId="29" xfId="0" applyFill="1" applyBorder="1" applyAlignment="1">
      <alignment vertical="center"/>
    </xf>
    <xf numFmtId="2" fontId="0" fillId="0" borderId="54" xfId="0" applyNumberFormat="1" applyBorder="1" applyAlignment="1">
      <alignment horizontal="center" vertical="center"/>
    </xf>
    <xf numFmtId="0" fontId="0" fillId="0" borderId="55" xfId="0" applyBorder="1" applyAlignment="1">
      <alignment vertical="center" wrapText="1"/>
    </xf>
    <xf numFmtId="0" fontId="0" fillId="0" borderId="55" xfId="0" applyBorder="1" applyAlignment="1">
      <alignment horizontal="center" vertical="center"/>
    </xf>
    <xf numFmtId="4" fontId="0" fillId="0" borderId="55" xfId="0" applyNumberFormat="1" applyBorder="1" applyAlignment="1">
      <alignment vertical="center"/>
    </xf>
    <xf numFmtId="2" fontId="0" fillId="0" borderId="55" xfId="0" applyNumberFormat="1" applyBorder="1" applyAlignment="1">
      <alignment vertical="center"/>
    </xf>
    <xf numFmtId="2" fontId="0" fillId="0" borderId="55" xfId="0" applyNumberFormat="1" applyBorder="1" applyAlignment="1">
      <alignment horizontal="center" vertical="center"/>
    </xf>
    <xf numFmtId="0" fontId="0" fillId="0" borderId="56" xfId="0" applyBorder="1" applyAlignment="1">
      <alignment horizontal="center" vertical="center"/>
    </xf>
    <xf numFmtId="0" fontId="0" fillId="0" borderId="57" xfId="0" applyBorder="1"/>
    <xf numFmtId="0" fontId="0" fillId="0" borderId="58" xfId="0" applyBorder="1"/>
    <xf numFmtId="0" fontId="0" fillId="0" borderId="59" xfId="0" applyBorder="1"/>
    <xf numFmtId="2" fontId="31" fillId="0" borderId="16" xfId="0" applyNumberFormat="1" applyFont="1" applyFill="1" applyBorder="1" applyAlignment="1">
      <alignment vertical="center"/>
    </xf>
    <xf numFmtId="167" fontId="36" fillId="22" borderId="0" xfId="71" applyFill="1"/>
    <xf numFmtId="0" fontId="0" fillId="35" borderId="52" xfId="0" applyFill="1" applyBorder="1" applyAlignment="1">
      <alignment horizontal="center" vertical="center"/>
    </xf>
    <xf numFmtId="2" fontId="0" fillId="0" borderId="52" xfId="0" applyNumberFormat="1" applyFill="1" applyBorder="1" applyAlignment="1">
      <alignment horizontal="center" vertical="center"/>
    </xf>
    <xf numFmtId="167" fontId="36" fillId="0" borderId="0" xfId="71" applyAlignment="1">
      <alignment horizontal="center" vertical="center"/>
    </xf>
    <xf numFmtId="0" fontId="32" fillId="22" borderId="0" xfId="0" applyFont="1" applyFill="1" applyAlignment="1">
      <alignment horizontal="center" vertical="center"/>
    </xf>
    <xf numFmtId="0" fontId="0" fillId="22" borderId="0" xfId="0" applyFill="1" applyAlignment="1">
      <alignment horizontal="center" vertical="center"/>
    </xf>
    <xf numFmtId="0" fontId="32" fillId="0" borderId="0" xfId="0" applyFont="1" applyAlignment="1">
      <alignment horizontal="center" vertical="center"/>
    </xf>
    <xf numFmtId="2" fontId="32" fillId="22" borderId="0" xfId="0" applyNumberFormat="1" applyFont="1" applyFill="1" applyAlignment="1">
      <alignment horizontal="center" vertical="center"/>
    </xf>
    <xf numFmtId="0" fontId="0" fillId="0" borderId="0" xfId="0" applyAlignment="1">
      <alignment horizontal="center" vertical="center" wrapText="1"/>
    </xf>
    <xf numFmtId="2" fontId="0" fillId="0" borderId="49" xfId="0" applyNumberFormat="1" applyBorder="1" applyAlignment="1">
      <alignment horizontal="center" vertical="center"/>
    </xf>
    <xf numFmtId="2" fontId="0" fillId="0" borderId="52" xfId="0" applyNumberFormat="1" applyBorder="1" applyAlignment="1">
      <alignment horizontal="center" vertical="center"/>
    </xf>
    <xf numFmtId="181" fontId="0" fillId="0" borderId="49" xfId="0" applyNumberFormat="1" applyBorder="1" applyAlignment="1">
      <alignment horizontal="center" vertical="center"/>
    </xf>
    <xf numFmtId="0" fontId="0" fillId="0" borderId="52" xfId="0" applyBorder="1" applyAlignment="1">
      <alignment horizontal="center" vertical="center"/>
    </xf>
    <xf numFmtId="0" fontId="0" fillId="0" borderId="53" xfId="0" applyBorder="1" applyAlignment="1">
      <alignment horizontal="center" vertical="center"/>
    </xf>
    <xf numFmtId="0" fontId="0" fillId="0" borderId="49" xfId="0" applyBorder="1" applyAlignment="1">
      <alignment horizontal="center" vertical="center"/>
    </xf>
    <xf numFmtId="0" fontId="0" fillId="0" borderId="27" xfId="0" applyBorder="1" applyAlignment="1">
      <alignment horizontal="center" vertical="center"/>
    </xf>
    <xf numFmtId="0" fontId="44" fillId="33" borderId="0" xfId="0" applyFont="1" applyFill="1" applyAlignment="1">
      <alignment horizontal="center" vertical="center"/>
    </xf>
    <xf numFmtId="0" fontId="45" fillId="33" borderId="25" xfId="0" applyFont="1" applyFill="1" applyBorder="1" applyAlignment="1">
      <alignment horizontal="center"/>
    </xf>
    <xf numFmtId="0" fontId="45" fillId="33" borderId="0" xfId="0" applyFont="1" applyFill="1" applyAlignment="1">
      <alignment horizontal="center"/>
    </xf>
    <xf numFmtId="0" fontId="45" fillId="33" borderId="29" xfId="0" applyFont="1" applyFill="1" applyBorder="1" applyAlignment="1">
      <alignment horizontal="center"/>
    </xf>
    <xf numFmtId="4" fontId="27" fillId="30" borderId="74" xfId="106" applyNumberFormat="1" applyFont="1" applyFill="1" applyBorder="1" applyAlignment="1" applyProtection="1">
      <alignment horizontal="center" vertical="center" wrapText="1"/>
    </xf>
    <xf numFmtId="170" fontId="27" fillId="30" borderId="74" xfId="106" applyFont="1" applyFill="1" applyBorder="1" applyAlignment="1" applyProtection="1">
      <alignment horizontal="center" vertical="center" wrapText="1"/>
    </xf>
    <xf numFmtId="0" fontId="27" fillId="30" borderId="75" xfId="92" applyFont="1" applyFill="1" applyBorder="1" applyAlignment="1">
      <alignment horizontal="center" vertical="center" wrapText="1"/>
    </xf>
    <xf numFmtId="49" fontId="27" fillId="30" borderId="74" xfId="92" applyNumberFormat="1" applyFont="1" applyFill="1" applyBorder="1" applyAlignment="1">
      <alignment horizontal="center" vertical="center" wrapText="1"/>
    </xf>
    <xf numFmtId="0" fontId="27" fillId="30" borderId="74" xfId="92" applyFont="1" applyFill="1" applyBorder="1" applyAlignment="1">
      <alignment horizontal="center" vertical="center" wrapText="1"/>
    </xf>
    <xf numFmtId="0" fontId="23" fillId="22" borderId="60" xfId="92" applyFont="1" applyFill="1" applyBorder="1" applyAlignment="1">
      <alignment horizontal="center" vertical="center" wrapText="1"/>
    </xf>
    <xf numFmtId="0" fontId="23" fillId="22" borderId="61" xfId="92" applyFont="1" applyFill="1" applyBorder="1" applyAlignment="1">
      <alignment horizontal="center" vertical="center" wrapText="1"/>
    </xf>
    <xf numFmtId="0" fontId="23" fillId="22" borderId="62" xfId="92" applyFont="1" applyFill="1" applyBorder="1" applyAlignment="1">
      <alignment horizontal="center" vertical="center" wrapText="1"/>
    </xf>
    <xf numFmtId="0" fontId="23" fillId="22" borderId="63" xfId="92" applyFont="1" applyFill="1" applyBorder="1" applyAlignment="1">
      <alignment horizontal="center" vertical="center" wrapText="1"/>
    </xf>
    <xf numFmtId="0" fontId="37" fillId="22" borderId="64" xfId="92" applyFont="1" applyFill="1" applyBorder="1" applyAlignment="1">
      <alignment horizontal="left" vertical="center" wrapText="1"/>
    </xf>
    <xf numFmtId="0" fontId="37" fillId="22" borderId="27" xfId="92" applyFont="1" applyFill="1" applyBorder="1" applyAlignment="1">
      <alignment horizontal="left" vertical="center" wrapText="1"/>
    </xf>
    <xf numFmtId="0" fontId="37" fillId="22" borderId="65" xfId="92" applyFont="1" applyFill="1" applyBorder="1" applyAlignment="1">
      <alignment horizontal="left" vertical="center" wrapText="1"/>
    </xf>
    <xf numFmtId="0" fontId="37" fillId="22" borderId="66" xfId="92" applyFont="1" applyFill="1" applyBorder="1" applyAlignment="1">
      <alignment horizontal="left" vertical="center" wrapText="1"/>
    </xf>
    <xf numFmtId="0" fontId="37" fillId="22" borderId="0" xfId="92" applyFont="1" applyFill="1" applyBorder="1" applyAlignment="1">
      <alignment horizontal="left" vertical="center" wrapText="1"/>
    </xf>
    <xf numFmtId="0" fontId="37" fillId="22" borderId="12" xfId="92" applyFont="1" applyFill="1" applyBorder="1" applyAlignment="1">
      <alignment horizontal="left" vertical="center" wrapText="1"/>
    </xf>
    <xf numFmtId="0" fontId="37" fillId="22" borderId="67" xfId="92" applyFont="1" applyFill="1" applyBorder="1" applyAlignment="1">
      <alignment horizontal="left" vertical="center" wrapText="1"/>
    </xf>
    <xf numFmtId="0" fontId="37" fillId="22" borderId="68" xfId="92" applyFont="1" applyFill="1" applyBorder="1" applyAlignment="1">
      <alignment horizontal="left" vertical="center" wrapText="1"/>
    </xf>
    <xf numFmtId="0" fontId="37" fillId="22" borderId="13" xfId="92" applyFont="1" applyFill="1" applyBorder="1" applyAlignment="1">
      <alignment horizontal="left" vertical="center" wrapText="1"/>
    </xf>
    <xf numFmtId="0" fontId="25" fillId="0" borderId="69" xfId="92" applyFont="1" applyFill="1" applyBorder="1" applyAlignment="1">
      <alignment horizontal="center" vertical="center" wrapText="1"/>
    </xf>
    <xf numFmtId="0" fontId="25" fillId="0" borderId="29" xfId="92" applyFont="1" applyFill="1" applyBorder="1" applyAlignment="1">
      <alignment horizontal="center" vertical="center" wrapText="1"/>
    </xf>
    <xf numFmtId="49" fontId="26" fillId="0" borderId="69" xfId="106" applyNumberFormat="1" applyFont="1" applyFill="1" applyBorder="1" applyAlignment="1" applyProtection="1">
      <alignment horizontal="center" vertical="center" wrapText="1"/>
    </xf>
    <xf numFmtId="49" fontId="26" fillId="0" borderId="29" xfId="106" applyNumberFormat="1" applyFont="1" applyFill="1" applyBorder="1" applyAlignment="1" applyProtection="1">
      <alignment horizontal="center" vertical="center" wrapText="1"/>
    </xf>
    <xf numFmtId="0" fontId="18" fillId="22" borderId="18" xfId="92" applyFont="1" applyFill="1" applyBorder="1" applyAlignment="1">
      <alignment horizontal="left" vertical="center" wrapText="1"/>
    </xf>
    <xf numFmtId="49" fontId="26" fillId="0" borderId="70" xfId="106" applyNumberFormat="1" applyFont="1" applyFill="1" applyBorder="1" applyAlignment="1" applyProtection="1">
      <alignment horizontal="center" vertical="center" wrapText="1"/>
    </xf>
    <xf numFmtId="49" fontId="26" fillId="0" borderId="71" xfId="106" applyNumberFormat="1" applyFont="1" applyFill="1" applyBorder="1" applyAlignment="1" applyProtection="1">
      <alignment horizontal="center" vertical="center" wrapText="1"/>
    </xf>
    <xf numFmtId="10" fontId="25" fillId="0" borderId="72" xfId="102" applyNumberFormat="1" applyFont="1" applyFill="1" applyBorder="1" applyAlignment="1" applyProtection="1">
      <alignment horizontal="center" vertical="top" wrapText="1"/>
    </xf>
    <xf numFmtId="10" fontId="25" fillId="0" borderId="73" xfId="102" applyNumberFormat="1" applyFont="1" applyFill="1" applyBorder="1" applyAlignment="1" applyProtection="1">
      <alignment horizontal="center" vertical="top" wrapText="1"/>
    </xf>
    <xf numFmtId="0" fontId="0" fillId="0" borderId="0" xfId="0" applyAlignment="1">
      <alignment horizontal="center" wrapText="1"/>
    </xf>
    <xf numFmtId="0" fontId="0" fillId="0" borderId="0" xfId="0" applyAlignment="1">
      <alignment horizontal="center" vertical="center" wrapText="1"/>
    </xf>
    <xf numFmtId="0" fontId="10" fillId="0" borderId="0" xfId="0" applyFont="1" applyAlignment="1">
      <alignment horizontal="center" vertical="center"/>
    </xf>
    <xf numFmtId="0" fontId="0" fillId="0" borderId="0" xfId="0" applyAlignment="1">
      <alignment horizontal="center"/>
    </xf>
    <xf numFmtId="0" fontId="10" fillId="0" borderId="0" xfId="0" applyFont="1" applyAlignment="1">
      <alignment horizontal="center" vertical="center" wrapText="1"/>
    </xf>
    <xf numFmtId="0" fontId="37" fillId="22" borderId="26" xfId="92" applyFont="1" applyFill="1" applyBorder="1" applyAlignment="1">
      <alignment horizontal="center" vertical="center" wrapText="1"/>
    </xf>
    <xf numFmtId="0" fontId="37" fillId="22" borderId="27" xfId="92" applyFont="1" applyFill="1" applyBorder="1" applyAlignment="1">
      <alignment horizontal="center" vertical="center" wrapText="1"/>
    </xf>
    <xf numFmtId="0" fontId="37" fillId="22" borderId="28" xfId="92" applyFont="1" applyFill="1" applyBorder="1" applyAlignment="1">
      <alignment horizontal="center" vertical="center" wrapText="1"/>
    </xf>
    <xf numFmtId="0" fontId="37" fillId="22" borderId="25" xfId="92" applyFont="1" applyFill="1" applyBorder="1" applyAlignment="1">
      <alignment horizontal="center" vertical="center" wrapText="1"/>
    </xf>
    <xf numFmtId="0" fontId="37" fillId="22" borderId="0" xfId="92" applyFont="1" applyFill="1" applyBorder="1" applyAlignment="1">
      <alignment horizontal="center" vertical="center" wrapText="1"/>
    </xf>
    <xf numFmtId="0" fontId="37" fillId="22" borderId="29" xfId="92" applyFont="1" applyFill="1" applyBorder="1" applyAlignment="1">
      <alignment horizontal="center" vertical="center" wrapText="1"/>
    </xf>
    <xf numFmtId="0" fontId="18" fillId="22" borderId="25" xfId="92" applyFont="1" applyFill="1" applyBorder="1" applyAlignment="1">
      <alignment horizontal="center" vertical="center" wrapText="1"/>
    </xf>
    <xf numFmtId="0" fontId="18" fillId="22" borderId="0" xfId="92" applyFont="1" applyFill="1" applyBorder="1" applyAlignment="1">
      <alignment horizontal="center" vertical="center" wrapText="1"/>
    </xf>
    <xf numFmtId="0" fontId="18" fillId="22" borderId="29" xfId="92" applyFont="1" applyFill="1" applyBorder="1" applyAlignment="1">
      <alignment horizontal="center" vertical="center" wrapText="1"/>
    </xf>
    <xf numFmtId="0" fontId="25" fillId="0" borderId="26" xfId="92" applyFont="1" applyBorder="1" applyAlignment="1">
      <alignment horizontal="center" vertical="center"/>
    </xf>
    <xf numFmtId="0" fontId="25" fillId="0" borderId="27" xfId="92" applyFont="1" applyBorder="1" applyAlignment="1">
      <alignment horizontal="center" vertical="center"/>
    </xf>
    <xf numFmtId="0" fontId="25" fillId="0" borderId="28" xfId="92" applyFont="1" applyBorder="1" applyAlignment="1">
      <alignment horizontal="center" vertical="center"/>
    </xf>
    <xf numFmtId="0" fontId="25" fillId="0" borderId="30" xfId="92" applyFont="1" applyBorder="1" applyAlignment="1">
      <alignment horizontal="center" vertical="center"/>
    </xf>
    <xf numFmtId="0" fontId="25" fillId="0" borderId="20" xfId="92" applyFont="1" applyBorder="1" applyAlignment="1">
      <alignment horizontal="center" vertical="center"/>
    </xf>
    <xf numFmtId="0" fontId="25" fillId="0" borderId="31" xfId="92" applyFont="1" applyBorder="1" applyAlignment="1">
      <alignment horizontal="center" vertical="center"/>
    </xf>
    <xf numFmtId="0" fontId="34" fillId="29" borderId="15" xfId="92" applyFont="1" applyFill="1" applyBorder="1" applyAlignment="1">
      <alignment horizontal="center"/>
    </xf>
    <xf numFmtId="0" fontId="34" fillId="29" borderId="77" xfId="92" applyFont="1" applyFill="1" applyBorder="1" applyAlignment="1">
      <alignment horizontal="center"/>
    </xf>
    <xf numFmtId="0" fontId="23" fillId="22" borderId="82" xfId="92" applyFont="1" applyFill="1" applyBorder="1" applyAlignment="1">
      <alignment horizontal="center" vertical="center" wrapText="1"/>
    </xf>
    <xf numFmtId="167" fontId="36" fillId="0" borderId="0" xfId="71" applyAlignment="1">
      <alignment horizontal="center"/>
    </xf>
    <xf numFmtId="0" fontId="34" fillId="29" borderId="76" xfId="92" applyFont="1" applyFill="1" applyBorder="1" applyAlignment="1">
      <alignment horizontal="center" vertical="center"/>
    </xf>
    <xf numFmtId="0" fontId="34" fillId="29" borderId="78" xfId="92" applyFont="1" applyFill="1" applyBorder="1" applyAlignment="1">
      <alignment horizontal="center" vertical="center"/>
    </xf>
    <xf numFmtId="0" fontId="34" fillId="29" borderId="79" xfId="92" applyFont="1" applyFill="1" applyBorder="1" applyAlignment="1">
      <alignment horizontal="center" vertical="center"/>
    </xf>
    <xf numFmtId="0" fontId="34" fillId="29" borderId="80" xfId="92" applyFont="1" applyFill="1" applyBorder="1" applyAlignment="1">
      <alignment horizontal="center" vertical="center"/>
    </xf>
    <xf numFmtId="0" fontId="34" fillId="29" borderId="16" xfId="92" applyFont="1" applyFill="1" applyBorder="1" applyAlignment="1">
      <alignment horizontal="center" vertical="center"/>
    </xf>
    <xf numFmtId="0" fontId="34" fillId="29" borderId="21" xfId="92" applyFont="1" applyFill="1" applyBorder="1" applyAlignment="1">
      <alignment horizontal="center" vertical="center"/>
    </xf>
    <xf numFmtId="0" fontId="34" fillId="29" borderId="73" xfId="92" applyFont="1" applyFill="1" applyBorder="1" applyAlignment="1">
      <alignment horizontal="center" vertical="center"/>
    </xf>
    <xf numFmtId="170" fontId="34" fillId="29" borderId="16" xfId="92" applyNumberFormat="1" applyFont="1" applyFill="1" applyBorder="1" applyAlignment="1">
      <alignment horizontal="center" vertical="center" wrapText="1"/>
    </xf>
    <xf numFmtId="170" fontId="34" fillId="29" borderId="21" xfId="92" applyNumberFormat="1" applyFont="1" applyFill="1" applyBorder="1" applyAlignment="1">
      <alignment horizontal="center" vertical="center" wrapText="1"/>
    </xf>
    <xf numFmtId="170" fontId="34" fillId="29" borderId="73" xfId="92" applyNumberFormat="1" applyFont="1" applyFill="1" applyBorder="1" applyAlignment="1">
      <alignment horizontal="center" vertical="center" wrapText="1"/>
    </xf>
    <xf numFmtId="0" fontId="34" fillId="29" borderId="22" xfId="92" applyFont="1" applyFill="1" applyBorder="1" applyAlignment="1">
      <alignment horizontal="center"/>
    </xf>
    <xf numFmtId="0" fontId="34" fillId="29" borderId="81" xfId="92" applyFont="1" applyFill="1" applyBorder="1" applyAlignment="1">
      <alignment horizontal="center"/>
    </xf>
    <xf numFmtId="0" fontId="24" fillId="22" borderId="26" xfId="92" applyFont="1" applyFill="1" applyBorder="1" applyAlignment="1">
      <alignment horizontal="center" vertical="center" wrapText="1"/>
    </xf>
    <xf numFmtId="0" fontId="24" fillId="22" borderId="27" xfId="92" applyFont="1" applyFill="1" applyBorder="1" applyAlignment="1">
      <alignment horizontal="center" vertical="center" wrapText="1"/>
    </xf>
    <xf numFmtId="0" fontId="24" fillId="22" borderId="28" xfId="92" applyFont="1" applyFill="1" applyBorder="1" applyAlignment="1">
      <alignment horizontal="center" vertical="center" wrapText="1"/>
    </xf>
    <xf numFmtId="0" fontId="24" fillId="22" borderId="25" xfId="92" applyFont="1" applyFill="1" applyBorder="1" applyAlignment="1">
      <alignment horizontal="center" vertical="center" wrapText="1"/>
    </xf>
    <xf numFmtId="0" fontId="24" fillId="22" borderId="0" xfId="92" applyFont="1" applyFill="1" applyBorder="1" applyAlignment="1">
      <alignment horizontal="center" vertical="center" wrapText="1"/>
    </xf>
    <xf numFmtId="0" fontId="24" fillId="22" borderId="29" xfId="92" applyFont="1" applyFill="1" applyBorder="1" applyAlignment="1">
      <alignment horizontal="center" vertical="center" wrapText="1"/>
    </xf>
    <xf numFmtId="0" fontId="27" fillId="22" borderId="25" xfId="92" applyFont="1" applyFill="1" applyBorder="1" applyAlignment="1">
      <alignment horizontal="center" vertical="center" wrapText="1"/>
    </xf>
    <xf numFmtId="0" fontId="27" fillId="22" borderId="0" xfId="92" applyFont="1" applyFill="1" applyBorder="1" applyAlignment="1">
      <alignment horizontal="center" vertical="center" wrapText="1"/>
    </xf>
    <xf numFmtId="0" fontId="27" fillId="22" borderId="29" xfId="92" applyFont="1" applyFill="1" applyBorder="1" applyAlignment="1">
      <alignment horizontal="center" vertical="center" wrapText="1"/>
    </xf>
    <xf numFmtId="0" fontId="27" fillId="22" borderId="30" xfId="92" applyFont="1" applyFill="1" applyBorder="1" applyAlignment="1">
      <alignment horizontal="center" vertical="center" wrapText="1"/>
    </xf>
    <xf numFmtId="0" fontId="27" fillId="22" borderId="20" xfId="92" applyFont="1" applyFill="1" applyBorder="1" applyAlignment="1">
      <alignment horizontal="center" vertical="center" wrapText="1"/>
    </xf>
    <xf numFmtId="0" fontId="27" fillId="22" borderId="31" xfId="92" applyFont="1" applyFill="1" applyBorder="1" applyAlignment="1">
      <alignment horizontal="center" vertical="center" wrapText="1"/>
    </xf>
    <xf numFmtId="183" fontId="0" fillId="0" borderId="52" xfId="0" applyNumberFormat="1" applyBorder="1" applyAlignment="1">
      <alignment horizontal="center" vertical="center"/>
    </xf>
    <xf numFmtId="49" fontId="0" fillId="0" borderId="92" xfId="0" applyNumberFormat="1" applyBorder="1" applyAlignment="1">
      <alignment horizontal="left" vertical="center" wrapText="1"/>
    </xf>
    <xf numFmtId="49" fontId="0" fillId="0" borderId="93" xfId="0" applyNumberFormat="1" applyBorder="1" applyAlignment="1">
      <alignment horizontal="left" vertical="center" wrapText="1"/>
    </xf>
    <xf numFmtId="49" fontId="0" fillId="0" borderId="94" xfId="0" applyNumberFormat="1" applyBorder="1" applyAlignment="1">
      <alignment horizontal="left" vertical="center" wrapText="1"/>
    </xf>
    <xf numFmtId="49" fontId="0" fillId="0" borderId="95" xfId="0" applyNumberFormat="1" applyBorder="1" applyAlignment="1">
      <alignment horizontal="left" vertical="center" wrapText="1"/>
    </xf>
    <xf numFmtId="49" fontId="0" fillId="0" borderId="96" xfId="0" applyNumberFormat="1" applyBorder="1" applyAlignment="1">
      <alignment horizontal="left" vertical="center" wrapText="1"/>
    </xf>
    <xf numFmtId="49" fontId="0" fillId="0" borderId="97" xfId="0" applyNumberFormat="1" applyBorder="1" applyAlignment="1">
      <alignment horizontal="left" vertical="center" wrapText="1"/>
    </xf>
    <xf numFmtId="2" fontId="0" fillId="0" borderId="49" xfId="0" applyNumberFormat="1" applyBorder="1" applyAlignment="1">
      <alignment horizontal="center" vertical="center"/>
    </xf>
    <xf numFmtId="49" fontId="0" fillId="0" borderId="83" xfId="0" applyNumberFormat="1" applyBorder="1" applyAlignment="1">
      <alignment horizontal="left" vertical="center" wrapText="1"/>
    </xf>
    <xf numFmtId="49" fontId="0" fillId="0" borderId="84" xfId="0" applyNumberFormat="1" applyBorder="1" applyAlignment="1">
      <alignment horizontal="left" vertical="center" wrapText="1"/>
    </xf>
    <xf numFmtId="49" fontId="30" fillId="34" borderId="87" xfId="0" applyNumberFormat="1" applyFont="1" applyFill="1" applyBorder="1" applyAlignment="1">
      <alignment horizontal="center" vertical="center"/>
    </xf>
    <xf numFmtId="49" fontId="30" fillId="34" borderId="88" xfId="0" applyNumberFormat="1" applyFont="1" applyFill="1" applyBorder="1" applyAlignment="1">
      <alignment horizontal="center" vertical="center"/>
    </xf>
    <xf numFmtId="0" fontId="41" fillId="0" borderId="53" xfId="0" applyFont="1" applyBorder="1" applyAlignment="1">
      <alignment horizontal="center" vertical="center"/>
    </xf>
    <xf numFmtId="2" fontId="0" fillId="0" borderId="52" xfId="0" applyNumberFormat="1" applyBorder="1" applyAlignment="1">
      <alignment horizontal="center" vertical="center"/>
    </xf>
    <xf numFmtId="49" fontId="0" fillId="0" borderId="92" xfId="0" applyNumberFormat="1" applyBorder="1" applyAlignment="1">
      <alignment vertical="center" wrapText="1"/>
    </xf>
    <xf numFmtId="49" fontId="0" fillId="0" borderId="93" xfId="0" applyNumberFormat="1" applyBorder="1" applyAlignment="1">
      <alignment vertical="center" wrapText="1"/>
    </xf>
    <xf numFmtId="49" fontId="0" fillId="0" borderId="94" xfId="0" applyNumberFormat="1" applyBorder="1" applyAlignment="1">
      <alignment vertical="center" wrapText="1"/>
    </xf>
    <xf numFmtId="49" fontId="0" fillId="0" borderId="95" xfId="0" applyNumberFormat="1" applyBorder="1" applyAlignment="1">
      <alignment vertical="center" wrapText="1"/>
    </xf>
    <xf numFmtId="49" fontId="0" fillId="0" borderId="96" xfId="0" applyNumberFormat="1" applyBorder="1" applyAlignment="1">
      <alignment vertical="center" wrapText="1"/>
    </xf>
    <xf numFmtId="49" fontId="0" fillId="0" borderId="97" xfId="0" applyNumberFormat="1" applyBorder="1" applyAlignment="1">
      <alignment vertical="center" wrapText="1"/>
    </xf>
    <xf numFmtId="49" fontId="0" fillId="0" borderId="83" xfId="0" applyNumberFormat="1" applyBorder="1" applyAlignment="1">
      <alignment vertical="center"/>
    </xf>
    <xf numFmtId="49" fontId="0" fillId="0" borderId="84" xfId="0" applyNumberFormat="1" applyBorder="1" applyAlignment="1">
      <alignment vertical="center"/>
    </xf>
    <xf numFmtId="0" fontId="0" fillId="0" borderId="108" xfId="0" applyBorder="1" applyAlignment="1">
      <alignment horizontal="center" vertical="center" wrapText="1"/>
    </xf>
    <xf numFmtId="0" fontId="0" fillId="0" borderId="109" xfId="0" applyBorder="1" applyAlignment="1">
      <alignment horizontal="center" vertical="center" wrapText="1"/>
    </xf>
    <xf numFmtId="0" fontId="0" fillId="0" borderId="110" xfId="0" applyBorder="1" applyAlignment="1">
      <alignment horizontal="center" vertical="center" wrapText="1"/>
    </xf>
    <xf numFmtId="181" fontId="0" fillId="0" borderId="49" xfId="0" applyNumberFormat="1" applyBorder="1" applyAlignment="1">
      <alignment horizontal="center" vertical="center"/>
    </xf>
    <xf numFmtId="49" fontId="0" fillId="0" borderId="83" xfId="0" applyNumberFormat="1" applyBorder="1" applyAlignment="1">
      <alignment vertical="center" wrapText="1"/>
    </xf>
    <xf numFmtId="49" fontId="0" fillId="0" borderId="84" xfId="0" applyNumberFormat="1" applyBorder="1" applyAlignment="1">
      <alignment vertical="center" wrapText="1"/>
    </xf>
    <xf numFmtId="49" fontId="0" fillId="0" borderId="49" xfId="0" applyNumberFormat="1" applyBorder="1" applyAlignment="1">
      <alignment horizontal="center" vertical="center"/>
    </xf>
    <xf numFmtId="183" fontId="0" fillId="0" borderId="52" xfId="0" applyNumberFormat="1" applyFill="1" applyBorder="1" applyAlignment="1">
      <alignment horizontal="center" vertical="center"/>
    </xf>
    <xf numFmtId="49" fontId="0" fillId="0" borderId="49" xfId="0" applyNumberFormat="1" applyBorder="1" applyAlignment="1">
      <alignment horizontal="left" vertical="center" wrapText="1"/>
    </xf>
    <xf numFmtId="0" fontId="0" fillId="0" borderId="49" xfId="0" applyBorder="1" applyAlignment="1">
      <alignment horizontal="center" vertical="center" wrapText="1"/>
    </xf>
    <xf numFmtId="2" fontId="0" fillId="0" borderId="108" xfId="0" applyNumberFormat="1" applyBorder="1" applyAlignment="1">
      <alignment horizontal="center" vertical="center"/>
    </xf>
    <xf numFmtId="2" fontId="0" fillId="0" borderId="109" xfId="0" applyNumberFormat="1" applyBorder="1" applyAlignment="1">
      <alignment horizontal="center" vertical="center"/>
    </xf>
    <xf numFmtId="2" fontId="0" fillId="0" borderId="110" xfId="0" applyNumberFormat="1" applyBorder="1" applyAlignment="1">
      <alignment horizontal="center" vertical="center"/>
    </xf>
    <xf numFmtId="49" fontId="0" fillId="0" borderId="92" xfId="0" applyNumberFormat="1" applyBorder="1" applyAlignment="1">
      <alignment horizontal="left" vertical="center"/>
    </xf>
    <xf numFmtId="49" fontId="0" fillId="0" borderId="93" xfId="0" applyNumberFormat="1" applyBorder="1" applyAlignment="1">
      <alignment horizontal="left" vertical="center"/>
    </xf>
    <xf numFmtId="49" fontId="0" fillId="0" borderId="94" xfId="0" applyNumberFormat="1" applyBorder="1" applyAlignment="1">
      <alignment horizontal="left" vertical="center"/>
    </xf>
    <xf numFmtId="49" fontId="0" fillId="0" borderId="95" xfId="0" applyNumberFormat="1" applyBorder="1" applyAlignment="1">
      <alignment horizontal="left" vertical="center"/>
    </xf>
    <xf numFmtId="49" fontId="0" fillId="0" borderId="96" xfId="0" applyNumberFormat="1" applyBorder="1" applyAlignment="1">
      <alignment horizontal="left" vertical="center"/>
    </xf>
    <xf numFmtId="49" fontId="0" fillId="0" borderId="97" xfId="0" applyNumberFormat="1" applyBorder="1" applyAlignment="1">
      <alignment horizontal="left" vertical="center"/>
    </xf>
    <xf numFmtId="0" fontId="0" fillId="0" borderId="52" xfId="0" applyBorder="1" applyAlignment="1">
      <alignment horizontal="center" vertical="center"/>
    </xf>
    <xf numFmtId="0" fontId="0" fillId="0" borderId="53" xfId="0" applyBorder="1" applyAlignment="1">
      <alignment horizontal="center" vertical="center"/>
    </xf>
    <xf numFmtId="174" fontId="27" fillId="30" borderId="28" xfId="72" applyNumberFormat="1" applyFont="1" applyFill="1" applyBorder="1" applyAlignment="1" applyProtection="1">
      <alignment horizontal="center" vertical="center" wrapText="1"/>
    </xf>
    <xf numFmtId="174" fontId="27" fillId="30" borderId="31" xfId="72" applyNumberFormat="1" applyFont="1" applyFill="1" applyBorder="1" applyAlignment="1" applyProtection="1">
      <alignment horizontal="center" vertical="center" wrapText="1"/>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49" xfId="0" applyBorder="1" applyAlignment="1">
      <alignment horizontal="center" vertical="center"/>
    </xf>
    <xf numFmtId="4" fontId="40" fillId="30" borderId="105" xfId="106" applyNumberFormat="1" applyFont="1" applyFill="1" applyBorder="1" applyAlignment="1" applyProtection="1">
      <alignment horizontal="center" vertical="center" wrapText="1"/>
    </xf>
    <xf numFmtId="4" fontId="40" fillId="30" borderId="106" xfId="106" applyNumberFormat="1" applyFont="1" applyFill="1" applyBorder="1" applyAlignment="1" applyProtection="1">
      <alignment horizontal="center" vertical="center" wrapText="1"/>
    </xf>
    <xf numFmtId="4" fontId="40" fillId="30" borderId="72" xfId="106" applyNumberFormat="1" applyFont="1" applyFill="1" applyBorder="1" applyAlignment="1" applyProtection="1">
      <alignment horizontal="center" vertical="center" wrapText="1"/>
    </xf>
    <xf numFmtId="0" fontId="23" fillId="22" borderId="98" xfId="92" applyFont="1" applyFill="1" applyBorder="1" applyAlignment="1">
      <alignment horizontal="center" vertical="center" wrapText="1"/>
    </xf>
    <xf numFmtId="0" fontId="18" fillId="22" borderId="16" xfId="92" applyFont="1" applyFill="1" applyBorder="1" applyAlignment="1">
      <alignment horizontal="left" vertical="center" wrapText="1"/>
    </xf>
    <xf numFmtId="0" fontId="27" fillId="30" borderId="26" xfId="92" applyFont="1" applyFill="1" applyBorder="1" applyAlignment="1">
      <alignment horizontal="center" vertical="center" wrapText="1"/>
    </xf>
    <xf numFmtId="0" fontId="27" fillId="30" borderId="30" xfId="92" applyFont="1" applyFill="1" applyBorder="1" applyAlignment="1">
      <alignment horizontal="center" vertical="center" wrapText="1"/>
    </xf>
    <xf numFmtId="0" fontId="27" fillId="30" borderId="99" xfId="92" applyFont="1" applyFill="1" applyBorder="1" applyAlignment="1">
      <alignment horizontal="center" vertical="center" wrapText="1"/>
    </xf>
    <xf numFmtId="0" fontId="27" fillId="30" borderId="100" xfId="92" applyFont="1" applyFill="1" applyBorder="1" applyAlignment="1">
      <alignment horizontal="center" vertical="center" wrapText="1"/>
    </xf>
    <xf numFmtId="0" fontId="27" fillId="30" borderId="101" xfId="92" applyFont="1" applyFill="1" applyBorder="1" applyAlignment="1">
      <alignment horizontal="center" vertical="center" wrapText="1"/>
    </xf>
    <xf numFmtId="0" fontId="27" fillId="30" borderId="102" xfId="92" applyFont="1" applyFill="1" applyBorder="1" applyAlignment="1">
      <alignment horizontal="center" vertical="center" wrapText="1"/>
    </xf>
    <xf numFmtId="0" fontId="27" fillId="30" borderId="103" xfId="92" applyFont="1" applyFill="1" applyBorder="1" applyAlignment="1">
      <alignment horizontal="center" vertical="center" wrapText="1"/>
    </xf>
    <xf numFmtId="0" fontId="27" fillId="30" borderId="104" xfId="92" applyFont="1" applyFill="1" applyBorder="1" applyAlignment="1">
      <alignment horizontal="center" vertical="center" wrapText="1"/>
    </xf>
    <xf numFmtId="0" fontId="40" fillId="30" borderId="105" xfId="92" applyFont="1" applyFill="1" applyBorder="1" applyAlignment="1">
      <alignment horizontal="center" vertical="center" wrapText="1"/>
    </xf>
    <xf numFmtId="0" fontId="40" fillId="30" borderId="106" xfId="92" applyFont="1" applyFill="1" applyBorder="1" applyAlignment="1">
      <alignment horizontal="center" vertical="center" wrapText="1"/>
    </xf>
    <xf numFmtId="170" fontId="40" fillId="30" borderId="72" xfId="106" applyFont="1" applyFill="1" applyBorder="1" applyAlignment="1" applyProtection="1">
      <alignment horizontal="center" vertical="center" wrapText="1"/>
    </xf>
    <xf numFmtId="170" fontId="40" fillId="30" borderId="106" xfId="106" applyFont="1" applyFill="1" applyBorder="1" applyAlignment="1" applyProtection="1">
      <alignment horizontal="center" vertical="center" wrapText="1"/>
    </xf>
    <xf numFmtId="174" fontId="27" fillId="30" borderId="64" xfId="72" applyNumberFormat="1" applyFont="1" applyFill="1" applyBorder="1" applyAlignment="1" applyProtection="1">
      <alignment horizontal="center" vertical="center" wrapText="1"/>
    </xf>
    <xf numFmtId="174" fontId="27" fillId="30" borderId="107" xfId="72" applyNumberFormat="1" applyFont="1" applyFill="1" applyBorder="1" applyAlignment="1" applyProtection="1">
      <alignment horizontal="center" vertical="center" wrapText="1"/>
    </xf>
    <xf numFmtId="2" fontId="0" fillId="0" borderId="49" xfId="0" applyNumberFormat="1" applyBorder="1" applyAlignment="1">
      <alignment horizontal="center" vertical="center" wrapText="1"/>
    </xf>
    <xf numFmtId="183" fontId="0" fillId="0" borderId="89" xfId="0" applyNumberFormat="1" applyBorder="1" applyAlignment="1">
      <alignment horizontal="center" vertical="center" wrapText="1"/>
    </xf>
    <xf numFmtId="183" fontId="0" fillId="0" borderId="90" xfId="0" applyNumberFormat="1" applyBorder="1" applyAlignment="1">
      <alignment horizontal="center" vertical="center" wrapText="1"/>
    </xf>
    <xf numFmtId="183" fontId="0" fillId="0" borderId="91" xfId="0" applyNumberFormat="1" applyBorder="1" applyAlignment="1">
      <alignment horizontal="center" vertical="center" wrapText="1"/>
    </xf>
    <xf numFmtId="49" fontId="0" fillId="0" borderId="83" xfId="0" applyNumberFormat="1" applyFill="1" applyBorder="1" applyAlignment="1">
      <alignment horizontal="left" vertical="center" wrapText="1"/>
    </xf>
    <xf numFmtId="49" fontId="0" fillId="0" borderId="84" xfId="0" applyNumberFormat="1" applyFill="1" applyBorder="1" applyAlignment="1">
      <alignment horizontal="left" vertical="center" wrapText="1"/>
    </xf>
    <xf numFmtId="49" fontId="0" fillId="0" borderId="85" xfId="0" applyNumberFormat="1" applyBorder="1" applyAlignment="1">
      <alignment horizontal="left" vertical="center" wrapText="1"/>
    </xf>
    <xf numFmtId="49" fontId="0" fillId="0" borderId="86" xfId="0" applyNumberFormat="1" applyBorder="1" applyAlignment="1">
      <alignment horizontal="left" vertical="center" wrapText="1"/>
    </xf>
    <xf numFmtId="0" fontId="39" fillId="0" borderId="111" xfId="0" applyFont="1" applyBorder="1" applyAlignment="1">
      <alignment horizontal="center"/>
    </xf>
    <xf numFmtId="0" fontId="39" fillId="0" borderId="112" xfId="0" applyFont="1" applyBorder="1" applyAlignment="1">
      <alignment horizontal="center"/>
    </xf>
    <xf numFmtId="0" fontId="39" fillId="0" borderId="113" xfId="0" applyFont="1" applyBorder="1" applyAlignment="1">
      <alignment horizontal="center"/>
    </xf>
    <xf numFmtId="0" fontId="10" fillId="0" borderId="0" xfId="0" applyFont="1" applyAlignment="1">
      <alignment horizontal="left" vertical="center"/>
    </xf>
    <xf numFmtId="177" fontId="10" fillId="0" borderId="26" xfId="71" applyNumberFormat="1" applyFont="1" applyBorder="1" applyAlignment="1">
      <alignment horizontal="center" vertical="center"/>
    </xf>
    <xf numFmtId="177" fontId="10" fillId="0" borderId="27" xfId="71" applyNumberFormat="1" applyFont="1" applyBorder="1" applyAlignment="1">
      <alignment horizontal="center" vertical="center"/>
    </xf>
    <xf numFmtId="177" fontId="10" fillId="0" borderId="28" xfId="71" applyNumberFormat="1" applyFont="1" applyBorder="1" applyAlignment="1">
      <alignment horizontal="center" vertical="center"/>
    </xf>
    <xf numFmtId="177" fontId="10" fillId="0" borderId="30" xfId="71" applyNumberFormat="1" applyFont="1" applyBorder="1" applyAlignment="1">
      <alignment horizontal="center" vertical="center"/>
    </xf>
    <xf numFmtId="177" fontId="10" fillId="0" borderId="20" xfId="71" applyNumberFormat="1" applyFont="1" applyBorder="1" applyAlignment="1">
      <alignment horizontal="center" vertical="center"/>
    </xf>
    <xf numFmtId="177" fontId="10" fillId="0" borderId="31" xfId="71" applyNumberFormat="1" applyFont="1" applyBorder="1" applyAlignment="1">
      <alignment horizontal="center" vertical="center"/>
    </xf>
    <xf numFmtId="0" fontId="10" fillId="0" borderId="26" xfId="0" applyFont="1" applyBorder="1" applyAlignment="1">
      <alignment horizontal="center" vertical="center"/>
    </xf>
    <xf numFmtId="0" fontId="10" fillId="0" borderId="28" xfId="0" applyFont="1" applyBorder="1" applyAlignment="1">
      <alignment horizontal="center" vertical="center"/>
    </xf>
    <xf numFmtId="0" fontId="10" fillId="0" borderId="30" xfId="0" applyFont="1" applyBorder="1" applyAlignment="1">
      <alignment horizontal="center" vertical="center"/>
    </xf>
    <xf numFmtId="0" fontId="10" fillId="0" borderId="31" xfId="0" applyFont="1" applyBorder="1" applyAlignment="1">
      <alignment horizontal="center" vertical="center"/>
    </xf>
    <xf numFmtId="2" fontId="0" fillId="0" borderId="0" xfId="0" applyNumberFormat="1" applyAlignment="1">
      <alignment horizontal="center" vertical="center" wrapText="1"/>
    </xf>
    <xf numFmtId="4" fontId="49" fillId="33" borderId="26" xfId="0" applyNumberFormat="1" applyFont="1" applyFill="1" applyBorder="1" applyAlignment="1">
      <alignment horizontal="center" vertical="center" wrapText="1"/>
    </xf>
    <xf numFmtId="4" fontId="49" fillId="33" borderId="27" xfId="0" applyNumberFormat="1" applyFont="1" applyFill="1" applyBorder="1" applyAlignment="1">
      <alignment horizontal="center" vertical="center" wrapText="1"/>
    </xf>
    <xf numFmtId="4" fontId="49" fillId="33" borderId="28" xfId="0" applyNumberFormat="1" applyFont="1" applyFill="1" applyBorder="1" applyAlignment="1">
      <alignment horizontal="center" vertical="center" wrapText="1"/>
    </xf>
    <xf numFmtId="0" fontId="33" fillId="32" borderId="0" xfId="0" applyFont="1" applyFill="1" applyAlignment="1">
      <alignment horizontal="center" vertical="center"/>
    </xf>
    <xf numFmtId="182" fontId="18" fillId="32" borderId="0" xfId="0" applyNumberFormat="1" applyFont="1" applyFill="1" applyAlignment="1">
      <alignment horizontal="center" vertical="center"/>
    </xf>
    <xf numFmtId="182" fontId="18" fillId="32" borderId="29" xfId="0" applyNumberFormat="1" applyFont="1" applyFill="1" applyBorder="1" applyAlignment="1">
      <alignment horizontal="center" vertical="center"/>
    </xf>
    <xf numFmtId="0" fontId="18" fillId="32" borderId="0" xfId="0" applyFont="1" applyFill="1" applyAlignment="1">
      <alignment horizontal="left" vertical="center"/>
    </xf>
    <xf numFmtId="0" fontId="18" fillId="32" borderId="0" xfId="0" applyFont="1" applyFill="1" applyAlignment="1">
      <alignment horizontal="center" vertical="center"/>
    </xf>
    <xf numFmtId="17" fontId="18" fillId="32" borderId="0" xfId="0" applyNumberFormat="1" applyFont="1" applyFill="1" applyAlignment="1">
      <alignment horizontal="center" vertical="center"/>
    </xf>
    <xf numFmtId="0" fontId="18" fillId="32" borderId="29" xfId="0" applyFont="1" applyFill="1" applyBorder="1" applyAlignment="1">
      <alignment horizontal="center" vertical="center"/>
    </xf>
    <xf numFmtId="0" fontId="45" fillId="33" borderId="30" xfId="0" applyFont="1" applyFill="1" applyBorder="1" applyAlignment="1">
      <alignment horizontal="center"/>
    </xf>
    <xf numFmtId="0" fontId="45" fillId="33" borderId="20" xfId="0" applyFont="1" applyFill="1" applyBorder="1" applyAlignment="1">
      <alignment horizontal="center"/>
    </xf>
    <xf numFmtId="0" fontId="45" fillId="33" borderId="31" xfId="0" applyFont="1" applyFill="1" applyBorder="1" applyAlignment="1">
      <alignment horizontal="center"/>
    </xf>
    <xf numFmtId="0" fontId="33" fillId="36" borderId="0" xfId="0" applyFont="1" applyFill="1" applyAlignment="1" applyProtection="1">
      <alignment horizontal="center" vertical="center"/>
      <protection locked="0"/>
    </xf>
    <xf numFmtId="14" fontId="18" fillId="32" borderId="0" xfId="0" applyNumberFormat="1" applyFont="1" applyFill="1" applyAlignment="1">
      <alignment horizontal="center" vertical="center"/>
    </xf>
    <xf numFmtId="14" fontId="18" fillId="32" borderId="29" xfId="0" applyNumberFormat="1" applyFont="1" applyFill="1" applyBorder="1" applyAlignment="1">
      <alignment horizontal="center" vertical="center"/>
    </xf>
    <xf numFmtId="0" fontId="44" fillId="37" borderId="111" xfId="0" applyFont="1" applyFill="1" applyBorder="1" applyAlignment="1" applyProtection="1">
      <alignment horizontal="center" vertical="center" wrapText="1"/>
      <protection locked="0"/>
    </xf>
    <xf numFmtId="0" fontId="44" fillId="37" borderId="112" xfId="0" applyFont="1" applyFill="1" applyBorder="1" applyAlignment="1" applyProtection="1">
      <alignment horizontal="center" vertical="center" wrapText="1"/>
      <protection locked="0"/>
    </xf>
    <xf numFmtId="0" fontId="44" fillId="37" borderId="113" xfId="0" applyFont="1" applyFill="1" applyBorder="1" applyAlignment="1" applyProtection="1">
      <alignment horizontal="center" vertical="center" wrapText="1"/>
      <protection locked="0"/>
    </xf>
    <xf numFmtId="0" fontId="48" fillId="33" borderId="0" xfId="0" applyFont="1" applyFill="1" applyAlignment="1">
      <alignment horizontal="center" vertical="center"/>
    </xf>
    <xf numFmtId="0" fontId="44" fillId="33" borderId="0" xfId="0" applyFont="1" applyFill="1" applyAlignment="1">
      <alignment horizontal="center" vertical="center"/>
    </xf>
    <xf numFmtId="175" fontId="0" fillId="33" borderId="0" xfId="0" applyNumberFormat="1" applyFill="1" applyAlignment="1">
      <alignment horizontal="center" vertical="center"/>
    </xf>
    <xf numFmtId="10" fontId="44" fillId="33" borderId="0" xfId="101" applyNumberFormat="1" applyFont="1" applyFill="1" applyAlignment="1" applyProtection="1">
      <alignment horizontal="center" vertical="center"/>
    </xf>
    <xf numFmtId="0" fontId="44" fillId="33" borderId="114" xfId="0" applyFont="1" applyFill="1" applyBorder="1" applyAlignment="1">
      <alignment horizontal="center" vertical="top"/>
    </xf>
    <xf numFmtId="0" fontId="45" fillId="33" borderId="25" xfId="0" applyFont="1" applyFill="1" applyBorder="1" applyAlignment="1">
      <alignment horizontal="center"/>
    </xf>
    <xf numFmtId="0" fontId="45" fillId="33" borderId="0" xfId="0" applyFont="1" applyFill="1" applyAlignment="1">
      <alignment horizontal="center"/>
    </xf>
    <xf numFmtId="0" fontId="45" fillId="33" borderId="29" xfId="0" applyFont="1" applyFill="1" applyBorder="1" applyAlignment="1">
      <alignment horizontal="center"/>
    </xf>
    <xf numFmtId="0" fontId="47" fillId="33" borderId="25" xfId="0" applyFont="1" applyFill="1" applyBorder="1" applyAlignment="1">
      <alignment horizontal="center"/>
    </xf>
    <xf numFmtId="0" fontId="47" fillId="33" borderId="0" xfId="0" applyFont="1" applyFill="1" applyAlignment="1">
      <alignment horizontal="center"/>
    </xf>
    <xf numFmtId="0" fontId="47" fillId="33" borderId="29" xfId="0" applyFont="1" applyFill="1" applyBorder="1" applyAlignment="1">
      <alignment horizontal="center"/>
    </xf>
  </cellXfs>
  <cellStyles count="121">
    <cellStyle name="20% - Cor1" xfId="1"/>
    <cellStyle name="20% - Cor2" xfId="2"/>
    <cellStyle name="20% - Cor3" xfId="3"/>
    <cellStyle name="20% - Cor4" xfId="4"/>
    <cellStyle name="20% - Cor5" xfId="5"/>
    <cellStyle name="20% - Cor6" xfId="6"/>
    <cellStyle name="40% - Cor1" xfId="7"/>
    <cellStyle name="40% - Cor2" xfId="8"/>
    <cellStyle name="40% - Cor3" xfId="9"/>
    <cellStyle name="40% - Cor4" xfId="10"/>
    <cellStyle name="40% - Cor5" xfId="11"/>
    <cellStyle name="40% - Cor6" xfId="12"/>
    <cellStyle name="60% - Cor1" xfId="13"/>
    <cellStyle name="60% - Cor2" xfId="14"/>
    <cellStyle name="60% - Cor3" xfId="15"/>
    <cellStyle name="60% - Cor4" xfId="16"/>
    <cellStyle name="60% - Cor5" xfId="17"/>
    <cellStyle name="60% - Cor6" xfId="18"/>
    <cellStyle name="Accent1" xfId="19"/>
    <cellStyle name="Accent1 - 20%" xfId="20"/>
    <cellStyle name="Accent1 - 40%" xfId="21"/>
    <cellStyle name="Accent1 - 60%" xfId="22"/>
    <cellStyle name="Accent2" xfId="23"/>
    <cellStyle name="Accent2 - 20%" xfId="24"/>
    <cellStyle name="Accent2 - 40%" xfId="25"/>
    <cellStyle name="Accent2 - 60%" xfId="26"/>
    <cellStyle name="Accent3" xfId="27"/>
    <cellStyle name="Accent3 - 20%" xfId="28"/>
    <cellStyle name="Accent3 - 40%" xfId="29"/>
    <cellStyle name="Accent3 - 60%" xfId="30"/>
    <cellStyle name="Accent4" xfId="31"/>
    <cellStyle name="Accent4 - 20%" xfId="32"/>
    <cellStyle name="Accent4 - 40%" xfId="33"/>
    <cellStyle name="Accent4 - 60%" xfId="34"/>
    <cellStyle name="Accent5" xfId="35"/>
    <cellStyle name="Accent5 - 20%" xfId="36"/>
    <cellStyle name="Accent5 - 40%" xfId="37"/>
    <cellStyle name="Accent5 - 60%" xfId="38"/>
    <cellStyle name="Accent6" xfId="39"/>
    <cellStyle name="Accent6 - 20%" xfId="40"/>
    <cellStyle name="Accent6 - 40%" xfId="41"/>
    <cellStyle name="Accent6 - 60%" xfId="42"/>
    <cellStyle name="Bad 1" xfId="43"/>
    <cellStyle name="Cabeçalho 1" xfId="44"/>
    <cellStyle name="Cabeçalho 2" xfId="45"/>
    <cellStyle name="Cabeçalho 3" xfId="46"/>
    <cellStyle name="Cabeçalho 4" xfId="47"/>
    <cellStyle name="Calculation" xfId="48"/>
    <cellStyle name="Célula Ligada" xfId="49"/>
    <cellStyle name="Cor1" xfId="50"/>
    <cellStyle name="Cor2" xfId="51"/>
    <cellStyle name="Cor3" xfId="52"/>
    <cellStyle name="Cor4" xfId="53"/>
    <cellStyle name="Cor5" xfId="54"/>
    <cellStyle name="Cor6" xfId="55"/>
    <cellStyle name="Correcto" xfId="56"/>
    <cellStyle name="Emphasis 1" xfId="57"/>
    <cellStyle name="Emphasis 2" xfId="58"/>
    <cellStyle name="Emphasis 3" xfId="59"/>
    <cellStyle name="Euro" xfId="60"/>
    <cellStyle name="Euro 2" xfId="61"/>
    <cellStyle name="Excel Built-in Normal 2 2" xfId="62"/>
    <cellStyle name="Followed Hyperlink 2" xfId="63"/>
    <cellStyle name="Good 1" xfId="64"/>
    <cellStyle name="Heading 1 1" xfId="65"/>
    <cellStyle name="Heading 2 1" xfId="66"/>
    <cellStyle name="Heading 3" xfId="67"/>
    <cellStyle name="Heading 4" xfId="68"/>
    <cellStyle name="Hiperlink 2" xfId="69"/>
    <cellStyle name="Incorrecto" xfId="70"/>
    <cellStyle name="Moeda" xfId="71" builtinId="4"/>
    <cellStyle name="Moeda 2" xfId="72"/>
    <cellStyle name="Moeda 2 2" xfId="73"/>
    <cellStyle name="Moeda 3" xfId="74"/>
    <cellStyle name="Moeda 4" xfId="75"/>
    <cellStyle name="Moeda 5" xfId="76"/>
    <cellStyle name="Moeda 6" xfId="77"/>
    <cellStyle name="Neutral 1" xfId="78"/>
    <cellStyle name="Normal" xfId="0" builtinId="0"/>
    <cellStyle name="Normal 12 3 2" xfId="79"/>
    <cellStyle name="Normal 2" xfId="80"/>
    <cellStyle name="Normal 2 2" xfId="81"/>
    <cellStyle name="Normal 2 2 2" xfId="82"/>
    <cellStyle name="Normal 2 3" xfId="83"/>
    <cellStyle name="Normal 2 3 2" xfId="84"/>
    <cellStyle name="Normal 2 4" xfId="85"/>
    <cellStyle name="Normal 2_098.10 Crono prev x real 09" xfId="86"/>
    <cellStyle name="Normal 3" xfId="87"/>
    <cellStyle name="Normal 3 2" xfId="88"/>
    <cellStyle name="Normal 3 3" xfId="89"/>
    <cellStyle name="Normal 4" xfId="90"/>
    <cellStyle name="Normal 4 2" xfId="91"/>
    <cellStyle name="Normal 5" xfId="92"/>
    <cellStyle name="Normal 5 2" xfId="93"/>
    <cellStyle name="Normal 6" xfId="94"/>
    <cellStyle name="Normal 7" xfId="95"/>
    <cellStyle name="Normal 8" xfId="96"/>
    <cellStyle name="Nota 2" xfId="97"/>
    <cellStyle name="Note 1" xfId="98"/>
    <cellStyle name="Note 2" xfId="99"/>
    <cellStyle name="Output" xfId="100"/>
    <cellStyle name="Porcentagem" xfId="101" builtinId="5"/>
    <cellStyle name="Porcentagem 2" xfId="102"/>
    <cellStyle name="Porcentagem 2 2" xfId="103"/>
    <cellStyle name="Porcentagem 3" xfId="104"/>
    <cellStyle name="Porcentagem 4" xfId="105"/>
    <cellStyle name="Separador de milhares" xfId="114" builtinId="3"/>
    <cellStyle name="Separador de milhares 2" xfId="106"/>
    <cellStyle name="Separador de milhares 2 2" xfId="107"/>
    <cellStyle name="Separador de milhares 3" xfId="108"/>
    <cellStyle name="Separador de milhares 4" xfId="109"/>
    <cellStyle name="Separador de milhares 4 2" xfId="110"/>
    <cellStyle name="Sheet Title" xfId="111"/>
    <cellStyle name="Título 5" xfId="112"/>
    <cellStyle name="Verificar Célula" xfId="113"/>
    <cellStyle name="Vírgula 2" xfId="115"/>
    <cellStyle name="Vírgula 3" xfId="116"/>
    <cellStyle name="Vírgula 4" xfId="117"/>
    <cellStyle name="Vírgula 5" xfId="118"/>
    <cellStyle name="Währung" xfId="119"/>
    <cellStyle name="Währung 2" xfId="12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FF8D40"/>
      <rgbColor rgb="00993366"/>
      <rgbColor rgb="00FFFFCC"/>
      <rgbColor rgb="00CCFFFF"/>
      <rgbColor rgb="00660066"/>
      <rgbColor rgb="00FF8080"/>
      <rgbColor rgb="000066CC"/>
      <rgbColor rgb="00CCCCFF"/>
      <rgbColor rgb="00000080"/>
      <rgbColor rgb="00FF00FF"/>
      <rgbColor rgb="00FFD940"/>
      <rgbColor rgb="0000FFFF"/>
      <rgbColor rgb="00800080"/>
      <rgbColor rgb="00800000"/>
      <rgbColor rgb="00008080"/>
      <rgbColor rgb="000000FF"/>
      <rgbColor rgb="0000CCFF"/>
      <rgbColor rgb="00EFBF00"/>
      <rgbColor rgb="00CCFFCC"/>
      <rgbColor rgb="00FFFF99"/>
      <rgbColor rgb="0099CCFF"/>
      <rgbColor rgb="00FF99CC"/>
      <rgbColor rgb="00CC99FF"/>
      <rgbColor rgb="00FFCC99"/>
      <rgbColor rgb="0040668D"/>
      <rgbColor rgb="0033CCCC"/>
      <rgbColor rgb="00DFB2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8.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8.png"/></Relationships>
</file>

<file path=xl/drawings/_rels/drawing5.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png"/></Relationships>
</file>

<file path=xl/drawings/_rels/drawing6.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19050</xdr:colOff>
      <xdr:row>0</xdr:row>
      <xdr:rowOff>57150</xdr:rowOff>
    </xdr:from>
    <xdr:to>
      <xdr:col>9</xdr:col>
      <xdr:colOff>95250</xdr:colOff>
      <xdr:row>16</xdr:row>
      <xdr:rowOff>38100</xdr:rowOff>
    </xdr:to>
    <xdr:pic>
      <xdr:nvPicPr>
        <xdr:cNvPr id="33769" name="Imagem 1">
          <a:extLst>
            <a:ext uri="{FF2B5EF4-FFF2-40B4-BE49-F238E27FC236}">
              <a16:creationId xmlns:a16="http://schemas.microsoft.com/office/drawing/2014/main" xmlns="" id="{E90D6EA5-5D29-5A02-2A27-FC9CB6E4D8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9050" y="57150"/>
          <a:ext cx="5562600" cy="3028950"/>
        </a:xfrm>
        <a:prstGeom prst="rect">
          <a:avLst/>
        </a:prstGeom>
        <a:noFill/>
        <a:ln>
          <a:noFill/>
        </a:ln>
        <a:effectLst/>
        <a:extLst>
          <a:ext uri="{909E8E84-426E-40DD-AFC4-6F175D3DCCD1}">
            <a14:hiddenFill xmlns:a14="http://schemas.microsoft.com/office/drawing/2010/main" xmlns="">
              <a:blipFill dpi="0" rotWithShape="0">
                <a:blip xmlns:r="http://schemas.openxmlformats.org/officeDocument/2006/relationships"/>
                <a:srcRect/>
                <a:stretch>
                  <a:fillRect/>
                </a:stretch>
              </a:blipFill>
            </a14:hiddenFill>
          </a:ext>
          <a:ext uri="{91240B29-F687-4F45-9708-019B960494DF}">
            <a14:hiddenLine xmlns:a14="http://schemas.microsoft.com/office/drawing/2010/main" xmlns="" w="9525">
              <a:solidFill>
                <a:srgbClr val="3465A4"/>
              </a:solidFill>
              <a:round/>
              <a:headEnd/>
              <a:tailEnd/>
            </a14:hiddenLine>
          </a:ext>
          <a:ext uri="{AF507438-7753-43E0-B8FC-AC1667EBCBE1}">
            <a14:hiddenEffects xmlns:a14="http://schemas.microsoft.com/office/drawing/2010/main" xmlns="">
              <a:effectLst>
                <a:outerShdw dist="35921" dir="2700000" algn="ctr" rotWithShape="0">
                  <a:srgbClr val="808080"/>
                </a:outerShdw>
              </a:effectLst>
            </a14:hiddenEffects>
          </a:ext>
        </a:extLst>
      </xdr:spPr>
    </xdr:pic>
    <xdr:clientData/>
  </xdr:twoCellAnchor>
  <xdr:twoCellAnchor>
    <xdr:from>
      <xdr:col>26</xdr:col>
      <xdr:colOff>114300</xdr:colOff>
      <xdr:row>1</xdr:row>
      <xdr:rowOff>9525</xdr:rowOff>
    </xdr:from>
    <xdr:to>
      <xdr:col>34</xdr:col>
      <xdr:colOff>476250</xdr:colOff>
      <xdr:row>16</xdr:row>
      <xdr:rowOff>9525</xdr:rowOff>
    </xdr:to>
    <xdr:pic>
      <xdr:nvPicPr>
        <xdr:cNvPr id="33770" name="Imagem 2">
          <a:extLst>
            <a:ext uri="{FF2B5EF4-FFF2-40B4-BE49-F238E27FC236}">
              <a16:creationId xmlns:a16="http://schemas.microsoft.com/office/drawing/2014/main" xmlns="" id="{BC206776-9890-FCF4-5ED8-7514F85E5B3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15963900" y="200025"/>
          <a:ext cx="5238750" cy="2857500"/>
        </a:xfrm>
        <a:prstGeom prst="rect">
          <a:avLst/>
        </a:prstGeom>
        <a:noFill/>
        <a:ln>
          <a:noFill/>
        </a:ln>
        <a:effectLst/>
        <a:extLst>
          <a:ext uri="{909E8E84-426E-40DD-AFC4-6F175D3DCCD1}">
            <a14:hiddenFill xmlns:a14="http://schemas.microsoft.com/office/drawing/2010/main" xmlns="">
              <a:blipFill dpi="0" rotWithShape="0">
                <a:blip xmlns:r="http://schemas.openxmlformats.org/officeDocument/2006/relationships"/>
                <a:srcRect/>
                <a:stretch>
                  <a:fillRect/>
                </a:stretch>
              </a:blipFill>
            </a14:hiddenFill>
          </a:ext>
          <a:ext uri="{91240B29-F687-4F45-9708-019B960494DF}">
            <a14:hiddenLine xmlns:a14="http://schemas.microsoft.com/office/drawing/2010/main" xmlns="" w="9525">
              <a:solidFill>
                <a:srgbClr val="3465A4"/>
              </a:solidFill>
              <a:round/>
              <a:headEnd/>
              <a:tailEnd/>
            </a14:hiddenLine>
          </a:ext>
          <a:ext uri="{AF507438-7753-43E0-B8FC-AC1667EBCBE1}">
            <a14:hiddenEffects xmlns:a14="http://schemas.microsoft.com/office/drawing/2010/main" xmlns="">
              <a:effectLst>
                <a:outerShdw dist="35921" dir="2700000" algn="ctr" rotWithShape="0">
                  <a:srgbClr val="808080"/>
                </a:outerShdw>
              </a:effectLst>
            </a14:hiddenEffects>
          </a:ext>
        </a:extLst>
      </xdr:spPr>
    </xdr:pic>
    <xdr:clientData/>
  </xdr:twoCellAnchor>
  <xdr:twoCellAnchor>
    <xdr:from>
      <xdr:col>9</xdr:col>
      <xdr:colOff>171450</xdr:colOff>
      <xdr:row>1</xdr:row>
      <xdr:rowOff>9525</xdr:rowOff>
    </xdr:from>
    <xdr:to>
      <xdr:col>17</xdr:col>
      <xdr:colOff>428625</xdr:colOff>
      <xdr:row>15</xdr:row>
      <xdr:rowOff>133350</xdr:rowOff>
    </xdr:to>
    <xdr:pic>
      <xdr:nvPicPr>
        <xdr:cNvPr id="33771" name="Imagem 3">
          <a:extLst>
            <a:ext uri="{FF2B5EF4-FFF2-40B4-BE49-F238E27FC236}">
              <a16:creationId xmlns:a16="http://schemas.microsoft.com/office/drawing/2014/main" xmlns="" id="{406CAE2D-CA7E-C841-4F1B-990AF2BCB405}"/>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rcRect/>
        <a:stretch>
          <a:fillRect/>
        </a:stretch>
      </xdr:blipFill>
      <xdr:spPr bwMode="auto">
        <a:xfrm>
          <a:off x="5657850" y="200025"/>
          <a:ext cx="5133975" cy="2790825"/>
        </a:xfrm>
        <a:prstGeom prst="rect">
          <a:avLst/>
        </a:prstGeom>
        <a:noFill/>
        <a:ln>
          <a:noFill/>
        </a:ln>
        <a:effectLst/>
        <a:extLst>
          <a:ext uri="{909E8E84-426E-40DD-AFC4-6F175D3DCCD1}">
            <a14:hiddenFill xmlns:a14="http://schemas.microsoft.com/office/drawing/2010/main" xmlns="">
              <a:blipFill dpi="0" rotWithShape="0">
                <a:blip xmlns:r="http://schemas.openxmlformats.org/officeDocument/2006/relationships"/>
                <a:srcRect/>
                <a:stretch>
                  <a:fillRect/>
                </a:stretch>
              </a:blipFill>
            </a14:hiddenFill>
          </a:ext>
          <a:ext uri="{91240B29-F687-4F45-9708-019B960494DF}">
            <a14:hiddenLine xmlns:a14="http://schemas.microsoft.com/office/drawing/2010/main" xmlns="" w="9525">
              <a:solidFill>
                <a:srgbClr val="3465A4"/>
              </a:solidFill>
              <a:round/>
              <a:headEnd/>
              <a:tailEnd/>
            </a14:hiddenLine>
          </a:ext>
          <a:ext uri="{AF507438-7753-43E0-B8FC-AC1667EBCBE1}">
            <a14:hiddenEffects xmlns:a14="http://schemas.microsoft.com/office/drawing/2010/main" xmlns="">
              <a:effectLst>
                <a:outerShdw dist="35921" dir="2700000" algn="ctr" rotWithShape="0">
                  <a:srgbClr val="808080"/>
                </a:outerShdw>
              </a:effectLst>
            </a14:hiddenEffects>
          </a:ext>
        </a:extLst>
      </xdr:spPr>
    </xdr:pic>
    <xdr:clientData/>
  </xdr:twoCellAnchor>
  <xdr:twoCellAnchor>
    <xdr:from>
      <xdr:col>17</xdr:col>
      <xdr:colOff>581025</xdr:colOff>
      <xdr:row>1</xdr:row>
      <xdr:rowOff>19050</xdr:rowOff>
    </xdr:from>
    <xdr:to>
      <xdr:col>26</xdr:col>
      <xdr:colOff>76200</xdr:colOff>
      <xdr:row>15</xdr:row>
      <xdr:rowOff>104775</xdr:rowOff>
    </xdr:to>
    <xdr:pic>
      <xdr:nvPicPr>
        <xdr:cNvPr id="33772" name="Imagem 4">
          <a:extLst>
            <a:ext uri="{FF2B5EF4-FFF2-40B4-BE49-F238E27FC236}">
              <a16:creationId xmlns:a16="http://schemas.microsoft.com/office/drawing/2014/main" xmlns="" id="{9AD8B8AC-838E-C7C9-27FD-EE0236C44079}"/>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rcRect/>
        <a:stretch>
          <a:fillRect/>
        </a:stretch>
      </xdr:blipFill>
      <xdr:spPr bwMode="auto">
        <a:xfrm>
          <a:off x="10944225" y="209550"/>
          <a:ext cx="4981575" cy="2752725"/>
        </a:xfrm>
        <a:prstGeom prst="rect">
          <a:avLst/>
        </a:prstGeom>
        <a:noFill/>
        <a:ln>
          <a:noFill/>
        </a:ln>
        <a:effectLst/>
        <a:extLst>
          <a:ext uri="{909E8E84-426E-40DD-AFC4-6F175D3DCCD1}">
            <a14:hiddenFill xmlns:a14="http://schemas.microsoft.com/office/drawing/2010/main" xmlns="">
              <a:blipFill dpi="0" rotWithShape="0">
                <a:blip xmlns:r="http://schemas.openxmlformats.org/officeDocument/2006/relationships"/>
                <a:srcRect/>
                <a:stretch>
                  <a:fillRect/>
                </a:stretch>
              </a:blipFill>
            </a14:hiddenFill>
          </a:ext>
          <a:ext uri="{91240B29-F687-4F45-9708-019B960494DF}">
            <a14:hiddenLine xmlns:a14="http://schemas.microsoft.com/office/drawing/2010/main" xmlns="" w="9525">
              <a:solidFill>
                <a:srgbClr val="3465A4"/>
              </a:solidFill>
              <a:round/>
              <a:headEnd/>
              <a:tailEnd/>
            </a14:hiddenLine>
          </a:ext>
          <a:ext uri="{AF507438-7753-43E0-B8FC-AC1667EBCBE1}">
            <a14:hiddenEffects xmlns:a14="http://schemas.microsoft.com/office/drawing/2010/main" xmlns="">
              <a:effectLst>
                <a:outerShdw dist="35921" dir="2700000" algn="ctr" rotWithShape="0">
                  <a:srgbClr val="808080"/>
                </a:outerShdw>
              </a:effectLst>
            </a14:hiddenEffects>
          </a:ext>
        </a:extLst>
      </xdr:spPr>
    </xdr:pic>
    <xdr:clientData/>
  </xdr:twoCellAnchor>
  <xdr:twoCellAnchor>
    <xdr:from>
      <xdr:col>0</xdr:col>
      <xdr:colOff>0</xdr:colOff>
      <xdr:row>16</xdr:row>
      <xdr:rowOff>161925</xdr:rowOff>
    </xdr:from>
    <xdr:to>
      <xdr:col>9</xdr:col>
      <xdr:colOff>133350</xdr:colOff>
      <xdr:row>32</xdr:row>
      <xdr:rowOff>180975</xdr:rowOff>
    </xdr:to>
    <xdr:pic>
      <xdr:nvPicPr>
        <xdr:cNvPr id="33773" name="Imagem 5">
          <a:extLst>
            <a:ext uri="{FF2B5EF4-FFF2-40B4-BE49-F238E27FC236}">
              <a16:creationId xmlns:a16="http://schemas.microsoft.com/office/drawing/2014/main" xmlns="" id="{7252B6AB-E9D8-9BB6-12D7-F2F5FA16C7FB}"/>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xmlns="" val="0"/>
            </a:ext>
          </a:extLst>
        </a:blip>
        <a:srcRect/>
        <a:stretch>
          <a:fillRect/>
        </a:stretch>
      </xdr:blipFill>
      <xdr:spPr bwMode="auto">
        <a:xfrm>
          <a:off x="0" y="3209925"/>
          <a:ext cx="5619750" cy="3067050"/>
        </a:xfrm>
        <a:prstGeom prst="rect">
          <a:avLst/>
        </a:prstGeom>
        <a:noFill/>
        <a:ln>
          <a:noFill/>
        </a:ln>
        <a:effectLst/>
        <a:extLst>
          <a:ext uri="{909E8E84-426E-40DD-AFC4-6F175D3DCCD1}">
            <a14:hiddenFill xmlns:a14="http://schemas.microsoft.com/office/drawing/2010/main" xmlns="">
              <a:blipFill dpi="0" rotWithShape="0">
                <a:blip xmlns:r="http://schemas.openxmlformats.org/officeDocument/2006/relationships"/>
                <a:srcRect/>
                <a:stretch>
                  <a:fillRect/>
                </a:stretch>
              </a:blipFill>
            </a14:hiddenFill>
          </a:ext>
          <a:ext uri="{91240B29-F687-4F45-9708-019B960494DF}">
            <a14:hiddenLine xmlns:a14="http://schemas.microsoft.com/office/drawing/2010/main" xmlns="" w="9525">
              <a:solidFill>
                <a:srgbClr val="3465A4"/>
              </a:solidFill>
              <a:round/>
              <a:headEnd/>
              <a:tailEnd/>
            </a14:hiddenLine>
          </a:ext>
          <a:ext uri="{AF507438-7753-43E0-B8FC-AC1667EBCBE1}">
            <a14:hiddenEffects xmlns:a14="http://schemas.microsoft.com/office/drawing/2010/main" xmlns="">
              <a:effectLst>
                <a:outerShdw dist="35921" dir="2700000" algn="ctr" rotWithShape="0">
                  <a:srgbClr val="808080"/>
                </a:outerShdw>
              </a:effectLst>
            </a14:hiddenEffects>
          </a:ext>
        </a:extLst>
      </xdr:spPr>
    </xdr:pic>
    <xdr:clientData/>
  </xdr:twoCellAnchor>
  <xdr:twoCellAnchor>
    <xdr:from>
      <xdr:col>9</xdr:col>
      <xdr:colOff>152400</xdr:colOff>
      <xdr:row>16</xdr:row>
      <xdr:rowOff>152400</xdr:rowOff>
    </xdr:from>
    <xdr:to>
      <xdr:col>18</xdr:col>
      <xdr:colOff>257175</xdr:colOff>
      <xdr:row>32</xdr:row>
      <xdr:rowOff>161925</xdr:rowOff>
    </xdr:to>
    <xdr:pic>
      <xdr:nvPicPr>
        <xdr:cNvPr id="33774" name="Imagem 6">
          <a:extLst>
            <a:ext uri="{FF2B5EF4-FFF2-40B4-BE49-F238E27FC236}">
              <a16:creationId xmlns:a16="http://schemas.microsoft.com/office/drawing/2014/main" xmlns="" id="{61213161-FE01-0356-581E-F482B92D890B}"/>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rcRect/>
        <a:stretch>
          <a:fillRect/>
        </a:stretch>
      </xdr:blipFill>
      <xdr:spPr bwMode="auto">
        <a:xfrm>
          <a:off x="5638800" y="3200400"/>
          <a:ext cx="5591175" cy="3057525"/>
        </a:xfrm>
        <a:prstGeom prst="rect">
          <a:avLst/>
        </a:prstGeom>
        <a:noFill/>
        <a:ln>
          <a:noFill/>
        </a:ln>
        <a:effectLst/>
        <a:extLst>
          <a:ext uri="{909E8E84-426E-40DD-AFC4-6F175D3DCCD1}">
            <a14:hiddenFill xmlns:a14="http://schemas.microsoft.com/office/drawing/2010/main" xmlns="">
              <a:blipFill dpi="0" rotWithShape="0">
                <a:blip xmlns:r="http://schemas.openxmlformats.org/officeDocument/2006/relationships"/>
                <a:srcRect/>
                <a:stretch>
                  <a:fillRect/>
                </a:stretch>
              </a:blipFill>
            </a14:hiddenFill>
          </a:ext>
          <a:ext uri="{91240B29-F687-4F45-9708-019B960494DF}">
            <a14:hiddenLine xmlns:a14="http://schemas.microsoft.com/office/drawing/2010/main" xmlns="" w="9525">
              <a:solidFill>
                <a:srgbClr val="3465A4"/>
              </a:solidFill>
              <a:round/>
              <a:headEnd/>
              <a:tailEnd/>
            </a14:hiddenLine>
          </a:ext>
          <a:ext uri="{AF507438-7753-43E0-B8FC-AC1667EBCBE1}">
            <a14:hiddenEffects xmlns:a14="http://schemas.microsoft.com/office/drawing/2010/main" xmlns="">
              <a:effectLst>
                <a:outerShdw dist="35921" dir="2700000" algn="ctr" rotWithShape="0">
                  <a:srgbClr val="808080"/>
                </a:outerShdw>
              </a:effectLst>
            </a14:hiddenEffects>
          </a:ext>
        </a:extLst>
      </xdr:spPr>
    </xdr:pic>
    <xdr:clientData/>
  </xdr:twoCellAnchor>
  <xdr:twoCellAnchor>
    <xdr:from>
      <xdr:col>18</xdr:col>
      <xdr:colOff>352425</xdr:colOff>
      <xdr:row>16</xdr:row>
      <xdr:rowOff>123825</xdr:rowOff>
    </xdr:from>
    <xdr:to>
      <xdr:col>27</xdr:col>
      <xdr:colOff>438150</xdr:colOff>
      <xdr:row>32</xdr:row>
      <xdr:rowOff>114300</xdr:rowOff>
    </xdr:to>
    <xdr:pic>
      <xdr:nvPicPr>
        <xdr:cNvPr id="33775" name="Imagem 7">
          <a:extLst>
            <a:ext uri="{FF2B5EF4-FFF2-40B4-BE49-F238E27FC236}">
              <a16:creationId xmlns:a16="http://schemas.microsoft.com/office/drawing/2014/main" xmlns="" id="{D3979719-6AA4-D670-A2D2-14D9E7D516B8}"/>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rcRect/>
        <a:stretch>
          <a:fillRect/>
        </a:stretch>
      </xdr:blipFill>
      <xdr:spPr bwMode="auto">
        <a:xfrm>
          <a:off x="11325225" y="3171825"/>
          <a:ext cx="5572125" cy="3038475"/>
        </a:xfrm>
        <a:prstGeom prst="rect">
          <a:avLst/>
        </a:prstGeom>
        <a:noFill/>
        <a:ln>
          <a:noFill/>
        </a:ln>
        <a:effectLst/>
        <a:extLst>
          <a:ext uri="{909E8E84-426E-40DD-AFC4-6F175D3DCCD1}">
            <a14:hiddenFill xmlns:a14="http://schemas.microsoft.com/office/drawing/2010/main" xmlns="">
              <a:blipFill dpi="0" rotWithShape="0">
                <a:blip xmlns:r="http://schemas.openxmlformats.org/officeDocument/2006/relationships"/>
                <a:srcRect/>
                <a:stretch>
                  <a:fillRect/>
                </a:stretch>
              </a:blipFill>
            </a14:hiddenFill>
          </a:ext>
          <a:ext uri="{91240B29-F687-4F45-9708-019B960494DF}">
            <a14:hiddenLine xmlns:a14="http://schemas.microsoft.com/office/drawing/2010/main" xmlns="" w="9525">
              <a:solidFill>
                <a:srgbClr val="3465A4"/>
              </a:solidFill>
              <a:round/>
              <a:headEnd/>
              <a:tailEnd/>
            </a14:hiddenLine>
          </a:ext>
          <a:ext uri="{AF507438-7753-43E0-B8FC-AC1667EBCBE1}">
            <a14:hiddenEffects xmlns:a14="http://schemas.microsoft.com/office/drawing/2010/main" xmlns="">
              <a:effectLst>
                <a:outerShdw dist="35921" dir="2700000" algn="ctr" rotWithShape="0">
                  <a:srgbClr val="808080"/>
                </a:outerShdw>
              </a:effectLst>
            </a14:hiddenEffects>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2043953</xdr:colOff>
      <xdr:row>189</xdr:row>
      <xdr:rowOff>13612</xdr:rowOff>
    </xdr:from>
    <xdr:to>
      <xdr:col>5</xdr:col>
      <xdr:colOff>27213</xdr:colOff>
      <xdr:row>193</xdr:row>
      <xdr:rowOff>156886</xdr:rowOff>
    </xdr:to>
    <xdr:sp macro="" textlink="">
      <xdr:nvSpPr>
        <xdr:cNvPr id="6" name="CaixaDeTexto 4">
          <a:extLst>
            <a:ext uri="{FF2B5EF4-FFF2-40B4-BE49-F238E27FC236}">
              <a16:creationId xmlns:a16="http://schemas.microsoft.com/office/drawing/2014/main" xmlns="" id="{406B1B09-8976-9139-6C58-7471A464BF99}"/>
            </a:ext>
          </a:extLst>
        </xdr:cNvPr>
        <xdr:cNvSpPr txBox="1"/>
      </xdr:nvSpPr>
      <xdr:spPr>
        <a:xfrm>
          <a:off x="4044203" y="126750541"/>
          <a:ext cx="1970153" cy="90527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algn="ctr">
            <a:spcAft>
              <a:spcPts val="0"/>
            </a:spcAft>
          </a:pPr>
          <a:endParaRPr lang="pt-BR" sz="1200">
            <a:effectLst/>
            <a:latin typeface="Times New Roman"/>
            <a:ea typeface="Times New Roman"/>
          </a:endParaRPr>
        </a:p>
        <a:p>
          <a:pPr algn="ctr">
            <a:spcAft>
              <a:spcPts val="0"/>
            </a:spcAft>
          </a:pPr>
          <a:r>
            <a:rPr lang="pt-BR" sz="1100" b="1">
              <a:solidFill>
                <a:srgbClr val="000000"/>
              </a:solidFill>
              <a:effectLst/>
              <a:ea typeface="Times New Roman"/>
              <a:cs typeface="Times New Roman"/>
            </a:rPr>
            <a:t>Wallas H. S. Merces</a:t>
          </a:r>
          <a:endParaRPr lang="pt-BR" sz="1200">
            <a:effectLst/>
            <a:latin typeface="Times New Roman"/>
            <a:ea typeface="Times New Roman"/>
          </a:endParaRPr>
        </a:p>
        <a:p>
          <a:pPr algn="ctr">
            <a:spcAft>
              <a:spcPts val="0"/>
            </a:spcAft>
          </a:pPr>
          <a:r>
            <a:rPr lang="pt-BR" sz="1200" b="1">
              <a:effectLst/>
              <a:latin typeface="Times New Roman"/>
              <a:ea typeface="Times New Roman"/>
            </a:rPr>
            <a:t>Engenheiro</a:t>
          </a:r>
          <a:r>
            <a:rPr lang="pt-BR" sz="1200" b="1" baseline="0">
              <a:effectLst/>
              <a:latin typeface="Times New Roman"/>
              <a:ea typeface="Times New Roman"/>
            </a:rPr>
            <a:t> Civil </a:t>
          </a:r>
          <a:endParaRPr lang="pt-BR" sz="1200" b="1">
            <a:effectLst/>
            <a:latin typeface="Times New Roman"/>
            <a:ea typeface="Times New Roman"/>
          </a:endParaRPr>
        </a:p>
        <a:p>
          <a:pPr algn="ctr">
            <a:spcAft>
              <a:spcPts val="0"/>
            </a:spcAft>
          </a:pPr>
          <a:r>
            <a:rPr lang="pt-BR" sz="1100" b="1">
              <a:solidFill>
                <a:srgbClr val="000000"/>
              </a:solidFill>
              <a:effectLst/>
              <a:ea typeface="Times New Roman"/>
              <a:cs typeface="Times New Roman"/>
            </a:rPr>
            <a:t>CREA</a:t>
          </a:r>
          <a:r>
            <a:rPr lang="pt-BR" sz="1100" b="1" baseline="0">
              <a:solidFill>
                <a:srgbClr val="000000"/>
              </a:solidFill>
              <a:effectLst/>
              <a:ea typeface="Times New Roman"/>
              <a:cs typeface="Times New Roman"/>
            </a:rPr>
            <a:t> 208.196/D</a:t>
          </a:r>
          <a:endParaRPr lang="pt-BR" sz="1200">
            <a:effectLst/>
            <a:latin typeface="Times New Roman"/>
            <a:ea typeface="Times New Roman"/>
          </a:endParaRPr>
        </a:p>
      </xdr:txBody>
    </xdr:sp>
    <xdr:clientData/>
  </xdr:twoCellAnchor>
  <xdr:twoCellAnchor editAs="oneCell">
    <xdr:from>
      <xdr:col>0</xdr:col>
      <xdr:colOff>123825</xdr:colOff>
      <xdr:row>1</xdr:row>
      <xdr:rowOff>133350</xdr:rowOff>
    </xdr:from>
    <xdr:to>
      <xdr:col>1</xdr:col>
      <xdr:colOff>676275</xdr:colOff>
      <xdr:row>7</xdr:row>
      <xdr:rowOff>104775</xdr:rowOff>
    </xdr:to>
    <xdr:pic>
      <xdr:nvPicPr>
        <xdr:cNvPr id="34488" name="Imagem 1" descr="Recorte de Tela">
          <a:extLst>
            <a:ext uri="{FF2B5EF4-FFF2-40B4-BE49-F238E27FC236}">
              <a16:creationId xmlns:a16="http://schemas.microsoft.com/office/drawing/2014/main" xmlns="" id="{995D70A5-8C15-7DCC-7CE6-EF25A995025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b="4189"/>
        <a:stretch>
          <a:fillRect/>
        </a:stretch>
      </xdr:blipFill>
      <xdr:spPr bwMode="auto">
        <a:xfrm>
          <a:off x="123825" y="333375"/>
          <a:ext cx="1209675" cy="113347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oneCellAnchor>
    <xdr:from>
      <xdr:col>2</xdr:col>
      <xdr:colOff>44820</xdr:colOff>
      <xdr:row>1</xdr:row>
      <xdr:rowOff>168089</xdr:rowOff>
    </xdr:from>
    <xdr:ext cx="3989294" cy="549088"/>
    <xdr:sp macro="" textlink="">
      <xdr:nvSpPr>
        <xdr:cNvPr id="4" name="CaixaDeTexto 3">
          <a:extLst>
            <a:ext uri="{FF2B5EF4-FFF2-40B4-BE49-F238E27FC236}">
              <a16:creationId xmlns:a16="http://schemas.microsoft.com/office/drawing/2014/main" xmlns="" id="{EAB62950-946D-3A3C-6BE4-112BF5F47FF4}"/>
            </a:ext>
          </a:extLst>
        </xdr:cNvPr>
        <xdr:cNvSpPr txBox="1"/>
      </xdr:nvSpPr>
      <xdr:spPr>
        <a:xfrm>
          <a:off x="1423144" y="369795"/>
          <a:ext cx="3989294" cy="5490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pt-BR" sz="2400" b="1"/>
            <a:t>PLANILHA ORÇAMENTÁRIA</a:t>
          </a:r>
        </a:p>
      </xdr:txBody>
    </xdr:sp>
    <xdr:clientData/>
  </xdr:oneCellAnchor>
  <xdr:oneCellAnchor>
    <xdr:from>
      <xdr:col>2</xdr:col>
      <xdr:colOff>22407</xdr:colOff>
      <xdr:row>3</xdr:row>
      <xdr:rowOff>179293</xdr:rowOff>
    </xdr:from>
    <xdr:ext cx="3989294" cy="840441"/>
    <xdr:sp macro="" textlink="">
      <xdr:nvSpPr>
        <xdr:cNvPr id="10" name="CaixaDeTexto 9">
          <a:extLst>
            <a:ext uri="{FF2B5EF4-FFF2-40B4-BE49-F238E27FC236}">
              <a16:creationId xmlns:a16="http://schemas.microsoft.com/office/drawing/2014/main" xmlns="" id="{1F19F0B9-F16B-D582-3572-D67F8B3124EE}"/>
            </a:ext>
          </a:extLst>
        </xdr:cNvPr>
        <xdr:cNvSpPr txBox="1"/>
      </xdr:nvSpPr>
      <xdr:spPr>
        <a:xfrm>
          <a:off x="1400731" y="829234"/>
          <a:ext cx="3989294" cy="8404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pt-BR" sz="2400" b="1"/>
            <a:t>IMP</a:t>
          </a:r>
          <a:r>
            <a:rPr lang="pt-BR" sz="2400" b="1" baseline="0"/>
            <a:t> - </a:t>
          </a:r>
          <a:r>
            <a:rPr lang="pt-BR" sz="1400" b="1" baseline="0"/>
            <a:t>Instituto Municipal de Previdência dos Servidores Públicos de Itaúna</a:t>
          </a:r>
          <a:endParaRPr lang="pt-BR" sz="1400" b="1"/>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3</xdr:col>
      <xdr:colOff>2043953</xdr:colOff>
      <xdr:row>188</xdr:row>
      <xdr:rowOff>0</xdr:rowOff>
    </xdr:from>
    <xdr:to>
      <xdr:col>5</xdr:col>
      <xdr:colOff>27213</xdr:colOff>
      <xdr:row>192</xdr:row>
      <xdr:rowOff>44827</xdr:rowOff>
    </xdr:to>
    <xdr:sp macro="" textlink="">
      <xdr:nvSpPr>
        <xdr:cNvPr id="12" name="CaixaDeTexto 4">
          <a:extLst>
            <a:ext uri="{FF2B5EF4-FFF2-40B4-BE49-F238E27FC236}">
              <a16:creationId xmlns:a16="http://schemas.microsoft.com/office/drawing/2014/main" xmlns="" id="{2EBEB9D7-03A1-264D-AFBE-76685EFB26D6}"/>
            </a:ext>
          </a:extLst>
        </xdr:cNvPr>
        <xdr:cNvSpPr txBox="1"/>
      </xdr:nvSpPr>
      <xdr:spPr>
        <a:xfrm>
          <a:off x="4049806" y="8193906"/>
          <a:ext cx="1972554" cy="90527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algn="ctr">
            <a:spcAft>
              <a:spcPts val="0"/>
            </a:spcAft>
          </a:pPr>
          <a:endParaRPr lang="pt-BR" sz="1200">
            <a:effectLst/>
            <a:latin typeface="Times New Roman"/>
            <a:ea typeface="Times New Roman"/>
          </a:endParaRPr>
        </a:p>
        <a:p>
          <a:pPr algn="ctr">
            <a:spcAft>
              <a:spcPts val="0"/>
            </a:spcAft>
          </a:pPr>
          <a:r>
            <a:rPr lang="pt-BR" sz="1100" b="1">
              <a:solidFill>
                <a:srgbClr val="000000"/>
              </a:solidFill>
              <a:effectLst/>
              <a:ea typeface="Times New Roman"/>
              <a:cs typeface="Times New Roman"/>
            </a:rPr>
            <a:t>Wallas H. S. Merces</a:t>
          </a:r>
          <a:endParaRPr lang="pt-BR" sz="1200">
            <a:effectLst/>
            <a:latin typeface="Times New Roman"/>
            <a:ea typeface="Times New Roman"/>
          </a:endParaRPr>
        </a:p>
        <a:p>
          <a:pPr algn="ctr">
            <a:spcAft>
              <a:spcPts val="0"/>
            </a:spcAft>
          </a:pPr>
          <a:r>
            <a:rPr lang="pt-BR" sz="1200" b="1">
              <a:effectLst/>
              <a:latin typeface="Times New Roman"/>
              <a:ea typeface="Times New Roman"/>
            </a:rPr>
            <a:t>Engenheiro</a:t>
          </a:r>
          <a:r>
            <a:rPr lang="pt-BR" sz="1200" b="1" baseline="0">
              <a:effectLst/>
              <a:latin typeface="Times New Roman"/>
              <a:ea typeface="Times New Roman"/>
            </a:rPr>
            <a:t> Civil </a:t>
          </a:r>
          <a:endParaRPr lang="pt-BR" sz="1200" b="1">
            <a:effectLst/>
            <a:latin typeface="Times New Roman"/>
            <a:ea typeface="Times New Roman"/>
          </a:endParaRPr>
        </a:p>
        <a:p>
          <a:pPr algn="ctr">
            <a:spcAft>
              <a:spcPts val="0"/>
            </a:spcAft>
          </a:pPr>
          <a:r>
            <a:rPr lang="pt-BR" sz="1100" b="1">
              <a:solidFill>
                <a:srgbClr val="000000"/>
              </a:solidFill>
              <a:effectLst/>
              <a:ea typeface="Times New Roman"/>
              <a:cs typeface="Times New Roman"/>
            </a:rPr>
            <a:t>CREA</a:t>
          </a:r>
          <a:r>
            <a:rPr lang="pt-BR" sz="1100" b="1" baseline="0">
              <a:solidFill>
                <a:srgbClr val="000000"/>
              </a:solidFill>
              <a:effectLst/>
              <a:ea typeface="Times New Roman"/>
              <a:cs typeface="Times New Roman"/>
            </a:rPr>
            <a:t> 208.196/D</a:t>
          </a:r>
          <a:endParaRPr lang="pt-BR" sz="1200">
            <a:effectLst/>
            <a:latin typeface="Times New Roman"/>
            <a:ea typeface="Times New Roman"/>
          </a:endParaRPr>
        </a:p>
      </xdr:txBody>
    </xdr:sp>
    <xdr:clientData/>
  </xdr:twoCellAnchor>
  <xdr:twoCellAnchor editAs="oneCell">
    <xdr:from>
      <xdr:col>0</xdr:col>
      <xdr:colOff>123825</xdr:colOff>
      <xdr:row>1</xdr:row>
      <xdr:rowOff>133350</xdr:rowOff>
    </xdr:from>
    <xdr:to>
      <xdr:col>2</xdr:col>
      <xdr:colOff>0</xdr:colOff>
      <xdr:row>7</xdr:row>
      <xdr:rowOff>104775</xdr:rowOff>
    </xdr:to>
    <xdr:pic>
      <xdr:nvPicPr>
        <xdr:cNvPr id="36322" name="Imagem 1" descr="Recorte de Tela">
          <a:extLst>
            <a:ext uri="{FF2B5EF4-FFF2-40B4-BE49-F238E27FC236}">
              <a16:creationId xmlns:a16="http://schemas.microsoft.com/office/drawing/2014/main" xmlns="" id="{C4EBB99C-B1AD-734B-C4B2-2C27BD15B4D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b="4189"/>
        <a:stretch>
          <a:fillRect/>
        </a:stretch>
      </xdr:blipFill>
      <xdr:spPr bwMode="auto">
        <a:xfrm>
          <a:off x="123825" y="333375"/>
          <a:ext cx="1247775" cy="113347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oneCellAnchor>
    <xdr:from>
      <xdr:col>2</xdr:col>
      <xdr:colOff>44820</xdr:colOff>
      <xdr:row>1</xdr:row>
      <xdr:rowOff>168089</xdr:rowOff>
    </xdr:from>
    <xdr:ext cx="3989294" cy="549088"/>
    <xdr:sp macro="" textlink="">
      <xdr:nvSpPr>
        <xdr:cNvPr id="14" name="CaixaDeTexto 13">
          <a:extLst>
            <a:ext uri="{FF2B5EF4-FFF2-40B4-BE49-F238E27FC236}">
              <a16:creationId xmlns:a16="http://schemas.microsoft.com/office/drawing/2014/main" xmlns="" id="{9B07CEE2-5FA9-5D22-8B2B-51FE79CFCBD4}"/>
            </a:ext>
          </a:extLst>
        </xdr:cNvPr>
        <xdr:cNvSpPr txBox="1"/>
      </xdr:nvSpPr>
      <xdr:spPr>
        <a:xfrm>
          <a:off x="1416420" y="368114"/>
          <a:ext cx="3989294" cy="5490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pt-BR" sz="2400" b="1"/>
            <a:t>ORÇAMENTO</a:t>
          </a:r>
          <a:r>
            <a:rPr lang="pt-BR" sz="2400" b="1" baseline="0"/>
            <a:t> SINTÉTICO</a:t>
          </a:r>
          <a:endParaRPr lang="pt-BR" sz="2400" b="1"/>
        </a:p>
      </xdr:txBody>
    </xdr:sp>
    <xdr:clientData/>
  </xdr:oneCellAnchor>
  <xdr:oneCellAnchor>
    <xdr:from>
      <xdr:col>2</xdr:col>
      <xdr:colOff>22407</xdr:colOff>
      <xdr:row>3</xdr:row>
      <xdr:rowOff>179293</xdr:rowOff>
    </xdr:from>
    <xdr:ext cx="3989294" cy="840441"/>
    <xdr:sp macro="" textlink="">
      <xdr:nvSpPr>
        <xdr:cNvPr id="15" name="CaixaDeTexto 14">
          <a:extLst>
            <a:ext uri="{FF2B5EF4-FFF2-40B4-BE49-F238E27FC236}">
              <a16:creationId xmlns:a16="http://schemas.microsoft.com/office/drawing/2014/main" xmlns="" id="{45660350-589F-1858-9C35-E524AFB8AD2B}"/>
            </a:ext>
          </a:extLst>
        </xdr:cNvPr>
        <xdr:cNvSpPr txBox="1"/>
      </xdr:nvSpPr>
      <xdr:spPr>
        <a:xfrm>
          <a:off x="1394007" y="817468"/>
          <a:ext cx="3989294" cy="8404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pt-BR" sz="2400" b="1"/>
            <a:t>IMP</a:t>
          </a:r>
          <a:r>
            <a:rPr lang="pt-BR" sz="2400" b="1" baseline="0"/>
            <a:t> - </a:t>
          </a:r>
          <a:r>
            <a:rPr lang="pt-BR" sz="1400" b="1" baseline="0"/>
            <a:t>Instituto Municipal de Previdência dos Servidores Públicos de Itaúna</a:t>
          </a:r>
          <a:endParaRPr lang="pt-BR" sz="1400" b="1"/>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3</xdr:col>
      <xdr:colOff>66675</xdr:colOff>
      <xdr:row>32</xdr:row>
      <xdr:rowOff>57150</xdr:rowOff>
    </xdr:from>
    <xdr:to>
      <xdr:col>7</xdr:col>
      <xdr:colOff>95249</xdr:colOff>
      <xdr:row>38</xdr:row>
      <xdr:rowOff>142875</xdr:rowOff>
    </xdr:to>
    <xdr:sp macro="" textlink="">
      <xdr:nvSpPr>
        <xdr:cNvPr id="8" name="CaixaDeTexto 4">
          <a:extLst>
            <a:ext uri="{FF2B5EF4-FFF2-40B4-BE49-F238E27FC236}">
              <a16:creationId xmlns:a16="http://schemas.microsoft.com/office/drawing/2014/main" xmlns="" id="{71E853E2-E3AD-2DFC-0C49-E6A743B531A5}"/>
            </a:ext>
          </a:extLst>
        </xdr:cNvPr>
        <xdr:cNvSpPr txBox="1"/>
      </xdr:nvSpPr>
      <xdr:spPr>
        <a:xfrm>
          <a:off x="3390900" y="6734175"/>
          <a:ext cx="2943224" cy="107632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algn="ctr">
            <a:spcAft>
              <a:spcPts val="0"/>
            </a:spcAft>
          </a:pPr>
          <a:endParaRPr lang="pt-BR" sz="1200">
            <a:effectLst/>
            <a:latin typeface="Times New Roman"/>
            <a:ea typeface="Times New Roman"/>
          </a:endParaRPr>
        </a:p>
        <a:p>
          <a:pPr algn="ctr">
            <a:spcAft>
              <a:spcPts val="0"/>
            </a:spcAft>
          </a:pPr>
          <a:r>
            <a:rPr lang="pt-BR" sz="1100" b="1">
              <a:solidFill>
                <a:srgbClr val="000000"/>
              </a:solidFill>
              <a:effectLst/>
              <a:ea typeface="Times New Roman"/>
              <a:cs typeface="Times New Roman"/>
            </a:rPr>
            <a:t>ENG.</a:t>
          </a:r>
          <a:r>
            <a:rPr lang="pt-BR" sz="1100" b="1" baseline="0">
              <a:solidFill>
                <a:srgbClr val="000000"/>
              </a:solidFill>
              <a:effectLst/>
              <a:ea typeface="Times New Roman"/>
              <a:cs typeface="Times New Roman"/>
            </a:rPr>
            <a:t> CIVIL</a:t>
          </a:r>
        </a:p>
        <a:p>
          <a:pPr algn="ctr">
            <a:spcAft>
              <a:spcPts val="0"/>
            </a:spcAft>
          </a:pPr>
          <a:r>
            <a:rPr lang="pt-BR" sz="1100" b="1">
              <a:solidFill>
                <a:srgbClr val="000000"/>
              </a:solidFill>
              <a:effectLst/>
              <a:ea typeface="Times New Roman"/>
              <a:cs typeface="Times New Roman"/>
            </a:rPr>
            <a:t>Wallas H. S. Merces</a:t>
          </a:r>
          <a:endParaRPr lang="pt-BR" sz="1200">
            <a:effectLst/>
            <a:latin typeface="Times New Roman"/>
            <a:ea typeface="Times New Roman"/>
          </a:endParaRPr>
        </a:p>
        <a:p>
          <a:pPr algn="ctr">
            <a:spcAft>
              <a:spcPts val="0"/>
            </a:spcAft>
          </a:pPr>
          <a:r>
            <a:rPr lang="pt-BR" sz="1100" b="1">
              <a:solidFill>
                <a:srgbClr val="000000"/>
              </a:solidFill>
              <a:effectLst/>
              <a:ea typeface="Times New Roman"/>
              <a:cs typeface="Times New Roman"/>
            </a:rPr>
            <a:t>CREA 208196/D</a:t>
          </a:r>
          <a:endParaRPr lang="pt-BR" sz="1200">
            <a:effectLst/>
            <a:latin typeface="Times New Roman"/>
            <a:ea typeface="Times New Roman"/>
          </a:endParaRPr>
        </a:p>
      </xdr:txBody>
    </xdr:sp>
    <xdr:clientData/>
  </xdr:twoCellAnchor>
  <xdr:twoCellAnchor editAs="oneCell">
    <xdr:from>
      <xdr:col>0</xdr:col>
      <xdr:colOff>85725</xdr:colOff>
      <xdr:row>2</xdr:row>
      <xdr:rowOff>57150</xdr:rowOff>
    </xdr:from>
    <xdr:to>
      <xdr:col>1</xdr:col>
      <xdr:colOff>438150</xdr:colOff>
      <xdr:row>6</xdr:row>
      <xdr:rowOff>123825</xdr:rowOff>
    </xdr:to>
    <xdr:pic>
      <xdr:nvPicPr>
        <xdr:cNvPr id="32263" name="Imagem 12" descr="Recorte de Tela">
          <a:extLst>
            <a:ext uri="{FF2B5EF4-FFF2-40B4-BE49-F238E27FC236}">
              <a16:creationId xmlns:a16="http://schemas.microsoft.com/office/drawing/2014/main" xmlns="" id="{A6AE2BB1-30E5-6263-6070-8F4BFA0E811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b="4189"/>
        <a:stretch>
          <a:fillRect/>
        </a:stretch>
      </xdr:blipFill>
      <xdr:spPr bwMode="auto">
        <a:xfrm>
          <a:off x="85725" y="390525"/>
          <a:ext cx="819150" cy="90487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oneCellAnchor>
    <xdr:from>
      <xdr:col>1</xdr:col>
      <xdr:colOff>649937</xdr:colOff>
      <xdr:row>2</xdr:row>
      <xdr:rowOff>114301</xdr:rowOff>
    </xdr:from>
    <xdr:ext cx="2921938" cy="1107140"/>
    <xdr:sp macro="" textlink="">
      <xdr:nvSpPr>
        <xdr:cNvPr id="15" name="CaixaDeTexto 14">
          <a:extLst>
            <a:ext uri="{FF2B5EF4-FFF2-40B4-BE49-F238E27FC236}">
              <a16:creationId xmlns:a16="http://schemas.microsoft.com/office/drawing/2014/main" xmlns="" id="{59F0D40D-72E4-B341-0935-FD89FE091701}"/>
            </a:ext>
          </a:extLst>
        </xdr:cNvPr>
        <xdr:cNvSpPr txBox="1"/>
      </xdr:nvSpPr>
      <xdr:spPr>
        <a:xfrm>
          <a:off x="1116662" y="447676"/>
          <a:ext cx="2921938" cy="11071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pt-BR" sz="2400" b="1"/>
            <a:t>IMP</a:t>
          </a:r>
          <a:r>
            <a:rPr lang="pt-BR" sz="2400" b="1" baseline="0"/>
            <a:t> - </a:t>
          </a:r>
          <a:r>
            <a:rPr lang="pt-BR" sz="1400" b="1" baseline="0"/>
            <a:t>Instituto Municipal de Previdência dos Servidores Públicos de Itaúna</a:t>
          </a:r>
          <a:endParaRPr lang="pt-BR" sz="1400" b="1"/>
        </a:p>
      </xdr:txBody>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13</xdr:col>
      <xdr:colOff>523875</xdr:colOff>
      <xdr:row>37</xdr:row>
      <xdr:rowOff>38100</xdr:rowOff>
    </xdr:to>
    <xdr:pic>
      <xdr:nvPicPr>
        <xdr:cNvPr id="31380" name="Imagem 3" descr="Recorte de Tela">
          <a:extLst>
            <a:ext uri="{FF2B5EF4-FFF2-40B4-BE49-F238E27FC236}">
              <a16:creationId xmlns:a16="http://schemas.microsoft.com/office/drawing/2014/main" xmlns="" id="{E8489785-6D55-0CF7-4631-DB82E2E4E14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0" y="2447925"/>
          <a:ext cx="8448675" cy="46101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0</xdr:col>
      <xdr:colOff>85725</xdr:colOff>
      <xdr:row>4</xdr:row>
      <xdr:rowOff>57150</xdr:rowOff>
    </xdr:from>
    <xdr:to>
      <xdr:col>2</xdr:col>
      <xdr:colOff>0</xdr:colOff>
      <xdr:row>10</xdr:row>
      <xdr:rowOff>76200</xdr:rowOff>
    </xdr:to>
    <xdr:pic>
      <xdr:nvPicPr>
        <xdr:cNvPr id="31381" name="Imagem 4" descr="Recorte de Tela">
          <a:extLst>
            <a:ext uri="{FF2B5EF4-FFF2-40B4-BE49-F238E27FC236}">
              <a16:creationId xmlns:a16="http://schemas.microsoft.com/office/drawing/2014/main" xmlns="" id="{7402D142-FEBD-9EB4-5662-B74D2E9660D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85725" y="828675"/>
          <a:ext cx="1133475" cy="11811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0</xdr:col>
      <xdr:colOff>85725</xdr:colOff>
      <xdr:row>4</xdr:row>
      <xdr:rowOff>57150</xdr:rowOff>
    </xdr:from>
    <xdr:to>
      <xdr:col>2</xdr:col>
      <xdr:colOff>0</xdr:colOff>
      <xdr:row>10</xdr:row>
      <xdr:rowOff>95250</xdr:rowOff>
    </xdr:to>
    <xdr:pic>
      <xdr:nvPicPr>
        <xdr:cNvPr id="31382" name="Imagem 5" descr="Recorte de Tela">
          <a:extLst>
            <a:ext uri="{FF2B5EF4-FFF2-40B4-BE49-F238E27FC236}">
              <a16:creationId xmlns:a16="http://schemas.microsoft.com/office/drawing/2014/main" xmlns="" id="{AADE0662-DCCF-0E85-FAD5-55E8EF2FCDB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b="4213"/>
        <a:stretch>
          <a:fillRect/>
        </a:stretch>
      </xdr:blipFill>
      <xdr:spPr bwMode="auto">
        <a:xfrm>
          <a:off x="85725" y="828675"/>
          <a:ext cx="1133475" cy="120015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4</xdr:col>
      <xdr:colOff>142875</xdr:colOff>
      <xdr:row>39</xdr:row>
      <xdr:rowOff>104775</xdr:rowOff>
    </xdr:from>
    <xdr:to>
      <xdr:col>9</xdr:col>
      <xdr:colOff>115980</xdr:colOff>
      <xdr:row>45</xdr:row>
      <xdr:rowOff>133350</xdr:rowOff>
    </xdr:to>
    <xdr:sp macro="" textlink="">
      <xdr:nvSpPr>
        <xdr:cNvPr id="7" name="CaixaDeTexto 4">
          <a:extLst>
            <a:ext uri="{FF2B5EF4-FFF2-40B4-BE49-F238E27FC236}">
              <a16:creationId xmlns:a16="http://schemas.microsoft.com/office/drawing/2014/main" xmlns="" id="{9F5CC704-F4B5-3554-C3D2-FEFF0C5AB3B2}"/>
            </a:ext>
          </a:extLst>
        </xdr:cNvPr>
        <xdr:cNvSpPr txBox="1"/>
      </xdr:nvSpPr>
      <xdr:spPr>
        <a:xfrm>
          <a:off x="2581275" y="7505700"/>
          <a:ext cx="3021105" cy="117157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algn="ctr">
            <a:spcAft>
              <a:spcPts val="0"/>
            </a:spcAft>
          </a:pPr>
          <a:endParaRPr lang="pt-BR" sz="1200">
            <a:effectLst/>
            <a:latin typeface="Times New Roman"/>
            <a:ea typeface="Times New Roman"/>
          </a:endParaRPr>
        </a:p>
        <a:p>
          <a:pPr algn="ctr">
            <a:spcAft>
              <a:spcPts val="0"/>
            </a:spcAft>
          </a:pPr>
          <a:r>
            <a:rPr lang="pt-BR" sz="1100" b="1">
              <a:solidFill>
                <a:srgbClr val="000000"/>
              </a:solidFill>
              <a:effectLst/>
              <a:ea typeface="Times New Roman"/>
              <a:cs typeface="Times New Roman"/>
            </a:rPr>
            <a:t>Wallas H. S. Merces</a:t>
          </a:r>
          <a:endParaRPr lang="pt-BR" sz="1200">
            <a:effectLst/>
            <a:latin typeface="Times New Roman"/>
            <a:ea typeface="Times New Roman"/>
          </a:endParaRPr>
        </a:p>
        <a:p>
          <a:pPr algn="ctr">
            <a:spcAft>
              <a:spcPts val="0"/>
            </a:spcAft>
          </a:pPr>
          <a:r>
            <a:rPr lang="pt-BR" sz="1100" b="1">
              <a:solidFill>
                <a:srgbClr val="000000"/>
              </a:solidFill>
              <a:effectLst/>
              <a:ea typeface="Times New Roman"/>
              <a:cs typeface="Times New Roman"/>
            </a:rPr>
            <a:t>Eng.</a:t>
          </a:r>
          <a:r>
            <a:rPr lang="pt-BR" sz="1100" b="1" baseline="0">
              <a:solidFill>
                <a:srgbClr val="000000"/>
              </a:solidFill>
              <a:effectLst/>
              <a:ea typeface="Times New Roman"/>
              <a:cs typeface="Times New Roman"/>
            </a:rPr>
            <a:t> Civil</a:t>
          </a:r>
          <a:endParaRPr lang="pt-BR" sz="1200">
            <a:effectLst/>
            <a:latin typeface="Times New Roman"/>
            <a:ea typeface="Times New Roman"/>
          </a:endParaRPr>
        </a:p>
        <a:p>
          <a:pPr algn="ctr">
            <a:spcAft>
              <a:spcPts val="0"/>
            </a:spcAft>
          </a:pPr>
          <a:r>
            <a:rPr lang="pt-BR" sz="1100" b="1">
              <a:solidFill>
                <a:srgbClr val="000000"/>
              </a:solidFill>
              <a:effectLst/>
              <a:latin typeface="+mn-lt"/>
              <a:ea typeface="Times New Roman"/>
              <a:cs typeface="Times New Roman"/>
            </a:rPr>
            <a:t>CREA</a:t>
          </a:r>
          <a:r>
            <a:rPr lang="pt-BR" sz="1100" b="1" baseline="0">
              <a:solidFill>
                <a:srgbClr val="000000"/>
              </a:solidFill>
              <a:effectLst/>
              <a:latin typeface="+mn-lt"/>
              <a:ea typeface="Times New Roman"/>
              <a:cs typeface="Times New Roman"/>
            </a:rPr>
            <a:t> 208.196/D</a:t>
          </a:r>
          <a:endParaRPr lang="pt-BR" sz="1200">
            <a:effectLst/>
            <a:latin typeface="Times New Roman"/>
            <a:ea typeface="Times New Roman"/>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38100</xdr:colOff>
      <xdr:row>1</xdr:row>
      <xdr:rowOff>190500</xdr:rowOff>
    </xdr:from>
    <xdr:to>
      <xdr:col>1</xdr:col>
      <xdr:colOff>600075</xdr:colOff>
      <xdr:row>5</xdr:row>
      <xdr:rowOff>66675</xdr:rowOff>
    </xdr:to>
    <xdr:pic>
      <xdr:nvPicPr>
        <xdr:cNvPr id="30561" name="Imagem 1" descr="Recorte de Tela">
          <a:extLst>
            <a:ext uri="{FF2B5EF4-FFF2-40B4-BE49-F238E27FC236}">
              <a16:creationId xmlns:a16="http://schemas.microsoft.com/office/drawing/2014/main" xmlns="" id="{A8AB4C98-EB50-8DB2-BCC7-A915EC56493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b="4189"/>
        <a:stretch>
          <a:fillRect/>
        </a:stretch>
      </xdr:blipFill>
      <xdr:spPr bwMode="auto">
        <a:xfrm>
          <a:off x="38100" y="390525"/>
          <a:ext cx="1123950" cy="71437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oneCellAnchor>
    <xdr:from>
      <xdr:col>2</xdr:col>
      <xdr:colOff>73395</xdr:colOff>
      <xdr:row>1</xdr:row>
      <xdr:rowOff>168089</xdr:rowOff>
    </xdr:from>
    <xdr:ext cx="3989294" cy="549088"/>
    <xdr:sp macro="" textlink="">
      <xdr:nvSpPr>
        <xdr:cNvPr id="3" name="CaixaDeTexto 2">
          <a:extLst>
            <a:ext uri="{FF2B5EF4-FFF2-40B4-BE49-F238E27FC236}">
              <a16:creationId xmlns:a16="http://schemas.microsoft.com/office/drawing/2014/main" xmlns="" id="{AA261606-F6FC-ADCE-38BF-5D0AE2A134AC}"/>
            </a:ext>
          </a:extLst>
        </xdr:cNvPr>
        <xdr:cNvSpPr txBox="1"/>
      </xdr:nvSpPr>
      <xdr:spPr>
        <a:xfrm>
          <a:off x="1702170" y="368114"/>
          <a:ext cx="3989294" cy="5490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pt-BR" sz="2000" b="1"/>
            <a:t>MEMÓRIA</a:t>
          </a:r>
          <a:r>
            <a:rPr lang="pt-BR" sz="2000" b="1" baseline="0"/>
            <a:t> CÁLCULO</a:t>
          </a:r>
          <a:endParaRPr lang="pt-BR" sz="2000" b="1"/>
        </a:p>
      </xdr:txBody>
    </xdr:sp>
    <xdr:clientData/>
  </xdr:oneCellAnchor>
  <xdr:oneCellAnchor>
    <xdr:from>
      <xdr:col>1</xdr:col>
      <xdr:colOff>1070157</xdr:colOff>
      <xdr:row>3</xdr:row>
      <xdr:rowOff>179293</xdr:rowOff>
    </xdr:from>
    <xdr:ext cx="3989294" cy="840441"/>
    <xdr:sp macro="" textlink="">
      <xdr:nvSpPr>
        <xdr:cNvPr id="4" name="CaixaDeTexto 3">
          <a:extLst>
            <a:ext uri="{FF2B5EF4-FFF2-40B4-BE49-F238E27FC236}">
              <a16:creationId xmlns:a16="http://schemas.microsoft.com/office/drawing/2014/main" xmlns="" id="{A0752E33-F718-77BF-9BAE-C38D8C5C7A70}"/>
            </a:ext>
          </a:extLst>
        </xdr:cNvPr>
        <xdr:cNvSpPr txBox="1"/>
      </xdr:nvSpPr>
      <xdr:spPr>
        <a:xfrm>
          <a:off x="1451157" y="817468"/>
          <a:ext cx="3989294" cy="8404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pt-BR" sz="2000" b="1"/>
            <a:t>IMP</a:t>
          </a:r>
          <a:r>
            <a:rPr lang="pt-BR" sz="2000" b="1" baseline="0"/>
            <a:t> - </a:t>
          </a:r>
          <a:r>
            <a:rPr lang="pt-BR" sz="1200" b="1" baseline="0"/>
            <a:t>Instituto Municipal de Previdência </a:t>
          </a:r>
        </a:p>
        <a:p>
          <a:r>
            <a:rPr lang="pt-BR" sz="1200" b="1" baseline="0"/>
            <a:t>dos Servidores Públicos de Itaúna</a:t>
          </a:r>
          <a:endParaRPr lang="pt-BR" sz="1200" b="1"/>
        </a:p>
      </xdr:txBody>
    </xdr:sp>
    <xdr:clientData/>
  </xdr:oneCellAnchor>
  <xdr:twoCellAnchor>
    <xdr:from>
      <xdr:col>3</xdr:col>
      <xdr:colOff>1190600</xdr:colOff>
      <xdr:row>565</xdr:row>
      <xdr:rowOff>111469</xdr:rowOff>
    </xdr:from>
    <xdr:to>
      <xdr:col>6</xdr:col>
      <xdr:colOff>456333</xdr:colOff>
      <xdr:row>571</xdr:row>
      <xdr:rowOff>180307</xdr:rowOff>
    </xdr:to>
    <xdr:sp macro="" textlink="">
      <xdr:nvSpPr>
        <xdr:cNvPr id="5" name="CaixaDeTexto 4">
          <a:extLst>
            <a:ext uri="{FF2B5EF4-FFF2-40B4-BE49-F238E27FC236}">
              <a16:creationId xmlns:a16="http://schemas.microsoft.com/office/drawing/2014/main" xmlns="" id="{9AB45644-4353-D030-D7A4-B30B8BAECF54}"/>
            </a:ext>
          </a:extLst>
        </xdr:cNvPr>
        <xdr:cNvSpPr txBox="1"/>
      </xdr:nvSpPr>
      <xdr:spPr>
        <a:xfrm>
          <a:off x="3286100" y="181372219"/>
          <a:ext cx="2623296" cy="1211838"/>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algn="ctr">
            <a:spcAft>
              <a:spcPts val="0"/>
            </a:spcAft>
          </a:pPr>
          <a:endParaRPr lang="pt-BR" sz="1200">
            <a:effectLst/>
            <a:latin typeface="Times New Roman"/>
            <a:ea typeface="Times New Roman"/>
          </a:endParaRPr>
        </a:p>
        <a:p>
          <a:pPr algn="ctr">
            <a:spcAft>
              <a:spcPts val="0"/>
            </a:spcAft>
          </a:pPr>
          <a:r>
            <a:rPr lang="pt-BR" sz="1100" b="1">
              <a:solidFill>
                <a:srgbClr val="000000"/>
              </a:solidFill>
              <a:effectLst/>
              <a:ea typeface="Times New Roman"/>
              <a:cs typeface="Times New Roman"/>
            </a:rPr>
            <a:t>Wallas H. S. Merces</a:t>
          </a:r>
          <a:endParaRPr lang="pt-BR" sz="1200">
            <a:effectLst/>
            <a:latin typeface="Times New Roman"/>
            <a:ea typeface="Times New Roman"/>
          </a:endParaRPr>
        </a:p>
        <a:p>
          <a:pPr algn="ctr">
            <a:spcAft>
              <a:spcPts val="0"/>
            </a:spcAft>
          </a:pPr>
          <a:r>
            <a:rPr lang="pt-BR" sz="1200" b="1">
              <a:effectLst/>
              <a:latin typeface="Times New Roman"/>
              <a:ea typeface="Times New Roman"/>
            </a:rPr>
            <a:t>Engenheiro</a:t>
          </a:r>
          <a:r>
            <a:rPr lang="pt-BR" sz="1200" b="1" baseline="0">
              <a:effectLst/>
              <a:latin typeface="Times New Roman"/>
              <a:ea typeface="Times New Roman"/>
            </a:rPr>
            <a:t> Civil </a:t>
          </a:r>
          <a:endParaRPr lang="pt-BR" sz="1200" b="1">
            <a:effectLst/>
            <a:latin typeface="Times New Roman"/>
            <a:ea typeface="Times New Roman"/>
          </a:endParaRPr>
        </a:p>
        <a:p>
          <a:pPr algn="ctr">
            <a:spcAft>
              <a:spcPts val="0"/>
            </a:spcAft>
          </a:pPr>
          <a:r>
            <a:rPr lang="pt-BR" sz="1100" b="1">
              <a:solidFill>
                <a:srgbClr val="000000"/>
              </a:solidFill>
              <a:effectLst/>
              <a:ea typeface="Times New Roman"/>
              <a:cs typeface="Times New Roman"/>
            </a:rPr>
            <a:t>CREA</a:t>
          </a:r>
          <a:r>
            <a:rPr lang="pt-BR" sz="1100" b="1" baseline="0">
              <a:solidFill>
                <a:srgbClr val="000000"/>
              </a:solidFill>
              <a:effectLst/>
              <a:ea typeface="Times New Roman"/>
              <a:cs typeface="Times New Roman"/>
            </a:rPr>
            <a:t> 208.196/D</a:t>
          </a:r>
          <a:endParaRPr lang="pt-BR" sz="1200">
            <a:effectLst/>
            <a:latin typeface="Times New Roman"/>
            <a:ea typeface="Times New Roman"/>
          </a:endParaRPr>
        </a:p>
      </xdr:txBody>
    </xdr:sp>
    <xdr:clientData/>
  </xdr:twoCellAnchor>
  <xdr:twoCellAnchor editAs="oneCell">
    <xdr:from>
      <xdr:col>3</xdr:col>
      <xdr:colOff>1590675</xdr:colOff>
      <xdr:row>564</xdr:row>
      <xdr:rowOff>171450</xdr:rowOff>
    </xdr:from>
    <xdr:to>
      <xdr:col>6</xdr:col>
      <xdr:colOff>9525</xdr:colOff>
      <xdr:row>566</xdr:row>
      <xdr:rowOff>180975</xdr:rowOff>
    </xdr:to>
    <xdr:pic>
      <xdr:nvPicPr>
        <xdr:cNvPr id="30565" name="Imagem 7" descr="Recorte de Tela">
          <a:extLst>
            <a:ext uri="{FF2B5EF4-FFF2-40B4-BE49-F238E27FC236}">
              <a16:creationId xmlns:a16="http://schemas.microsoft.com/office/drawing/2014/main" xmlns="" id="{826C1431-F784-C057-9FFE-F1A928547E6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3867150" y="166039800"/>
          <a:ext cx="1771650" cy="39052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38100</xdr:colOff>
      <xdr:row>1</xdr:row>
      <xdr:rowOff>190500</xdr:rowOff>
    </xdr:from>
    <xdr:to>
      <xdr:col>1</xdr:col>
      <xdr:colOff>600075</xdr:colOff>
      <xdr:row>5</xdr:row>
      <xdr:rowOff>66675</xdr:rowOff>
    </xdr:to>
    <xdr:pic>
      <xdr:nvPicPr>
        <xdr:cNvPr id="38069" name="Imagem 1" descr="Recorte de Tela">
          <a:extLst>
            <a:ext uri="{FF2B5EF4-FFF2-40B4-BE49-F238E27FC236}">
              <a16:creationId xmlns:a16="http://schemas.microsoft.com/office/drawing/2014/main" xmlns="" id="{BCB9E6EB-C298-DA2A-7848-1BB502734CD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b="4189"/>
        <a:stretch>
          <a:fillRect/>
        </a:stretch>
      </xdr:blipFill>
      <xdr:spPr bwMode="auto">
        <a:xfrm>
          <a:off x="38100" y="390525"/>
          <a:ext cx="1123950" cy="71437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oneCellAnchor>
    <xdr:from>
      <xdr:col>2</xdr:col>
      <xdr:colOff>73395</xdr:colOff>
      <xdr:row>1</xdr:row>
      <xdr:rowOff>168089</xdr:rowOff>
    </xdr:from>
    <xdr:ext cx="3989294" cy="549088"/>
    <xdr:sp macro="" textlink="">
      <xdr:nvSpPr>
        <xdr:cNvPr id="3" name="CaixaDeTexto 2">
          <a:extLst>
            <a:ext uri="{FF2B5EF4-FFF2-40B4-BE49-F238E27FC236}">
              <a16:creationId xmlns:a16="http://schemas.microsoft.com/office/drawing/2014/main" xmlns="" id="{4C9A52A3-041B-65F5-0A33-0AA8AD9C65C1}"/>
            </a:ext>
          </a:extLst>
        </xdr:cNvPr>
        <xdr:cNvSpPr txBox="1"/>
      </xdr:nvSpPr>
      <xdr:spPr>
        <a:xfrm>
          <a:off x="1492620" y="368114"/>
          <a:ext cx="3989294" cy="5490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pt-BR" sz="2000" b="1"/>
            <a:t>MEMÓRIA</a:t>
          </a:r>
          <a:r>
            <a:rPr lang="pt-BR" sz="2000" b="1" baseline="0"/>
            <a:t> CÁLCULO</a:t>
          </a:r>
          <a:endParaRPr lang="pt-BR" sz="2000" b="1"/>
        </a:p>
      </xdr:txBody>
    </xdr:sp>
    <xdr:clientData/>
  </xdr:oneCellAnchor>
  <xdr:oneCellAnchor>
    <xdr:from>
      <xdr:col>1</xdr:col>
      <xdr:colOff>1070157</xdr:colOff>
      <xdr:row>3</xdr:row>
      <xdr:rowOff>179293</xdr:rowOff>
    </xdr:from>
    <xdr:ext cx="3989294" cy="840441"/>
    <xdr:sp macro="" textlink="">
      <xdr:nvSpPr>
        <xdr:cNvPr id="4" name="CaixaDeTexto 3">
          <a:extLst>
            <a:ext uri="{FF2B5EF4-FFF2-40B4-BE49-F238E27FC236}">
              <a16:creationId xmlns:a16="http://schemas.microsoft.com/office/drawing/2014/main" xmlns="" id="{C2265675-3A71-7A92-4E0B-3B5C2F8E6FD0}"/>
            </a:ext>
          </a:extLst>
        </xdr:cNvPr>
        <xdr:cNvSpPr txBox="1"/>
      </xdr:nvSpPr>
      <xdr:spPr>
        <a:xfrm>
          <a:off x="1422582" y="817468"/>
          <a:ext cx="3989294" cy="8404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pt-BR" sz="2000" b="1"/>
            <a:t>IMP</a:t>
          </a:r>
          <a:r>
            <a:rPr lang="pt-BR" sz="2000" b="1" baseline="0"/>
            <a:t> - </a:t>
          </a:r>
          <a:r>
            <a:rPr lang="pt-BR" sz="1200" b="1" baseline="0"/>
            <a:t>Instituto Municipal de Previdência </a:t>
          </a:r>
        </a:p>
        <a:p>
          <a:r>
            <a:rPr lang="pt-BR" sz="1200" b="1" baseline="0"/>
            <a:t>dos Servidores Públicos de Itaúna</a:t>
          </a:r>
          <a:endParaRPr lang="pt-BR" sz="1200" b="1"/>
        </a:p>
      </xdr:txBody>
    </xdr:sp>
    <xdr:clientData/>
  </xdr:oneCellAnchor>
  <xdr:twoCellAnchor>
    <xdr:from>
      <xdr:col>3</xdr:col>
      <xdr:colOff>1190600</xdr:colOff>
      <xdr:row>565</xdr:row>
      <xdr:rowOff>111469</xdr:rowOff>
    </xdr:from>
    <xdr:to>
      <xdr:col>6</xdr:col>
      <xdr:colOff>456333</xdr:colOff>
      <xdr:row>571</xdr:row>
      <xdr:rowOff>180307</xdr:rowOff>
    </xdr:to>
    <xdr:sp macro="" textlink="">
      <xdr:nvSpPr>
        <xdr:cNvPr id="5" name="CaixaDeTexto 4">
          <a:extLst>
            <a:ext uri="{FF2B5EF4-FFF2-40B4-BE49-F238E27FC236}">
              <a16:creationId xmlns:a16="http://schemas.microsoft.com/office/drawing/2014/main" xmlns="" id="{1C520296-5D3D-D822-EC24-07ABC0DC2098}"/>
            </a:ext>
          </a:extLst>
        </xdr:cNvPr>
        <xdr:cNvSpPr txBox="1"/>
      </xdr:nvSpPr>
      <xdr:spPr>
        <a:xfrm>
          <a:off x="3467075" y="166170319"/>
          <a:ext cx="2618533" cy="1211838"/>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algn="ctr">
            <a:spcAft>
              <a:spcPts val="0"/>
            </a:spcAft>
          </a:pPr>
          <a:endParaRPr lang="pt-BR" sz="1200">
            <a:effectLst/>
            <a:latin typeface="Times New Roman"/>
            <a:ea typeface="Times New Roman"/>
          </a:endParaRPr>
        </a:p>
        <a:p>
          <a:pPr algn="ctr">
            <a:spcAft>
              <a:spcPts val="0"/>
            </a:spcAft>
          </a:pPr>
          <a:r>
            <a:rPr lang="pt-BR" sz="1100" b="1">
              <a:solidFill>
                <a:srgbClr val="000000"/>
              </a:solidFill>
              <a:effectLst/>
              <a:ea typeface="Times New Roman"/>
              <a:cs typeface="Times New Roman"/>
            </a:rPr>
            <a:t>Wallas H. S. Merces</a:t>
          </a:r>
          <a:endParaRPr lang="pt-BR" sz="1200">
            <a:effectLst/>
            <a:latin typeface="Times New Roman"/>
            <a:ea typeface="Times New Roman"/>
          </a:endParaRPr>
        </a:p>
        <a:p>
          <a:pPr algn="ctr">
            <a:spcAft>
              <a:spcPts val="0"/>
            </a:spcAft>
          </a:pPr>
          <a:r>
            <a:rPr lang="pt-BR" sz="1200" b="1">
              <a:effectLst/>
              <a:latin typeface="Times New Roman"/>
              <a:ea typeface="Times New Roman"/>
            </a:rPr>
            <a:t>Engenheiro</a:t>
          </a:r>
          <a:r>
            <a:rPr lang="pt-BR" sz="1200" b="1" baseline="0">
              <a:effectLst/>
              <a:latin typeface="Times New Roman"/>
              <a:ea typeface="Times New Roman"/>
            </a:rPr>
            <a:t> Civil </a:t>
          </a:r>
          <a:endParaRPr lang="pt-BR" sz="1200" b="1">
            <a:effectLst/>
            <a:latin typeface="Times New Roman"/>
            <a:ea typeface="Times New Roman"/>
          </a:endParaRPr>
        </a:p>
        <a:p>
          <a:pPr algn="ctr">
            <a:spcAft>
              <a:spcPts val="0"/>
            </a:spcAft>
          </a:pPr>
          <a:r>
            <a:rPr lang="pt-BR" sz="1100" b="1">
              <a:solidFill>
                <a:srgbClr val="000000"/>
              </a:solidFill>
              <a:effectLst/>
              <a:ea typeface="Times New Roman"/>
              <a:cs typeface="Times New Roman"/>
            </a:rPr>
            <a:t>CREA</a:t>
          </a:r>
          <a:r>
            <a:rPr lang="pt-BR" sz="1100" b="1" baseline="0">
              <a:solidFill>
                <a:srgbClr val="000000"/>
              </a:solidFill>
              <a:effectLst/>
              <a:ea typeface="Times New Roman"/>
              <a:cs typeface="Times New Roman"/>
            </a:rPr>
            <a:t> 208.196/D</a:t>
          </a:r>
          <a:endParaRPr lang="pt-BR" sz="1200">
            <a:effectLst/>
            <a:latin typeface="Times New Roman"/>
            <a:ea typeface="Times New Roman"/>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Terramil\Desktop\Obras%20BETIM\Obras%20PMB\Obra%20contrato%20069-2012-%20EMPAR%20(PEC)\Medi&#231;&#245;es%20OBRA\ENGESP%20-%20KATIA\CONCORRENCIAS\2008\P%20M%20de%20Betim\CARTA%20CONVITE%20N&#186;%2001-08%20-%20U.R.P.V.%20mar&#231;o%2008\licita&#231;ao%20engesp.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Medicao\2012\MEDI&#199;&#195;O\ENGEOP\Mem&#243;ria%20de%20Calculo%20-%20Janeiro%2010.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L018407 - PMB"/>
      <sheetName val="ESTUDO COMPOSIÇAO"/>
      <sheetName val="QUADRO PESSOAL"/>
      <sheetName val="ENCARGOS SOCIAIS"/>
      <sheetName val="INDIRETOS"/>
      <sheetName val="BDI"/>
      <sheetName val="CRONOGRAMA"/>
      <sheetName val="PL018407"/>
    </sheetNames>
    <sheetDataSet>
      <sheetData sheetId="0"/>
      <sheetData sheetId="1"/>
      <sheetData sheetId="2"/>
      <sheetData sheetId="3"/>
      <sheetData sheetId="4"/>
      <sheetData sheetId="5"/>
      <sheetData sheetId="6"/>
      <sheetData sheetId="7"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PL001708"/>
      <sheetName val="mediçao praça"/>
      <sheetName val="mediçao praça (2)"/>
      <sheetName val="Memória de Calculo - Janeiro 10"/>
    </sheetNames>
    <sheetDataSet>
      <sheetData sheetId="0" refreshError="1"/>
      <sheetData sheetId="1" refreshError="1"/>
      <sheetData sheetId="2" refreshError="1"/>
      <sheetData sheetId="3"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xmlns="">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xmlns="">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1"/>
  <sheetViews>
    <sheetView topLeftCell="D7" zoomScaleSheetLayoutView="100" workbookViewId="0">
      <selection activeCell="AE29" sqref="AE29"/>
    </sheetView>
  </sheetViews>
  <sheetFormatPr defaultRowHeight="14.4"/>
  <sheetData/>
  <sheetProtection selectLockedCells="1" selectUnlockedCells="1"/>
  <pageMargins left="0.51180555555555562" right="0.51180555555555562" top="0.78749999999999998" bottom="0.78749999999999998" header="0.51181102362204722" footer="0.51181102362204722"/>
  <pageSetup paperSize="9" firstPageNumber="0" orientation="portrait" horizontalDpi="300" verticalDpi="300"/>
  <headerFooter alignWithMargins="0"/>
  <drawing r:id="rId1"/>
</worksheet>
</file>

<file path=xl/worksheets/sheet2.xml><?xml version="1.0" encoding="utf-8"?>
<worksheet xmlns="http://schemas.openxmlformats.org/spreadsheetml/2006/main" xmlns:r="http://schemas.openxmlformats.org/officeDocument/2006/relationships">
  <sheetPr>
    <tabColor rgb="FF00B0F0"/>
  </sheetPr>
  <dimension ref="A1:O195"/>
  <sheetViews>
    <sheetView tabSelected="1" view="pageBreakPreview" topLeftCell="A6" zoomScale="70" zoomScaleNormal="70" zoomScaleSheetLayoutView="70" workbookViewId="0">
      <pane ySplit="6" topLeftCell="A122" activePane="bottomLeft" state="frozen"/>
      <selection activeCell="A6" sqref="A6"/>
      <selection pane="bottomLeft" activeCell="D126" sqref="D126"/>
    </sheetView>
  </sheetViews>
  <sheetFormatPr defaultRowHeight="14.4"/>
  <cols>
    <col min="1" max="1" width="9.88671875" style="1" customWidth="1"/>
    <col min="2" max="2" width="10.6640625" style="2" customWidth="1"/>
    <col min="3" max="3" width="9.44140625" style="3" customWidth="1"/>
    <col min="4" max="4" width="52.88671875" style="4" customWidth="1"/>
    <col min="5" max="5" width="6.88671875" style="5" customWidth="1"/>
    <col min="6" max="6" width="9.6640625" style="6" customWidth="1"/>
    <col min="7" max="7" width="12.88671875" style="6" customWidth="1"/>
    <col min="8" max="8" width="13.109375" style="7" customWidth="1"/>
    <col min="9" max="10" width="17" style="7" customWidth="1"/>
    <col min="11" max="11" width="20.109375" style="62" customWidth="1"/>
    <col min="12" max="12" width="17.109375" style="5" bestFit="1" customWidth="1"/>
    <col min="13" max="13" width="9.109375" style="5"/>
    <col min="15" max="15" width="15.33203125" bestFit="1" customWidth="1"/>
  </cols>
  <sheetData>
    <row r="1" spans="1:15" ht="15" thickBot="1">
      <c r="C1" s="246"/>
    </row>
    <row r="2" spans="1:15" ht="17.25" customHeight="1" thickBot="1">
      <c r="A2" s="263"/>
      <c r="B2" s="264"/>
      <c r="C2" s="264"/>
      <c r="D2" s="264"/>
      <c r="E2" s="267" t="s">
        <v>0</v>
      </c>
      <c r="F2" s="268"/>
      <c r="G2" s="268"/>
      <c r="H2" s="269"/>
      <c r="I2" s="283" t="s">
        <v>1</v>
      </c>
      <c r="J2" s="156" t="s">
        <v>2</v>
      </c>
    </row>
    <row r="3" spans="1:15" ht="17.25" customHeight="1" thickBot="1">
      <c r="A3" s="265"/>
      <c r="B3" s="266"/>
      <c r="C3" s="266"/>
      <c r="D3" s="266"/>
      <c r="E3" s="270"/>
      <c r="F3" s="271"/>
      <c r="G3" s="271"/>
      <c r="H3" s="272"/>
      <c r="I3" s="284"/>
      <c r="J3" s="157" t="s">
        <v>3</v>
      </c>
    </row>
    <row r="4" spans="1:15" ht="17.25" customHeight="1" thickBot="1">
      <c r="A4" s="265"/>
      <c r="B4" s="266"/>
      <c r="C4" s="266"/>
      <c r="D4" s="266"/>
      <c r="E4" s="270"/>
      <c r="F4" s="271"/>
      <c r="G4" s="271"/>
      <c r="H4" s="272"/>
      <c r="I4" s="8"/>
      <c r="J4" s="158" t="s">
        <v>4</v>
      </c>
    </row>
    <row r="5" spans="1:15" ht="14.25" customHeight="1" thickBot="1">
      <c r="A5" s="265"/>
      <c r="B5" s="266"/>
      <c r="C5" s="266"/>
      <c r="D5" s="266"/>
      <c r="E5" s="270"/>
      <c r="F5" s="271"/>
      <c r="G5" s="271"/>
      <c r="H5" s="272"/>
      <c r="I5" s="9">
        <v>0.2223</v>
      </c>
      <c r="J5" s="159">
        <v>46050</v>
      </c>
    </row>
    <row r="6" spans="1:15" ht="12.75" customHeight="1" thickBot="1">
      <c r="A6" s="265"/>
      <c r="B6" s="266"/>
      <c r="C6" s="266"/>
      <c r="D6" s="266"/>
      <c r="E6" s="270"/>
      <c r="F6" s="271"/>
      <c r="G6" s="271"/>
      <c r="H6" s="272"/>
      <c r="I6" s="276" t="s">
        <v>5</v>
      </c>
      <c r="J6" s="277"/>
    </row>
    <row r="7" spans="1:15" ht="12.75" customHeight="1" thickBot="1">
      <c r="A7" s="265"/>
      <c r="B7" s="266"/>
      <c r="C7" s="266"/>
      <c r="D7" s="266"/>
      <c r="E7" s="273"/>
      <c r="F7" s="274"/>
      <c r="G7" s="274"/>
      <c r="H7" s="275"/>
      <c r="I7" s="278"/>
      <c r="J7" s="279"/>
    </row>
    <row r="8" spans="1:15" ht="12.75" customHeight="1" thickBot="1">
      <c r="A8" s="265"/>
      <c r="B8" s="266"/>
      <c r="C8" s="266"/>
      <c r="D8" s="266"/>
      <c r="E8" s="280" t="s">
        <v>6</v>
      </c>
      <c r="F8" s="280"/>
      <c r="G8" s="280"/>
      <c r="H8" s="280"/>
      <c r="I8" s="278" t="s">
        <v>7</v>
      </c>
      <c r="J8" s="279"/>
    </row>
    <row r="9" spans="1:15" ht="15" thickBot="1">
      <c r="A9" s="265"/>
      <c r="B9" s="266"/>
      <c r="C9" s="266"/>
      <c r="D9" s="266"/>
      <c r="E9" s="280"/>
      <c r="F9" s="280"/>
      <c r="G9" s="280"/>
      <c r="H9" s="280"/>
      <c r="I9" s="281" t="s">
        <v>8</v>
      </c>
      <c r="J9" s="282"/>
    </row>
    <row r="10" spans="1:15" ht="49.5" customHeight="1" thickBot="1">
      <c r="A10" s="260" t="s">
        <v>9</v>
      </c>
      <c r="B10" s="261" t="s">
        <v>10</v>
      </c>
      <c r="C10" s="262" t="s">
        <v>11</v>
      </c>
      <c r="D10" s="262" t="s">
        <v>12</v>
      </c>
      <c r="E10" s="262" t="s">
        <v>13</v>
      </c>
      <c r="F10" s="258" t="s">
        <v>14</v>
      </c>
      <c r="G10" s="258" t="s">
        <v>15</v>
      </c>
      <c r="H10" s="259" t="s">
        <v>16</v>
      </c>
      <c r="I10" s="67" t="s">
        <v>17</v>
      </c>
      <c r="J10" s="160" t="s">
        <v>18</v>
      </c>
    </row>
    <row r="11" spans="1:15" ht="16.2" thickBot="1">
      <c r="A11" s="260"/>
      <c r="B11" s="261"/>
      <c r="C11" s="262"/>
      <c r="D11" s="262"/>
      <c r="E11" s="262"/>
      <c r="F11" s="258"/>
      <c r="G11" s="258"/>
      <c r="H11" s="259"/>
      <c r="I11" s="161">
        <f>SUM(I13:I188)/2</f>
        <v>671622.62</v>
      </c>
      <c r="J11" s="161">
        <f>SUM(J13:J188)/2</f>
        <v>820933.60000000056</v>
      </c>
      <c r="L11" s="241"/>
      <c r="O11" s="62"/>
    </row>
    <row r="12" spans="1:15" ht="6" customHeight="1" thickBot="1">
      <c r="A12" s="162"/>
      <c r="B12" s="10"/>
      <c r="C12" s="11"/>
      <c r="D12" s="12"/>
      <c r="E12" s="13"/>
      <c r="F12" s="14"/>
      <c r="G12" s="14"/>
      <c r="H12" s="134"/>
      <c r="I12" s="15"/>
      <c r="J12" s="163"/>
    </row>
    <row r="13" spans="1:15" ht="15.6">
      <c r="A13" s="135" t="s">
        <v>19</v>
      </c>
      <c r="B13" s="136"/>
      <c r="C13" s="137"/>
      <c r="D13" s="138" t="s">
        <v>20</v>
      </c>
      <c r="E13" s="139"/>
      <c r="F13" s="140"/>
      <c r="G13" s="140"/>
      <c r="H13" s="140"/>
      <c r="I13" s="141">
        <f>SUM(I14:I17)</f>
        <v>6441.98</v>
      </c>
      <c r="J13" s="142">
        <f>SUM(J14:J17)</f>
        <v>7874.2899999999991</v>
      </c>
    </row>
    <row r="14" spans="1:15" s="22" customFormat="1" ht="109.2">
      <c r="A14" s="150" t="s">
        <v>21</v>
      </c>
      <c r="B14" s="18" t="s">
        <v>22</v>
      </c>
      <c r="C14" s="18" t="s">
        <v>23</v>
      </c>
      <c r="D14" s="19" t="s">
        <v>24</v>
      </c>
      <c r="E14" s="20" t="s">
        <v>13</v>
      </c>
      <c r="F14" s="21">
        <v>1</v>
      </c>
      <c r="G14" s="165">
        <v>1153.26</v>
      </c>
      <c r="H14" s="21">
        <f>ROUND(G14*(1+$I$5),2)</f>
        <v>1409.63</v>
      </c>
      <c r="I14" s="21">
        <f>ROUND(G14*F14,2)</f>
        <v>1153.26</v>
      </c>
      <c r="J14" s="144">
        <f>ROUND(F14*H14,2)</f>
        <v>1409.63</v>
      </c>
      <c r="K14" s="62"/>
      <c r="L14" s="242"/>
      <c r="M14" s="245"/>
    </row>
    <row r="15" spans="1:15" s="22" customFormat="1" ht="62.4">
      <c r="A15" s="150" t="s">
        <v>25</v>
      </c>
      <c r="B15" s="18" t="s">
        <v>26</v>
      </c>
      <c r="C15" s="18" t="s">
        <v>23</v>
      </c>
      <c r="D15" s="19" t="s">
        <v>27</v>
      </c>
      <c r="E15" s="205" t="s">
        <v>28</v>
      </c>
      <c r="F15" s="21">
        <v>92</v>
      </c>
      <c r="G15" s="165">
        <v>19.87</v>
      </c>
      <c r="H15" s="21">
        <f>ROUND(G15*(1+$I$5),2)</f>
        <v>24.29</v>
      </c>
      <c r="I15" s="21">
        <f>ROUND(G15*F15,2)</f>
        <v>1828.04</v>
      </c>
      <c r="J15" s="144">
        <f>ROUND(F15*H15,2)</f>
        <v>2234.6799999999998</v>
      </c>
      <c r="K15" s="62"/>
      <c r="L15" s="242"/>
      <c r="M15" s="245"/>
    </row>
    <row r="16" spans="1:15" s="25" customFormat="1" ht="31.2">
      <c r="A16" s="143" t="s">
        <v>29</v>
      </c>
      <c r="B16" s="17" t="s">
        <v>30</v>
      </c>
      <c r="C16" s="18" t="s">
        <v>23</v>
      </c>
      <c r="D16" s="19" t="s">
        <v>31</v>
      </c>
      <c r="E16" s="23" t="s">
        <v>32</v>
      </c>
      <c r="F16" s="24">
        <v>2</v>
      </c>
      <c r="G16" s="165">
        <v>1730.34</v>
      </c>
      <c r="H16" s="21">
        <f>ROUND(G16*(1+$I$5),2)</f>
        <v>2114.9899999999998</v>
      </c>
      <c r="I16" s="21">
        <f>ROUND(G16*F16,2)</f>
        <v>3460.68</v>
      </c>
      <c r="J16" s="144">
        <f>ROUND(F16*H16,2)</f>
        <v>4229.9799999999996</v>
      </c>
      <c r="K16" s="62"/>
      <c r="L16" s="243"/>
      <c r="M16" s="245"/>
    </row>
    <row r="17" spans="1:13" s="25" customFormat="1" ht="15.6">
      <c r="A17" s="143"/>
      <c r="B17" s="17"/>
      <c r="C17" s="18"/>
      <c r="D17" s="19"/>
      <c r="E17" s="23"/>
      <c r="F17" s="24"/>
      <c r="G17" s="21"/>
      <c r="H17" s="24"/>
      <c r="I17" s="24"/>
      <c r="J17" s="145"/>
      <c r="K17" s="62"/>
      <c r="L17" s="243"/>
      <c r="M17" s="245"/>
    </row>
    <row r="18" spans="1:13" ht="15.6">
      <c r="A18" s="146" t="s">
        <v>33</v>
      </c>
      <c r="B18" s="68"/>
      <c r="C18" s="69"/>
      <c r="D18" s="70" t="s">
        <v>34</v>
      </c>
      <c r="E18" s="71"/>
      <c r="F18" s="72"/>
      <c r="G18" s="72"/>
      <c r="H18" s="72"/>
      <c r="I18" s="73">
        <f>SUM(I19:I32)</f>
        <v>12883.45</v>
      </c>
      <c r="J18" s="147">
        <f>SUM(J19:J32)</f>
        <v>15747.259999999997</v>
      </c>
      <c r="M18" s="245"/>
    </row>
    <row r="19" spans="1:13" s="25" customFormat="1" ht="62.4">
      <c r="A19" s="143" t="s">
        <v>35</v>
      </c>
      <c r="B19" s="17" t="s">
        <v>36</v>
      </c>
      <c r="C19" s="18" t="s">
        <v>23</v>
      </c>
      <c r="D19" s="19" t="s">
        <v>37</v>
      </c>
      <c r="E19" s="20" t="s">
        <v>38</v>
      </c>
      <c r="F19" s="165">
        <v>9.44</v>
      </c>
      <c r="G19" s="165">
        <v>109.09</v>
      </c>
      <c r="H19" s="21">
        <f>ROUND(G19*(1+$I$5),2)</f>
        <v>133.34</v>
      </c>
      <c r="I19" s="21">
        <f>ROUND(G19*F19,2)</f>
        <v>1029.81</v>
      </c>
      <c r="J19" s="144">
        <f>ROUND(F19*H19,2)</f>
        <v>1258.73</v>
      </c>
      <c r="K19" s="62"/>
      <c r="L19" s="243"/>
      <c r="M19" s="245"/>
    </row>
    <row r="20" spans="1:13" s="25" customFormat="1" ht="78">
      <c r="A20" s="143" t="s">
        <v>39</v>
      </c>
      <c r="B20" s="17" t="s">
        <v>40</v>
      </c>
      <c r="C20" s="18" t="s">
        <v>23</v>
      </c>
      <c r="D20" s="19" t="s">
        <v>41</v>
      </c>
      <c r="E20" s="20" t="s">
        <v>42</v>
      </c>
      <c r="F20" s="165">
        <v>133.21</v>
      </c>
      <c r="G20" s="165">
        <v>21.54</v>
      </c>
      <c r="H20" s="21">
        <f>ROUND(G20*(1+$I$5),2)</f>
        <v>26.33</v>
      </c>
      <c r="I20" s="21">
        <f>ROUND(G20*F20,2)</f>
        <v>2869.34</v>
      </c>
      <c r="J20" s="144">
        <f>ROUND(F20*H20,2)</f>
        <v>3507.42</v>
      </c>
      <c r="K20" s="62"/>
      <c r="L20" s="243"/>
      <c r="M20" s="245"/>
    </row>
    <row r="21" spans="1:13" s="25" customFormat="1" ht="78">
      <c r="A21" s="143" t="s">
        <v>43</v>
      </c>
      <c r="B21" s="17" t="s">
        <v>44</v>
      </c>
      <c r="C21" s="18" t="s">
        <v>23</v>
      </c>
      <c r="D21" s="19" t="s">
        <v>45</v>
      </c>
      <c r="E21" s="20" t="s">
        <v>42</v>
      </c>
      <c r="F21" s="165">
        <v>53.53</v>
      </c>
      <c r="G21" s="165">
        <v>17.23</v>
      </c>
      <c r="H21" s="21">
        <f>ROUND(G21*(1+$I$5),2)</f>
        <v>21.06</v>
      </c>
      <c r="I21" s="21">
        <f>ROUND(G21*F21,2)</f>
        <v>922.32</v>
      </c>
      <c r="J21" s="144">
        <f>ROUND(F21*H21,2)</f>
        <v>1127.3399999999999</v>
      </c>
      <c r="K21" s="62"/>
      <c r="L21" s="243"/>
      <c r="M21" s="245"/>
    </row>
    <row r="22" spans="1:13" s="25" customFormat="1" ht="46.8">
      <c r="A22" s="143" t="s">
        <v>46</v>
      </c>
      <c r="B22" s="17" t="s">
        <v>47</v>
      </c>
      <c r="C22" s="18" t="s">
        <v>48</v>
      </c>
      <c r="D22" s="27" t="s">
        <v>49</v>
      </c>
      <c r="E22" s="20" t="s">
        <v>38</v>
      </c>
      <c r="F22" s="165">
        <f>8.24*0.12</f>
        <v>0.98880000000000001</v>
      </c>
      <c r="G22" s="165">
        <v>280</v>
      </c>
      <c r="H22" s="21">
        <f t="shared" ref="H22:H30" si="0">ROUND(G22*(1+$I$5),2)</f>
        <v>342.24</v>
      </c>
      <c r="I22" s="21">
        <f t="shared" ref="I22:I30" si="1">ROUND(G22*F22,2)</f>
        <v>276.86</v>
      </c>
      <c r="J22" s="144">
        <f t="shared" ref="J22:J30" si="2">ROUND(F22*H22,2)</f>
        <v>338.41</v>
      </c>
      <c r="K22" s="62"/>
      <c r="L22" s="243"/>
      <c r="M22" s="245"/>
    </row>
    <row r="23" spans="1:13" s="25" customFormat="1" ht="46.8">
      <c r="A23" s="143" t="s">
        <v>50</v>
      </c>
      <c r="B23" s="17" t="s">
        <v>51</v>
      </c>
      <c r="C23" s="18" t="s">
        <v>23</v>
      </c>
      <c r="D23" s="19" t="s">
        <v>52</v>
      </c>
      <c r="E23" s="20" t="s">
        <v>38</v>
      </c>
      <c r="F23" s="165">
        <v>7.91</v>
      </c>
      <c r="G23" s="165">
        <v>71.42</v>
      </c>
      <c r="H23" s="21">
        <f t="shared" si="0"/>
        <v>87.3</v>
      </c>
      <c r="I23" s="21">
        <f t="shared" si="1"/>
        <v>564.92999999999995</v>
      </c>
      <c r="J23" s="144">
        <f t="shared" si="2"/>
        <v>690.54</v>
      </c>
      <c r="K23" s="62"/>
      <c r="L23" s="243"/>
      <c r="M23" s="245"/>
    </row>
    <row r="24" spans="1:13" s="25" customFormat="1" ht="31.2">
      <c r="A24" s="143" t="s">
        <v>53</v>
      </c>
      <c r="B24" s="17" t="s">
        <v>54</v>
      </c>
      <c r="C24" s="18" t="s">
        <v>23</v>
      </c>
      <c r="D24" s="19" t="s">
        <v>55</v>
      </c>
      <c r="E24" s="20" t="s">
        <v>42</v>
      </c>
      <c r="F24" s="165">
        <v>7.6</v>
      </c>
      <c r="G24" s="165">
        <v>24.08</v>
      </c>
      <c r="H24" s="21">
        <f t="shared" si="0"/>
        <v>29.43</v>
      </c>
      <c r="I24" s="21">
        <f t="shared" si="1"/>
        <v>183.01</v>
      </c>
      <c r="J24" s="144">
        <f t="shared" si="2"/>
        <v>223.67</v>
      </c>
      <c r="K24" s="62"/>
      <c r="L24" s="243"/>
      <c r="M24" s="245"/>
    </row>
    <row r="25" spans="1:13" s="25" customFormat="1" ht="46.8">
      <c r="A25" s="143" t="s">
        <v>56</v>
      </c>
      <c r="B25" s="17" t="s">
        <v>57</v>
      </c>
      <c r="C25" s="18" t="s">
        <v>23</v>
      </c>
      <c r="D25" s="19" t="s">
        <v>58</v>
      </c>
      <c r="E25" s="20" t="s">
        <v>38</v>
      </c>
      <c r="F25" s="165">
        <f>F19+F22+F23+(F31*0.1)</f>
        <v>26.3688</v>
      </c>
      <c r="G25" s="165">
        <v>24.77</v>
      </c>
      <c r="H25" s="21">
        <f t="shared" si="0"/>
        <v>30.28</v>
      </c>
      <c r="I25" s="21">
        <f t="shared" si="1"/>
        <v>653.16</v>
      </c>
      <c r="J25" s="144">
        <f t="shared" si="2"/>
        <v>798.45</v>
      </c>
      <c r="K25" s="62"/>
      <c r="L25" s="243"/>
      <c r="M25" s="245"/>
    </row>
    <row r="26" spans="1:13" s="25" customFormat="1" ht="31.2">
      <c r="A26" s="143" t="s">
        <v>59</v>
      </c>
      <c r="B26" s="17" t="s">
        <v>60</v>
      </c>
      <c r="C26" s="18" t="s">
        <v>23</v>
      </c>
      <c r="D26" s="19" t="s">
        <v>61</v>
      </c>
      <c r="E26" s="20" t="s">
        <v>38</v>
      </c>
      <c r="F26" s="165">
        <f>F25</f>
        <v>26.3688</v>
      </c>
      <c r="G26" s="165">
        <v>60</v>
      </c>
      <c r="H26" s="21">
        <f t="shared" si="0"/>
        <v>73.34</v>
      </c>
      <c r="I26" s="21">
        <f t="shared" si="1"/>
        <v>1582.13</v>
      </c>
      <c r="J26" s="144">
        <f t="shared" si="2"/>
        <v>1933.89</v>
      </c>
      <c r="K26" s="62"/>
      <c r="L26" s="243"/>
      <c r="M26" s="245"/>
    </row>
    <row r="27" spans="1:13" s="25" customFormat="1" ht="78">
      <c r="A27" s="143" t="s">
        <v>62</v>
      </c>
      <c r="B27" s="17" t="s">
        <v>63</v>
      </c>
      <c r="C27" s="18" t="s">
        <v>23</v>
      </c>
      <c r="D27" s="19" t="s">
        <v>64</v>
      </c>
      <c r="E27" s="20" t="s">
        <v>42</v>
      </c>
      <c r="F27" s="165">
        <v>69.84</v>
      </c>
      <c r="G27" s="165">
        <v>13.31</v>
      </c>
      <c r="H27" s="21">
        <f t="shared" si="0"/>
        <v>16.27</v>
      </c>
      <c r="I27" s="21">
        <f t="shared" si="1"/>
        <v>929.57</v>
      </c>
      <c r="J27" s="144">
        <f t="shared" si="2"/>
        <v>1136.3</v>
      </c>
      <c r="K27" s="62"/>
      <c r="L27" s="243"/>
      <c r="M27" s="245"/>
    </row>
    <row r="28" spans="1:13" s="25" customFormat="1" ht="78">
      <c r="A28" s="143" t="s">
        <v>65</v>
      </c>
      <c r="B28" s="17" t="s">
        <v>66</v>
      </c>
      <c r="C28" s="18" t="s">
        <v>23</v>
      </c>
      <c r="D28" s="19" t="s">
        <v>67</v>
      </c>
      <c r="E28" s="20" t="s">
        <v>42</v>
      </c>
      <c r="F28" s="165">
        <v>18.16</v>
      </c>
      <c r="G28" s="165">
        <v>9.43</v>
      </c>
      <c r="H28" s="21">
        <f t="shared" si="0"/>
        <v>11.53</v>
      </c>
      <c r="I28" s="21">
        <f t="shared" si="1"/>
        <v>171.25</v>
      </c>
      <c r="J28" s="144">
        <f t="shared" si="2"/>
        <v>209.38</v>
      </c>
      <c r="K28" s="62"/>
      <c r="L28" s="243"/>
      <c r="M28" s="245"/>
    </row>
    <row r="29" spans="1:13" s="25" customFormat="1" ht="78">
      <c r="A29" s="143" t="s">
        <v>68</v>
      </c>
      <c r="B29" s="17" t="s">
        <v>69</v>
      </c>
      <c r="C29" s="18" t="s">
        <v>23</v>
      </c>
      <c r="D29" s="19" t="s">
        <v>70</v>
      </c>
      <c r="E29" s="20" t="s">
        <v>71</v>
      </c>
      <c r="F29" s="165">
        <v>11</v>
      </c>
      <c r="G29" s="165">
        <v>18.760000000000002</v>
      </c>
      <c r="H29" s="21">
        <f t="shared" si="0"/>
        <v>22.93</v>
      </c>
      <c r="I29" s="21">
        <f t="shared" si="1"/>
        <v>206.36</v>
      </c>
      <c r="J29" s="144">
        <f t="shared" si="2"/>
        <v>252.23</v>
      </c>
      <c r="K29" s="62"/>
      <c r="L29" s="243"/>
      <c r="M29" s="245"/>
    </row>
    <row r="30" spans="1:13" s="25" customFormat="1" ht="78">
      <c r="A30" s="143" t="s">
        <v>72</v>
      </c>
      <c r="B30" s="17" t="s">
        <v>73</v>
      </c>
      <c r="C30" s="18" t="s">
        <v>23</v>
      </c>
      <c r="D30" s="19" t="s">
        <v>74</v>
      </c>
      <c r="E30" s="20" t="s">
        <v>42</v>
      </c>
      <c r="F30" s="165">
        <v>215.92</v>
      </c>
      <c r="G30" s="165">
        <v>9.32</v>
      </c>
      <c r="H30" s="21">
        <f t="shared" si="0"/>
        <v>11.39</v>
      </c>
      <c r="I30" s="21">
        <f t="shared" si="1"/>
        <v>2012.37</v>
      </c>
      <c r="J30" s="144">
        <f t="shared" si="2"/>
        <v>2459.33</v>
      </c>
      <c r="K30" s="62"/>
      <c r="L30" s="243"/>
      <c r="M30" s="245"/>
    </row>
    <row r="31" spans="1:13" s="25" customFormat="1" ht="93.6">
      <c r="A31" s="143" t="s">
        <v>75</v>
      </c>
      <c r="B31" s="17" t="s">
        <v>76</v>
      </c>
      <c r="C31" s="18" t="s">
        <v>23</v>
      </c>
      <c r="D31" s="19" t="s">
        <v>77</v>
      </c>
      <c r="E31" s="20" t="s">
        <v>42</v>
      </c>
      <c r="F31" s="165">
        <v>80.3</v>
      </c>
      <c r="G31" s="165">
        <v>18.46</v>
      </c>
      <c r="H31" s="21">
        <f>ROUND(G31*(1+$I$5),2)</f>
        <v>22.56</v>
      </c>
      <c r="I31" s="21">
        <f>ROUND(G31*F31,2)</f>
        <v>1482.34</v>
      </c>
      <c r="J31" s="144">
        <f>ROUND(F31*H31,2)</f>
        <v>1811.57</v>
      </c>
      <c r="K31" s="62"/>
      <c r="L31" s="243"/>
      <c r="M31" s="245"/>
    </row>
    <row r="32" spans="1:13" s="25" customFormat="1" ht="15.6">
      <c r="A32" s="143"/>
      <c r="B32" s="17"/>
      <c r="C32" s="18"/>
      <c r="D32" s="19"/>
      <c r="E32" s="20"/>
      <c r="F32" s="21"/>
      <c r="G32" s="21"/>
      <c r="H32" s="21"/>
      <c r="I32" s="21"/>
      <c r="J32" s="144"/>
      <c r="K32" s="62"/>
      <c r="L32" s="243"/>
      <c r="M32" s="245"/>
    </row>
    <row r="33" spans="1:13" ht="15.6">
      <c r="A33" s="146" t="s">
        <v>78</v>
      </c>
      <c r="B33" s="68"/>
      <c r="C33" s="69"/>
      <c r="D33" s="75" t="s">
        <v>79</v>
      </c>
      <c r="E33" s="76"/>
      <c r="F33" s="77"/>
      <c r="G33" s="77"/>
      <c r="H33" s="77"/>
      <c r="I33" s="78">
        <f>SUM(I34:I38)</f>
        <v>29528.1</v>
      </c>
      <c r="J33" s="147">
        <f>SUM(J34:J39)</f>
        <v>36093.230000000003</v>
      </c>
      <c r="M33" s="245"/>
    </row>
    <row r="34" spans="1:13" ht="46.8">
      <c r="A34" s="148" t="s">
        <v>80</v>
      </c>
      <c r="B34" s="17" t="s">
        <v>81</v>
      </c>
      <c r="C34" s="28" t="s">
        <v>23</v>
      </c>
      <c r="D34" s="27" t="s">
        <v>82</v>
      </c>
      <c r="E34" s="23" t="s">
        <v>42</v>
      </c>
      <c r="F34" s="26">
        <v>202.32</v>
      </c>
      <c r="G34" s="165">
        <v>70.88</v>
      </c>
      <c r="H34" s="24">
        <f>ROUND(G34*(1+$I$5),2)</f>
        <v>86.64</v>
      </c>
      <c r="I34" s="24">
        <f t="shared" ref="I34:I49" si="3">ROUND(G34*F34,2)</f>
        <v>14340.44</v>
      </c>
      <c r="J34" s="145">
        <f t="shared" ref="J34:J49" si="4">ROUND(F34*H34,2)</f>
        <v>17529</v>
      </c>
      <c r="M34" s="245"/>
    </row>
    <row r="35" spans="1:13" ht="46.8">
      <c r="A35" s="148" t="s">
        <v>83</v>
      </c>
      <c r="B35" s="17" t="s">
        <v>84</v>
      </c>
      <c r="C35" s="28" t="s">
        <v>23</v>
      </c>
      <c r="D35" s="27" t="s">
        <v>85</v>
      </c>
      <c r="E35" s="23" t="s">
        <v>86</v>
      </c>
      <c r="F35" s="26">
        <f>3.25+3.1+3.1+5.6</f>
        <v>15.049999999999999</v>
      </c>
      <c r="G35" s="165">
        <v>7.07</v>
      </c>
      <c r="H35" s="24">
        <f>ROUND(G35*(1+$I$5),2)</f>
        <v>8.64</v>
      </c>
      <c r="I35" s="24">
        <f>ROUND(G35*F35,2)</f>
        <v>106.4</v>
      </c>
      <c r="J35" s="145">
        <f>ROUND(F35*H35,2)</f>
        <v>130.03</v>
      </c>
      <c r="M35" s="245"/>
    </row>
    <row r="36" spans="1:13" ht="62.4">
      <c r="A36" s="148" t="s">
        <v>87</v>
      </c>
      <c r="B36" s="17" t="s">
        <v>88</v>
      </c>
      <c r="C36" s="28" t="s">
        <v>23</v>
      </c>
      <c r="D36" s="27" t="s">
        <v>89</v>
      </c>
      <c r="E36" s="23" t="s">
        <v>38</v>
      </c>
      <c r="F36" s="26">
        <v>2.2200000000000002</v>
      </c>
      <c r="G36" s="165">
        <v>3330.96</v>
      </c>
      <c r="H36" s="24">
        <f>ROUND(G36*(1+$I$5),2)</f>
        <v>4071.43</v>
      </c>
      <c r="I36" s="24">
        <f>ROUND(G36*F36,2)</f>
        <v>7394.73</v>
      </c>
      <c r="J36" s="145">
        <f>ROUND(F36*H36,2)</f>
        <v>9038.57</v>
      </c>
      <c r="M36" s="245"/>
    </row>
    <row r="37" spans="1:13" ht="46.8">
      <c r="A37" s="148" t="s">
        <v>90</v>
      </c>
      <c r="B37" s="17" t="s">
        <v>91</v>
      </c>
      <c r="C37" s="28" t="s">
        <v>23</v>
      </c>
      <c r="D37" s="27" t="s">
        <v>92</v>
      </c>
      <c r="E37" s="23" t="s">
        <v>42</v>
      </c>
      <c r="F37" s="26">
        <v>83.66</v>
      </c>
      <c r="G37" s="165">
        <v>84.19</v>
      </c>
      <c r="H37" s="24">
        <f>ROUND(G37*(1+$I$5),2)</f>
        <v>102.91</v>
      </c>
      <c r="I37" s="24">
        <f>ROUND(G37*F37,2)</f>
        <v>7043.34</v>
      </c>
      <c r="J37" s="145">
        <f>ROUND(F37*H37,2)</f>
        <v>8609.4500000000007</v>
      </c>
      <c r="M37" s="245"/>
    </row>
    <row r="38" spans="1:13" ht="62.4">
      <c r="A38" s="148" t="s">
        <v>93</v>
      </c>
      <c r="B38" s="17" t="s">
        <v>94</v>
      </c>
      <c r="C38" s="28" t="s">
        <v>23</v>
      </c>
      <c r="D38" s="27" t="s">
        <v>95</v>
      </c>
      <c r="E38" s="23" t="s">
        <v>42</v>
      </c>
      <c r="F38" s="26">
        <v>2.88</v>
      </c>
      <c r="G38" s="165">
        <v>223.33</v>
      </c>
      <c r="H38" s="24">
        <f>ROUND(G38*(1+$I$5),2)</f>
        <v>272.98</v>
      </c>
      <c r="I38" s="24">
        <f>ROUND(G38*F38,2)</f>
        <v>643.19000000000005</v>
      </c>
      <c r="J38" s="145">
        <f>ROUND(F38*H38,2)</f>
        <v>786.18</v>
      </c>
      <c r="M38" s="245"/>
    </row>
    <row r="39" spans="1:13" ht="15.6">
      <c r="A39" s="148"/>
      <c r="B39" s="181"/>
      <c r="C39" s="28"/>
      <c r="D39" s="182"/>
      <c r="E39" s="183"/>
      <c r="F39" s="197"/>
      <c r="G39" s="198"/>
      <c r="H39" s="184"/>
      <c r="I39" s="185"/>
      <c r="J39" s="145"/>
      <c r="M39" s="245"/>
    </row>
    <row r="40" spans="1:13" ht="15.6">
      <c r="A40" s="146" t="s">
        <v>96</v>
      </c>
      <c r="B40" s="68"/>
      <c r="C40" s="69"/>
      <c r="D40" s="75" t="s">
        <v>97</v>
      </c>
      <c r="E40" s="76"/>
      <c r="F40" s="77"/>
      <c r="G40" s="77"/>
      <c r="H40" s="77"/>
      <c r="I40" s="78">
        <f>SUM(I41:I50)</f>
        <v>100261.21999999999</v>
      </c>
      <c r="J40" s="147">
        <f>SUM(J41:J50)</f>
        <v>122551.94</v>
      </c>
      <c r="M40" s="245"/>
    </row>
    <row r="41" spans="1:13" ht="78">
      <c r="A41" s="148" t="s">
        <v>98</v>
      </c>
      <c r="B41" s="17" t="s">
        <v>99</v>
      </c>
      <c r="C41" s="28" t="s">
        <v>23</v>
      </c>
      <c r="D41" s="27" t="s">
        <v>100</v>
      </c>
      <c r="E41" s="23" t="s">
        <v>42</v>
      </c>
      <c r="F41" s="26">
        <v>54.81</v>
      </c>
      <c r="G41" s="165">
        <v>84.29</v>
      </c>
      <c r="H41" s="24">
        <f t="shared" ref="H41:H49" si="5">ROUND(G41*(1+$I$5),2)</f>
        <v>103.03</v>
      </c>
      <c r="I41" s="24">
        <f t="shared" si="3"/>
        <v>4619.93</v>
      </c>
      <c r="J41" s="145">
        <f t="shared" si="4"/>
        <v>5647.07</v>
      </c>
      <c r="M41" s="245"/>
    </row>
    <row r="42" spans="1:13" ht="46.8">
      <c r="A42" s="148" t="s">
        <v>101</v>
      </c>
      <c r="B42" s="17" t="s">
        <v>102</v>
      </c>
      <c r="C42" s="28" t="s">
        <v>23</v>
      </c>
      <c r="D42" s="27" t="s">
        <v>103</v>
      </c>
      <c r="E42" s="23" t="s">
        <v>42</v>
      </c>
      <c r="F42" s="26">
        <v>9.1300000000000008</v>
      </c>
      <c r="G42" s="165">
        <v>677.65</v>
      </c>
      <c r="H42" s="24">
        <f t="shared" si="5"/>
        <v>828.29</v>
      </c>
      <c r="I42" s="24">
        <f t="shared" si="3"/>
        <v>6186.94</v>
      </c>
      <c r="J42" s="145">
        <f t="shared" si="4"/>
        <v>7562.29</v>
      </c>
      <c r="M42" s="245"/>
    </row>
    <row r="43" spans="1:13" ht="62.4">
      <c r="A43" s="148" t="s">
        <v>104</v>
      </c>
      <c r="B43" s="17" t="s">
        <v>105</v>
      </c>
      <c r="C43" s="28" t="s">
        <v>23</v>
      </c>
      <c r="D43" s="27" t="s">
        <v>106</v>
      </c>
      <c r="E43" s="23" t="s">
        <v>42</v>
      </c>
      <c r="F43" s="26">
        <v>571.97</v>
      </c>
      <c r="G43" s="165">
        <v>14.79</v>
      </c>
      <c r="H43" s="24">
        <f t="shared" si="5"/>
        <v>18.079999999999998</v>
      </c>
      <c r="I43" s="24">
        <f t="shared" si="3"/>
        <v>8459.44</v>
      </c>
      <c r="J43" s="145">
        <f t="shared" si="4"/>
        <v>10341.219999999999</v>
      </c>
      <c r="M43" s="245"/>
    </row>
    <row r="44" spans="1:13" ht="62.4">
      <c r="A44" s="148" t="s">
        <v>107</v>
      </c>
      <c r="B44" s="17" t="s">
        <v>108</v>
      </c>
      <c r="C44" s="28" t="s">
        <v>23</v>
      </c>
      <c r="D44" s="27" t="s">
        <v>109</v>
      </c>
      <c r="E44" s="23" t="s">
        <v>42</v>
      </c>
      <c r="F44" s="26">
        <f>F43</f>
        <v>571.97</v>
      </c>
      <c r="G44" s="165">
        <v>37.56</v>
      </c>
      <c r="H44" s="24">
        <f t="shared" si="5"/>
        <v>45.91</v>
      </c>
      <c r="I44" s="24">
        <f t="shared" si="3"/>
        <v>21483.19</v>
      </c>
      <c r="J44" s="145">
        <f t="shared" si="4"/>
        <v>26259.14</v>
      </c>
      <c r="M44" s="245"/>
    </row>
    <row r="45" spans="1:13" ht="93.6">
      <c r="A45" s="148" t="s">
        <v>110</v>
      </c>
      <c r="B45" s="17" t="s">
        <v>111</v>
      </c>
      <c r="C45" s="28" t="s">
        <v>23</v>
      </c>
      <c r="D45" s="27" t="s">
        <v>112</v>
      </c>
      <c r="E45" s="23" t="s">
        <v>42</v>
      </c>
      <c r="F45" s="26">
        <v>191.12</v>
      </c>
      <c r="G45" s="165">
        <v>76.099999999999994</v>
      </c>
      <c r="H45" s="24">
        <f t="shared" si="5"/>
        <v>93.02</v>
      </c>
      <c r="I45" s="24">
        <f t="shared" si="3"/>
        <v>14544.23</v>
      </c>
      <c r="J45" s="145">
        <f t="shared" si="4"/>
        <v>17777.98</v>
      </c>
      <c r="M45" s="245"/>
    </row>
    <row r="46" spans="1:13" ht="78">
      <c r="A46" s="148" t="s">
        <v>113</v>
      </c>
      <c r="B46" s="17" t="s">
        <v>114</v>
      </c>
      <c r="C46" s="28" t="s">
        <v>23</v>
      </c>
      <c r="D46" s="27" t="s">
        <v>115</v>
      </c>
      <c r="E46" s="23" t="s">
        <v>42</v>
      </c>
      <c r="F46" s="26">
        <v>259.89999999999998</v>
      </c>
      <c r="G46" s="165">
        <v>85.11</v>
      </c>
      <c r="H46" s="24">
        <f t="shared" si="5"/>
        <v>104.03</v>
      </c>
      <c r="I46" s="24">
        <f t="shared" si="3"/>
        <v>22120.09</v>
      </c>
      <c r="J46" s="145">
        <f t="shared" si="4"/>
        <v>27037.4</v>
      </c>
      <c r="M46" s="245"/>
    </row>
    <row r="47" spans="1:13" ht="46.8">
      <c r="A47" s="148" t="s">
        <v>116</v>
      </c>
      <c r="B47" s="17" t="s">
        <v>117</v>
      </c>
      <c r="C47" s="28" t="s">
        <v>23</v>
      </c>
      <c r="D47" s="27" t="s">
        <v>118</v>
      </c>
      <c r="E47" s="23" t="s">
        <v>42</v>
      </c>
      <c r="F47" s="26">
        <v>49.66</v>
      </c>
      <c r="G47" s="165">
        <v>98.07</v>
      </c>
      <c r="H47" s="24">
        <f t="shared" si="5"/>
        <v>119.87</v>
      </c>
      <c r="I47" s="24">
        <f t="shared" si="3"/>
        <v>4870.16</v>
      </c>
      <c r="J47" s="145">
        <f t="shared" si="4"/>
        <v>5952.74</v>
      </c>
      <c r="M47" s="245"/>
    </row>
    <row r="48" spans="1:13" ht="31.2">
      <c r="A48" s="148" t="s">
        <v>119</v>
      </c>
      <c r="B48" s="17" t="s">
        <v>120</v>
      </c>
      <c r="C48" s="28" t="s">
        <v>23</v>
      </c>
      <c r="D48" s="27" t="s">
        <v>121</v>
      </c>
      <c r="E48" s="23" t="s">
        <v>42</v>
      </c>
      <c r="F48" s="26">
        <v>216.39</v>
      </c>
      <c r="G48" s="165">
        <v>44.85</v>
      </c>
      <c r="H48" s="24">
        <f t="shared" si="5"/>
        <v>54.82</v>
      </c>
      <c r="I48" s="24">
        <f t="shared" si="3"/>
        <v>9705.09</v>
      </c>
      <c r="J48" s="145">
        <f t="shared" si="4"/>
        <v>11862.5</v>
      </c>
      <c r="M48" s="245"/>
    </row>
    <row r="49" spans="1:13" ht="46.8">
      <c r="A49" s="148" t="s">
        <v>122</v>
      </c>
      <c r="B49" s="17" t="s">
        <v>123</v>
      </c>
      <c r="C49" s="28" t="s">
        <v>48</v>
      </c>
      <c r="D49" s="27" t="s">
        <v>124</v>
      </c>
      <c r="E49" s="23" t="s">
        <v>86</v>
      </c>
      <c r="F49" s="26">
        <v>142.27000000000001</v>
      </c>
      <c r="G49" s="165">
        <v>7.73</v>
      </c>
      <c r="H49" s="24">
        <f t="shared" si="5"/>
        <v>9.4499999999999993</v>
      </c>
      <c r="I49" s="24">
        <f t="shared" si="3"/>
        <v>1099.75</v>
      </c>
      <c r="J49" s="145">
        <f t="shared" si="4"/>
        <v>1344.45</v>
      </c>
      <c r="M49" s="245"/>
    </row>
    <row r="50" spans="1:13" ht="93.6">
      <c r="A50" s="148" t="s">
        <v>125</v>
      </c>
      <c r="B50" s="17" t="s">
        <v>126</v>
      </c>
      <c r="C50" s="28" t="s">
        <v>23</v>
      </c>
      <c r="D50" s="27" t="s">
        <v>127</v>
      </c>
      <c r="E50" s="23" t="s">
        <v>42</v>
      </c>
      <c r="F50" s="26">
        <v>80.3</v>
      </c>
      <c r="G50" s="165">
        <v>89.32</v>
      </c>
      <c r="H50" s="24">
        <f>ROUND(G50*(1+$I$5),2)</f>
        <v>109.18</v>
      </c>
      <c r="I50" s="24">
        <f>ROUND(G50*F50,2)</f>
        <v>7172.4</v>
      </c>
      <c r="J50" s="145">
        <f>ROUND(F50*H50,2)</f>
        <v>8767.15</v>
      </c>
      <c r="M50" s="245"/>
    </row>
    <row r="51" spans="1:13" ht="15.6">
      <c r="A51" s="148"/>
      <c r="B51" s="17"/>
      <c r="C51" s="28"/>
      <c r="D51" s="27"/>
      <c r="E51" s="23"/>
      <c r="F51" s="26"/>
      <c r="G51" s="165"/>
      <c r="H51" s="24"/>
      <c r="I51" s="24"/>
      <c r="J51" s="145"/>
      <c r="M51" s="245"/>
    </row>
    <row r="52" spans="1:13" s="29" customFormat="1" ht="15.6">
      <c r="A52" s="146" t="s">
        <v>128</v>
      </c>
      <c r="B52" s="68"/>
      <c r="C52" s="69"/>
      <c r="D52" s="70" t="s">
        <v>129</v>
      </c>
      <c r="E52" s="79"/>
      <c r="F52" s="80"/>
      <c r="G52" s="80"/>
      <c r="H52" s="80"/>
      <c r="I52" s="81">
        <f>SUM(I53:I63)</f>
        <v>68840.989999999991</v>
      </c>
      <c r="J52" s="149">
        <f>SUM(J53:J62)</f>
        <v>84144.42</v>
      </c>
      <c r="K52" s="62"/>
      <c r="L52" s="244"/>
      <c r="M52" s="245"/>
    </row>
    <row r="53" spans="1:13" s="22" customFormat="1" ht="46.8">
      <c r="A53" s="150" t="s">
        <v>130</v>
      </c>
      <c r="B53" s="17" t="s">
        <v>131</v>
      </c>
      <c r="C53" s="18" t="s">
        <v>23</v>
      </c>
      <c r="D53" s="19" t="s">
        <v>132</v>
      </c>
      <c r="E53" s="20" t="s">
        <v>42</v>
      </c>
      <c r="F53" s="165">
        <v>25.28</v>
      </c>
      <c r="G53" s="165">
        <v>533.57000000000005</v>
      </c>
      <c r="H53" s="21">
        <f t="shared" ref="H53:H62" si="6">ROUND(G53*(1+$I$5),2)</f>
        <v>652.17999999999995</v>
      </c>
      <c r="I53" s="21">
        <f t="shared" ref="I53:I62" si="7">ROUND(G53*F53,2)</f>
        <v>13488.65</v>
      </c>
      <c r="J53" s="144">
        <f t="shared" ref="J53:J62" si="8">ROUND(F53*H53,2)</f>
        <v>16487.11</v>
      </c>
      <c r="K53" s="62"/>
      <c r="L53" s="242"/>
      <c r="M53" s="245"/>
    </row>
    <row r="54" spans="1:13" s="22" customFormat="1" ht="46.8">
      <c r="A54" s="150" t="s">
        <v>133</v>
      </c>
      <c r="B54" s="17" t="s">
        <v>134</v>
      </c>
      <c r="C54" s="168" t="s">
        <v>23</v>
      </c>
      <c r="D54" s="27" t="s">
        <v>135</v>
      </c>
      <c r="E54" s="199" t="s">
        <v>42</v>
      </c>
      <c r="F54" s="165">
        <v>1.36</v>
      </c>
      <c r="G54" s="165">
        <v>492.65</v>
      </c>
      <c r="H54" s="165">
        <f t="shared" si="6"/>
        <v>602.16999999999996</v>
      </c>
      <c r="I54" s="165">
        <f t="shared" si="7"/>
        <v>670</v>
      </c>
      <c r="J54" s="200">
        <f>ROUND(F54*H54,2)</f>
        <v>818.95</v>
      </c>
      <c r="K54" s="62"/>
      <c r="L54" s="242"/>
      <c r="M54" s="245"/>
    </row>
    <row r="55" spans="1:13" s="22" customFormat="1" ht="46.8">
      <c r="A55" s="150" t="s">
        <v>136</v>
      </c>
      <c r="B55" s="167" t="s">
        <v>137</v>
      </c>
      <c r="C55" s="168" t="s">
        <v>23</v>
      </c>
      <c r="D55" s="27" t="s">
        <v>138</v>
      </c>
      <c r="E55" s="199" t="s">
        <v>42</v>
      </c>
      <c r="F55" s="165">
        <v>14.31</v>
      </c>
      <c r="G55" s="165">
        <v>411.47</v>
      </c>
      <c r="H55" s="165">
        <f t="shared" si="6"/>
        <v>502.94</v>
      </c>
      <c r="I55" s="165">
        <f t="shared" si="7"/>
        <v>5888.14</v>
      </c>
      <c r="J55" s="200">
        <f t="shared" si="8"/>
        <v>7197.07</v>
      </c>
      <c r="K55" s="62"/>
      <c r="L55" s="242"/>
      <c r="M55" s="245"/>
    </row>
    <row r="56" spans="1:13" s="22" customFormat="1" ht="78">
      <c r="A56" s="150" t="s">
        <v>139</v>
      </c>
      <c r="B56" s="17" t="s">
        <v>140</v>
      </c>
      <c r="C56" s="18" t="s">
        <v>23</v>
      </c>
      <c r="D56" s="19" t="s">
        <v>141</v>
      </c>
      <c r="E56" s="20" t="s">
        <v>142</v>
      </c>
      <c r="F56" s="165">
        <v>9</v>
      </c>
      <c r="G56" s="165">
        <v>1107.21</v>
      </c>
      <c r="H56" s="21">
        <f t="shared" si="6"/>
        <v>1353.34</v>
      </c>
      <c r="I56" s="21">
        <f t="shared" si="7"/>
        <v>9964.89</v>
      </c>
      <c r="J56" s="144">
        <f t="shared" si="8"/>
        <v>12180.06</v>
      </c>
      <c r="K56" s="62"/>
      <c r="L56" s="242"/>
      <c r="M56" s="245"/>
    </row>
    <row r="57" spans="1:13" s="22" customFormat="1" ht="78">
      <c r="A57" s="150" t="s">
        <v>143</v>
      </c>
      <c r="B57" s="17" t="s">
        <v>144</v>
      </c>
      <c r="C57" s="18" t="s">
        <v>23</v>
      </c>
      <c r="D57" s="19" t="s">
        <v>145</v>
      </c>
      <c r="E57" s="20" t="s">
        <v>142</v>
      </c>
      <c r="F57" s="165">
        <v>10</v>
      </c>
      <c r="G57" s="165">
        <v>1069.95</v>
      </c>
      <c r="H57" s="21">
        <f t="shared" si="6"/>
        <v>1307.8</v>
      </c>
      <c r="I57" s="21">
        <f t="shared" si="7"/>
        <v>10699.5</v>
      </c>
      <c r="J57" s="144">
        <f t="shared" si="8"/>
        <v>13078</v>
      </c>
      <c r="K57" s="62"/>
      <c r="L57" s="242"/>
      <c r="M57" s="245"/>
    </row>
    <row r="58" spans="1:13" s="22" customFormat="1" ht="62.4">
      <c r="A58" s="150" t="s">
        <v>146</v>
      </c>
      <c r="B58" s="17" t="s">
        <v>147</v>
      </c>
      <c r="C58" s="18" t="s">
        <v>23</v>
      </c>
      <c r="D58" s="27" t="s">
        <v>148</v>
      </c>
      <c r="E58" s="20" t="s">
        <v>142</v>
      </c>
      <c r="F58" s="165">
        <v>1</v>
      </c>
      <c r="G58" s="165">
        <v>632.95000000000005</v>
      </c>
      <c r="H58" s="21">
        <f t="shared" si="6"/>
        <v>773.65</v>
      </c>
      <c r="I58" s="21">
        <f t="shared" si="7"/>
        <v>632.95000000000005</v>
      </c>
      <c r="J58" s="144">
        <f t="shared" si="8"/>
        <v>773.65</v>
      </c>
      <c r="K58" s="62"/>
      <c r="L58" s="242"/>
      <c r="M58" s="245"/>
    </row>
    <row r="59" spans="1:13" s="22" customFormat="1" ht="93.6">
      <c r="A59" s="150" t="s">
        <v>149</v>
      </c>
      <c r="B59" s="17" t="s">
        <v>150</v>
      </c>
      <c r="C59" s="18" t="s">
        <v>23</v>
      </c>
      <c r="D59" s="19" t="s">
        <v>151</v>
      </c>
      <c r="E59" s="20" t="s">
        <v>142</v>
      </c>
      <c r="F59" s="165">
        <v>3</v>
      </c>
      <c r="G59" s="165">
        <v>372.68</v>
      </c>
      <c r="H59" s="21">
        <f t="shared" si="6"/>
        <v>455.53</v>
      </c>
      <c r="I59" s="21">
        <f t="shared" si="7"/>
        <v>1118.04</v>
      </c>
      <c r="J59" s="144">
        <f t="shared" si="8"/>
        <v>1366.59</v>
      </c>
      <c r="K59" s="62"/>
      <c r="L59" s="242"/>
      <c r="M59" s="245"/>
    </row>
    <row r="60" spans="1:13" s="22" customFormat="1" ht="93.6">
      <c r="A60" s="150" t="s">
        <v>152</v>
      </c>
      <c r="B60" s="17" t="s">
        <v>153</v>
      </c>
      <c r="C60" s="18" t="s">
        <v>23</v>
      </c>
      <c r="D60" s="19" t="s">
        <v>154</v>
      </c>
      <c r="E60" s="20" t="s">
        <v>42</v>
      </c>
      <c r="F60" s="165">
        <v>1.47</v>
      </c>
      <c r="G60" s="165">
        <v>485.4</v>
      </c>
      <c r="H60" s="21">
        <f t="shared" si="6"/>
        <v>593.29999999999995</v>
      </c>
      <c r="I60" s="21">
        <f t="shared" si="7"/>
        <v>713.54</v>
      </c>
      <c r="J60" s="144">
        <f t="shared" si="8"/>
        <v>872.15</v>
      </c>
      <c r="K60" s="62"/>
      <c r="L60" s="242"/>
      <c r="M60" s="245"/>
    </row>
    <row r="61" spans="1:13" s="22" customFormat="1" ht="46.8">
      <c r="A61" s="150" t="s">
        <v>155</v>
      </c>
      <c r="B61" s="17" t="s">
        <v>156</v>
      </c>
      <c r="C61" s="18" t="s">
        <v>23</v>
      </c>
      <c r="D61" s="19" t="s">
        <v>157</v>
      </c>
      <c r="E61" s="20" t="s">
        <v>42</v>
      </c>
      <c r="F61" s="165">
        <v>51.75</v>
      </c>
      <c r="G61" s="165">
        <v>395.36</v>
      </c>
      <c r="H61" s="21">
        <f t="shared" si="6"/>
        <v>483.25</v>
      </c>
      <c r="I61" s="21">
        <f t="shared" si="7"/>
        <v>20459.88</v>
      </c>
      <c r="J61" s="144">
        <f t="shared" si="8"/>
        <v>25008.19</v>
      </c>
      <c r="K61" s="62"/>
      <c r="L61" s="242"/>
      <c r="M61" s="245"/>
    </row>
    <row r="62" spans="1:13" s="22" customFormat="1" ht="78">
      <c r="A62" s="150" t="s">
        <v>158</v>
      </c>
      <c r="B62" s="17" t="s">
        <v>159</v>
      </c>
      <c r="C62" s="18" t="s">
        <v>23</v>
      </c>
      <c r="D62" s="19" t="s">
        <v>160</v>
      </c>
      <c r="E62" s="20" t="s">
        <v>42</v>
      </c>
      <c r="F62" s="165">
        <v>27.98</v>
      </c>
      <c r="G62" s="165">
        <v>186.04</v>
      </c>
      <c r="H62" s="21">
        <f t="shared" si="6"/>
        <v>227.4</v>
      </c>
      <c r="I62" s="21">
        <f t="shared" si="7"/>
        <v>5205.3999999999996</v>
      </c>
      <c r="J62" s="144">
        <f t="shared" si="8"/>
        <v>6362.65</v>
      </c>
      <c r="K62" s="62"/>
      <c r="L62" s="242"/>
      <c r="M62" s="245"/>
    </row>
    <row r="63" spans="1:13" s="22" customFormat="1" ht="15.6">
      <c r="A63" s="143"/>
      <c r="B63" s="17"/>
      <c r="C63" s="18"/>
      <c r="D63" s="19"/>
      <c r="E63" s="20"/>
      <c r="F63" s="21"/>
      <c r="G63" s="21"/>
      <c r="H63" s="21"/>
      <c r="I63" s="21"/>
      <c r="J63" s="144"/>
      <c r="K63" s="62"/>
      <c r="L63" s="242"/>
      <c r="M63" s="245"/>
    </row>
    <row r="64" spans="1:13" ht="15.6">
      <c r="A64" s="146" t="s">
        <v>161</v>
      </c>
      <c r="B64" s="68"/>
      <c r="C64" s="69"/>
      <c r="D64" s="70" t="s">
        <v>162</v>
      </c>
      <c r="E64" s="71"/>
      <c r="F64" s="72"/>
      <c r="G64" s="72"/>
      <c r="H64" s="72"/>
      <c r="I64" s="73">
        <f>SUM(I65:I67)</f>
        <v>19683.240000000002</v>
      </c>
      <c r="J64" s="147">
        <f>SUM(J65:J67)</f>
        <v>24053.16</v>
      </c>
      <c r="M64" s="245"/>
    </row>
    <row r="65" spans="1:13" s="25" customFormat="1" ht="31.2">
      <c r="A65" s="143" t="s">
        <v>163</v>
      </c>
      <c r="B65" s="17" t="s">
        <v>164</v>
      </c>
      <c r="C65" s="18" t="s">
        <v>23</v>
      </c>
      <c r="D65" s="19" t="s">
        <v>165</v>
      </c>
      <c r="E65" s="30" t="s">
        <v>166</v>
      </c>
      <c r="F65" s="165">
        <v>1242.2</v>
      </c>
      <c r="G65" s="165">
        <v>13.2</v>
      </c>
      <c r="H65" s="31">
        <f>ROUND(G65*(1+$I$5),2)</f>
        <v>16.13</v>
      </c>
      <c r="I65" s="21">
        <f>ROUND(G65*F65,2)</f>
        <v>16397.04</v>
      </c>
      <c r="J65" s="151">
        <f>ROUND(F65*H65,2)</f>
        <v>20036.689999999999</v>
      </c>
      <c r="K65" s="62"/>
      <c r="L65" s="243"/>
      <c r="M65" s="245"/>
    </row>
    <row r="66" spans="1:13" s="25" customFormat="1" ht="31.2">
      <c r="A66" s="143" t="s">
        <v>167</v>
      </c>
      <c r="B66" s="17" t="s">
        <v>168</v>
      </c>
      <c r="C66" s="18" t="s">
        <v>23</v>
      </c>
      <c r="D66" s="19" t="s">
        <v>169</v>
      </c>
      <c r="E66" s="30" t="s">
        <v>166</v>
      </c>
      <c r="F66" s="165">
        <v>235.57</v>
      </c>
      <c r="G66" s="165">
        <v>13.95</v>
      </c>
      <c r="H66" s="31">
        <f>ROUND(G66*(1+$I$5),2)</f>
        <v>17.05</v>
      </c>
      <c r="I66" s="21">
        <f>ROUND(G66*F66,2)</f>
        <v>3286.2</v>
      </c>
      <c r="J66" s="151">
        <f>ROUND(F66*H66,2)</f>
        <v>4016.47</v>
      </c>
      <c r="K66" s="62"/>
      <c r="L66" s="243"/>
      <c r="M66" s="245"/>
    </row>
    <row r="67" spans="1:13" s="25" customFormat="1" ht="15.6">
      <c r="A67" s="143"/>
      <c r="B67" s="17"/>
      <c r="C67" s="18"/>
      <c r="D67" s="19"/>
      <c r="E67" s="30"/>
      <c r="F67" s="21"/>
      <c r="G67" s="21"/>
      <c r="H67" s="31"/>
      <c r="I67" s="21"/>
      <c r="J67" s="151"/>
      <c r="K67" s="62"/>
      <c r="L67" s="243"/>
      <c r="M67" s="245"/>
    </row>
    <row r="68" spans="1:13" ht="15.6">
      <c r="A68" s="146" t="s">
        <v>170</v>
      </c>
      <c r="B68" s="68"/>
      <c r="C68" s="69"/>
      <c r="D68" s="70" t="s">
        <v>171</v>
      </c>
      <c r="E68" s="71"/>
      <c r="F68" s="72"/>
      <c r="G68" s="72"/>
      <c r="H68" s="72"/>
      <c r="I68" s="74">
        <f>SUM(I69:I70)</f>
        <v>26584.55</v>
      </c>
      <c r="J68" s="147">
        <f>SUM(J69:J71)</f>
        <v>32494.53</v>
      </c>
      <c r="M68" s="245"/>
    </row>
    <row r="69" spans="1:13" s="25" customFormat="1" ht="31.2">
      <c r="A69" s="143" t="s">
        <v>172</v>
      </c>
      <c r="B69" s="17" t="s">
        <v>173</v>
      </c>
      <c r="C69" s="18" t="s">
        <v>23</v>
      </c>
      <c r="D69" s="58" t="s">
        <v>174</v>
      </c>
      <c r="E69" s="30" t="s">
        <v>42</v>
      </c>
      <c r="F69" s="164">
        <v>157.38999999999999</v>
      </c>
      <c r="G69" s="164">
        <v>75.88</v>
      </c>
      <c r="H69" s="31">
        <f>ROUND(G69*(1+$I$5),2)</f>
        <v>92.75</v>
      </c>
      <c r="I69" s="31">
        <f>ROUND(G69*F69,2)</f>
        <v>11942.75</v>
      </c>
      <c r="J69" s="151">
        <f>ROUND(F69*H69,2)</f>
        <v>14597.92</v>
      </c>
      <c r="K69" s="62"/>
      <c r="L69" s="243"/>
      <c r="M69" s="245"/>
    </row>
    <row r="70" spans="1:13" s="25" customFormat="1" ht="46.8">
      <c r="A70" s="143" t="s">
        <v>175</v>
      </c>
      <c r="B70" s="17" t="s">
        <v>176</v>
      </c>
      <c r="C70" s="18" t="s">
        <v>23</v>
      </c>
      <c r="D70" s="58" t="s">
        <v>177</v>
      </c>
      <c r="E70" s="30" t="s">
        <v>38</v>
      </c>
      <c r="F70" s="164">
        <v>21.44</v>
      </c>
      <c r="G70" s="164">
        <v>682.92</v>
      </c>
      <c r="H70" s="31">
        <f t="shared" ref="H70:H90" si="9">ROUND(G70*(1+$I$5),2)</f>
        <v>834.73</v>
      </c>
      <c r="I70" s="31">
        <f>ROUND(G70*F70,2)</f>
        <v>14641.8</v>
      </c>
      <c r="J70" s="151">
        <f>ROUND(F70*H70,2)</f>
        <v>17896.61</v>
      </c>
      <c r="K70" s="62"/>
      <c r="L70" s="243"/>
      <c r="M70" s="245"/>
    </row>
    <row r="71" spans="1:13" s="25" customFormat="1" ht="15.6">
      <c r="A71" s="143"/>
      <c r="B71" s="17"/>
      <c r="C71" s="18"/>
      <c r="D71" s="58"/>
      <c r="E71" s="30"/>
      <c r="F71" s="31"/>
      <c r="G71" s="31"/>
      <c r="H71" s="31"/>
      <c r="I71" s="31"/>
      <c r="J71" s="151"/>
      <c r="K71" s="62"/>
      <c r="L71" s="243"/>
      <c r="M71" s="245"/>
    </row>
    <row r="72" spans="1:13" ht="15.6">
      <c r="A72" s="146" t="s">
        <v>178</v>
      </c>
      <c r="B72" s="68"/>
      <c r="C72" s="69"/>
      <c r="D72" s="70" t="s">
        <v>179</v>
      </c>
      <c r="E72" s="71"/>
      <c r="F72" s="72"/>
      <c r="G72" s="72"/>
      <c r="H72" s="72"/>
      <c r="I72" s="74">
        <f>SUM(I73:I74)</f>
        <v>18119.84</v>
      </c>
      <c r="J72" s="147">
        <f>SUM(J73:J75)</f>
        <v>22147.760000000002</v>
      </c>
      <c r="M72" s="245"/>
    </row>
    <row r="73" spans="1:13" s="25" customFormat="1" ht="46.8">
      <c r="A73" s="143" t="s">
        <v>180</v>
      </c>
      <c r="B73" s="17" t="s">
        <v>181</v>
      </c>
      <c r="C73" s="18" t="s">
        <v>23</v>
      </c>
      <c r="D73" s="58" t="s">
        <v>182</v>
      </c>
      <c r="E73" s="186" t="s">
        <v>28</v>
      </c>
      <c r="F73" s="164">
        <f>((30.74*9.3)+(10.48*10))*3</f>
        <v>1172.046</v>
      </c>
      <c r="G73" s="164">
        <v>12.5</v>
      </c>
      <c r="H73" s="31">
        <f>ROUND(G73*(1+$I$5),2)</f>
        <v>15.28</v>
      </c>
      <c r="I73" s="31">
        <f>ROUND(G73*F73,2)</f>
        <v>14650.58</v>
      </c>
      <c r="J73" s="151">
        <f>ROUND(F73*H73,2)</f>
        <v>17908.86</v>
      </c>
      <c r="K73" s="62"/>
      <c r="L73" s="243"/>
      <c r="M73" s="245"/>
    </row>
    <row r="74" spans="1:13" s="25" customFormat="1" ht="62.4">
      <c r="A74" s="143" t="s">
        <v>183</v>
      </c>
      <c r="B74" s="17" t="s">
        <v>184</v>
      </c>
      <c r="C74" s="18" t="s">
        <v>23</v>
      </c>
      <c r="D74" s="58" t="s">
        <v>185</v>
      </c>
      <c r="E74" s="30" t="s">
        <v>42</v>
      </c>
      <c r="F74" s="164">
        <f>((30.74*9.3)+(10.48*10))</f>
        <v>390.68200000000002</v>
      </c>
      <c r="G74" s="164">
        <v>8.8800000000000008</v>
      </c>
      <c r="H74" s="31">
        <f t="shared" si="9"/>
        <v>10.85</v>
      </c>
      <c r="I74" s="31">
        <f>ROUND(G74*F74,2)</f>
        <v>3469.26</v>
      </c>
      <c r="J74" s="151">
        <f>ROUND(F74*H74,2)</f>
        <v>4238.8999999999996</v>
      </c>
      <c r="K74" s="62"/>
      <c r="L74" s="243"/>
      <c r="M74" s="245"/>
    </row>
    <row r="75" spans="1:13" s="25" customFormat="1" ht="15.6">
      <c r="A75" s="143"/>
      <c r="B75" s="17"/>
      <c r="C75" s="18"/>
      <c r="D75" s="58"/>
      <c r="E75" s="30"/>
      <c r="F75" s="164"/>
      <c r="G75" s="164"/>
      <c r="H75" s="31"/>
      <c r="I75" s="31"/>
      <c r="J75" s="151"/>
      <c r="K75" s="62"/>
      <c r="L75" s="243"/>
      <c r="M75" s="245"/>
    </row>
    <row r="76" spans="1:13" ht="15.6">
      <c r="A76" s="146" t="s">
        <v>186</v>
      </c>
      <c r="B76" s="68"/>
      <c r="C76" s="69"/>
      <c r="D76" s="70" t="s">
        <v>187</v>
      </c>
      <c r="E76" s="71"/>
      <c r="F76" s="72"/>
      <c r="G76" s="72"/>
      <c r="H76" s="72"/>
      <c r="I76" s="74">
        <f>SUM(I77:I81)</f>
        <v>39292.82</v>
      </c>
      <c r="J76" s="147">
        <f>SUM(J77:J81)</f>
        <v>48026.47</v>
      </c>
      <c r="M76" s="245"/>
    </row>
    <row r="77" spans="1:13" s="25" customFormat="1" ht="46.8">
      <c r="A77" s="143" t="s">
        <v>188</v>
      </c>
      <c r="B77" s="17" t="s">
        <v>189</v>
      </c>
      <c r="C77" s="18" t="s">
        <v>23</v>
      </c>
      <c r="D77" s="166" t="s">
        <v>190</v>
      </c>
      <c r="E77" s="169" t="s">
        <v>42</v>
      </c>
      <c r="F77" s="164">
        <v>127.14</v>
      </c>
      <c r="G77" s="164">
        <v>48.49</v>
      </c>
      <c r="H77" s="31">
        <f>ROUND(G77*(1+$I$5),2)</f>
        <v>59.27</v>
      </c>
      <c r="I77" s="31">
        <f>ROUND(G77*F77,2)</f>
        <v>6165.02</v>
      </c>
      <c r="J77" s="151">
        <f>ROUND(F77*H77,2)</f>
        <v>7535.59</v>
      </c>
      <c r="K77" s="62"/>
      <c r="L77" s="243"/>
      <c r="M77" s="245"/>
    </row>
    <row r="78" spans="1:13" s="25" customFormat="1" ht="46.8">
      <c r="A78" s="150" t="s">
        <v>191</v>
      </c>
      <c r="B78" s="167" t="s">
        <v>192</v>
      </c>
      <c r="C78" s="18" t="s">
        <v>23</v>
      </c>
      <c r="D78" s="166" t="s">
        <v>193</v>
      </c>
      <c r="E78" s="169" t="s">
        <v>42</v>
      </c>
      <c r="F78" s="164">
        <v>31.46</v>
      </c>
      <c r="G78" s="164">
        <v>25.28</v>
      </c>
      <c r="H78" s="31">
        <f t="shared" si="9"/>
        <v>30.9</v>
      </c>
      <c r="I78" s="31">
        <f>ROUND(G78*F78,2)</f>
        <v>795.31</v>
      </c>
      <c r="J78" s="151">
        <f>ROUND(F78*H78,2)</f>
        <v>972.11</v>
      </c>
      <c r="K78" s="62"/>
      <c r="L78" s="243"/>
      <c r="M78" s="245"/>
    </row>
    <row r="79" spans="1:13" s="25" customFormat="1" ht="46.8">
      <c r="A79" s="143" t="s">
        <v>194</v>
      </c>
      <c r="B79" s="17" t="s">
        <v>195</v>
      </c>
      <c r="C79" s="18" t="s">
        <v>23</v>
      </c>
      <c r="D79" s="166" t="s">
        <v>196</v>
      </c>
      <c r="E79" s="169" t="s">
        <v>42</v>
      </c>
      <c r="F79" s="164">
        <v>1524.68</v>
      </c>
      <c r="G79" s="164">
        <v>15.66</v>
      </c>
      <c r="H79" s="31">
        <f t="shared" si="9"/>
        <v>19.14</v>
      </c>
      <c r="I79" s="31">
        <f>ROUND(G79*F79,2)</f>
        <v>23876.49</v>
      </c>
      <c r="J79" s="151">
        <f>ROUND(F79*H79,2)</f>
        <v>29182.38</v>
      </c>
      <c r="K79" s="62"/>
      <c r="L79" s="243"/>
      <c r="M79" s="245"/>
    </row>
    <row r="80" spans="1:13" s="25" customFormat="1" ht="46.8">
      <c r="A80" s="143" t="s">
        <v>197</v>
      </c>
      <c r="B80" s="17" t="s">
        <v>198</v>
      </c>
      <c r="C80" s="18" t="s">
        <v>23</v>
      </c>
      <c r="D80" s="58" t="s">
        <v>199</v>
      </c>
      <c r="E80" s="30" t="s">
        <v>42</v>
      </c>
      <c r="F80" s="164">
        <f>F61+F55+F54+F53+F60</f>
        <v>94.17</v>
      </c>
      <c r="G80" s="164">
        <v>33.49</v>
      </c>
      <c r="H80" s="31">
        <f t="shared" si="9"/>
        <v>40.93</v>
      </c>
      <c r="I80" s="31">
        <f>ROUND(G80*F80,2)</f>
        <v>3153.75</v>
      </c>
      <c r="J80" s="151">
        <f>ROUND(F80*H80,2)</f>
        <v>3854.38</v>
      </c>
      <c r="K80" s="62"/>
      <c r="L80" s="243"/>
      <c r="M80" s="245"/>
    </row>
    <row r="81" spans="1:13" s="25" customFormat="1" ht="46.8">
      <c r="A81" s="143" t="s">
        <v>200</v>
      </c>
      <c r="B81" s="17" t="s">
        <v>201</v>
      </c>
      <c r="C81" s="18" t="s">
        <v>23</v>
      </c>
      <c r="D81" s="58" t="s">
        <v>202</v>
      </c>
      <c r="E81" s="30" t="s">
        <v>42</v>
      </c>
      <c r="F81" s="164">
        <v>267.52</v>
      </c>
      <c r="G81" s="164">
        <v>19.82</v>
      </c>
      <c r="H81" s="31">
        <f t="shared" si="9"/>
        <v>24.23</v>
      </c>
      <c r="I81" s="31">
        <f>ROUND(G81*F81,2)</f>
        <v>5302.25</v>
      </c>
      <c r="J81" s="151">
        <f>ROUND(F81*H81,2)</f>
        <v>6482.01</v>
      </c>
      <c r="K81" s="62"/>
      <c r="L81" s="243"/>
      <c r="M81" s="245"/>
    </row>
    <row r="82" spans="1:13" s="25" customFormat="1" ht="15.6">
      <c r="A82" s="143"/>
      <c r="B82" s="17"/>
      <c r="C82" s="18"/>
      <c r="D82" s="58"/>
      <c r="E82" s="30"/>
      <c r="F82" s="31"/>
      <c r="G82" s="31"/>
      <c r="H82" s="31"/>
      <c r="I82" s="31"/>
      <c r="J82" s="151"/>
      <c r="K82" s="62"/>
      <c r="L82" s="243"/>
      <c r="M82" s="245"/>
    </row>
    <row r="83" spans="1:13" ht="15.6">
      <c r="A83" s="146" t="s">
        <v>203</v>
      </c>
      <c r="B83" s="68"/>
      <c r="C83" s="69"/>
      <c r="D83" s="70" t="s">
        <v>204</v>
      </c>
      <c r="E83" s="71"/>
      <c r="F83" s="72"/>
      <c r="G83" s="72"/>
      <c r="H83" s="72"/>
      <c r="I83" s="74">
        <f>SUM(I84:I92)</f>
        <v>81311.580000000016</v>
      </c>
      <c r="J83" s="147">
        <f>SUM(J84:J91)</f>
        <v>99386.449999999983</v>
      </c>
      <c r="M83" s="245"/>
    </row>
    <row r="84" spans="1:13" s="25" customFormat="1" ht="109.2">
      <c r="A84" s="143" t="s">
        <v>205</v>
      </c>
      <c r="B84" s="17" t="s">
        <v>206</v>
      </c>
      <c r="C84" s="18" t="s">
        <v>23</v>
      </c>
      <c r="D84" s="58" t="s">
        <v>207</v>
      </c>
      <c r="E84" s="30" t="s">
        <v>42</v>
      </c>
      <c r="F84" s="164">
        <v>175.64</v>
      </c>
      <c r="G84" s="164">
        <v>159.61000000000001</v>
      </c>
      <c r="H84" s="31">
        <f>ROUND(G84*(1+$I$5),2)</f>
        <v>195.09</v>
      </c>
      <c r="I84" s="31">
        <f t="shared" ref="I84:I91" si="10">ROUND(G84*F84,2)</f>
        <v>28033.9</v>
      </c>
      <c r="J84" s="151">
        <f t="shared" ref="J84:J90" si="11">ROUND(F84*H84,2)</f>
        <v>34265.61</v>
      </c>
      <c r="K84" s="62"/>
      <c r="L84" s="243"/>
      <c r="M84" s="245"/>
    </row>
    <row r="85" spans="1:13" s="25" customFormat="1" ht="93.6">
      <c r="A85" s="150" t="s">
        <v>208</v>
      </c>
      <c r="B85" s="167" t="s">
        <v>209</v>
      </c>
      <c r="C85" s="168" t="s">
        <v>23</v>
      </c>
      <c r="D85" s="166" t="s">
        <v>210</v>
      </c>
      <c r="E85" s="169" t="s">
        <v>166</v>
      </c>
      <c r="F85" s="164">
        <v>1500</v>
      </c>
      <c r="G85" s="164">
        <v>22.63</v>
      </c>
      <c r="H85" s="164">
        <f>ROUND(G85*(1+$I$5),2)</f>
        <v>27.66</v>
      </c>
      <c r="I85" s="164">
        <f t="shared" si="10"/>
        <v>33945</v>
      </c>
      <c r="J85" s="170">
        <f>ROUND(F85*H85,2)</f>
        <v>41490</v>
      </c>
      <c r="K85" s="62"/>
      <c r="L85" s="243"/>
      <c r="M85" s="245"/>
    </row>
    <row r="86" spans="1:13" s="25" customFormat="1" ht="62.4">
      <c r="A86" s="143" t="s">
        <v>211</v>
      </c>
      <c r="B86" s="17" t="s">
        <v>212</v>
      </c>
      <c r="C86" s="18" t="s">
        <v>23</v>
      </c>
      <c r="D86" s="58" t="s">
        <v>213</v>
      </c>
      <c r="E86" s="30" t="s">
        <v>42</v>
      </c>
      <c r="F86" s="164">
        <v>161.63</v>
      </c>
      <c r="G86" s="164">
        <v>59.32</v>
      </c>
      <c r="H86" s="31">
        <f t="shared" si="9"/>
        <v>72.510000000000005</v>
      </c>
      <c r="I86" s="31">
        <f t="shared" si="10"/>
        <v>9587.89</v>
      </c>
      <c r="J86" s="151">
        <f t="shared" si="11"/>
        <v>11719.79</v>
      </c>
      <c r="K86" s="62"/>
      <c r="L86" s="243"/>
      <c r="M86" s="245"/>
    </row>
    <row r="87" spans="1:13" s="25" customFormat="1" ht="62.4">
      <c r="A87" s="150" t="s">
        <v>214</v>
      </c>
      <c r="B87" s="17" t="s">
        <v>215</v>
      </c>
      <c r="C87" s="18" t="s">
        <v>23</v>
      </c>
      <c r="D87" s="58" t="s">
        <v>216</v>
      </c>
      <c r="E87" s="30" t="s">
        <v>42</v>
      </c>
      <c r="F87" s="164">
        <v>71.27</v>
      </c>
      <c r="G87" s="164">
        <v>59.32</v>
      </c>
      <c r="H87" s="31">
        <f t="shared" si="9"/>
        <v>72.510000000000005</v>
      </c>
      <c r="I87" s="31">
        <f t="shared" si="10"/>
        <v>4227.74</v>
      </c>
      <c r="J87" s="151">
        <f t="shared" si="11"/>
        <v>5167.79</v>
      </c>
      <c r="K87" s="62"/>
      <c r="L87" s="243"/>
      <c r="M87" s="245"/>
    </row>
    <row r="88" spans="1:13" s="25" customFormat="1" ht="62.4">
      <c r="A88" s="150" t="s">
        <v>217</v>
      </c>
      <c r="B88" s="17" t="s">
        <v>218</v>
      </c>
      <c r="C88" s="18" t="s">
        <v>23</v>
      </c>
      <c r="D88" s="58" t="s">
        <v>219</v>
      </c>
      <c r="E88" s="30" t="s">
        <v>86</v>
      </c>
      <c r="F88" s="164">
        <v>94.76</v>
      </c>
      <c r="G88" s="164">
        <v>16.02</v>
      </c>
      <c r="H88" s="31">
        <f t="shared" si="9"/>
        <v>19.579999999999998</v>
      </c>
      <c r="I88" s="31">
        <f t="shared" si="10"/>
        <v>1518.06</v>
      </c>
      <c r="J88" s="151">
        <f>ROUND(F88*H88,2)</f>
        <v>1855.4</v>
      </c>
      <c r="K88" s="62"/>
      <c r="L88" s="243"/>
      <c r="M88" s="245"/>
    </row>
    <row r="89" spans="1:13" s="25" customFormat="1" ht="46.8">
      <c r="A89" s="150" t="s">
        <v>220</v>
      </c>
      <c r="B89" s="17" t="s">
        <v>221</v>
      </c>
      <c r="C89" s="18" t="s">
        <v>23</v>
      </c>
      <c r="D89" s="58" t="s">
        <v>222</v>
      </c>
      <c r="E89" s="30" t="s">
        <v>86</v>
      </c>
      <c r="F89" s="164">
        <v>20.350000000000001</v>
      </c>
      <c r="G89" s="164">
        <v>56.68</v>
      </c>
      <c r="H89" s="31">
        <f t="shared" si="9"/>
        <v>69.28</v>
      </c>
      <c r="I89" s="31">
        <f t="shared" si="10"/>
        <v>1153.44</v>
      </c>
      <c r="J89" s="151">
        <f>ROUND(F89*H89,2)</f>
        <v>1409.85</v>
      </c>
      <c r="K89" s="62"/>
      <c r="L89" s="243"/>
      <c r="M89" s="245"/>
    </row>
    <row r="90" spans="1:13" s="25" customFormat="1" ht="46.8">
      <c r="A90" s="143" t="s">
        <v>223</v>
      </c>
      <c r="B90" s="17" t="s">
        <v>224</v>
      </c>
      <c r="C90" s="18" t="s">
        <v>23</v>
      </c>
      <c r="D90" s="58" t="s">
        <v>225</v>
      </c>
      <c r="E90" s="30" t="s">
        <v>86</v>
      </c>
      <c r="F90" s="164">
        <v>22.1</v>
      </c>
      <c r="G90" s="164">
        <v>46.22</v>
      </c>
      <c r="H90" s="31">
        <f t="shared" si="9"/>
        <v>56.49</v>
      </c>
      <c r="I90" s="31">
        <f t="shared" si="10"/>
        <v>1021.46</v>
      </c>
      <c r="J90" s="151">
        <f t="shared" si="11"/>
        <v>1248.43</v>
      </c>
      <c r="K90" s="62"/>
      <c r="L90" s="243"/>
      <c r="M90" s="245"/>
    </row>
    <row r="91" spans="1:13" s="25" customFormat="1" ht="46.8">
      <c r="A91" s="143" t="s">
        <v>226</v>
      </c>
      <c r="B91" s="17" t="s">
        <v>227</v>
      </c>
      <c r="C91" s="18" t="s">
        <v>23</v>
      </c>
      <c r="D91" s="58" t="s">
        <v>228</v>
      </c>
      <c r="E91" s="30" t="s">
        <v>86</v>
      </c>
      <c r="F91" s="164">
        <v>20.5</v>
      </c>
      <c r="G91" s="164">
        <v>88.98</v>
      </c>
      <c r="H91" s="31">
        <f>ROUND(G91*(1+$I$5),2)</f>
        <v>108.76</v>
      </c>
      <c r="I91" s="31">
        <f t="shared" si="10"/>
        <v>1824.09</v>
      </c>
      <c r="J91" s="151">
        <f>ROUND(F91*H91,2)</f>
        <v>2229.58</v>
      </c>
      <c r="K91" s="62"/>
      <c r="L91" s="243"/>
      <c r="M91" s="245"/>
    </row>
    <row r="92" spans="1:13" s="25" customFormat="1" ht="15.6">
      <c r="A92" s="143"/>
      <c r="B92" s="17"/>
      <c r="C92" s="18"/>
      <c r="D92" s="58"/>
      <c r="E92" s="30"/>
      <c r="F92" s="31"/>
      <c r="G92" s="31"/>
      <c r="H92" s="31"/>
      <c r="I92" s="31"/>
      <c r="J92" s="151"/>
      <c r="K92" s="62"/>
      <c r="L92" s="243"/>
      <c r="M92" s="245"/>
    </row>
    <row r="93" spans="1:13" ht="15.6">
      <c r="A93" s="146" t="s">
        <v>229</v>
      </c>
      <c r="B93" s="68"/>
      <c r="C93" s="69"/>
      <c r="D93" s="70" t="s">
        <v>230</v>
      </c>
      <c r="E93" s="71"/>
      <c r="F93" s="72"/>
      <c r="G93" s="72"/>
      <c r="H93" s="72"/>
      <c r="I93" s="74">
        <f>SUM(I94:I131)</f>
        <v>61441.84</v>
      </c>
      <c r="J93" s="147">
        <f>SUM(J94:J131)</f>
        <v>75116.140000000014</v>
      </c>
      <c r="M93" s="245"/>
    </row>
    <row r="94" spans="1:13" s="25" customFormat="1" ht="78">
      <c r="A94" s="150" t="s">
        <v>231</v>
      </c>
      <c r="B94" s="167" t="s">
        <v>232</v>
      </c>
      <c r="C94" s="168" t="s">
        <v>23</v>
      </c>
      <c r="D94" s="166" t="s">
        <v>233</v>
      </c>
      <c r="E94" s="169" t="s">
        <v>71</v>
      </c>
      <c r="F94" s="164">
        <v>1</v>
      </c>
      <c r="G94" s="164">
        <v>4626.79</v>
      </c>
      <c r="H94" s="164">
        <f>ROUND(G94*(1+$I$5),2)</f>
        <v>5655.33</v>
      </c>
      <c r="I94" s="164">
        <f>ROUND(G94*F94,2)</f>
        <v>4626.79</v>
      </c>
      <c r="J94" s="170">
        <f>ROUND(F94*H94,2)</f>
        <v>5655.33</v>
      </c>
      <c r="K94" s="62"/>
      <c r="L94" s="243"/>
      <c r="M94" s="245"/>
    </row>
    <row r="95" spans="1:13" s="25" customFormat="1" ht="46.8">
      <c r="A95" s="150" t="s">
        <v>234</v>
      </c>
      <c r="B95" s="167" t="s">
        <v>235</v>
      </c>
      <c r="C95" s="168" t="s">
        <v>23</v>
      </c>
      <c r="D95" s="166" t="s">
        <v>236</v>
      </c>
      <c r="E95" s="169" t="s">
        <v>71</v>
      </c>
      <c r="F95" s="164">
        <v>3</v>
      </c>
      <c r="G95" s="164">
        <v>82.83</v>
      </c>
      <c r="H95" s="164">
        <f>ROUND(G95*(1+$I$5),2)</f>
        <v>101.24</v>
      </c>
      <c r="I95" s="164">
        <f>ROUND(G95*F95,2)</f>
        <v>248.49</v>
      </c>
      <c r="J95" s="170">
        <f>ROUND(F95*H95,2)</f>
        <v>303.72000000000003</v>
      </c>
      <c r="K95" s="62"/>
      <c r="L95" s="243"/>
      <c r="M95" s="245"/>
    </row>
    <row r="96" spans="1:13" s="25" customFormat="1" ht="62.4">
      <c r="A96" s="150" t="s">
        <v>237</v>
      </c>
      <c r="B96" s="167" t="s">
        <v>238</v>
      </c>
      <c r="C96" s="168" t="s">
        <v>23</v>
      </c>
      <c r="D96" s="166" t="s">
        <v>239</v>
      </c>
      <c r="E96" s="169" t="s">
        <v>71</v>
      </c>
      <c r="F96" s="164">
        <v>13</v>
      </c>
      <c r="G96" s="164">
        <v>17.89</v>
      </c>
      <c r="H96" s="164">
        <f>ROUND(G96*(1+$I$5),2)</f>
        <v>21.87</v>
      </c>
      <c r="I96" s="164">
        <f>ROUND(G96*F96,2)</f>
        <v>232.57</v>
      </c>
      <c r="J96" s="170">
        <f>ROUND(F96*H96,2)</f>
        <v>284.31</v>
      </c>
      <c r="K96" s="62"/>
      <c r="L96" s="243"/>
      <c r="M96" s="245"/>
    </row>
    <row r="97" spans="1:13" s="25" customFormat="1" ht="46.8">
      <c r="A97" s="150" t="s">
        <v>240</v>
      </c>
      <c r="B97" s="167" t="s">
        <v>241</v>
      </c>
      <c r="C97" s="168" t="s">
        <v>23</v>
      </c>
      <c r="D97" s="166" t="s">
        <v>242</v>
      </c>
      <c r="E97" s="169" t="s">
        <v>71</v>
      </c>
      <c r="F97" s="164">
        <v>10</v>
      </c>
      <c r="G97" s="164">
        <v>39.92</v>
      </c>
      <c r="H97" s="164">
        <f t="shared" ref="H97:H169" si="12">ROUND(G97*(1+$I$5),2)</f>
        <v>48.79</v>
      </c>
      <c r="I97" s="164">
        <f>ROUND(G97*F97,2)</f>
        <v>399.2</v>
      </c>
      <c r="J97" s="170">
        <f>ROUND(F97*H97,2)</f>
        <v>487.9</v>
      </c>
      <c r="K97" s="62"/>
      <c r="L97" s="243"/>
      <c r="M97" s="245"/>
    </row>
    <row r="98" spans="1:13" s="25" customFormat="1" ht="46.8">
      <c r="A98" s="150" t="s">
        <v>243</v>
      </c>
      <c r="B98" s="167" t="s">
        <v>244</v>
      </c>
      <c r="C98" s="168" t="s">
        <v>23</v>
      </c>
      <c r="D98" s="166" t="s">
        <v>245</v>
      </c>
      <c r="E98" s="169" t="s">
        <v>71</v>
      </c>
      <c r="F98" s="164">
        <v>2</v>
      </c>
      <c r="G98" s="164">
        <v>45.68</v>
      </c>
      <c r="H98" s="164">
        <f t="shared" si="12"/>
        <v>55.83</v>
      </c>
      <c r="I98" s="164">
        <f t="shared" ref="I98:I106" si="13">ROUND(G98*F98,2)</f>
        <v>91.36</v>
      </c>
      <c r="J98" s="170">
        <f t="shared" ref="J98:J106" si="14">ROUND(F98*H98,2)</f>
        <v>111.66</v>
      </c>
      <c r="K98" s="62"/>
      <c r="L98" s="243"/>
      <c r="M98" s="245"/>
    </row>
    <row r="99" spans="1:13" s="25" customFormat="1" ht="46.8">
      <c r="A99" s="150" t="s">
        <v>246</v>
      </c>
      <c r="B99" s="167" t="s">
        <v>247</v>
      </c>
      <c r="C99" s="168" t="s">
        <v>23</v>
      </c>
      <c r="D99" s="166" t="s">
        <v>248</v>
      </c>
      <c r="E99" s="169" t="s">
        <v>71</v>
      </c>
      <c r="F99" s="164">
        <v>13</v>
      </c>
      <c r="G99" s="164">
        <v>17.78</v>
      </c>
      <c r="H99" s="164">
        <f t="shared" si="12"/>
        <v>21.73</v>
      </c>
      <c r="I99" s="164">
        <f t="shared" si="13"/>
        <v>231.14</v>
      </c>
      <c r="J99" s="170">
        <f t="shared" si="14"/>
        <v>282.49</v>
      </c>
      <c r="K99" s="62"/>
      <c r="L99" s="243"/>
      <c r="M99" s="245"/>
    </row>
    <row r="100" spans="1:13" s="25" customFormat="1" ht="62.4">
      <c r="A100" s="150" t="s">
        <v>249</v>
      </c>
      <c r="B100" s="167" t="s">
        <v>250</v>
      </c>
      <c r="C100" s="168" t="s">
        <v>23</v>
      </c>
      <c r="D100" s="166" t="s">
        <v>251</v>
      </c>
      <c r="E100" s="169" t="s">
        <v>71</v>
      </c>
      <c r="F100" s="164">
        <v>10</v>
      </c>
      <c r="G100" s="164">
        <v>16</v>
      </c>
      <c r="H100" s="164">
        <f t="shared" si="12"/>
        <v>19.559999999999999</v>
      </c>
      <c r="I100" s="164">
        <f t="shared" si="13"/>
        <v>160</v>
      </c>
      <c r="J100" s="170">
        <f t="shared" si="14"/>
        <v>195.6</v>
      </c>
      <c r="K100" s="62"/>
      <c r="L100" s="243"/>
      <c r="M100" s="245"/>
    </row>
    <row r="101" spans="1:13" s="25" customFormat="1" ht="46.8">
      <c r="A101" s="150" t="s">
        <v>252</v>
      </c>
      <c r="B101" s="167" t="s">
        <v>253</v>
      </c>
      <c r="C101" s="168" t="s">
        <v>23</v>
      </c>
      <c r="D101" s="166" t="s">
        <v>254</v>
      </c>
      <c r="E101" s="169" t="s">
        <v>71</v>
      </c>
      <c r="F101" s="164">
        <v>2</v>
      </c>
      <c r="G101" s="164">
        <v>19.05</v>
      </c>
      <c r="H101" s="164">
        <f t="shared" si="12"/>
        <v>23.28</v>
      </c>
      <c r="I101" s="164">
        <f t="shared" si="13"/>
        <v>38.1</v>
      </c>
      <c r="J101" s="170">
        <f t="shared" si="14"/>
        <v>46.56</v>
      </c>
      <c r="K101" s="62"/>
      <c r="L101" s="243"/>
      <c r="M101" s="245"/>
    </row>
    <row r="102" spans="1:13" s="25" customFormat="1" ht="46.8">
      <c r="A102" s="150" t="s">
        <v>255</v>
      </c>
      <c r="B102" s="167" t="s">
        <v>256</v>
      </c>
      <c r="C102" s="168" t="s">
        <v>23</v>
      </c>
      <c r="D102" s="166" t="s">
        <v>257</v>
      </c>
      <c r="E102" s="169" t="s">
        <v>71</v>
      </c>
      <c r="F102" s="164">
        <v>7</v>
      </c>
      <c r="G102" s="164">
        <v>49.19</v>
      </c>
      <c r="H102" s="164">
        <f t="shared" si="12"/>
        <v>60.12</v>
      </c>
      <c r="I102" s="164">
        <f t="shared" si="13"/>
        <v>344.33</v>
      </c>
      <c r="J102" s="170">
        <f t="shared" si="14"/>
        <v>420.84</v>
      </c>
      <c r="K102" s="62"/>
      <c r="L102" s="243"/>
      <c r="M102" s="245"/>
    </row>
    <row r="103" spans="1:13" s="25" customFormat="1" ht="46.8">
      <c r="A103" s="150" t="s">
        <v>258</v>
      </c>
      <c r="B103" s="167" t="s">
        <v>259</v>
      </c>
      <c r="C103" s="168" t="s">
        <v>23</v>
      </c>
      <c r="D103" s="166" t="s">
        <v>260</v>
      </c>
      <c r="E103" s="169" t="s">
        <v>71</v>
      </c>
      <c r="F103" s="164">
        <v>2</v>
      </c>
      <c r="G103" s="164">
        <v>76.3</v>
      </c>
      <c r="H103" s="164">
        <f t="shared" si="12"/>
        <v>93.26</v>
      </c>
      <c r="I103" s="164">
        <f t="shared" si="13"/>
        <v>152.6</v>
      </c>
      <c r="J103" s="170">
        <f t="shared" si="14"/>
        <v>186.52</v>
      </c>
      <c r="K103" s="62"/>
      <c r="L103" s="243"/>
      <c r="M103" s="245"/>
    </row>
    <row r="104" spans="1:13" s="25" customFormat="1" ht="46.8">
      <c r="A104" s="150" t="s">
        <v>261</v>
      </c>
      <c r="B104" s="167" t="s">
        <v>262</v>
      </c>
      <c r="C104" s="168" t="s">
        <v>23</v>
      </c>
      <c r="D104" s="166" t="s">
        <v>263</v>
      </c>
      <c r="E104" s="169" t="s">
        <v>71</v>
      </c>
      <c r="F104" s="164">
        <v>1</v>
      </c>
      <c r="G104" s="164">
        <v>187.26</v>
      </c>
      <c r="H104" s="164">
        <f t="shared" si="12"/>
        <v>228.89</v>
      </c>
      <c r="I104" s="164">
        <f t="shared" si="13"/>
        <v>187.26</v>
      </c>
      <c r="J104" s="170">
        <f t="shared" si="14"/>
        <v>228.89</v>
      </c>
      <c r="K104" s="62"/>
      <c r="L104" s="243"/>
      <c r="M104" s="245"/>
    </row>
    <row r="105" spans="1:13" s="25" customFormat="1" ht="46.8">
      <c r="A105" s="150" t="s">
        <v>264</v>
      </c>
      <c r="B105" s="167" t="s">
        <v>265</v>
      </c>
      <c r="C105" s="168" t="s">
        <v>23</v>
      </c>
      <c r="D105" s="166" t="s">
        <v>266</v>
      </c>
      <c r="E105" s="169" t="s">
        <v>71</v>
      </c>
      <c r="F105" s="164">
        <v>1</v>
      </c>
      <c r="G105" s="164">
        <v>186.2</v>
      </c>
      <c r="H105" s="164">
        <f t="shared" si="12"/>
        <v>227.59</v>
      </c>
      <c r="I105" s="164">
        <f t="shared" si="13"/>
        <v>186.2</v>
      </c>
      <c r="J105" s="170">
        <f t="shared" si="14"/>
        <v>227.59</v>
      </c>
      <c r="K105" s="62"/>
      <c r="L105" s="243"/>
      <c r="M105" s="245"/>
    </row>
    <row r="106" spans="1:13" s="25" customFormat="1" ht="46.8">
      <c r="A106" s="150" t="s">
        <v>267</v>
      </c>
      <c r="B106" s="167" t="s">
        <v>268</v>
      </c>
      <c r="C106" s="168" t="s">
        <v>23</v>
      </c>
      <c r="D106" s="166" t="s">
        <v>269</v>
      </c>
      <c r="E106" s="169" t="s">
        <v>71</v>
      </c>
      <c r="F106" s="164">
        <v>2</v>
      </c>
      <c r="G106" s="164">
        <v>68.209999999999994</v>
      </c>
      <c r="H106" s="164">
        <f t="shared" si="12"/>
        <v>83.37</v>
      </c>
      <c r="I106" s="164">
        <f t="shared" si="13"/>
        <v>136.41999999999999</v>
      </c>
      <c r="J106" s="170">
        <f t="shared" si="14"/>
        <v>166.74</v>
      </c>
      <c r="K106" s="62"/>
      <c r="L106" s="243"/>
      <c r="M106" s="245"/>
    </row>
    <row r="107" spans="1:13" s="25" customFormat="1" ht="62.4">
      <c r="A107" s="150" t="s">
        <v>270</v>
      </c>
      <c r="B107" s="167" t="s">
        <v>271</v>
      </c>
      <c r="C107" s="168" t="s">
        <v>23</v>
      </c>
      <c r="D107" s="166" t="s">
        <v>272</v>
      </c>
      <c r="E107" s="169" t="s">
        <v>86</v>
      </c>
      <c r="F107" s="164">
        <v>100</v>
      </c>
      <c r="G107" s="164">
        <v>6.02</v>
      </c>
      <c r="H107" s="164">
        <f t="shared" si="12"/>
        <v>7.36</v>
      </c>
      <c r="I107" s="164">
        <f t="shared" ref="I107:I115" si="15">ROUND(G107*F107,2)</f>
        <v>602</v>
      </c>
      <c r="J107" s="170">
        <f t="shared" ref="J107:J115" si="16">ROUND(F107*H107,2)</f>
        <v>736</v>
      </c>
      <c r="K107" s="62"/>
      <c r="L107" s="243"/>
      <c r="M107" s="245"/>
    </row>
    <row r="108" spans="1:13" s="25" customFormat="1" ht="62.4">
      <c r="A108" s="150" t="s">
        <v>273</v>
      </c>
      <c r="B108" s="167" t="s">
        <v>271</v>
      </c>
      <c r="C108" s="168" t="s">
        <v>23</v>
      </c>
      <c r="D108" s="166" t="s">
        <v>274</v>
      </c>
      <c r="E108" s="169" t="s">
        <v>86</v>
      </c>
      <c r="F108" s="164">
        <v>100</v>
      </c>
      <c r="G108" s="164">
        <v>6.02</v>
      </c>
      <c r="H108" s="164">
        <f t="shared" si="12"/>
        <v>7.36</v>
      </c>
      <c r="I108" s="164">
        <f t="shared" si="15"/>
        <v>602</v>
      </c>
      <c r="J108" s="170">
        <f t="shared" si="16"/>
        <v>736</v>
      </c>
      <c r="K108" s="62"/>
      <c r="L108" s="243"/>
      <c r="M108" s="245"/>
    </row>
    <row r="109" spans="1:13" s="25" customFormat="1" ht="62.4">
      <c r="A109" s="150" t="s">
        <v>275</v>
      </c>
      <c r="B109" s="167" t="s">
        <v>271</v>
      </c>
      <c r="C109" s="168" t="s">
        <v>23</v>
      </c>
      <c r="D109" s="166" t="s">
        <v>276</v>
      </c>
      <c r="E109" s="169" t="s">
        <v>86</v>
      </c>
      <c r="F109" s="164">
        <v>100</v>
      </c>
      <c r="G109" s="164">
        <v>6.02</v>
      </c>
      <c r="H109" s="164">
        <f t="shared" si="12"/>
        <v>7.36</v>
      </c>
      <c r="I109" s="164">
        <f t="shared" si="15"/>
        <v>602</v>
      </c>
      <c r="J109" s="170">
        <f t="shared" si="16"/>
        <v>736</v>
      </c>
      <c r="K109" s="62"/>
      <c r="L109" s="243"/>
      <c r="M109" s="245"/>
    </row>
    <row r="110" spans="1:13" s="25" customFormat="1" ht="62.4">
      <c r="A110" s="150" t="s">
        <v>277</v>
      </c>
      <c r="B110" s="167" t="s">
        <v>278</v>
      </c>
      <c r="C110" s="168" t="s">
        <v>23</v>
      </c>
      <c r="D110" s="166" t="s">
        <v>279</v>
      </c>
      <c r="E110" s="169" t="s">
        <v>86</v>
      </c>
      <c r="F110" s="164">
        <v>600</v>
      </c>
      <c r="G110" s="164">
        <v>4.26</v>
      </c>
      <c r="H110" s="164">
        <f t="shared" si="12"/>
        <v>5.21</v>
      </c>
      <c r="I110" s="164">
        <f t="shared" si="15"/>
        <v>2556</v>
      </c>
      <c r="J110" s="170">
        <f t="shared" si="16"/>
        <v>3126</v>
      </c>
      <c r="K110" s="62"/>
      <c r="L110" s="243"/>
      <c r="M110" s="245"/>
    </row>
    <row r="111" spans="1:13" s="25" customFormat="1" ht="62.4">
      <c r="A111" s="150" t="s">
        <v>280</v>
      </c>
      <c r="B111" s="167" t="s">
        <v>278</v>
      </c>
      <c r="C111" s="168" t="s">
        <v>23</v>
      </c>
      <c r="D111" s="166" t="s">
        <v>281</v>
      </c>
      <c r="E111" s="169" t="s">
        <v>86</v>
      </c>
      <c r="F111" s="164">
        <v>600</v>
      </c>
      <c r="G111" s="164">
        <v>4.26</v>
      </c>
      <c r="H111" s="164">
        <f t="shared" si="12"/>
        <v>5.21</v>
      </c>
      <c r="I111" s="164">
        <f t="shared" si="15"/>
        <v>2556</v>
      </c>
      <c r="J111" s="170">
        <f t="shared" si="16"/>
        <v>3126</v>
      </c>
      <c r="K111" s="62"/>
      <c r="L111" s="243"/>
      <c r="M111" s="245"/>
    </row>
    <row r="112" spans="1:13" s="25" customFormat="1" ht="62.4">
      <c r="A112" s="150" t="s">
        <v>282</v>
      </c>
      <c r="B112" s="167" t="s">
        <v>278</v>
      </c>
      <c r="C112" s="168" t="s">
        <v>23</v>
      </c>
      <c r="D112" s="166" t="s">
        <v>283</v>
      </c>
      <c r="E112" s="169" t="s">
        <v>86</v>
      </c>
      <c r="F112" s="164">
        <v>600</v>
      </c>
      <c r="G112" s="164">
        <v>4.26</v>
      </c>
      <c r="H112" s="164">
        <f t="shared" si="12"/>
        <v>5.21</v>
      </c>
      <c r="I112" s="164">
        <f t="shared" si="15"/>
        <v>2556</v>
      </c>
      <c r="J112" s="170">
        <f t="shared" si="16"/>
        <v>3126</v>
      </c>
      <c r="K112" s="62"/>
      <c r="L112" s="243"/>
      <c r="M112" s="245"/>
    </row>
    <row r="113" spans="1:13" s="25" customFormat="1" ht="62.4">
      <c r="A113" s="150" t="s">
        <v>284</v>
      </c>
      <c r="B113" s="167" t="s">
        <v>285</v>
      </c>
      <c r="C113" s="168" t="s">
        <v>23</v>
      </c>
      <c r="D113" s="166" t="s">
        <v>286</v>
      </c>
      <c r="E113" s="169" t="s">
        <v>86</v>
      </c>
      <c r="F113" s="164">
        <v>800</v>
      </c>
      <c r="G113" s="164">
        <v>2.95</v>
      </c>
      <c r="H113" s="164">
        <f t="shared" si="12"/>
        <v>3.61</v>
      </c>
      <c r="I113" s="164">
        <f t="shared" si="15"/>
        <v>2360</v>
      </c>
      <c r="J113" s="170">
        <f t="shared" si="16"/>
        <v>2888</v>
      </c>
      <c r="K113" s="62"/>
      <c r="L113" s="243"/>
      <c r="M113" s="245"/>
    </row>
    <row r="114" spans="1:13" s="25" customFormat="1" ht="62.4">
      <c r="A114" s="150" t="s">
        <v>287</v>
      </c>
      <c r="B114" s="167" t="s">
        <v>285</v>
      </c>
      <c r="C114" s="168" t="s">
        <v>23</v>
      </c>
      <c r="D114" s="166" t="s">
        <v>288</v>
      </c>
      <c r="E114" s="169" t="s">
        <v>86</v>
      </c>
      <c r="F114" s="164">
        <v>800</v>
      </c>
      <c r="G114" s="164">
        <v>2.95</v>
      </c>
      <c r="H114" s="164">
        <f t="shared" si="12"/>
        <v>3.61</v>
      </c>
      <c r="I114" s="164">
        <f t="shared" si="15"/>
        <v>2360</v>
      </c>
      <c r="J114" s="170">
        <f t="shared" si="16"/>
        <v>2888</v>
      </c>
      <c r="K114" s="62"/>
      <c r="L114" s="243"/>
      <c r="M114" s="245"/>
    </row>
    <row r="115" spans="1:13" s="25" customFormat="1" ht="62.4">
      <c r="A115" s="150" t="s">
        <v>289</v>
      </c>
      <c r="B115" s="167" t="s">
        <v>285</v>
      </c>
      <c r="C115" s="168" t="s">
        <v>23</v>
      </c>
      <c r="D115" s="166" t="s">
        <v>290</v>
      </c>
      <c r="E115" s="169" t="s">
        <v>86</v>
      </c>
      <c r="F115" s="164">
        <v>800</v>
      </c>
      <c r="G115" s="164">
        <v>2.95</v>
      </c>
      <c r="H115" s="164">
        <f t="shared" si="12"/>
        <v>3.61</v>
      </c>
      <c r="I115" s="164">
        <f t="shared" si="15"/>
        <v>2360</v>
      </c>
      <c r="J115" s="170">
        <f t="shared" si="16"/>
        <v>2888</v>
      </c>
      <c r="K115" s="62"/>
      <c r="L115" s="243"/>
      <c r="M115" s="245"/>
    </row>
    <row r="116" spans="1:13" s="25" customFormat="1" ht="62.4">
      <c r="A116" s="150" t="s">
        <v>291</v>
      </c>
      <c r="B116" s="167" t="s">
        <v>292</v>
      </c>
      <c r="C116" s="168" t="s">
        <v>23</v>
      </c>
      <c r="D116" s="166" t="s">
        <v>293</v>
      </c>
      <c r="E116" s="169" t="s">
        <v>86</v>
      </c>
      <c r="F116" s="164">
        <v>80</v>
      </c>
      <c r="G116" s="164">
        <v>14.72</v>
      </c>
      <c r="H116" s="164">
        <f t="shared" si="12"/>
        <v>17.989999999999998</v>
      </c>
      <c r="I116" s="164">
        <f t="shared" ref="I116:I121" si="17">ROUND(G116*F116,2)</f>
        <v>1177.5999999999999</v>
      </c>
      <c r="J116" s="170">
        <f t="shared" ref="J116:J121" si="18">ROUND(F116*H116,2)</f>
        <v>1439.2</v>
      </c>
      <c r="K116" s="62"/>
      <c r="L116" s="243"/>
      <c r="M116" s="245"/>
    </row>
    <row r="117" spans="1:13" s="25" customFormat="1" ht="62.4">
      <c r="A117" s="150" t="s">
        <v>294</v>
      </c>
      <c r="B117" s="167" t="s">
        <v>292</v>
      </c>
      <c r="C117" s="168" t="s">
        <v>23</v>
      </c>
      <c r="D117" s="166" t="s">
        <v>295</v>
      </c>
      <c r="E117" s="169" t="s">
        <v>86</v>
      </c>
      <c r="F117" s="164">
        <v>30</v>
      </c>
      <c r="G117" s="164">
        <v>14.72</v>
      </c>
      <c r="H117" s="164">
        <f t="shared" si="12"/>
        <v>17.989999999999998</v>
      </c>
      <c r="I117" s="164">
        <f t="shared" si="17"/>
        <v>441.6</v>
      </c>
      <c r="J117" s="170">
        <f t="shared" si="18"/>
        <v>539.70000000000005</v>
      </c>
      <c r="K117" s="62"/>
      <c r="L117" s="243"/>
      <c r="M117" s="245"/>
    </row>
    <row r="118" spans="1:13" s="25" customFormat="1" ht="62.4">
      <c r="A118" s="150" t="s">
        <v>296</v>
      </c>
      <c r="B118" s="167" t="s">
        <v>292</v>
      </c>
      <c r="C118" s="168" t="s">
        <v>23</v>
      </c>
      <c r="D118" s="166" t="s">
        <v>297</v>
      </c>
      <c r="E118" s="169" t="s">
        <v>86</v>
      </c>
      <c r="F118" s="164">
        <v>30</v>
      </c>
      <c r="G118" s="164">
        <v>14.72</v>
      </c>
      <c r="H118" s="164">
        <f t="shared" si="12"/>
        <v>17.989999999999998</v>
      </c>
      <c r="I118" s="164">
        <f t="shared" si="17"/>
        <v>441.6</v>
      </c>
      <c r="J118" s="170">
        <f t="shared" si="18"/>
        <v>539.70000000000005</v>
      </c>
      <c r="K118" s="62"/>
      <c r="L118" s="243"/>
      <c r="M118" s="245"/>
    </row>
    <row r="119" spans="1:13" s="25" customFormat="1" ht="62.4">
      <c r="A119" s="150" t="s">
        <v>298</v>
      </c>
      <c r="B119" s="167" t="s">
        <v>299</v>
      </c>
      <c r="C119" s="168" t="s">
        <v>23</v>
      </c>
      <c r="D119" s="166" t="s">
        <v>300</v>
      </c>
      <c r="E119" s="169" t="s">
        <v>86</v>
      </c>
      <c r="F119" s="164">
        <f>10*4</f>
        <v>40</v>
      </c>
      <c r="G119" s="164">
        <v>87.75</v>
      </c>
      <c r="H119" s="164">
        <f t="shared" si="12"/>
        <v>107.26</v>
      </c>
      <c r="I119" s="164">
        <f t="shared" si="17"/>
        <v>3510</v>
      </c>
      <c r="J119" s="170">
        <f t="shared" si="18"/>
        <v>4290.3999999999996</v>
      </c>
      <c r="K119" s="62"/>
      <c r="L119" s="243"/>
      <c r="M119" s="245"/>
    </row>
    <row r="120" spans="1:13" s="25" customFormat="1" ht="62.4">
      <c r="A120" s="150" t="s">
        <v>301</v>
      </c>
      <c r="B120" s="167" t="s">
        <v>299</v>
      </c>
      <c r="C120" s="168" t="s">
        <v>23</v>
      </c>
      <c r="D120" s="166" t="s">
        <v>302</v>
      </c>
      <c r="E120" s="169" t="s">
        <v>86</v>
      </c>
      <c r="F120" s="164">
        <v>10</v>
      </c>
      <c r="G120" s="164">
        <v>87.75</v>
      </c>
      <c r="H120" s="164">
        <f t="shared" si="12"/>
        <v>107.26</v>
      </c>
      <c r="I120" s="164">
        <f t="shared" si="17"/>
        <v>877.5</v>
      </c>
      <c r="J120" s="170">
        <f t="shared" si="18"/>
        <v>1072.5999999999999</v>
      </c>
      <c r="K120" s="62"/>
      <c r="L120" s="243"/>
      <c r="M120" s="245"/>
    </row>
    <row r="121" spans="1:13" s="25" customFormat="1" ht="62.4">
      <c r="A121" s="150" t="s">
        <v>303</v>
      </c>
      <c r="B121" s="167" t="s">
        <v>304</v>
      </c>
      <c r="C121" s="168" t="s">
        <v>23</v>
      </c>
      <c r="D121" s="166" t="s">
        <v>305</v>
      </c>
      <c r="E121" s="169" t="s">
        <v>86</v>
      </c>
      <c r="F121" s="164">
        <v>10</v>
      </c>
      <c r="G121" s="164">
        <v>20.260000000000002</v>
      </c>
      <c r="H121" s="164">
        <f t="shared" si="12"/>
        <v>24.76</v>
      </c>
      <c r="I121" s="164">
        <f t="shared" si="17"/>
        <v>202.6</v>
      </c>
      <c r="J121" s="170">
        <f t="shared" si="18"/>
        <v>247.6</v>
      </c>
      <c r="K121" s="62"/>
      <c r="L121" s="243"/>
      <c r="M121" s="245"/>
    </row>
    <row r="122" spans="1:13" s="25" customFormat="1" ht="78">
      <c r="A122" s="150" t="s">
        <v>306</v>
      </c>
      <c r="B122" s="167" t="s">
        <v>307</v>
      </c>
      <c r="C122" s="168" t="s">
        <v>23</v>
      </c>
      <c r="D122" s="166" t="s">
        <v>308</v>
      </c>
      <c r="E122" s="169" t="s">
        <v>71</v>
      </c>
      <c r="F122" s="164">
        <v>39</v>
      </c>
      <c r="G122" s="164">
        <v>31.7</v>
      </c>
      <c r="H122" s="164">
        <f t="shared" si="12"/>
        <v>38.75</v>
      </c>
      <c r="I122" s="164">
        <f t="shared" ref="I122:I129" si="19">ROUND(G122*F122,2)</f>
        <v>1236.3</v>
      </c>
      <c r="J122" s="170">
        <f t="shared" ref="J122:J131" si="20">ROUND(F122*H122,2)</f>
        <v>1511.25</v>
      </c>
      <c r="K122" s="62"/>
      <c r="L122" s="243"/>
      <c r="M122" s="245"/>
    </row>
    <row r="123" spans="1:13" s="25" customFormat="1" ht="78">
      <c r="A123" s="150" t="s">
        <v>309</v>
      </c>
      <c r="B123" s="167" t="s">
        <v>310</v>
      </c>
      <c r="C123" s="168" t="s">
        <v>23</v>
      </c>
      <c r="D123" s="166" t="s">
        <v>311</v>
      </c>
      <c r="E123" s="169" t="s">
        <v>71</v>
      </c>
      <c r="F123" s="164">
        <v>115</v>
      </c>
      <c r="G123" s="164">
        <v>30.22</v>
      </c>
      <c r="H123" s="164">
        <f t="shared" si="12"/>
        <v>36.94</v>
      </c>
      <c r="I123" s="164">
        <f t="shared" si="19"/>
        <v>3475.3</v>
      </c>
      <c r="J123" s="170">
        <f t="shared" si="20"/>
        <v>4248.1000000000004</v>
      </c>
      <c r="K123" s="62"/>
      <c r="L123" s="243"/>
      <c r="M123" s="245"/>
    </row>
    <row r="124" spans="1:13" s="25" customFormat="1" ht="78">
      <c r="A124" s="150" t="s">
        <v>312</v>
      </c>
      <c r="B124" s="167" t="s">
        <v>313</v>
      </c>
      <c r="C124" s="168" t="s">
        <v>23</v>
      </c>
      <c r="D124" s="166" t="s">
        <v>314</v>
      </c>
      <c r="E124" s="169" t="s">
        <v>71</v>
      </c>
      <c r="F124" s="164">
        <v>10</v>
      </c>
      <c r="G124" s="164">
        <v>32.83</v>
      </c>
      <c r="H124" s="164">
        <f t="shared" si="12"/>
        <v>40.130000000000003</v>
      </c>
      <c r="I124" s="164">
        <f t="shared" si="19"/>
        <v>328.3</v>
      </c>
      <c r="J124" s="170">
        <f t="shared" si="20"/>
        <v>401.3</v>
      </c>
      <c r="K124" s="62"/>
      <c r="L124" s="243"/>
      <c r="M124" s="245"/>
    </row>
    <row r="125" spans="1:13" s="25" customFormat="1" ht="62.4">
      <c r="A125" s="150" t="s">
        <v>315</v>
      </c>
      <c r="B125" s="167" t="s">
        <v>316</v>
      </c>
      <c r="C125" s="168" t="s">
        <v>48</v>
      </c>
      <c r="D125" s="166" t="s">
        <v>317</v>
      </c>
      <c r="E125" s="169" t="s">
        <v>71</v>
      </c>
      <c r="F125" s="164">
        <v>4</v>
      </c>
      <c r="G125" s="164">
        <v>589.01</v>
      </c>
      <c r="H125" s="164">
        <f t="shared" si="12"/>
        <v>719.95</v>
      </c>
      <c r="I125" s="164">
        <f t="shared" si="19"/>
        <v>2356.04</v>
      </c>
      <c r="J125" s="170">
        <f t="shared" si="20"/>
        <v>2879.8</v>
      </c>
      <c r="K125" s="62"/>
      <c r="L125" s="243"/>
      <c r="M125" s="245"/>
    </row>
    <row r="126" spans="1:13" s="25" customFormat="1" ht="62.4">
      <c r="A126" s="150" t="s">
        <v>318</v>
      </c>
      <c r="B126" s="167" t="s">
        <v>319</v>
      </c>
      <c r="C126" s="168" t="s">
        <v>23</v>
      </c>
      <c r="D126" s="166" t="s">
        <v>320</v>
      </c>
      <c r="E126" s="169" t="s">
        <v>71</v>
      </c>
      <c r="F126" s="164">
        <v>23</v>
      </c>
      <c r="G126" s="164">
        <v>153.02000000000001</v>
      </c>
      <c r="H126" s="164">
        <f t="shared" ref="H126:H131" si="21">ROUND(G126*(1+$I$5),2)</f>
        <v>187.04</v>
      </c>
      <c r="I126" s="164">
        <f t="shared" si="19"/>
        <v>3519.46</v>
      </c>
      <c r="J126" s="170">
        <f t="shared" si="20"/>
        <v>4301.92</v>
      </c>
      <c r="K126" s="62"/>
      <c r="L126" s="243"/>
      <c r="M126" s="245"/>
    </row>
    <row r="127" spans="1:13" s="25" customFormat="1" ht="62.4">
      <c r="A127" s="150" t="s">
        <v>321</v>
      </c>
      <c r="B127" s="167" t="s">
        <v>322</v>
      </c>
      <c r="C127" s="168" t="s">
        <v>23</v>
      </c>
      <c r="D127" s="166" t="s">
        <v>323</v>
      </c>
      <c r="E127" s="169" t="s">
        <v>71</v>
      </c>
      <c r="F127" s="164">
        <v>56</v>
      </c>
      <c r="G127" s="164">
        <v>210.3</v>
      </c>
      <c r="H127" s="164">
        <f t="shared" si="21"/>
        <v>257.05</v>
      </c>
      <c r="I127" s="164">
        <f t="shared" si="19"/>
        <v>11776.8</v>
      </c>
      <c r="J127" s="170">
        <f t="shared" si="20"/>
        <v>14394.8</v>
      </c>
      <c r="K127" s="62"/>
      <c r="L127" s="243"/>
      <c r="M127" s="245"/>
    </row>
    <row r="128" spans="1:13" s="25" customFormat="1" ht="62.4">
      <c r="A128" s="150" t="s">
        <v>324</v>
      </c>
      <c r="B128" s="167" t="s">
        <v>325</v>
      </c>
      <c r="C128" s="168" t="s">
        <v>23</v>
      </c>
      <c r="D128" s="166" t="s">
        <v>326</v>
      </c>
      <c r="E128" s="169" t="s">
        <v>71</v>
      </c>
      <c r="F128" s="164">
        <f>56*2</f>
        <v>112</v>
      </c>
      <c r="G128" s="164">
        <v>17.399999999999999</v>
      </c>
      <c r="H128" s="164">
        <f t="shared" si="21"/>
        <v>21.27</v>
      </c>
      <c r="I128" s="164">
        <f t="shared" si="19"/>
        <v>1948.8</v>
      </c>
      <c r="J128" s="170">
        <f t="shared" si="20"/>
        <v>2382.2399999999998</v>
      </c>
      <c r="K128" s="62"/>
      <c r="L128" s="243"/>
      <c r="M128" s="245"/>
    </row>
    <row r="129" spans="1:13" s="25" customFormat="1" ht="62.4">
      <c r="A129" s="150" t="s">
        <v>327</v>
      </c>
      <c r="B129" s="167" t="s">
        <v>328</v>
      </c>
      <c r="C129" s="168" t="s">
        <v>23</v>
      </c>
      <c r="D129" s="166" t="s">
        <v>329</v>
      </c>
      <c r="E129" s="169" t="s">
        <v>71</v>
      </c>
      <c r="F129" s="164">
        <f>23*2</f>
        <v>46</v>
      </c>
      <c r="G129" s="164">
        <v>17.78</v>
      </c>
      <c r="H129" s="164">
        <f t="shared" si="21"/>
        <v>21.73</v>
      </c>
      <c r="I129" s="164">
        <f t="shared" si="19"/>
        <v>817.88</v>
      </c>
      <c r="J129" s="170">
        <f t="shared" si="20"/>
        <v>999.58</v>
      </c>
      <c r="K129" s="62"/>
      <c r="L129" s="243"/>
      <c r="M129" s="245"/>
    </row>
    <row r="130" spans="1:13" s="25" customFormat="1" ht="46.8">
      <c r="A130" s="150" t="s">
        <v>330</v>
      </c>
      <c r="B130" s="167" t="s">
        <v>331</v>
      </c>
      <c r="C130" s="168" t="s">
        <v>23</v>
      </c>
      <c r="D130" s="166" t="s">
        <v>332</v>
      </c>
      <c r="E130" s="169" t="s">
        <v>86</v>
      </c>
      <c r="F130" s="164">
        <v>40</v>
      </c>
      <c r="G130" s="164">
        <v>8.89</v>
      </c>
      <c r="H130" s="164">
        <f t="shared" si="21"/>
        <v>10.87</v>
      </c>
      <c r="I130" s="164">
        <f>ROUND(G130*F130,2)</f>
        <v>355.6</v>
      </c>
      <c r="J130" s="170">
        <f t="shared" si="20"/>
        <v>434.8</v>
      </c>
      <c r="K130" s="62"/>
      <c r="L130" s="243"/>
      <c r="M130" s="245"/>
    </row>
    <row r="131" spans="1:13" s="25" customFormat="1" ht="62.4">
      <c r="A131" s="150" t="s">
        <v>333</v>
      </c>
      <c r="B131" s="167" t="s">
        <v>334</v>
      </c>
      <c r="C131" s="168" t="s">
        <v>23</v>
      </c>
      <c r="D131" s="166" t="s">
        <v>335</v>
      </c>
      <c r="E131" s="169" t="s">
        <v>86</v>
      </c>
      <c r="F131" s="164">
        <v>300</v>
      </c>
      <c r="G131" s="164">
        <v>17.96</v>
      </c>
      <c r="H131" s="164">
        <f t="shared" si="21"/>
        <v>21.95</v>
      </c>
      <c r="I131" s="164">
        <f>ROUND(G131*F131,2)</f>
        <v>5388</v>
      </c>
      <c r="J131" s="170">
        <f t="shared" si="20"/>
        <v>6585</v>
      </c>
      <c r="K131" s="62"/>
      <c r="L131" s="243"/>
      <c r="M131" s="245"/>
    </row>
    <row r="132" spans="1:13" s="25" customFormat="1" ht="15.6">
      <c r="A132" s="188"/>
      <c r="B132" s="181"/>
      <c r="C132" s="189"/>
      <c r="D132" s="190"/>
      <c r="E132" s="191"/>
      <c r="F132" s="192"/>
      <c r="G132" s="192"/>
      <c r="H132" s="192"/>
      <c r="I132" s="193"/>
      <c r="J132" s="151"/>
      <c r="K132" s="62"/>
      <c r="L132" s="243"/>
      <c r="M132" s="245"/>
    </row>
    <row r="133" spans="1:13" ht="15.6">
      <c r="A133" s="146" t="s">
        <v>336</v>
      </c>
      <c r="B133" s="68"/>
      <c r="C133" s="69"/>
      <c r="D133" s="70" t="s">
        <v>337</v>
      </c>
      <c r="E133" s="71"/>
      <c r="F133" s="72"/>
      <c r="G133" s="72"/>
      <c r="H133" s="72"/>
      <c r="I133" s="74">
        <f>SUM(I134:I140)</f>
        <v>23451.43</v>
      </c>
      <c r="J133" s="147">
        <f>SUM(J134:J139)</f>
        <v>28661.200000000001</v>
      </c>
      <c r="M133" s="245"/>
    </row>
    <row r="134" spans="1:13" s="25" customFormat="1" ht="62.4">
      <c r="A134" s="143" t="s">
        <v>338</v>
      </c>
      <c r="B134" s="17" t="s">
        <v>339</v>
      </c>
      <c r="C134" s="18" t="s">
        <v>23</v>
      </c>
      <c r="D134" s="166" t="s">
        <v>340</v>
      </c>
      <c r="E134" s="169" t="s">
        <v>86</v>
      </c>
      <c r="F134" s="164">
        <v>1360</v>
      </c>
      <c r="G134" s="164">
        <v>6.04</v>
      </c>
      <c r="H134" s="31">
        <f t="shared" si="12"/>
        <v>7.38</v>
      </c>
      <c r="I134" s="31">
        <f t="shared" ref="I134:I139" si="22">ROUND(G134*F134,2)</f>
        <v>8214.4</v>
      </c>
      <c r="J134" s="151">
        <f t="shared" ref="J134:J139" si="23">ROUND(F134*H134,2)</f>
        <v>10036.799999999999</v>
      </c>
      <c r="K134" s="62"/>
      <c r="L134" s="243"/>
      <c r="M134" s="245"/>
    </row>
    <row r="135" spans="1:13" s="25" customFormat="1" ht="62.4">
      <c r="A135" s="143" t="s">
        <v>341</v>
      </c>
      <c r="B135" s="17" t="s">
        <v>342</v>
      </c>
      <c r="C135" s="18" t="s">
        <v>23</v>
      </c>
      <c r="D135" s="166" t="s">
        <v>343</v>
      </c>
      <c r="E135" s="169" t="s">
        <v>86</v>
      </c>
      <c r="F135" s="164">
        <v>80</v>
      </c>
      <c r="G135" s="164">
        <v>88.11</v>
      </c>
      <c r="H135" s="31">
        <f t="shared" si="12"/>
        <v>107.7</v>
      </c>
      <c r="I135" s="31">
        <f t="shared" si="22"/>
        <v>7048.8</v>
      </c>
      <c r="J135" s="151">
        <f t="shared" si="23"/>
        <v>8616</v>
      </c>
      <c r="K135" s="62"/>
      <c r="L135" s="243"/>
      <c r="M135" s="245"/>
    </row>
    <row r="136" spans="1:13" s="25" customFormat="1" ht="78">
      <c r="A136" s="143" t="s">
        <v>344</v>
      </c>
      <c r="B136" s="17" t="s">
        <v>334</v>
      </c>
      <c r="C136" s="18" t="s">
        <v>23</v>
      </c>
      <c r="D136" s="166" t="s">
        <v>345</v>
      </c>
      <c r="E136" s="169" t="s">
        <v>86</v>
      </c>
      <c r="F136" s="164">
        <v>80</v>
      </c>
      <c r="G136" s="164">
        <v>17.96</v>
      </c>
      <c r="H136" s="31">
        <f t="shared" si="12"/>
        <v>21.95</v>
      </c>
      <c r="I136" s="31">
        <f t="shared" si="22"/>
        <v>1436.8</v>
      </c>
      <c r="J136" s="151">
        <f t="shared" si="23"/>
        <v>1756</v>
      </c>
      <c r="K136" s="62"/>
      <c r="L136" s="243"/>
      <c r="M136" s="245"/>
    </row>
    <row r="137" spans="1:13" s="25" customFormat="1" ht="78">
      <c r="A137" s="143" t="s">
        <v>346</v>
      </c>
      <c r="B137" s="17" t="s">
        <v>347</v>
      </c>
      <c r="C137" s="18" t="s">
        <v>23</v>
      </c>
      <c r="D137" s="166" t="s">
        <v>348</v>
      </c>
      <c r="E137" s="169" t="s">
        <v>71</v>
      </c>
      <c r="F137" s="164">
        <v>27</v>
      </c>
      <c r="G137" s="164">
        <v>128.05000000000001</v>
      </c>
      <c r="H137" s="31">
        <f t="shared" si="12"/>
        <v>156.52000000000001</v>
      </c>
      <c r="I137" s="31">
        <f t="shared" si="22"/>
        <v>3457.35</v>
      </c>
      <c r="J137" s="151">
        <f t="shared" si="23"/>
        <v>4226.04</v>
      </c>
      <c r="K137" s="62"/>
      <c r="L137" s="243"/>
      <c r="M137" s="245"/>
    </row>
    <row r="138" spans="1:13" s="25" customFormat="1" ht="31.2">
      <c r="A138" s="143" t="s">
        <v>349</v>
      </c>
      <c r="B138" s="17" t="s">
        <v>350</v>
      </c>
      <c r="C138" s="18" t="s">
        <v>48</v>
      </c>
      <c r="D138" s="166" t="s">
        <v>351</v>
      </c>
      <c r="E138" s="169" t="s">
        <v>71</v>
      </c>
      <c r="F138" s="164">
        <v>1</v>
      </c>
      <c r="G138" s="164">
        <v>1411.13</v>
      </c>
      <c r="H138" s="31">
        <f t="shared" si="12"/>
        <v>1724.82</v>
      </c>
      <c r="I138" s="31">
        <f t="shared" si="22"/>
        <v>1411.13</v>
      </c>
      <c r="J138" s="151">
        <f t="shared" si="23"/>
        <v>1724.82</v>
      </c>
      <c r="K138" s="62"/>
      <c r="L138" s="243"/>
      <c r="M138" s="245"/>
    </row>
    <row r="139" spans="1:13" s="25" customFormat="1" ht="31.2">
      <c r="A139" s="143" t="s">
        <v>352</v>
      </c>
      <c r="B139" s="17" t="s">
        <v>353</v>
      </c>
      <c r="C139" s="18" t="s">
        <v>48</v>
      </c>
      <c r="D139" s="166" t="s">
        <v>354</v>
      </c>
      <c r="E139" s="169" t="s">
        <v>71</v>
      </c>
      <c r="F139" s="164">
        <v>3</v>
      </c>
      <c r="G139" s="164">
        <v>627.65</v>
      </c>
      <c r="H139" s="31">
        <f t="shared" si="12"/>
        <v>767.18</v>
      </c>
      <c r="I139" s="31">
        <f t="shared" si="22"/>
        <v>1882.95</v>
      </c>
      <c r="J139" s="151">
        <f t="shared" si="23"/>
        <v>2301.54</v>
      </c>
      <c r="K139" s="62"/>
      <c r="L139" s="243"/>
      <c r="M139" s="245"/>
    </row>
    <row r="140" spans="1:13" s="25" customFormat="1" ht="15.6">
      <c r="A140" s="143"/>
      <c r="B140" s="17"/>
      <c r="C140" s="18"/>
      <c r="D140" s="58"/>
      <c r="E140" s="30"/>
      <c r="F140" s="31"/>
      <c r="G140" s="31"/>
      <c r="H140" s="31"/>
      <c r="I140" s="31"/>
      <c r="J140" s="151"/>
      <c r="K140" s="62"/>
      <c r="L140" s="243"/>
      <c r="M140" s="245"/>
    </row>
    <row r="141" spans="1:13" ht="15.6">
      <c r="A141" s="146" t="s">
        <v>355</v>
      </c>
      <c r="B141" s="68"/>
      <c r="C141" s="69"/>
      <c r="D141" s="70" t="s">
        <v>356</v>
      </c>
      <c r="E141" s="71"/>
      <c r="F141" s="72"/>
      <c r="G141" s="72"/>
      <c r="H141" s="72"/>
      <c r="I141" s="74">
        <f>SUM(I142:I169)</f>
        <v>29975.27</v>
      </c>
      <c r="J141" s="147">
        <f>SUM(J142:J169)</f>
        <v>36638.860000000008</v>
      </c>
      <c r="M141" s="245"/>
    </row>
    <row r="142" spans="1:13" s="25" customFormat="1" ht="46.8">
      <c r="A142" s="143" t="s">
        <v>357</v>
      </c>
      <c r="B142" s="17" t="s">
        <v>358</v>
      </c>
      <c r="C142" s="18" t="s">
        <v>23</v>
      </c>
      <c r="D142" s="58" t="s">
        <v>359</v>
      </c>
      <c r="E142" s="30" t="s">
        <v>86</v>
      </c>
      <c r="F142" s="164">
        <v>20</v>
      </c>
      <c r="G142" s="164">
        <v>38.39</v>
      </c>
      <c r="H142" s="31">
        <f t="shared" si="12"/>
        <v>46.92</v>
      </c>
      <c r="I142" s="31">
        <f>ROUND(G142*F142,2)</f>
        <v>767.8</v>
      </c>
      <c r="J142" s="151">
        <f>ROUND(F142*H142,2)</f>
        <v>938.4</v>
      </c>
      <c r="K142" s="62"/>
      <c r="L142" s="243"/>
      <c r="M142" s="245"/>
    </row>
    <row r="143" spans="1:13" s="25" customFormat="1" ht="124.8">
      <c r="A143" s="143" t="s">
        <v>360</v>
      </c>
      <c r="B143" s="17" t="s">
        <v>361</v>
      </c>
      <c r="C143" s="18" t="s">
        <v>23</v>
      </c>
      <c r="D143" s="58" t="s">
        <v>362</v>
      </c>
      <c r="E143" s="30" t="s">
        <v>71</v>
      </c>
      <c r="F143" s="164">
        <v>10</v>
      </c>
      <c r="G143" s="164">
        <v>166.75</v>
      </c>
      <c r="H143" s="31">
        <f t="shared" si="12"/>
        <v>203.82</v>
      </c>
      <c r="I143" s="31">
        <f>ROUND(G143*F143,2)</f>
        <v>1667.5</v>
      </c>
      <c r="J143" s="151">
        <f>ROUND(F143*H143,2)</f>
        <v>2038.2</v>
      </c>
      <c r="K143" s="62"/>
      <c r="L143" s="243"/>
      <c r="M143" s="245"/>
    </row>
    <row r="144" spans="1:13" s="25" customFormat="1" ht="93.6">
      <c r="A144" s="143" t="s">
        <v>363</v>
      </c>
      <c r="B144" s="17" t="s">
        <v>364</v>
      </c>
      <c r="C144" s="18" t="s">
        <v>23</v>
      </c>
      <c r="D144" s="58" t="s">
        <v>365</v>
      </c>
      <c r="E144" s="30" t="s">
        <v>71</v>
      </c>
      <c r="F144" s="164">
        <v>9</v>
      </c>
      <c r="G144" s="164">
        <v>314.25</v>
      </c>
      <c r="H144" s="31">
        <f t="shared" si="12"/>
        <v>384.11</v>
      </c>
      <c r="I144" s="31">
        <f>ROUND(G144*F144,2)</f>
        <v>2828.25</v>
      </c>
      <c r="J144" s="151">
        <f>ROUND(F144*H144,2)</f>
        <v>3456.99</v>
      </c>
      <c r="K144" s="62"/>
      <c r="L144" s="243"/>
      <c r="M144" s="245"/>
    </row>
    <row r="145" spans="1:13" s="25" customFormat="1" ht="109.2">
      <c r="A145" s="143" t="s">
        <v>366</v>
      </c>
      <c r="B145" s="17" t="s">
        <v>367</v>
      </c>
      <c r="C145" s="18" t="s">
        <v>23</v>
      </c>
      <c r="D145" s="58" t="s">
        <v>368</v>
      </c>
      <c r="E145" s="30" t="s">
        <v>71</v>
      </c>
      <c r="F145" s="164">
        <v>1</v>
      </c>
      <c r="G145" s="164">
        <v>219.4</v>
      </c>
      <c r="H145" s="31">
        <f t="shared" si="12"/>
        <v>268.17</v>
      </c>
      <c r="I145" s="31">
        <f t="shared" ref="I145:I152" si="24">ROUND(G145*F145,2)</f>
        <v>219.4</v>
      </c>
      <c r="J145" s="151">
        <f t="shared" ref="J145:J152" si="25">ROUND(F145*H145,2)</f>
        <v>268.17</v>
      </c>
      <c r="K145" s="62"/>
      <c r="L145" s="243"/>
      <c r="M145" s="245"/>
    </row>
    <row r="146" spans="1:13" s="25" customFormat="1" ht="93.6">
      <c r="A146" s="143" t="s">
        <v>369</v>
      </c>
      <c r="B146" s="17" t="s">
        <v>370</v>
      </c>
      <c r="C146" s="18" t="s">
        <v>23</v>
      </c>
      <c r="D146" s="58" t="s">
        <v>371</v>
      </c>
      <c r="E146" s="30" t="s">
        <v>71</v>
      </c>
      <c r="F146" s="164">
        <v>21</v>
      </c>
      <c r="G146" s="164">
        <v>138</v>
      </c>
      <c r="H146" s="31">
        <f t="shared" si="12"/>
        <v>168.68</v>
      </c>
      <c r="I146" s="31">
        <f t="shared" si="24"/>
        <v>2898</v>
      </c>
      <c r="J146" s="151">
        <f t="shared" si="25"/>
        <v>3542.28</v>
      </c>
      <c r="K146" s="62"/>
      <c r="L146" s="243"/>
      <c r="M146" s="245"/>
    </row>
    <row r="147" spans="1:13" s="25" customFormat="1" ht="31.2">
      <c r="A147" s="143" t="s">
        <v>372</v>
      </c>
      <c r="B147" s="17" t="s">
        <v>373</v>
      </c>
      <c r="C147" s="18" t="s">
        <v>23</v>
      </c>
      <c r="D147" s="58" t="s">
        <v>374</v>
      </c>
      <c r="E147" s="30" t="s">
        <v>71</v>
      </c>
      <c r="F147" s="164">
        <v>1</v>
      </c>
      <c r="G147" s="164">
        <v>31.38</v>
      </c>
      <c r="H147" s="31">
        <f t="shared" si="12"/>
        <v>38.36</v>
      </c>
      <c r="I147" s="31">
        <f t="shared" si="24"/>
        <v>31.38</v>
      </c>
      <c r="J147" s="151">
        <f t="shared" si="25"/>
        <v>38.36</v>
      </c>
      <c r="K147" s="62"/>
      <c r="L147" s="243"/>
      <c r="M147" s="245"/>
    </row>
    <row r="148" spans="1:13" s="25" customFormat="1" ht="46.8">
      <c r="A148" s="143" t="s">
        <v>375</v>
      </c>
      <c r="B148" s="17" t="s">
        <v>376</v>
      </c>
      <c r="C148" s="18" t="s">
        <v>23</v>
      </c>
      <c r="D148" s="58" t="s">
        <v>377</v>
      </c>
      <c r="E148" s="30" t="s">
        <v>86</v>
      </c>
      <c r="F148" s="164">
        <v>40</v>
      </c>
      <c r="G148" s="164">
        <v>30.18</v>
      </c>
      <c r="H148" s="31">
        <f t="shared" si="12"/>
        <v>36.89</v>
      </c>
      <c r="I148" s="31">
        <f t="shared" si="24"/>
        <v>1207.2</v>
      </c>
      <c r="J148" s="151">
        <f t="shared" si="25"/>
        <v>1475.6</v>
      </c>
      <c r="K148" s="62"/>
      <c r="L148" s="243"/>
      <c r="M148" s="245"/>
    </row>
    <row r="149" spans="1:13" s="25" customFormat="1" ht="46.8">
      <c r="A149" s="143" t="s">
        <v>378</v>
      </c>
      <c r="B149" s="17" t="s">
        <v>379</v>
      </c>
      <c r="C149" s="18" t="s">
        <v>23</v>
      </c>
      <c r="D149" s="58" t="s">
        <v>380</v>
      </c>
      <c r="E149" s="30" t="s">
        <v>86</v>
      </c>
      <c r="F149" s="164">
        <v>20</v>
      </c>
      <c r="G149" s="164">
        <v>23.29</v>
      </c>
      <c r="H149" s="31">
        <f t="shared" si="12"/>
        <v>28.47</v>
      </c>
      <c r="I149" s="31">
        <f t="shared" si="24"/>
        <v>465.8</v>
      </c>
      <c r="J149" s="151">
        <f t="shared" si="25"/>
        <v>569.4</v>
      </c>
      <c r="K149" s="62"/>
      <c r="L149" s="243"/>
      <c r="M149" s="245"/>
    </row>
    <row r="150" spans="1:13" s="25" customFormat="1" ht="46.8">
      <c r="A150" s="143" t="s">
        <v>381</v>
      </c>
      <c r="B150" s="17" t="s">
        <v>382</v>
      </c>
      <c r="C150" s="18" t="s">
        <v>23</v>
      </c>
      <c r="D150" s="58" t="s">
        <v>383</v>
      </c>
      <c r="E150" s="30" t="s">
        <v>86</v>
      </c>
      <c r="F150" s="164">
        <v>40</v>
      </c>
      <c r="G150" s="164">
        <v>21.15</v>
      </c>
      <c r="H150" s="31">
        <f t="shared" si="12"/>
        <v>25.85</v>
      </c>
      <c r="I150" s="31">
        <f t="shared" si="24"/>
        <v>846</v>
      </c>
      <c r="J150" s="151">
        <f t="shared" si="25"/>
        <v>1034</v>
      </c>
      <c r="K150" s="62"/>
      <c r="L150" s="243"/>
      <c r="M150" s="245"/>
    </row>
    <row r="151" spans="1:13" s="25" customFormat="1" ht="62.4">
      <c r="A151" s="143" t="s">
        <v>384</v>
      </c>
      <c r="B151" s="17" t="s">
        <v>385</v>
      </c>
      <c r="C151" s="18" t="s">
        <v>23</v>
      </c>
      <c r="D151" s="58" t="s">
        <v>386</v>
      </c>
      <c r="E151" s="30" t="s">
        <v>71</v>
      </c>
      <c r="F151" s="164">
        <v>1</v>
      </c>
      <c r="G151" s="164">
        <v>129.07</v>
      </c>
      <c r="H151" s="31">
        <f t="shared" si="12"/>
        <v>157.76</v>
      </c>
      <c r="I151" s="31">
        <f t="shared" si="24"/>
        <v>129.07</v>
      </c>
      <c r="J151" s="151">
        <f t="shared" si="25"/>
        <v>157.76</v>
      </c>
      <c r="K151" s="62"/>
      <c r="L151" s="243"/>
      <c r="M151" s="245"/>
    </row>
    <row r="152" spans="1:13" s="25" customFormat="1" ht="62.4">
      <c r="A152" s="143" t="s">
        <v>387</v>
      </c>
      <c r="B152" s="17" t="s">
        <v>388</v>
      </c>
      <c r="C152" s="18" t="s">
        <v>23</v>
      </c>
      <c r="D152" s="58" t="s">
        <v>389</v>
      </c>
      <c r="E152" s="30" t="s">
        <v>71</v>
      </c>
      <c r="F152" s="164">
        <v>7</v>
      </c>
      <c r="G152" s="164">
        <v>91.85</v>
      </c>
      <c r="H152" s="31">
        <f t="shared" si="12"/>
        <v>112.27</v>
      </c>
      <c r="I152" s="31">
        <f t="shared" si="24"/>
        <v>642.95000000000005</v>
      </c>
      <c r="J152" s="151">
        <f t="shared" si="25"/>
        <v>785.89</v>
      </c>
      <c r="K152" s="62"/>
      <c r="L152" s="243"/>
      <c r="M152" s="245"/>
    </row>
    <row r="153" spans="1:13" s="25" customFormat="1" ht="31.2">
      <c r="A153" s="143" t="s">
        <v>390</v>
      </c>
      <c r="B153" s="17" t="s">
        <v>391</v>
      </c>
      <c r="C153" s="18" t="s">
        <v>23</v>
      </c>
      <c r="D153" s="58" t="s">
        <v>392</v>
      </c>
      <c r="E153" s="30" t="s">
        <v>71</v>
      </c>
      <c r="F153" s="164">
        <v>2</v>
      </c>
      <c r="G153" s="164">
        <v>88.37</v>
      </c>
      <c r="H153" s="31">
        <f t="shared" si="12"/>
        <v>108.01</v>
      </c>
      <c r="I153" s="31">
        <f>ROUND(G153*F153,2)</f>
        <v>176.74</v>
      </c>
      <c r="J153" s="151">
        <f t="shared" ref="J153:J169" si="26">ROUND(F153*H153,2)</f>
        <v>216.02</v>
      </c>
      <c r="K153" s="62"/>
      <c r="L153" s="243"/>
      <c r="M153" s="245"/>
    </row>
    <row r="154" spans="1:13" s="25" customFormat="1" ht="62.4">
      <c r="A154" s="143" t="s">
        <v>393</v>
      </c>
      <c r="B154" s="17" t="s">
        <v>394</v>
      </c>
      <c r="C154" s="18" t="s">
        <v>23</v>
      </c>
      <c r="D154" s="58" t="s">
        <v>395</v>
      </c>
      <c r="E154" s="30" t="s">
        <v>71</v>
      </c>
      <c r="F154" s="164">
        <v>1</v>
      </c>
      <c r="G154" s="164">
        <v>992.19</v>
      </c>
      <c r="H154" s="31">
        <f t="shared" si="12"/>
        <v>1212.75</v>
      </c>
      <c r="I154" s="31">
        <f>ROUND(G154*F154,2)</f>
        <v>992.19</v>
      </c>
      <c r="J154" s="151">
        <f t="shared" si="26"/>
        <v>1212.75</v>
      </c>
      <c r="K154" s="62"/>
      <c r="L154" s="243"/>
      <c r="M154" s="245"/>
    </row>
    <row r="155" spans="1:13" s="25" customFormat="1" ht="46.8">
      <c r="A155" s="143" t="s">
        <v>396</v>
      </c>
      <c r="B155" s="17" t="s">
        <v>397</v>
      </c>
      <c r="C155" s="18" t="s">
        <v>48</v>
      </c>
      <c r="D155" s="58" t="s">
        <v>398</v>
      </c>
      <c r="E155" s="30" t="s">
        <v>71</v>
      </c>
      <c r="F155" s="164">
        <v>9</v>
      </c>
      <c r="G155" s="164">
        <v>552.21</v>
      </c>
      <c r="H155" s="31">
        <f t="shared" si="12"/>
        <v>674.97</v>
      </c>
      <c r="I155" s="31">
        <f t="shared" ref="I155:I169" si="27">ROUND(G155*F155,2)</f>
        <v>4969.8900000000003</v>
      </c>
      <c r="J155" s="151">
        <f t="shared" si="26"/>
        <v>6074.73</v>
      </c>
      <c r="K155" s="62"/>
      <c r="L155" s="243"/>
      <c r="M155" s="245"/>
    </row>
    <row r="156" spans="1:13" s="25" customFormat="1" ht="78">
      <c r="A156" s="143" t="s">
        <v>399</v>
      </c>
      <c r="B156" s="17" t="s">
        <v>400</v>
      </c>
      <c r="C156" s="18" t="s">
        <v>23</v>
      </c>
      <c r="D156" s="58" t="s">
        <v>401</v>
      </c>
      <c r="E156" s="30" t="s">
        <v>71</v>
      </c>
      <c r="F156" s="164">
        <v>4</v>
      </c>
      <c r="G156" s="164">
        <v>177.78</v>
      </c>
      <c r="H156" s="31">
        <f t="shared" si="12"/>
        <v>217.3</v>
      </c>
      <c r="I156" s="31">
        <f t="shared" si="27"/>
        <v>711.12</v>
      </c>
      <c r="J156" s="151">
        <f t="shared" si="26"/>
        <v>869.2</v>
      </c>
      <c r="K156" s="62"/>
      <c r="L156" s="243"/>
      <c r="M156" s="245"/>
    </row>
    <row r="157" spans="1:13" s="25" customFormat="1" ht="78">
      <c r="A157" s="143" t="s">
        <v>402</v>
      </c>
      <c r="B157" s="17" t="s">
        <v>403</v>
      </c>
      <c r="C157" s="18" t="s">
        <v>23</v>
      </c>
      <c r="D157" s="58" t="s">
        <v>404</v>
      </c>
      <c r="E157" s="30" t="s">
        <v>71</v>
      </c>
      <c r="F157" s="164">
        <v>4</v>
      </c>
      <c r="G157" s="164">
        <v>181.5</v>
      </c>
      <c r="H157" s="31">
        <f t="shared" si="12"/>
        <v>221.85</v>
      </c>
      <c r="I157" s="31">
        <f t="shared" si="27"/>
        <v>726</v>
      </c>
      <c r="J157" s="151">
        <f t="shared" si="26"/>
        <v>887.4</v>
      </c>
      <c r="K157" s="62"/>
      <c r="L157" s="243"/>
      <c r="M157" s="245"/>
    </row>
    <row r="158" spans="1:13" s="25" customFormat="1" ht="78">
      <c r="A158" s="143" t="s">
        <v>405</v>
      </c>
      <c r="B158" s="17" t="s">
        <v>406</v>
      </c>
      <c r="C158" s="18" t="s">
        <v>23</v>
      </c>
      <c r="D158" s="58" t="s">
        <v>407</v>
      </c>
      <c r="E158" s="30" t="s">
        <v>71</v>
      </c>
      <c r="F158" s="164">
        <v>8</v>
      </c>
      <c r="G158" s="164">
        <v>152.30000000000001</v>
      </c>
      <c r="H158" s="31">
        <f t="shared" si="12"/>
        <v>186.16</v>
      </c>
      <c r="I158" s="31">
        <f t="shared" si="27"/>
        <v>1218.4000000000001</v>
      </c>
      <c r="J158" s="151">
        <f t="shared" si="26"/>
        <v>1489.28</v>
      </c>
      <c r="K158" s="62"/>
      <c r="L158" s="243"/>
      <c r="M158" s="245"/>
    </row>
    <row r="159" spans="1:13" s="25" customFormat="1" ht="78">
      <c r="A159" s="143" t="s">
        <v>408</v>
      </c>
      <c r="B159" s="17" t="s">
        <v>409</v>
      </c>
      <c r="C159" s="18" t="s">
        <v>23</v>
      </c>
      <c r="D159" s="58" t="s">
        <v>410</v>
      </c>
      <c r="E159" s="30" t="s">
        <v>71</v>
      </c>
      <c r="F159" s="164">
        <v>4</v>
      </c>
      <c r="G159" s="164">
        <v>139</v>
      </c>
      <c r="H159" s="31">
        <f t="shared" si="12"/>
        <v>169.9</v>
      </c>
      <c r="I159" s="31">
        <f t="shared" si="27"/>
        <v>556</v>
      </c>
      <c r="J159" s="151">
        <f t="shared" si="26"/>
        <v>679.6</v>
      </c>
      <c r="K159" s="62"/>
      <c r="L159" s="243"/>
      <c r="M159" s="245"/>
    </row>
    <row r="160" spans="1:13" s="25" customFormat="1" ht="93.6">
      <c r="A160" s="143" t="s">
        <v>411</v>
      </c>
      <c r="B160" s="17" t="s">
        <v>412</v>
      </c>
      <c r="C160" s="18" t="s">
        <v>48</v>
      </c>
      <c r="D160" s="166" t="s">
        <v>413</v>
      </c>
      <c r="E160" s="30" t="s">
        <v>71</v>
      </c>
      <c r="F160" s="164">
        <v>6</v>
      </c>
      <c r="G160" s="164">
        <v>291.37</v>
      </c>
      <c r="H160" s="31">
        <f t="shared" si="12"/>
        <v>356.14</v>
      </c>
      <c r="I160" s="31">
        <f t="shared" si="27"/>
        <v>1748.22</v>
      </c>
      <c r="J160" s="151">
        <f t="shared" si="26"/>
        <v>2136.84</v>
      </c>
      <c r="K160" s="62"/>
      <c r="L160" s="243"/>
      <c r="M160" s="245"/>
    </row>
    <row r="161" spans="1:13" s="25" customFormat="1" ht="78">
      <c r="A161" s="143" t="s">
        <v>414</v>
      </c>
      <c r="B161" s="17" t="s">
        <v>415</v>
      </c>
      <c r="C161" s="18" t="s">
        <v>23</v>
      </c>
      <c r="D161" s="166" t="s">
        <v>416</v>
      </c>
      <c r="E161" s="30" t="s">
        <v>71</v>
      </c>
      <c r="F161" s="164">
        <v>4</v>
      </c>
      <c r="G161" s="164">
        <v>376.88</v>
      </c>
      <c r="H161" s="31">
        <f t="shared" si="12"/>
        <v>460.66</v>
      </c>
      <c r="I161" s="31">
        <f t="shared" si="27"/>
        <v>1507.52</v>
      </c>
      <c r="J161" s="151">
        <f t="shared" si="26"/>
        <v>1842.64</v>
      </c>
      <c r="K161" s="62"/>
      <c r="L161" s="243"/>
      <c r="M161" s="245"/>
    </row>
    <row r="162" spans="1:13" s="25" customFormat="1" ht="62.4">
      <c r="A162" s="143" t="s">
        <v>417</v>
      </c>
      <c r="B162" s="17" t="s">
        <v>418</v>
      </c>
      <c r="C162" s="18" t="s">
        <v>23</v>
      </c>
      <c r="D162" s="166" t="s">
        <v>419</v>
      </c>
      <c r="E162" s="30" t="s">
        <v>71</v>
      </c>
      <c r="F162" s="164">
        <v>4</v>
      </c>
      <c r="G162" s="164">
        <v>118.43</v>
      </c>
      <c r="H162" s="31">
        <f t="shared" si="12"/>
        <v>144.76</v>
      </c>
      <c r="I162" s="31">
        <f t="shared" si="27"/>
        <v>473.72</v>
      </c>
      <c r="J162" s="151">
        <f t="shared" si="26"/>
        <v>579.04</v>
      </c>
      <c r="K162" s="62"/>
      <c r="L162" s="243"/>
      <c r="M162" s="245"/>
    </row>
    <row r="163" spans="1:13" s="25" customFormat="1" ht="93.6">
      <c r="A163" s="143" t="s">
        <v>420</v>
      </c>
      <c r="B163" s="17" t="s">
        <v>421</v>
      </c>
      <c r="C163" s="18" t="s">
        <v>23</v>
      </c>
      <c r="D163" s="166" t="s">
        <v>422</v>
      </c>
      <c r="E163" s="30" t="s">
        <v>42</v>
      </c>
      <c r="F163" s="237">
        <v>1.2</v>
      </c>
      <c r="G163" s="164">
        <v>408.55</v>
      </c>
      <c r="H163" s="31">
        <f t="shared" si="12"/>
        <v>499.37</v>
      </c>
      <c r="I163" s="31">
        <f t="shared" si="27"/>
        <v>490.26</v>
      </c>
      <c r="J163" s="151">
        <f t="shared" si="26"/>
        <v>599.24</v>
      </c>
      <c r="K163" s="62"/>
      <c r="L163" s="243"/>
      <c r="M163" s="245"/>
    </row>
    <row r="164" spans="1:13" s="25" customFormat="1" ht="31.2">
      <c r="A164" s="143" t="s">
        <v>423</v>
      </c>
      <c r="B164" s="17" t="s">
        <v>424</v>
      </c>
      <c r="C164" s="18" t="s">
        <v>23</v>
      </c>
      <c r="D164" s="166" t="s">
        <v>425</v>
      </c>
      <c r="E164" s="30" t="s">
        <v>71</v>
      </c>
      <c r="F164" s="164">
        <v>4</v>
      </c>
      <c r="G164" s="164">
        <v>118.9</v>
      </c>
      <c r="H164" s="31">
        <f t="shared" si="12"/>
        <v>145.33000000000001</v>
      </c>
      <c r="I164" s="31">
        <f t="shared" si="27"/>
        <v>475.6</v>
      </c>
      <c r="J164" s="151">
        <f t="shared" si="26"/>
        <v>581.32000000000005</v>
      </c>
      <c r="K164" s="62"/>
      <c r="L164" s="243"/>
      <c r="M164" s="245"/>
    </row>
    <row r="165" spans="1:13" s="25" customFormat="1" ht="62.4">
      <c r="A165" s="143" t="s">
        <v>426</v>
      </c>
      <c r="B165" s="17" t="s">
        <v>427</v>
      </c>
      <c r="C165" s="18" t="s">
        <v>23</v>
      </c>
      <c r="D165" s="166" t="s">
        <v>428</v>
      </c>
      <c r="E165" s="30" t="s">
        <v>86</v>
      </c>
      <c r="F165" s="164">
        <f>3.5+3.5</f>
        <v>7</v>
      </c>
      <c r="G165" s="164">
        <v>43.89</v>
      </c>
      <c r="H165" s="31">
        <f t="shared" si="12"/>
        <v>53.65</v>
      </c>
      <c r="I165" s="31">
        <f t="shared" si="27"/>
        <v>307.23</v>
      </c>
      <c r="J165" s="151">
        <f t="shared" si="26"/>
        <v>375.55</v>
      </c>
      <c r="K165" s="62"/>
      <c r="L165" s="243"/>
      <c r="M165" s="245"/>
    </row>
    <row r="166" spans="1:13" s="25" customFormat="1" ht="31.2">
      <c r="A166" s="143" t="s">
        <v>429</v>
      </c>
      <c r="B166" s="17" t="s">
        <v>430</v>
      </c>
      <c r="C166" s="18" t="s">
        <v>48</v>
      </c>
      <c r="D166" s="166" t="s">
        <v>431</v>
      </c>
      <c r="E166" s="30" t="s">
        <v>71</v>
      </c>
      <c r="F166" s="164">
        <v>2</v>
      </c>
      <c r="G166" s="164">
        <v>810.41</v>
      </c>
      <c r="H166" s="31">
        <f t="shared" si="12"/>
        <v>990.56</v>
      </c>
      <c r="I166" s="31">
        <f t="shared" si="27"/>
        <v>1620.82</v>
      </c>
      <c r="J166" s="151">
        <f t="shared" si="26"/>
        <v>1981.12</v>
      </c>
      <c r="K166" s="62"/>
      <c r="L166" s="243"/>
      <c r="M166" s="245"/>
    </row>
    <row r="167" spans="1:13" s="25" customFormat="1" ht="46.8">
      <c r="A167" s="143" t="s">
        <v>432</v>
      </c>
      <c r="B167" s="17" t="s">
        <v>433</v>
      </c>
      <c r="C167" s="18" t="s">
        <v>23</v>
      </c>
      <c r="D167" s="58" t="s">
        <v>434</v>
      </c>
      <c r="E167" s="30" t="s">
        <v>71</v>
      </c>
      <c r="F167" s="164">
        <v>9</v>
      </c>
      <c r="G167" s="164">
        <v>67.63</v>
      </c>
      <c r="H167" s="31">
        <f t="shared" si="12"/>
        <v>82.66</v>
      </c>
      <c r="I167" s="31">
        <f t="shared" si="27"/>
        <v>608.66999999999996</v>
      </c>
      <c r="J167" s="151">
        <f t="shared" si="26"/>
        <v>743.94</v>
      </c>
      <c r="K167" s="62"/>
      <c r="L167" s="243"/>
      <c r="M167" s="245"/>
    </row>
    <row r="168" spans="1:13" s="25" customFormat="1" ht="62.4">
      <c r="A168" s="143" t="s">
        <v>435</v>
      </c>
      <c r="B168" s="17" t="s">
        <v>436</v>
      </c>
      <c r="C168" s="18" t="s">
        <v>23</v>
      </c>
      <c r="D168" s="58" t="s">
        <v>437</v>
      </c>
      <c r="E168" s="30" t="s">
        <v>71</v>
      </c>
      <c r="F168" s="164">
        <v>8</v>
      </c>
      <c r="G168" s="164">
        <v>60.6</v>
      </c>
      <c r="H168" s="31">
        <f t="shared" si="12"/>
        <v>74.069999999999993</v>
      </c>
      <c r="I168" s="31">
        <f t="shared" si="27"/>
        <v>484.8</v>
      </c>
      <c r="J168" s="151">
        <f t="shared" si="26"/>
        <v>592.55999999999995</v>
      </c>
      <c r="K168" s="62"/>
      <c r="L168" s="243"/>
      <c r="M168" s="245"/>
    </row>
    <row r="169" spans="1:13" s="25" customFormat="1" ht="62.4">
      <c r="A169" s="143" t="s">
        <v>438</v>
      </c>
      <c r="B169" s="17" t="s">
        <v>439</v>
      </c>
      <c r="C169" s="18" t="s">
        <v>23</v>
      </c>
      <c r="D169" s="58" t="s">
        <v>440</v>
      </c>
      <c r="E169" s="30" t="s">
        <v>71</v>
      </c>
      <c r="F169" s="164">
        <v>6</v>
      </c>
      <c r="G169" s="164">
        <v>200.79</v>
      </c>
      <c r="H169" s="31">
        <f t="shared" si="12"/>
        <v>245.43</v>
      </c>
      <c r="I169" s="31">
        <f t="shared" si="27"/>
        <v>1204.74</v>
      </c>
      <c r="J169" s="151">
        <f t="shared" si="26"/>
        <v>1472.58</v>
      </c>
      <c r="K169" s="62"/>
      <c r="L169" s="243"/>
      <c r="M169" s="245"/>
    </row>
    <row r="170" spans="1:13" s="25" customFormat="1" ht="15.6">
      <c r="A170" s="143"/>
      <c r="B170" s="17"/>
      <c r="C170" s="18"/>
      <c r="D170" s="58"/>
      <c r="E170" s="30"/>
      <c r="F170" s="164"/>
      <c r="G170" s="31"/>
      <c r="H170" s="31"/>
      <c r="I170" s="31"/>
      <c r="J170" s="151"/>
      <c r="K170" s="62"/>
      <c r="L170" s="243"/>
      <c r="M170" s="245"/>
    </row>
    <row r="171" spans="1:13" ht="15.6">
      <c r="A171" s="146" t="s">
        <v>441</v>
      </c>
      <c r="B171" s="68"/>
      <c r="C171" s="69"/>
      <c r="D171" s="70" t="s">
        <v>442</v>
      </c>
      <c r="E171" s="71"/>
      <c r="F171" s="72"/>
      <c r="G171" s="72"/>
      <c r="H171" s="72"/>
      <c r="I171" s="74">
        <f>SUM(I173:I187)</f>
        <v>153806.31000000003</v>
      </c>
      <c r="J171" s="147">
        <f>SUM(J172:J188)</f>
        <v>187997.89000000004</v>
      </c>
      <c r="M171" s="245"/>
    </row>
    <row r="172" spans="1:13" s="25" customFormat="1" ht="15.6">
      <c r="A172" s="143"/>
      <c r="B172" s="17"/>
      <c r="C172" s="18"/>
      <c r="D172" s="58"/>
      <c r="E172" s="30"/>
      <c r="F172" s="31"/>
      <c r="G172" s="31"/>
      <c r="H172" s="31"/>
      <c r="I172" s="31"/>
      <c r="J172" s="151"/>
      <c r="K172" s="62"/>
      <c r="L172" s="243"/>
      <c r="M172" s="245"/>
    </row>
    <row r="173" spans="1:13" s="25" customFormat="1" ht="93.6">
      <c r="A173" s="143" t="s">
        <v>443</v>
      </c>
      <c r="B173" s="17" t="s">
        <v>444</v>
      </c>
      <c r="C173" s="18" t="s">
        <v>23</v>
      </c>
      <c r="D173" s="58" t="s">
        <v>445</v>
      </c>
      <c r="E173" s="30" t="s">
        <v>86</v>
      </c>
      <c r="F173" s="164">
        <v>11.5</v>
      </c>
      <c r="G173" s="164">
        <v>570.76</v>
      </c>
      <c r="H173" s="31">
        <f t="shared" ref="H173:H178" si="28">ROUND(G173*(1+$I$5),2)</f>
        <v>697.64</v>
      </c>
      <c r="I173" s="31">
        <f t="shared" ref="I173:I178" si="29">ROUND(G173*F173,2)</f>
        <v>6563.74</v>
      </c>
      <c r="J173" s="151">
        <f t="shared" ref="J173:J178" si="30">ROUND(F173*H173,2)</f>
        <v>8022.86</v>
      </c>
      <c r="K173" s="62"/>
      <c r="L173" s="243"/>
      <c r="M173" s="245"/>
    </row>
    <row r="174" spans="1:13" s="25" customFormat="1" ht="62.4">
      <c r="A174" s="143" t="s">
        <v>446</v>
      </c>
      <c r="B174" s="17" t="s">
        <v>447</v>
      </c>
      <c r="C174" s="18" t="s">
        <v>23</v>
      </c>
      <c r="D174" s="58" t="s">
        <v>448</v>
      </c>
      <c r="E174" s="30" t="s">
        <v>86</v>
      </c>
      <c r="F174" s="164">
        <v>20.399999999999999</v>
      </c>
      <c r="G174" s="164">
        <v>104.18</v>
      </c>
      <c r="H174" s="31">
        <f t="shared" si="28"/>
        <v>127.34</v>
      </c>
      <c r="I174" s="31">
        <f t="shared" si="29"/>
        <v>2125.27</v>
      </c>
      <c r="J174" s="151">
        <f t="shared" si="30"/>
        <v>2597.7399999999998</v>
      </c>
      <c r="K174" s="62"/>
      <c r="L174" s="243"/>
      <c r="M174" s="245"/>
    </row>
    <row r="175" spans="1:13" s="25" customFormat="1" ht="15.6">
      <c r="A175" s="143" t="s">
        <v>449</v>
      </c>
      <c r="B175" s="17" t="s">
        <v>450</v>
      </c>
      <c r="C175" s="18" t="s">
        <v>451</v>
      </c>
      <c r="D175" s="58" t="s">
        <v>452</v>
      </c>
      <c r="E175" s="30" t="s">
        <v>453</v>
      </c>
      <c r="F175" s="164">
        <v>1</v>
      </c>
      <c r="G175" s="164">
        <v>131427.13</v>
      </c>
      <c r="H175" s="31">
        <f t="shared" si="28"/>
        <v>160643.38</v>
      </c>
      <c r="I175" s="31">
        <f t="shared" si="29"/>
        <v>131427.13</v>
      </c>
      <c r="J175" s="151">
        <f t="shared" si="30"/>
        <v>160643.38</v>
      </c>
      <c r="K175" s="62"/>
      <c r="L175" s="243"/>
      <c r="M175" s="245"/>
    </row>
    <row r="176" spans="1:13" s="25" customFormat="1" ht="93.6">
      <c r="A176" s="143" t="s">
        <v>454</v>
      </c>
      <c r="B176" s="17" t="s">
        <v>455</v>
      </c>
      <c r="C176" s="18" t="s">
        <v>23</v>
      </c>
      <c r="D176" s="58" t="s">
        <v>456</v>
      </c>
      <c r="E176" s="30" t="s">
        <v>42</v>
      </c>
      <c r="F176" s="164">
        <f>31.92</f>
        <v>31.92</v>
      </c>
      <c r="G176" s="164">
        <v>187.13</v>
      </c>
      <c r="H176" s="31">
        <f t="shared" si="28"/>
        <v>228.73</v>
      </c>
      <c r="I176" s="31">
        <f t="shared" si="29"/>
        <v>5973.19</v>
      </c>
      <c r="J176" s="151">
        <f t="shared" si="30"/>
        <v>7301.06</v>
      </c>
      <c r="K176" s="62"/>
      <c r="L176" s="243"/>
      <c r="M176" s="245"/>
    </row>
    <row r="177" spans="1:13" s="25" customFormat="1" ht="31.2">
      <c r="A177" s="143" t="s">
        <v>457</v>
      </c>
      <c r="B177" s="17" t="s">
        <v>458</v>
      </c>
      <c r="C177" s="18" t="s">
        <v>23</v>
      </c>
      <c r="D177" s="58" t="s">
        <v>459</v>
      </c>
      <c r="E177" s="30" t="s">
        <v>71</v>
      </c>
      <c r="F177" s="164">
        <v>7</v>
      </c>
      <c r="G177" s="164">
        <v>223.98</v>
      </c>
      <c r="H177" s="31">
        <f t="shared" si="28"/>
        <v>273.77</v>
      </c>
      <c r="I177" s="31">
        <f t="shared" si="29"/>
        <v>1567.86</v>
      </c>
      <c r="J177" s="151">
        <f t="shared" si="30"/>
        <v>1916.39</v>
      </c>
      <c r="K177" s="62"/>
      <c r="L177" s="243"/>
      <c r="M177" s="245"/>
    </row>
    <row r="178" spans="1:13" s="25" customFormat="1" ht="46.8">
      <c r="A178" s="143" t="s">
        <v>460</v>
      </c>
      <c r="B178" s="17" t="s">
        <v>461</v>
      </c>
      <c r="C178" s="18" t="s">
        <v>23</v>
      </c>
      <c r="D178" s="58" t="s">
        <v>462</v>
      </c>
      <c r="E178" s="30" t="s">
        <v>71</v>
      </c>
      <c r="F178" s="164">
        <v>2</v>
      </c>
      <c r="G178" s="164">
        <v>155.88</v>
      </c>
      <c r="H178" s="31">
        <f t="shared" si="28"/>
        <v>190.53</v>
      </c>
      <c r="I178" s="31">
        <f t="shared" si="29"/>
        <v>311.76</v>
      </c>
      <c r="J178" s="151">
        <f t="shared" si="30"/>
        <v>381.06</v>
      </c>
      <c r="K178" s="62"/>
      <c r="L178" s="243"/>
      <c r="M178" s="245"/>
    </row>
    <row r="179" spans="1:13" s="25" customFormat="1" ht="46.8">
      <c r="A179" s="143" t="s">
        <v>463</v>
      </c>
      <c r="B179" s="17" t="s">
        <v>464</v>
      </c>
      <c r="C179" s="18" t="s">
        <v>23</v>
      </c>
      <c r="D179" s="58" t="s">
        <v>465</v>
      </c>
      <c r="E179" s="30" t="s">
        <v>71</v>
      </c>
      <c r="F179" s="164">
        <v>2</v>
      </c>
      <c r="G179" s="164">
        <v>27.66</v>
      </c>
      <c r="H179" s="31">
        <f t="shared" ref="H179:H186" si="31">ROUND(G179*(1+$I$5),2)</f>
        <v>33.81</v>
      </c>
      <c r="I179" s="31">
        <f t="shared" ref="I179:I186" si="32">ROUND(G179*F179,2)</f>
        <v>55.32</v>
      </c>
      <c r="J179" s="151">
        <f t="shared" ref="J179:J186" si="33">ROUND(F179*H179,2)</f>
        <v>67.62</v>
      </c>
      <c r="K179" s="62"/>
      <c r="L179" s="243"/>
      <c r="M179" s="245"/>
    </row>
    <row r="180" spans="1:13" s="25" customFormat="1" ht="46.8">
      <c r="A180" s="143" t="s">
        <v>466</v>
      </c>
      <c r="B180" s="17" t="s">
        <v>467</v>
      </c>
      <c r="C180" s="18" t="s">
        <v>23</v>
      </c>
      <c r="D180" s="58" t="s">
        <v>468</v>
      </c>
      <c r="E180" s="30" t="s">
        <v>71</v>
      </c>
      <c r="F180" s="164">
        <v>3</v>
      </c>
      <c r="G180" s="164">
        <v>18.23</v>
      </c>
      <c r="H180" s="31">
        <f t="shared" si="31"/>
        <v>22.28</v>
      </c>
      <c r="I180" s="31">
        <f t="shared" si="32"/>
        <v>54.69</v>
      </c>
      <c r="J180" s="151">
        <f t="shared" si="33"/>
        <v>66.84</v>
      </c>
      <c r="K180" s="62"/>
      <c r="L180" s="243"/>
      <c r="M180" s="245"/>
    </row>
    <row r="181" spans="1:13" s="25" customFormat="1" ht="46.8">
      <c r="A181" s="143" t="s">
        <v>469</v>
      </c>
      <c r="B181" s="17" t="s">
        <v>470</v>
      </c>
      <c r="C181" s="18" t="s">
        <v>23</v>
      </c>
      <c r="D181" s="58" t="s">
        <v>471</v>
      </c>
      <c r="E181" s="30" t="s">
        <v>71</v>
      </c>
      <c r="F181" s="164">
        <v>1</v>
      </c>
      <c r="G181" s="164">
        <v>38.85</v>
      </c>
      <c r="H181" s="31">
        <f t="shared" si="31"/>
        <v>47.49</v>
      </c>
      <c r="I181" s="31">
        <f t="shared" si="32"/>
        <v>38.85</v>
      </c>
      <c r="J181" s="151">
        <f t="shared" si="33"/>
        <v>47.49</v>
      </c>
      <c r="K181" s="62"/>
      <c r="L181" s="243"/>
      <c r="M181" s="245"/>
    </row>
    <row r="182" spans="1:13" s="25" customFormat="1" ht="46.8">
      <c r="A182" s="143" t="s">
        <v>472</v>
      </c>
      <c r="B182" s="17" t="s">
        <v>473</v>
      </c>
      <c r="C182" s="18" t="s">
        <v>23</v>
      </c>
      <c r="D182" s="58" t="s">
        <v>474</v>
      </c>
      <c r="E182" s="30" t="s">
        <v>71</v>
      </c>
      <c r="F182" s="164">
        <v>2</v>
      </c>
      <c r="G182" s="164">
        <v>38.85</v>
      </c>
      <c r="H182" s="31">
        <f t="shared" si="31"/>
        <v>47.49</v>
      </c>
      <c r="I182" s="31">
        <f t="shared" si="32"/>
        <v>77.7</v>
      </c>
      <c r="J182" s="151">
        <f t="shared" si="33"/>
        <v>94.98</v>
      </c>
      <c r="K182" s="62"/>
      <c r="L182" s="243"/>
      <c r="M182" s="245"/>
    </row>
    <row r="183" spans="1:13" s="25" customFormat="1" ht="46.8">
      <c r="A183" s="143" t="s">
        <v>475</v>
      </c>
      <c r="B183" s="17" t="s">
        <v>476</v>
      </c>
      <c r="C183" s="18" t="s">
        <v>23</v>
      </c>
      <c r="D183" s="58" t="s">
        <v>477</v>
      </c>
      <c r="E183" s="30" t="s">
        <v>71</v>
      </c>
      <c r="F183" s="164">
        <v>9</v>
      </c>
      <c r="G183" s="164">
        <v>38.85</v>
      </c>
      <c r="H183" s="31">
        <f t="shared" si="31"/>
        <v>47.49</v>
      </c>
      <c r="I183" s="31">
        <f t="shared" si="32"/>
        <v>349.65</v>
      </c>
      <c r="J183" s="151">
        <f t="shared" si="33"/>
        <v>427.41</v>
      </c>
      <c r="K183" s="62"/>
      <c r="L183" s="243"/>
      <c r="M183" s="245"/>
    </row>
    <row r="184" spans="1:13" s="25" customFormat="1" ht="46.8">
      <c r="A184" s="143" t="s">
        <v>478</v>
      </c>
      <c r="B184" s="17" t="s">
        <v>479</v>
      </c>
      <c r="C184" s="18" t="s">
        <v>23</v>
      </c>
      <c r="D184" s="58" t="s">
        <v>480</v>
      </c>
      <c r="E184" s="30" t="s">
        <v>71</v>
      </c>
      <c r="F184" s="164">
        <v>15</v>
      </c>
      <c r="G184" s="164">
        <v>38.85</v>
      </c>
      <c r="H184" s="31">
        <f t="shared" si="31"/>
        <v>47.49</v>
      </c>
      <c r="I184" s="31">
        <f t="shared" si="32"/>
        <v>582.75</v>
      </c>
      <c r="J184" s="151">
        <f t="shared" si="33"/>
        <v>712.35</v>
      </c>
      <c r="K184" s="62"/>
      <c r="L184" s="243"/>
      <c r="M184" s="245"/>
    </row>
    <row r="185" spans="1:13" s="25" customFormat="1" ht="46.8">
      <c r="A185" s="143" t="s">
        <v>481</v>
      </c>
      <c r="B185" s="17" t="s">
        <v>482</v>
      </c>
      <c r="C185" s="18" t="s">
        <v>23</v>
      </c>
      <c r="D185" s="58" t="s">
        <v>483</v>
      </c>
      <c r="E185" s="30" t="s">
        <v>71</v>
      </c>
      <c r="F185" s="164">
        <v>7</v>
      </c>
      <c r="G185" s="164">
        <v>19.78</v>
      </c>
      <c r="H185" s="31">
        <f t="shared" si="31"/>
        <v>24.18</v>
      </c>
      <c r="I185" s="31">
        <f t="shared" si="32"/>
        <v>138.46</v>
      </c>
      <c r="J185" s="151">
        <f t="shared" si="33"/>
        <v>169.26</v>
      </c>
      <c r="K185" s="62"/>
      <c r="L185" s="243"/>
      <c r="M185" s="245"/>
    </row>
    <row r="186" spans="1:13" s="25" customFormat="1" ht="46.8">
      <c r="A186" s="143" t="s">
        <v>484</v>
      </c>
      <c r="B186" s="17" t="s">
        <v>485</v>
      </c>
      <c r="C186" s="18" t="s">
        <v>23</v>
      </c>
      <c r="D186" s="58" t="s">
        <v>486</v>
      </c>
      <c r="E186" s="30" t="s">
        <v>71</v>
      </c>
      <c r="F186" s="164">
        <v>1</v>
      </c>
      <c r="G186" s="164">
        <v>129.07</v>
      </c>
      <c r="H186" s="31">
        <f t="shared" si="31"/>
        <v>157.76</v>
      </c>
      <c r="I186" s="31">
        <f t="shared" si="32"/>
        <v>129.07</v>
      </c>
      <c r="J186" s="151">
        <f t="shared" si="33"/>
        <v>157.76</v>
      </c>
      <c r="K186" s="62"/>
      <c r="L186" s="243"/>
      <c r="M186" s="245"/>
    </row>
    <row r="187" spans="1:13" s="25" customFormat="1" ht="15.6">
      <c r="A187" s="143" t="s">
        <v>487</v>
      </c>
      <c r="B187" s="17" t="s">
        <v>488</v>
      </c>
      <c r="C187" s="18" t="s">
        <v>23</v>
      </c>
      <c r="D187" s="58" t="s">
        <v>489</v>
      </c>
      <c r="E187" s="30" t="s">
        <v>42</v>
      </c>
      <c r="F187" s="164">
        <v>566.95000000000005</v>
      </c>
      <c r="G187" s="164">
        <v>7.78</v>
      </c>
      <c r="H187" s="31">
        <f>ROUND(G187*(1+$I$5),2)</f>
        <v>9.51</v>
      </c>
      <c r="I187" s="31">
        <f>ROUND(G187*F187,2)</f>
        <v>4410.87</v>
      </c>
      <c r="J187" s="151">
        <f>ROUND(F187*H187,2)</f>
        <v>5391.69</v>
      </c>
      <c r="K187" s="62"/>
      <c r="L187" s="243"/>
      <c r="M187" s="245"/>
    </row>
    <row r="188" spans="1:13" s="25" customFormat="1" ht="16.2" thickBot="1">
      <c r="A188" s="152"/>
      <c r="B188" s="153"/>
      <c r="C188" s="154"/>
      <c r="D188" s="59"/>
      <c r="E188" s="60"/>
      <c r="F188" s="61"/>
      <c r="G188" s="201"/>
      <c r="H188" s="61"/>
      <c r="I188" s="61"/>
      <c r="J188" s="155"/>
      <c r="K188" s="238"/>
      <c r="L188" s="243"/>
      <c r="M188" s="243"/>
    </row>
    <row r="195" spans="10:10">
      <c r="J195" s="56"/>
    </row>
  </sheetData>
  <sheetProtection selectLockedCells="1" selectUnlockedCells="1"/>
  <mergeCells count="16">
    <mergeCell ref="A2:D9"/>
    <mergeCell ref="E2:H7"/>
    <mergeCell ref="I6:J6"/>
    <mergeCell ref="I7:J7"/>
    <mergeCell ref="E8:H9"/>
    <mergeCell ref="I8:J8"/>
    <mergeCell ref="I9:J9"/>
    <mergeCell ref="I2:I3"/>
    <mergeCell ref="G10:G11"/>
    <mergeCell ref="H10:H11"/>
    <mergeCell ref="A10:A11"/>
    <mergeCell ref="B10:B11"/>
    <mergeCell ref="C10:C11"/>
    <mergeCell ref="D10:D11"/>
    <mergeCell ref="E10:E11"/>
    <mergeCell ref="F10:F11"/>
  </mergeCells>
  <pageMargins left="0.51181102362204722" right="0.51181102362204722" top="0.78740157480314965" bottom="0.78740157480314965" header="0.51181102362204722" footer="0.51181102362204722"/>
  <pageSetup paperSize="9" scale="57" firstPageNumber="0" orientation="portrait" horizontalDpi="300" verticalDpi="300" r:id="rId1"/>
  <headerFooter alignWithMargins="0"/>
  <rowBreaks count="2" manualBreakCount="2">
    <brk id="75" max="9" man="1"/>
    <brk id="96" max="9" man="1"/>
  </rowBreaks>
  <drawing r:id="rId2"/>
</worksheet>
</file>

<file path=xl/worksheets/sheet3.xml><?xml version="1.0" encoding="utf-8"?>
<worksheet xmlns="http://schemas.openxmlformats.org/spreadsheetml/2006/main" xmlns:r="http://schemas.openxmlformats.org/officeDocument/2006/relationships">
  <dimension ref="A3:J472"/>
  <sheetViews>
    <sheetView topLeftCell="A430" workbookViewId="0">
      <selection activeCell="E454" sqref="E454"/>
    </sheetView>
  </sheetViews>
  <sheetFormatPr defaultRowHeight="14.4"/>
  <cols>
    <col min="2" max="2" width="11.109375" customWidth="1"/>
    <col min="6" max="6" width="13.5546875" bestFit="1" customWidth="1"/>
    <col min="9" max="9" width="9.5546875" bestFit="1" customWidth="1"/>
  </cols>
  <sheetData>
    <row r="3" spans="2:10">
      <c r="B3" t="s">
        <v>490</v>
      </c>
    </row>
    <row r="4" spans="2:10">
      <c r="B4" s="288" t="s">
        <v>491</v>
      </c>
      <c r="C4" s="288"/>
      <c r="D4" s="288"/>
      <c r="E4" s="288"/>
      <c r="F4" s="288"/>
      <c r="G4" s="288"/>
      <c r="H4" s="288"/>
      <c r="I4" s="288"/>
    </row>
    <row r="5" spans="2:10" ht="15" customHeight="1">
      <c r="C5" t="s">
        <v>492</v>
      </c>
      <c r="D5" t="s">
        <v>493</v>
      </c>
      <c r="E5" t="s">
        <v>494</v>
      </c>
    </row>
    <row r="6" spans="2:10">
      <c r="C6">
        <v>3.25</v>
      </c>
      <c r="D6">
        <v>2.95</v>
      </c>
      <c r="E6">
        <v>0.15</v>
      </c>
      <c r="G6">
        <f>E6*D6*C6</f>
        <v>1.4381250000000001</v>
      </c>
      <c r="I6" s="289">
        <f>SUM(G6:G18)*1.3</f>
        <v>9.7828575000000004</v>
      </c>
    </row>
    <row r="7" spans="2:10">
      <c r="C7">
        <v>2.5</v>
      </c>
      <c r="D7">
        <v>2.2000000000000002</v>
      </c>
      <c r="E7">
        <v>0.15</v>
      </c>
      <c r="G7">
        <f t="shared" ref="G7:G18" si="0">E7*D7*C7</f>
        <v>0.82500000000000007</v>
      </c>
      <c r="I7" s="289"/>
    </row>
    <row r="8" spans="2:10">
      <c r="C8">
        <v>1.18</v>
      </c>
      <c r="D8">
        <v>2.95</v>
      </c>
      <c r="E8">
        <v>0.15</v>
      </c>
      <c r="G8">
        <f t="shared" si="0"/>
        <v>0.52215</v>
      </c>
      <c r="I8" s="289"/>
    </row>
    <row r="9" spans="2:10">
      <c r="C9">
        <v>0.8</v>
      </c>
      <c r="D9">
        <v>2.1</v>
      </c>
      <c r="E9">
        <v>0.15</v>
      </c>
      <c r="G9">
        <f t="shared" si="0"/>
        <v>0.252</v>
      </c>
      <c r="I9" s="289"/>
    </row>
    <row r="10" spans="2:10">
      <c r="C10">
        <v>0.9</v>
      </c>
      <c r="D10">
        <v>2.1</v>
      </c>
      <c r="E10">
        <v>0.15</v>
      </c>
      <c r="G10">
        <f t="shared" si="0"/>
        <v>0.28350000000000003</v>
      </c>
      <c r="I10" s="289"/>
    </row>
    <row r="11" spans="2:10">
      <c r="C11">
        <v>2.5</v>
      </c>
      <c r="D11">
        <v>1.2</v>
      </c>
      <c r="E11">
        <v>0.15</v>
      </c>
      <c r="G11">
        <f t="shared" si="0"/>
        <v>0.44999999999999996</v>
      </c>
      <c r="I11" s="289"/>
    </row>
    <row r="12" spans="2:10">
      <c r="C12">
        <v>1.2</v>
      </c>
      <c r="D12">
        <v>1.25</v>
      </c>
      <c r="E12">
        <v>0.15</v>
      </c>
      <c r="G12">
        <f t="shared" si="0"/>
        <v>0.22499999999999998</v>
      </c>
      <c r="I12" s="289"/>
      <c r="J12" t="s">
        <v>38</v>
      </c>
    </row>
    <row r="13" spans="2:10">
      <c r="C13">
        <v>0.9</v>
      </c>
      <c r="D13">
        <v>2.1</v>
      </c>
      <c r="E13">
        <v>0.15</v>
      </c>
      <c r="G13">
        <f t="shared" si="0"/>
        <v>0.28350000000000003</v>
      </c>
      <c r="I13" s="289"/>
    </row>
    <row r="14" spans="2:10">
      <c r="C14">
        <v>11.05</v>
      </c>
      <c r="D14">
        <v>0.9</v>
      </c>
      <c r="E14">
        <v>0.15</v>
      </c>
      <c r="G14">
        <f t="shared" si="0"/>
        <v>1.4917500000000001</v>
      </c>
      <c r="I14" s="289"/>
    </row>
    <row r="15" spans="2:10">
      <c r="C15">
        <v>0.9</v>
      </c>
      <c r="D15">
        <v>2.1</v>
      </c>
      <c r="E15">
        <v>0.15</v>
      </c>
      <c r="G15">
        <f t="shared" si="0"/>
        <v>0.28350000000000003</v>
      </c>
      <c r="I15" s="289"/>
    </row>
    <row r="16" spans="2:10">
      <c r="C16">
        <v>0.8</v>
      </c>
      <c r="D16">
        <v>2.1</v>
      </c>
      <c r="E16">
        <v>0.15</v>
      </c>
      <c r="G16">
        <f t="shared" si="0"/>
        <v>0.252</v>
      </c>
      <c r="I16" s="289"/>
    </row>
    <row r="17" spans="2:10">
      <c r="C17">
        <v>2.5</v>
      </c>
      <c r="D17">
        <v>1.2</v>
      </c>
      <c r="E17">
        <v>0.15</v>
      </c>
      <c r="G17">
        <f t="shared" si="0"/>
        <v>0.44999999999999996</v>
      </c>
      <c r="I17" s="289"/>
    </row>
    <row r="18" spans="2:10">
      <c r="C18">
        <v>2.0499999999999998</v>
      </c>
      <c r="D18">
        <v>2.5</v>
      </c>
      <c r="E18">
        <v>0.15</v>
      </c>
      <c r="G18">
        <f t="shared" si="0"/>
        <v>0.76874999999999993</v>
      </c>
      <c r="I18" s="289"/>
    </row>
    <row r="21" spans="2:10">
      <c r="B21" s="288" t="s">
        <v>495</v>
      </c>
      <c r="C21" s="288"/>
      <c r="D21" s="288"/>
      <c r="E21" s="288"/>
      <c r="F21" s="288"/>
      <c r="G21" s="288"/>
      <c r="H21" s="288"/>
      <c r="I21" s="288"/>
    </row>
    <row r="23" spans="2:10">
      <c r="C23" t="s">
        <v>496</v>
      </c>
      <c r="D23" t="s">
        <v>497</v>
      </c>
      <c r="F23" t="s">
        <v>498</v>
      </c>
      <c r="G23" t="s">
        <v>499</v>
      </c>
    </row>
    <row r="24" spans="2:10">
      <c r="C24">
        <f>4.8*2+(4.28*2)</f>
        <v>18.16</v>
      </c>
      <c r="D24">
        <v>2.95</v>
      </c>
      <c r="F24">
        <f>(2*1)+3*(0.8*2.1)</f>
        <v>7.0400000000000009</v>
      </c>
      <c r="G24">
        <f t="shared" ref="G24:G29" si="1">(C24*D24)-F24</f>
        <v>46.532000000000004</v>
      </c>
      <c r="I24" s="287">
        <f>SUM(G24:G30)</f>
        <v>168.322</v>
      </c>
    </row>
    <row r="25" spans="2:10">
      <c r="C25">
        <f>(4.5*2)+1.45*2</f>
        <v>11.9</v>
      </c>
      <c r="D25">
        <v>1.5</v>
      </c>
      <c r="F25">
        <f>1.6*1.5</f>
        <v>2.4000000000000004</v>
      </c>
      <c r="G25">
        <f t="shared" si="1"/>
        <v>15.450000000000001</v>
      </c>
      <c r="I25" s="287"/>
    </row>
    <row r="26" spans="2:10">
      <c r="C26">
        <f>6.6+3.1</f>
        <v>9.6999999999999993</v>
      </c>
      <c r="D26">
        <v>2.95</v>
      </c>
      <c r="F26">
        <f>(0.9*2.1)+(0.4*0.4)</f>
        <v>2.0500000000000003</v>
      </c>
      <c r="G26">
        <f t="shared" si="1"/>
        <v>26.564999999999998</v>
      </c>
      <c r="I26" s="287"/>
    </row>
    <row r="27" spans="2:10">
      <c r="C27">
        <f>2.9+6.6</f>
        <v>9.5</v>
      </c>
      <c r="D27">
        <v>2.95</v>
      </c>
      <c r="F27">
        <f>(0.6*2.1)+(0.4*0.4)</f>
        <v>1.42</v>
      </c>
      <c r="G27">
        <f t="shared" si="1"/>
        <v>26.605000000000004</v>
      </c>
      <c r="I27" s="287"/>
      <c r="J27" t="s">
        <v>500</v>
      </c>
    </row>
    <row r="28" spans="2:10">
      <c r="C28">
        <f>6.6+3.1</f>
        <v>9.6999999999999993</v>
      </c>
      <c r="D28">
        <v>2.95</v>
      </c>
      <c r="F28">
        <f>(0.9*2.1)+(0.4*0.4)</f>
        <v>2.0500000000000003</v>
      </c>
      <c r="G28">
        <f t="shared" si="1"/>
        <v>26.564999999999998</v>
      </c>
      <c r="I28" s="287"/>
    </row>
    <row r="29" spans="2:10">
      <c r="C29">
        <f>2.9+6.6</f>
        <v>9.5</v>
      </c>
      <c r="D29">
        <v>2.95</v>
      </c>
      <c r="F29">
        <f>(0.6*2.1)+(0.4*0.4)</f>
        <v>1.42</v>
      </c>
      <c r="G29">
        <f t="shared" si="1"/>
        <v>26.605000000000004</v>
      </c>
      <c r="I29" s="287"/>
    </row>
    <row r="30" spans="2:10">
      <c r="I30" s="287"/>
    </row>
    <row r="35" spans="2:10">
      <c r="B35" s="288" t="s">
        <v>501</v>
      </c>
      <c r="C35" s="288"/>
      <c r="D35" s="288"/>
      <c r="E35" s="288"/>
      <c r="F35" s="288"/>
      <c r="G35" s="288"/>
      <c r="H35" s="288"/>
      <c r="I35" s="288"/>
    </row>
    <row r="37" spans="2:10">
      <c r="C37" t="s">
        <v>496</v>
      </c>
      <c r="D37" t="s">
        <v>502</v>
      </c>
      <c r="F37" t="s">
        <v>498</v>
      </c>
      <c r="G37" t="s">
        <v>499</v>
      </c>
    </row>
    <row r="38" spans="2:10">
      <c r="C38">
        <v>9.56</v>
      </c>
      <c r="D38">
        <v>4.28</v>
      </c>
      <c r="G38">
        <f t="shared" ref="G38:G44" si="2">(C38*D38)-F38</f>
        <v>40.916800000000002</v>
      </c>
      <c r="I38" s="287">
        <f>SUM(G38:G44)</f>
        <v>86.570800000000006</v>
      </c>
    </row>
    <row r="39" spans="2:10">
      <c r="C39">
        <v>1.55</v>
      </c>
      <c r="D39">
        <v>3.3</v>
      </c>
      <c r="G39">
        <f t="shared" si="2"/>
        <v>5.1150000000000002</v>
      </c>
      <c r="I39" s="287"/>
    </row>
    <row r="40" spans="2:10">
      <c r="C40">
        <v>1.55</v>
      </c>
      <c r="D40">
        <v>3.3</v>
      </c>
      <c r="G40">
        <f t="shared" si="2"/>
        <v>5.1150000000000002</v>
      </c>
      <c r="I40" s="287"/>
    </row>
    <row r="41" spans="2:10">
      <c r="C41">
        <v>3.3</v>
      </c>
      <c r="D41">
        <v>1.45</v>
      </c>
      <c r="G41">
        <f t="shared" si="2"/>
        <v>4.7849999999999993</v>
      </c>
      <c r="I41" s="287"/>
      <c r="J41" t="s">
        <v>500</v>
      </c>
    </row>
    <row r="42" spans="2:10">
      <c r="C42">
        <v>3.3</v>
      </c>
      <c r="D42">
        <v>1.45</v>
      </c>
      <c r="G42">
        <f t="shared" si="2"/>
        <v>4.7849999999999993</v>
      </c>
      <c r="I42" s="287"/>
    </row>
    <row r="43" spans="2:10">
      <c r="C43">
        <v>4.8</v>
      </c>
      <c r="D43">
        <v>4.28</v>
      </c>
      <c r="G43">
        <f t="shared" si="2"/>
        <v>20.544</v>
      </c>
      <c r="I43" s="287"/>
    </row>
    <row r="44" spans="2:10">
      <c r="C44">
        <v>4.5</v>
      </c>
      <c r="D44">
        <v>1.18</v>
      </c>
      <c r="G44">
        <f t="shared" si="2"/>
        <v>5.31</v>
      </c>
      <c r="I44" s="287"/>
    </row>
    <row r="48" spans="2:10">
      <c r="B48" s="288" t="s">
        <v>503</v>
      </c>
      <c r="C48" s="288"/>
      <c r="D48" s="288"/>
      <c r="E48" s="288"/>
      <c r="F48" s="288"/>
      <c r="G48" s="288"/>
      <c r="H48" s="288"/>
      <c r="I48" s="288"/>
    </row>
    <row r="50" spans="2:9">
      <c r="C50" t="s">
        <v>496</v>
      </c>
      <c r="D50" t="s">
        <v>502</v>
      </c>
      <c r="E50" t="s">
        <v>504</v>
      </c>
      <c r="G50" t="s">
        <v>499</v>
      </c>
    </row>
    <row r="51" spans="2:9">
      <c r="C51">
        <v>3.25</v>
      </c>
      <c r="D51">
        <v>0.25</v>
      </c>
      <c r="E51">
        <v>0.3</v>
      </c>
      <c r="G51">
        <f>(C51*D51*E51)</f>
        <v>0.24374999999999999</v>
      </c>
      <c r="I51" s="287">
        <f>SUM(G51:G57)*1.3</f>
        <v>8.1509999999999998</v>
      </c>
    </row>
    <row r="52" spans="2:9">
      <c r="C52">
        <v>3.25</v>
      </c>
      <c r="D52">
        <v>0.25</v>
      </c>
      <c r="E52">
        <v>0.3</v>
      </c>
      <c r="G52">
        <f t="shared" ref="G52:G57" si="3">(C52*D52*E52)</f>
        <v>0.24374999999999999</v>
      </c>
      <c r="I52" s="287"/>
    </row>
    <row r="53" spans="2:9">
      <c r="C53">
        <v>3.1</v>
      </c>
      <c r="D53">
        <v>0.25</v>
      </c>
      <c r="E53">
        <v>0.3</v>
      </c>
      <c r="G53">
        <f t="shared" si="3"/>
        <v>0.23249999999999998</v>
      </c>
      <c r="I53" s="287"/>
    </row>
    <row r="54" spans="2:9">
      <c r="C54">
        <v>5.6</v>
      </c>
      <c r="D54">
        <v>0.25</v>
      </c>
      <c r="E54">
        <v>0.3</v>
      </c>
      <c r="G54">
        <f t="shared" si="3"/>
        <v>0.42</v>
      </c>
      <c r="I54" s="287"/>
    </row>
    <row r="55" spans="2:9">
      <c r="C55">
        <v>1.8</v>
      </c>
      <c r="D55">
        <v>1.9</v>
      </c>
      <c r="E55">
        <v>1.5</v>
      </c>
      <c r="G55">
        <f t="shared" si="3"/>
        <v>5.13</v>
      </c>
      <c r="I55" s="287"/>
    </row>
    <row r="56" spans="2:9">
      <c r="G56">
        <f t="shared" si="3"/>
        <v>0</v>
      </c>
      <c r="I56" s="287"/>
    </row>
    <row r="57" spans="2:9">
      <c r="G57">
        <f t="shared" si="3"/>
        <v>0</v>
      </c>
      <c r="I57" s="287"/>
    </row>
    <row r="60" spans="2:9">
      <c r="B60" s="288" t="s">
        <v>505</v>
      </c>
      <c r="C60" s="288"/>
      <c r="D60" s="288"/>
      <c r="E60" s="288"/>
      <c r="F60" s="288"/>
      <c r="G60" s="288"/>
      <c r="H60" s="288"/>
      <c r="I60" s="288"/>
    </row>
    <row r="62" spans="2:9">
      <c r="C62" t="s">
        <v>496</v>
      </c>
      <c r="D62" t="s">
        <v>502</v>
      </c>
      <c r="E62" t="s">
        <v>504</v>
      </c>
      <c r="G62" t="s">
        <v>499</v>
      </c>
    </row>
    <row r="63" spans="2:9">
      <c r="C63">
        <v>3.25</v>
      </c>
      <c r="D63">
        <v>0.25</v>
      </c>
      <c r="G63">
        <f>(C63*D63)</f>
        <v>0.8125</v>
      </c>
      <c r="I63" s="287">
        <f>SUM(G63:G69)</f>
        <v>7.22</v>
      </c>
    </row>
    <row r="64" spans="2:9">
      <c r="C64">
        <v>3.25</v>
      </c>
      <c r="D64">
        <v>0.25</v>
      </c>
      <c r="G64">
        <f t="shared" ref="G64:G69" si="4">(C64*D64)</f>
        <v>0.8125</v>
      </c>
      <c r="I64" s="287"/>
    </row>
    <row r="65" spans="2:9">
      <c r="C65">
        <v>3.1</v>
      </c>
      <c r="D65">
        <v>0.25</v>
      </c>
      <c r="G65">
        <f t="shared" si="4"/>
        <v>0.77500000000000002</v>
      </c>
      <c r="I65" s="287"/>
    </row>
    <row r="66" spans="2:9">
      <c r="C66">
        <v>5.6</v>
      </c>
      <c r="D66">
        <v>0.25</v>
      </c>
      <c r="G66">
        <f t="shared" si="4"/>
        <v>1.4</v>
      </c>
      <c r="I66" s="287"/>
    </row>
    <row r="67" spans="2:9">
      <c r="C67">
        <v>1.8</v>
      </c>
      <c r="D67">
        <v>1.9</v>
      </c>
      <c r="G67">
        <f t="shared" si="4"/>
        <v>3.42</v>
      </c>
      <c r="I67" s="287"/>
    </row>
    <row r="68" spans="2:9">
      <c r="G68">
        <f t="shared" si="4"/>
        <v>0</v>
      </c>
      <c r="I68" s="287"/>
    </row>
    <row r="69" spans="2:9">
      <c r="G69">
        <f t="shared" si="4"/>
        <v>0</v>
      </c>
      <c r="I69" s="287"/>
    </row>
    <row r="72" spans="2:9">
      <c r="B72" s="288" t="s">
        <v>506</v>
      </c>
      <c r="C72" s="288"/>
      <c r="D72" s="288"/>
      <c r="E72" s="288"/>
      <c r="F72" s="288"/>
      <c r="G72" s="288"/>
      <c r="H72" s="288"/>
      <c r="I72" s="288"/>
    </row>
    <row r="74" spans="2:9">
      <c r="C74" t="s">
        <v>496</v>
      </c>
      <c r="D74" t="s">
        <v>507</v>
      </c>
      <c r="G74" t="s">
        <v>499</v>
      </c>
    </row>
    <row r="75" spans="2:9">
      <c r="C75">
        <v>2.5</v>
      </c>
      <c r="D75">
        <v>1.2</v>
      </c>
      <c r="G75">
        <f>(C75*D75)</f>
        <v>3</v>
      </c>
      <c r="I75" s="287">
        <f>SUM(G75:G81)</f>
        <v>21.990000000000002</v>
      </c>
    </row>
    <row r="76" spans="2:9">
      <c r="C76">
        <v>2.5</v>
      </c>
      <c r="D76">
        <v>1.2</v>
      </c>
      <c r="G76">
        <f t="shared" ref="G76:G81" si="5">(C76*D76)</f>
        <v>3</v>
      </c>
      <c r="I76" s="287"/>
    </row>
    <row r="77" spans="2:9">
      <c r="C77">
        <v>0.8</v>
      </c>
      <c r="D77">
        <v>1.2</v>
      </c>
      <c r="G77">
        <f t="shared" si="5"/>
        <v>0.96</v>
      </c>
      <c r="I77" s="287"/>
    </row>
    <row r="78" spans="2:9">
      <c r="C78">
        <v>0.8</v>
      </c>
      <c r="D78">
        <v>1.2</v>
      </c>
      <c r="G78">
        <f t="shared" si="5"/>
        <v>0.96</v>
      </c>
      <c r="I78" s="287"/>
    </row>
    <row r="79" spans="2:9">
      <c r="C79">
        <v>0.7</v>
      </c>
      <c r="D79">
        <v>1.2</v>
      </c>
      <c r="G79">
        <f t="shared" si="5"/>
        <v>0.84</v>
      </c>
      <c r="I79" s="287"/>
    </row>
    <row r="80" spans="2:9">
      <c r="C80">
        <v>0.7</v>
      </c>
      <c r="D80">
        <v>2.1</v>
      </c>
      <c r="E80">
        <v>9</v>
      </c>
      <c r="G80">
        <f>(C80*D80)*E80</f>
        <v>13.23</v>
      </c>
      <c r="I80" s="287"/>
    </row>
    <row r="81" spans="2:9">
      <c r="G81">
        <f t="shared" si="5"/>
        <v>0</v>
      </c>
      <c r="I81" s="287"/>
    </row>
    <row r="87" spans="2:9">
      <c r="B87" s="288" t="s">
        <v>508</v>
      </c>
      <c r="C87" s="288"/>
      <c r="D87" s="288"/>
      <c r="E87" s="288"/>
      <c r="F87" s="288"/>
      <c r="G87" s="288"/>
      <c r="H87" s="288"/>
      <c r="I87" s="288"/>
    </row>
    <row r="89" spans="2:9">
      <c r="C89" t="s">
        <v>496</v>
      </c>
      <c r="D89" t="s">
        <v>507</v>
      </c>
      <c r="E89" t="s">
        <v>509</v>
      </c>
      <c r="F89" t="s">
        <v>510</v>
      </c>
      <c r="G89" t="s">
        <v>499</v>
      </c>
    </row>
    <row r="90" spans="2:9">
      <c r="B90" t="s">
        <v>511</v>
      </c>
      <c r="C90">
        <v>3.25</v>
      </c>
      <c r="D90">
        <v>2.95</v>
      </c>
      <c r="F90">
        <f>1.2*1.2</f>
        <v>1.44</v>
      </c>
      <c r="G90">
        <f>(C90*D90)-F90</f>
        <v>8.1475000000000009</v>
      </c>
      <c r="I90" s="287">
        <f>SUM(G90:G99)</f>
        <v>190.71949999999998</v>
      </c>
    </row>
    <row r="91" spans="2:9">
      <c r="B91" t="s">
        <v>511</v>
      </c>
      <c r="C91">
        <v>3.1</v>
      </c>
      <c r="D91">
        <v>2.95</v>
      </c>
      <c r="F91">
        <f>0.7*2.1</f>
        <v>1.47</v>
      </c>
      <c r="G91">
        <f t="shared" ref="G91:G99" si="6">(C91*D91)-F91</f>
        <v>7.6750000000000016</v>
      </c>
      <c r="I91" s="287"/>
    </row>
    <row r="92" spans="2:9">
      <c r="B92" t="s">
        <v>511</v>
      </c>
      <c r="C92">
        <v>5.6</v>
      </c>
      <c r="D92">
        <v>2.95</v>
      </c>
      <c r="F92">
        <f>(2.1*0.7)+(1.2*1.5)+(1.2*1.2)</f>
        <v>4.7099999999999991</v>
      </c>
      <c r="G92">
        <f t="shared" si="6"/>
        <v>11.81</v>
      </c>
      <c r="I92" s="287"/>
    </row>
    <row r="93" spans="2:9">
      <c r="B93" t="s">
        <v>512</v>
      </c>
      <c r="C93">
        <v>0.8</v>
      </c>
      <c r="D93">
        <v>2.1</v>
      </c>
      <c r="E93">
        <v>2</v>
      </c>
      <c r="G93">
        <f>(C93*D93)*E93</f>
        <v>3.3600000000000003</v>
      </c>
      <c r="I93" s="287"/>
    </row>
    <row r="94" spans="2:9">
      <c r="B94" t="s">
        <v>512</v>
      </c>
      <c r="C94">
        <v>0.6</v>
      </c>
      <c r="D94">
        <v>2.1</v>
      </c>
      <c r="E94">
        <v>2</v>
      </c>
      <c r="G94">
        <f>(C94*D94)*E94</f>
        <v>2.52</v>
      </c>
      <c r="I94" s="287"/>
    </row>
    <row r="95" spans="2:9">
      <c r="B95" t="s">
        <v>513</v>
      </c>
      <c r="C95">
        <v>4</v>
      </c>
      <c r="D95">
        <v>11.7</v>
      </c>
      <c r="F95">
        <v>7.04</v>
      </c>
      <c r="G95">
        <f t="shared" si="6"/>
        <v>39.76</v>
      </c>
      <c r="I95" s="287"/>
    </row>
    <row r="96" spans="2:9">
      <c r="B96" t="s">
        <v>514</v>
      </c>
      <c r="C96">
        <v>30.31</v>
      </c>
      <c r="D96">
        <v>2.2999999999999998</v>
      </c>
      <c r="F96">
        <f>((2.5*1.2)*3)+((2.31*1.3)*2)+(1.2*1.25)</f>
        <v>16.506</v>
      </c>
      <c r="G96">
        <f t="shared" si="6"/>
        <v>53.206999999999994</v>
      </c>
      <c r="I96" s="287"/>
    </row>
    <row r="97" spans="2:9">
      <c r="B97" t="s">
        <v>515</v>
      </c>
      <c r="C97">
        <v>12.77</v>
      </c>
      <c r="D97">
        <v>3</v>
      </c>
      <c r="F97">
        <f>1.1*2.1</f>
        <v>2.3100000000000005</v>
      </c>
      <c r="G97">
        <f t="shared" si="6"/>
        <v>36</v>
      </c>
    </row>
    <row r="98" spans="2:9">
      <c r="B98" t="s">
        <v>516</v>
      </c>
      <c r="C98">
        <v>12.4</v>
      </c>
      <c r="D98">
        <v>1.5</v>
      </c>
      <c r="G98">
        <f t="shared" si="6"/>
        <v>18.600000000000001</v>
      </c>
    </row>
    <row r="99" spans="2:9">
      <c r="B99" t="s">
        <v>514</v>
      </c>
      <c r="C99">
        <v>6.2</v>
      </c>
      <c r="D99">
        <v>2.2999999999999998</v>
      </c>
      <c r="F99">
        <f>(2.5*1.2)+(1.35*1.2)</f>
        <v>4.62</v>
      </c>
      <c r="G99">
        <f t="shared" si="6"/>
        <v>9.64</v>
      </c>
    </row>
    <row r="102" spans="2:9">
      <c r="B102" s="288" t="s">
        <v>517</v>
      </c>
      <c r="C102" s="288"/>
      <c r="D102" s="288"/>
      <c r="E102" s="288"/>
      <c r="F102" s="288"/>
      <c r="G102" s="288"/>
      <c r="H102" s="288"/>
      <c r="I102" s="288"/>
    </row>
    <row r="104" spans="2:9">
      <c r="C104" t="s">
        <v>496</v>
      </c>
      <c r="D104" t="s">
        <v>507</v>
      </c>
      <c r="E104" t="s">
        <v>494</v>
      </c>
      <c r="G104" t="s">
        <v>499</v>
      </c>
    </row>
    <row r="105" spans="2:9">
      <c r="C105">
        <v>4</v>
      </c>
      <c r="D105">
        <v>0.2</v>
      </c>
      <c r="E105">
        <v>0.14000000000000001</v>
      </c>
      <c r="G105">
        <f>(C105*D105*E105)</f>
        <v>0.11200000000000002</v>
      </c>
      <c r="I105" s="287">
        <f>SUM(G105:G117)</f>
        <v>1.3775999999999999</v>
      </c>
    </row>
    <row r="106" spans="2:9">
      <c r="C106">
        <v>4</v>
      </c>
      <c r="D106">
        <v>0.2</v>
      </c>
      <c r="E106">
        <v>0.14000000000000001</v>
      </c>
      <c r="G106">
        <f t="shared" ref="G106:G117" si="7">(C106*D106*E106)</f>
        <v>0.11200000000000002</v>
      </c>
      <c r="I106" s="287"/>
    </row>
    <row r="107" spans="2:9">
      <c r="C107">
        <v>3.8</v>
      </c>
      <c r="D107">
        <v>0.2</v>
      </c>
      <c r="E107">
        <v>0.14000000000000001</v>
      </c>
      <c r="G107">
        <f t="shared" si="7"/>
        <v>0.10640000000000001</v>
      </c>
      <c r="I107" s="287"/>
    </row>
    <row r="108" spans="2:9">
      <c r="C108">
        <v>4</v>
      </c>
      <c r="D108">
        <v>0.2</v>
      </c>
      <c r="E108">
        <v>0.14000000000000001</v>
      </c>
      <c r="G108">
        <f t="shared" si="7"/>
        <v>0.11200000000000002</v>
      </c>
      <c r="I108" s="287"/>
    </row>
    <row r="109" spans="2:9">
      <c r="C109">
        <v>6</v>
      </c>
      <c r="D109">
        <v>0.3</v>
      </c>
      <c r="E109">
        <v>0.14000000000000001</v>
      </c>
      <c r="G109">
        <f t="shared" si="7"/>
        <v>0.252</v>
      </c>
      <c r="I109" s="287"/>
    </row>
    <row r="110" spans="2:9">
      <c r="C110">
        <v>6</v>
      </c>
      <c r="D110">
        <v>0.3</v>
      </c>
      <c r="E110">
        <v>0.14000000000000001</v>
      </c>
      <c r="G110">
        <f t="shared" si="7"/>
        <v>0.252</v>
      </c>
      <c r="I110" s="287"/>
    </row>
    <row r="111" spans="2:9">
      <c r="C111">
        <v>1.2</v>
      </c>
      <c r="D111">
        <v>0.2</v>
      </c>
      <c r="E111">
        <v>0.14000000000000001</v>
      </c>
      <c r="G111">
        <f t="shared" si="7"/>
        <v>3.3600000000000005E-2</v>
      </c>
      <c r="I111" s="287"/>
    </row>
    <row r="112" spans="2:9">
      <c r="C112">
        <v>1.2</v>
      </c>
      <c r="D112">
        <v>0.2</v>
      </c>
      <c r="E112">
        <v>0.14000000000000001</v>
      </c>
      <c r="G112">
        <f t="shared" si="7"/>
        <v>3.3600000000000005E-2</v>
      </c>
    </row>
    <row r="113" spans="2:9">
      <c r="C113">
        <v>1.4</v>
      </c>
      <c r="D113">
        <v>0.2</v>
      </c>
      <c r="E113">
        <v>0.14000000000000001</v>
      </c>
      <c r="G113">
        <f t="shared" si="7"/>
        <v>3.9199999999999999E-2</v>
      </c>
    </row>
    <row r="114" spans="2:9">
      <c r="C114">
        <v>1.4</v>
      </c>
      <c r="D114">
        <v>0.2</v>
      </c>
      <c r="E114">
        <v>0.14000000000000001</v>
      </c>
      <c r="G114">
        <f t="shared" si="7"/>
        <v>3.9199999999999999E-2</v>
      </c>
    </row>
    <row r="115" spans="2:9">
      <c r="C115">
        <v>3</v>
      </c>
      <c r="D115">
        <v>0.2</v>
      </c>
      <c r="E115">
        <v>0.14000000000000001</v>
      </c>
      <c r="G115">
        <f t="shared" si="7"/>
        <v>8.4000000000000019E-2</v>
      </c>
    </row>
    <row r="116" spans="2:9">
      <c r="C116">
        <f>1.8*3</f>
        <v>5.4</v>
      </c>
      <c r="D116">
        <v>0.2</v>
      </c>
      <c r="E116">
        <v>0.14000000000000001</v>
      </c>
      <c r="G116">
        <f t="shared" si="7"/>
        <v>0.15120000000000003</v>
      </c>
    </row>
    <row r="117" spans="2:9">
      <c r="C117">
        <v>1.8</v>
      </c>
      <c r="D117">
        <v>0.2</v>
      </c>
      <c r="E117">
        <v>0.14000000000000001</v>
      </c>
      <c r="G117">
        <f t="shared" si="7"/>
        <v>5.0400000000000007E-2</v>
      </c>
    </row>
    <row r="119" spans="2:9">
      <c r="B119" s="288" t="s">
        <v>518</v>
      </c>
      <c r="C119" s="288"/>
      <c r="D119" s="288"/>
      <c r="E119" s="288"/>
      <c r="F119" s="288"/>
      <c r="G119" s="288"/>
      <c r="H119" s="288"/>
      <c r="I119" s="288"/>
    </row>
    <row r="121" spans="2:9">
      <c r="C121" t="s">
        <v>496</v>
      </c>
      <c r="D121" t="s">
        <v>507</v>
      </c>
      <c r="E121" t="s">
        <v>519</v>
      </c>
      <c r="G121" t="s">
        <v>499</v>
      </c>
    </row>
    <row r="122" spans="2:9">
      <c r="C122">
        <v>5.58</v>
      </c>
      <c r="D122">
        <v>2.7</v>
      </c>
      <c r="G122">
        <f>(C122*D122)-E122</f>
        <v>15.066000000000001</v>
      </c>
      <c r="I122" s="287">
        <f>SUM(G122:G134)</f>
        <v>82.403999999999996</v>
      </c>
    </row>
    <row r="123" spans="2:9">
      <c r="C123">
        <v>5.58</v>
      </c>
      <c r="D123">
        <v>2.7</v>
      </c>
      <c r="G123">
        <f t="shared" ref="G123:G128" si="8">(C123*D123)-E123</f>
        <v>15.066000000000001</v>
      </c>
      <c r="I123" s="287"/>
    </row>
    <row r="124" spans="2:9">
      <c r="C124">
        <v>5.58</v>
      </c>
      <c r="D124">
        <v>2.7</v>
      </c>
      <c r="G124">
        <f t="shared" si="8"/>
        <v>15.066000000000001</v>
      </c>
      <c r="I124" s="287"/>
    </row>
    <row r="125" spans="2:9">
      <c r="C125">
        <v>5.43</v>
      </c>
      <c r="D125">
        <v>2.7</v>
      </c>
      <c r="E125">
        <f>(0.9*1.5)*2</f>
        <v>2.7</v>
      </c>
      <c r="G125">
        <f t="shared" si="8"/>
        <v>11.960999999999999</v>
      </c>
      <c r="I125" s="287"/>
    </row>
    <row r="126" spans="2:9">
      <c r="C126">
        <v>5.43</v>
      </c>
      <c r="D126">
        <v>2.7</v>
      </c>
      <c r="E126">
        <f>(0.9*2.1)*2</f>
        <v>3.7800000000000002</v>
      </c>
      <c r="G126">
        <f t="shared" si="8"/>
        <v>10.881</v>
      </c>
      <c r="I126" s="287"/>
    </row>
    <row r="127" spans="2:9">
      <c r="C127">
        <v>5.43</v>
      </c>
      <c r="D127">
        <v>2.7</v>
      </c>
      <c r="E127">
        <f>(0.9*2.1)*2</f>
        <v>3.7800000000000002</v>
      </c>
      <c r="G127">
        <f t="shared" si="8"/>
        <v>10.881</v>
      </c>
      <c r="I127" s="287"/>
    </row>
    <row r="128" spans="2:9">
      <c r="C128">
        <v>1.29</v>
      </c>
      <c r="D128">
        <v>2.7</v>
      </c>
      <c r="G128">
        <f t="shared" si="8"/>
        <v>3.4830000000000005</v>
      </c>
      <c r="I128" s="287"/>
    </row>
    <row r="135" spans="2:9">
      <c r="B135" s="288" t="s">
        <v>520</v>
      </c>
      <c r="C135" s="288"/>
      <c r="D135" s="288"/>
      <c r="E135" s="288"/>
      <c r="F135" s="288"/>
      <c r="G135" s="288"/>
      <c r="H135" s="288"/>
      <c r="I135" s="288"/>
    </row>
    <row r="137" spans="2:9">
      <c r="C137" t="s">
        <v>496</v>
      </c>
      <c r="D137" t="s">
        <v>507</v>
      </c>
      <c r="E137" t="s">
        <v>519</v>
      </c>
      <c r="G137" t="s">
        <v>499</v>
      </c>
    </row>
    <row r="138" spans="2:9">
      <c r="C138">
        <v>4.16</v>
      </c>
      <c r="D138">
        <v>2.95</v>
      </c>
      <c r="E138">
        <f>0.8*2.1</f>
        <v>1.6800000000000002</v>
      </c>
      <c r="G138">
        <f>(C138*D138)-E138</f>
        <v>10.592000000000002</v>
      </c>
      <c r="I138" s="287">
        <f>SUM(G138:G150)</f>
        <v>48.504000000000012</v>
      </c>
    </row>
    <row r="139" spans="2:9">
      <c r="C139">
        <v>4.16</v>
      </c>
      <c r="D139">
        <v>2.95</v>
      </c>
      <c r="E139">
        <f>0.8*2.1</f>
        <v>1.6800000000000002</v>
      </c>
      <c r="G139">
        <f t="shared" ref="G139:G144" si="9">(C139*D139-E139)</f>
        <v>10.592000000000002</v>
      </c>
      <c r="I139" s="287"/>
    </row>
    <row r="140" spans="2:9">
      <c r="C140">
        <v>0.8</v>
      </c>
      <c r="D140">
        <v>2.95</v>
      </c>
      <c r="G140">
        <f t="shared" si="9"/>
        <v>2.3600000000000003</v>
      </c>
      <c r="I140" s="287"/>
    </row>
    <row r="141" spans="2:9">
      <c r="C141">
        <v>0.8</v>
      </c>
      <c r="D141">
        <v>2.95</v>
      </c>
      <c r="G141">
        <f t="shared" si="9"/>
        <v>2.3600000000000003</v>
      </c>
      <c r="I141" s="287"/>
    </row>
    <row r="142" spans="2:9">
      <c r="C142">
        <v>4.4000000000000004</v>
      </c>
      <c r="D142">
        <v>2.95</v>
      </c>
      <c r="E142">
        <f>0.8*2.1</f>
        <v>1.6800000000000002</v>
      </c>
      <c r="G142">
        <f t="shared" si="9"/>
        <v>11.300000000000002</v>
      </c>
      <c r="I142" s="287"/>
    </row>
    <row r="143" spans="2:9">
      <c r="C143">
        <v>4.4000000000000004</v>
      </c>
      <c r="D143">
        <v>2.95</v>
      </c>
      <c r="E143">
        <f>0.8*2.1</f>
        <v>1.6800000000000002</v>
      </c>
      <c r="G143">
        <f t="shared" si="9"/>
        <v>11.300000000000002</v>
      </c>
      <c r="I143" s="287"/>
    </row>
    <row r="144" spans="2:9">
      <c r="G144">
        <f t="shared" si="9"/>
        <v>0</v>
      </c>
      <c r="I144" s="287"/>
    </row>
    <row r="145" spans="2:9">
      <c r="G145">
        <f t="shared" ref="G145:G150" si="10">(C145*D145*E145)</f>
        <v>0</v>
      </c>
    </row>
    <row r="146" spans="2:9">
      <c r="G146">
        <f t="shared" si="10"/>
        <v>0</v>
      </c>
    </row>
    <row r="147" spans="2:9">
      <c r="G147">
        <f t="shared" si="10"/>
        <v>0</v>
      </c>
    </row>
    <row r="148" spans="2:9">
      <c r="G148">
        <f t="shared" si="10"/>
        <v>0</v>
      </c>
    </row>
    <row r="149" spans="2:9">
      <c r="G149">
        <f t="shared" si="10"/>
        <v>0</v>
      </c>
    </row>
    <row r="150" spans="2:9">
      <c r="G150">
        <f t="shared" si="10"/>
        <v>0</v>
      </c>
    </row>
    <row r="153" spans="2:9">
      <c r="B153" s="288" t="s">
        <v>521</v>
      </c>
      <c r="C153" s="288"/>
      <c r="D153" s="288"/>
      <c r="E153" s="288"/>
      <c r="F153" s="288"/>
      <c r="G153" s="288"/>
      <c r="H153" s="288"/>
      <c r="I153" s="288"/>
    </row>
    <row r="155" spans="2:9">
      <c r="C155" t="s">
        <v>496</v>
      </c>
      <c r="D155" t="s">
        <v>507</v>
      </c>
      <c r="E155" t="s">
        <v>519</v>
      </c>
      <c r="G155" t="s">
        <v>499</v>
      </c>
    </row>
    <row r="156" spans="2:9">
      <c r="C156">
        <v>1.95</v>
      </c>
      <c r="D156">
        <v>1.6</v>
      </c>
      <c r="G156">
        <f>(C156*D156)</f>
        <v>3.12</v>
      </c>
      <c r="I156" s="287">
        <f>SUM(G156:G168)</f>
        <v>12.32</v>
      </c>
    </row>
    <row r="157" spans="2:9">
      <c r="C157">
        <v>1.95</v>
      </c>
      <c r="D157">
        <v>1.6</v>
      </c>
      <c r="G157">
        <f>(C157*D157)</f>
        <v>3.12</v>
      </c>
      <c r="I157" s="287"/>
    </row>
    <row r="158" spans="2:9">
      <c r="C158">
        <v>1.9</v>
      </c>
      <c r="D158">
        <v>1.6</v>
      </c>
      <c r="G158">
        <f>(C158*D158)</f>
        <v>3.04</v>
      </c>
      <c r="I158" s="287"/>
    </row>
    <row r="159" spans="2:9">
      <c r="C159">
        <v>1.9</v>
      </c>
      <c r="D159">
        <v>1.6</v>
      </c>
      <c r="G159">
        <f>(C159*D159)</f>
        <v>3.04</v>
      </c>
      <c r="I159" s="287"/>
    </row>
    <row r="160" spans="2:9">
      <c r="G160">
        <f t="shared" ref="G160:G168" si="11">(C160*D160*E160)</f>
        <v>0</v>
      </c>
      <c r="I160" s="287"/>
    </row>
    <row r="161" spans="2:9">
      <c r="G161">
        <f t="shared" si="11"/>
        <v>0</v>
      </c>
      <c r="I161" s="287"/>
    </row>
    <row r="162" spans="2:9">
      <c r="G162">
        <f t="shared" si="11"/>
        <v>0</v>
      </c>
      <c r="I162" s="287"/>
    </row>
    <row r="163" spans="2:9">
      <c r="G163">
        <f t="shared" si="11"/>
        <v>0</v>
      </c>
    </row>
    <row r="164" spans="2:9">
      <c r="G164">
        <f t="shared" si="11"/>
        <v>0</v>
      </c>
    </row>
    <row r="165" spans="2:9">
      <c r="G165">
        <f t="shared" si="11"/>
        <v>0</v>
      </c>
    </row>
    <row r="166" spans="2:9">
      <c r="G166">
        <f t="shared" si="11"/>
        <v>0</v>
      </c>
    </row>
    <row r="167" spans="2:9">
      <c r="G167">
        <f t="shared" si="11"/>
        <v>0</v>
      </c>
    </row>
    <row r="168" spans="2:9">
      <c r="G168">
        <f t="shared" si="11"/>
        <v>0</v>
      </c>
    </row>
    <row r="170" spans="2:9">
      <c r="B170" s="288" t="s">
        <v>522</v>
      </c>
      <c r="C170" s="288"/>
      <c r="D170" s="288"/>
      <c r="E170" s="288"/>
      <c r="F170" s="288"/>
      <c r="G170" s="288"/>
      <c r="H170" s="288"/>
      <c r="I170" s="288"/>
    </row>
    <row r="172" spans="2:9">
      <c r="C172" t="s">
        <v>496</v>
      </c>
      <c r="D172" t="s">
        <v>507</v>
      </c>
      <c r="E172" t="s">
        <v>519</v>
      </c>
      <c r="G172" t="s">
        <v>499</v>
      </c>
    </row>
    <row r="173" spans="2:9">
      <c r="C173" t="s">
        <v>523</v>
      </c>
      <c r="D173">
        <v>1.8</v>
      </c>
      <c r="G173" t="e">
        <f>(C173*D173)</f>
        <v>#VALUE!</v>
      </c>
      <c r="I173" s="287" t="e">
        <f>SUM(G173:G181)</f>
        <v>#VALUE!</v>
      </c>
    </row>
    <row r="174" spans="2:9">
      <c r="C174">
        <v>0.57999999999999996</v>
      </c>
      <c r="D174">
        <v>1.8</v>
      </c>
      <c r="G174">
        <f t="shared" ref="G174:G180" si="12">(C174*D174)</f>
        <v>1.044</v>
      </c>
      <c r="I174" s="287"/>
    </row>
    <row r="175" spans="2:9">
      <c r="C175">
        <v>0.65</v>
      </c>
      <c r="D175">
        <v>1.8</v>
      </c>
      <c r="G175">
        <f t="shared" si="12"/>
        <v>1.1700000000000002</v>
      </c>
      <c r="I175" s="287"/>
    </row>
    <row r="176" spans="2:9">
      <c r="C176">
        <v>0.15</v>
      </c>
      <c r="D176">
        <v>1.8</v>
      </c>
      <c r="G176">
        <f t="shared" si="12"/>
        <v>0.27</v>
      </c>
      <c r="I176" s="287"/>
    </row>
    <row r="177" spans="2:9">
      <c r="C177">
        <v>0.55000000000000004</v>
      </c>
      <c r="D177">
        <v>1.8</v>
      </c>
      <c r="G177">
        <f t="shared" si="12"/>
        <v>0.9900000000000001</v>
      </c>
      <c r="I177" s="287"/>
    </row>
    <row r="178" spans="2:9">
      <c r="C178">
        <v>0.55000000000000004</v>
      </c>
      <c r="D178">
        <v>1.8</v>
      </c>
      <c r="G178">
        <f t="shared" si="12"/>
        <v>0.9900000000000001</v>
      </c>
      <c r="I178" s="287"/>
    </row>
    <row r="179" spans="2:9">
      <c r="C179">
        <v>1.1499999999999999</v>
      </c>
      <c r="D179">
        <v>1.8</v>
      </c>
      <c r="G179">
        <f t="shared" si="12"/>
        <v>2.0699999999999998</v>
      </c>
      <c r="I179" s="287"/>
    </row>
    <row r="180" spans="2:9">
      <c r="C180">
        <v>0.3</v>
      </c>
      <c r="D180">
        <v>1.8</v>
      </c>
      <c r="G180">
        <f t="shared" si="12"/>
        <v>0.54</v>
      </c>
    </row>
    <row r="184" spans="2:9">
      <c r="B184" s="288" t="s">
        <v>524</v>
      </c>
      <c r="C184" s="288"/>
      <c r="D184" s="288"/>
      <c r="E184" s="288"/>
      <c r="F184" s="288"/>
      <c r="G184" s="288"/>
      <c r="H184" s="288"/>
      <c r="I184" s="288"/>
    </row>
    <row r="186" spans="2:9">
      <c r="C186" t="s">
        <v>496</v>
      </c>
      <c r="D186" t="s">
        <v>507</v>
      </c>
      <c r="E186" t="s">
        <v>519</v>
      </c>
      <c r="G186" t="s">
        <v>499</v>
      </c>
    </row>
    <row r="187" spans="2:9">
      <c r="C187">
        <v>20.78</v>
      </c>
      <c r="D187">
        <v>2.7</v>
      </c>
      <c r="E187">
        <f>1.89+0.72</f>
        <v>2.61</v>
      </c>
      <c r="G187">
        <f>(C187*D187)-E187</f>
        <v>53.496000000000009</v>
      </c>
      <c r="I187" s="287">
        <f>SUM(G187:G195)</f>
        <v>246.84500000000003</v>
      </c>
    </row>
    <row r="188" spans="2:9">
      <c r="C188">
        <v>19.850000000000001</v>
      </c>
      <c r="D188">
        <v>2.7</v>
      </c>
      <c r="E188">
        <v>2.61</v>
      </c>
      <c r="G188">
        <f t="shared" ref="G188:G194" si="13">(C188*D188)-E188</f>
        <v>50.985000000000007</v>
      </c>
      <c r="I188" s="287"/>
    </row>
    <row r="189" spans="2:9">
      <c r="C189">
        <v>18.16</v>
      </c>
      <c r="D189">
        <v>2.9</v>
      </c>
      <c r="E189">
        <f>2+5.04</f>
        <v>7.04</v>
      </c>
      <c r="G189">
        <f t="shared" si="13"/>
        <v>45.624000000000002</v>
      </c>
      <c r="I189" s="287"/>
    </row>
    <row r="190" spans="2:9">
      <c r="C190">
        <v>9.6999999999999993</v>
      </c>
      <c r="D190">
        <v>2.7</v>
      </c>
      <c r="E190">
        <v>2.0499999999999998</v>
      </c>
      <c r="G190">
        <f t="shared" si="13"/>
        <v>24.14</v>
      </c>
      <c r="I190" s="287"/>
    </row>
    <row r="191" spans="2:9">
      <c r="C191">
        <v>9.6999999999999993</v>
      </c>
      <c r="D191">
        <v>2.7</v>
      </c>
      <c r="E191">
        <v>2.0499999999999998</v>
      </c>
      <c r="G191">
        <f t="shared" si="13"/>
        <v>24.14</v>
      </c>
      <c r="I191" s="287"/>
    </row>
    <row r="192" spans="2:9">
      <c r="C192">
        <v>9.5</v>
      </c>
      <c r="D192">
        <v>2.7</v>
      </c>
      <c r="E192">
        <v>1.42</v>
      </c>
      <c r="G192">
        <f t="shared" si="13"/>
        <v>24.230000000000004</v>
      </c>
      <c r="I192" s="287"/>
    </row>
    <row r="193" spans="2:9">
      <c r="C193">
        <v>9.5</v>
      </c>
      <c r="D193">
        <v>2.7</v>
      </c>
      <c r="E193">
        <v>1.42</v>
      </c>
      <c r="G193">
        <f t="shared" si="13"/>
        <v>24.230000000000004</v>
      </c>
      <c r="I193" s="287"/>
    </row>
    <row r="194" spans="2:9">
      <c r="G194">
        <f t="shared" si="13"/>
        <v>0</v>
      </c>
    </row>
    <row r="196" spans="2:9">
      <c r="B196" s="288" t="s">
        <v>525</v>
      </c>
      <c r="C196" s="288"/>
      <c r="D196" s="288"/>
      <c r="E196" s="288"/>
      <c r="F196" s="288"/>
      <c r="G196" s="288"/>
      <c r="H196" s="288"/>
      <c r="I196" s="288"/>
    </row>
    <row r="198" spans="2:9">
      <c r="C198" t="s">
        <v>496</v>
      </c>
      <c r="D198" t="s">
        <v>507</v>
      </c>
      <c r="E198" t="s">
        <v>519</v>
      </c>
      <c r="G198" t="s">
        <v>499</v>
      </c>
    </row>
    <row r="199" spans="2:9">
      <c r="C199">
        <v>9.1</v>
      </c>
      <c r="D199">
        <v>0.7</v>
      </c>
      <c r="G199">
        <f>(C199*D199)-E199</f>
        <v>6.3699999999999992</v>
      </c>
      <c r="I199" s="287">
        <f>SUM(G199:G207)</f>
        <v>49.66</v>
      </c>
    </row>
    <row r="200" spans="2:9">
      <c r="C200">
        <v>1.95</v>
      </c>
      <c r="D200">
        <v>11.7</v>
      </c>
      <c r="G200">
        <f t="shared" ref="G200:G206" si="14">(C200*D200)-E200</f>
        <v>22.814999999999998</v>
      </c>
      <c r="I200" s="287"/>
    </row>
    <row r="201" spans="2:9">
      <c r="C201">
        <v>1.75</v>
      </c>
      <c r="D201">
        <v>11.7</v>
      </c>
      <c r="G201">
        <f t="shared" si="14"/>
        <v>20.474999999999998</v>
      </c>
      <c r="I201" s="287"/>
    </row>
    <row r="202" spans="2:9">
      <c r="G202">
        <f t="shared" si="14"/>
        <v>0</v>
      </c>
      <c r="I202" s="287"/>
    </row>
    <row r="203" spans="2:9">
      <c r="G203">
        <f t="shared" si="14"/>
        <v>0</v>
      </c>
      <c r="I203" s="287"/>
    </row>
    <row r="204" spans="2:9">
      <c r="G204">
        <f t="shared" si="14"/>
        <v>0</v>
      </c>
      <c r="I204" s="287"/>
    </row>
    <row r="205" spans="2:9">
      <c r="G205">
        <f t="shared" si="14"/>
        <v>0</v>
      </c>
      <c r="I205" s="287"/>
    </row>
    <row r="206" spans="2:9">
      <c r="G206">
        <f t="shared" si="14"/>
        <v>0</v>
      </c>
    </row>
    <row r="209" spans="2:9">
      <c r="B209" s="288" t="s">
        <v>526</v>
      </c>
      <c r="C209" s="288"/>
      <c r="D209" s="288"/>
      <c r="E209" s="288"/>
      <c r="F209" s="288"/>
      <c r="G209" s="288"/>
      <c r="H209" s="288"/>
      <c r="I209" s="288"/>
    </row>
    <row r="211" spans="2:9">
      <c r="C211" t="s">
        <v>527</v>
      </c>
      <c r="G211" t="s">
        <v>499</v>
      </c>
    </row>
    <row r="212" spans="2:9">
      <c r="C212">
        <v>8.26</v>
      </c>
      <c r="G212">
        <f>C212</f>
        <v>8.26</v>
      </c>
      <c r="I212" s="287">
        <f>SUM(G212:G226)</f>
        <v>286.10000000000002</v>
      </c>
    </row>
    <row r="213" spans="2:9">
      <c r="C213">
        <v>7.99</v>
      </c>
      <c r="G213">
        <f t="shared" ref="G213:G226" si="15">C213</f>
        <v>7.99</v>
      </c>
      <c r="I213" s="287"/>
    </row>
    <row r="214" spans="2:9">
      <c r="C214">
        <v>16.600000000000001</v>
      </c>
      <c r="G214">
        <f t="shared" si="15"/>
        <v>16.600000000000001</v>
      </c>
      <c r="I214" s="287"/>
    </row>
    <row r="215" spans="2:9">
      <c r="C215">
        <v>14.26</v>
      </c>
      <c r="G215">
        <f t="shared" si="15"/>
        <v>14.26</v>
      </c>
      <c r="I215" s="287"/>
    </row>
    <row r="216" spans="2:9">
      <c r="C216">
        <v>5.1100000000000003</v>
      </c>
      <c r="G216">
        <f t="shared" si="15"/>
        <v>5.1100000000000003</v>
      </c>
      <c r="I216" s="287"/>
    </row>
    <row r="217" spans="2:9">
      <c r="C217">
        <v>4.83</v>
      </c>
      <c r="G217">
        <f t="shared" si="15"/>
        <v>4.83</v>
      </c>
      <c r="I217" s="287"/>
    </row>
    <row r="218" spans="2:9">
      <c r="C218">
        <v>20.54</v>
      </c>
      <c r="G218">
        <f t="shared" si="15"/>
        <v>20.54</v>
      </c>
      <c r="I218" s="287"/>
    </row>
    <row r="219" spans="2:9">
      <c r="C219">
        <v>5.79</v>
      </c>
      <c r="G219">
        <f t="shared" si="15"/>
        <v>5.79</v>
      </c>
    </row>
    <row r="220" spans="2:9">
      <c r="C220">
        <v>5.1100000000000003</v>
      </c>
      <c r="G220">
        <f t="shared" si="15"/>
        <v>5.1100000000000003</v>
      </c>
    </row>
    <row r="221" spans="2:9">
      <c r="C221">
        <v>4.83</v>
      </c>
      <c r="G221">
        <f t="shared" si="15"/>
        <v>4.83</v>
      </c>
    </row>
    <row r="222" spans="2:9">
      <c r="C222">
        <v>25.13</v>
      </c>
      <c r="G222">
        <f t="shared" si="15"/>
        <v>25.13</v>
      </c>
    </row>
    <row r="223" spans="2:9">
      <c r="C223">
        <v>13.66</v>
      </c>
      <c r="G223">
        <f t="shared" si="15"/>
        <v>13.66</v>
      </c>
    </row>
    <row r="224" spans="2:9">
      <c r="C224">
        <v>13.5</v>
      </c>
      <c r="G224">
        <f t="shared" si="15"/>
        <v>13.5</v>
      </c>
    </row>
    <row r="225" spans="2:9">
      <c r="C225">
        <v>122.85</v>
      </c>
      <c r="G225">
        <f t="shared" si="15"/>
        <v>122.85</v>
      </c>
    </row>
    <row r="226" spans="2:9">
      <c r="B226" t="s">
        <v>528</v>
      </c>
      <c r="C226">
        <f>11.64+6</f>
        <v>17.64</v>
      </c>
      <c r="G226">
        <f t="shared" si="15"/>
        <v>17.64</v>
      </c>
    </row>
    <row r="228" spans="2:9">
      <c r="B228" s="288" t="s">
        <v>529</v>
      </c>
      <c r="C228" s="288"/>
      <c r="D228" s="288"/>
      <c r="E228" s="288"/>
      <c r="F228" s="288"/>
      <c r="G228" s="288"/>
      <c r="H228" s="288"/>
      <c r="I228" s="288"/>
    </row>
    <row r="230" spans="2:9">
      <c r="C230" t="s">
        <v>527</v>
      </c>
      <c r="G230" t="s">
        <v>499</v>
      </c>
    </row>
    <row r="231" spans="2:9">
      <c r="C231">
        <v>25.23</v>
      </c>
      <c r="G231">
        <f>C231</f>
        <v>25.23</v>
      </c>
      <c r="I231" s="287">
        <f>SUM(G231:G238)</f>
        <v>211.37</v>
      </c>
    </row>
    <row r="232" spans="2:9">
      <c r="C232">
        <v>13.66</v>
      </c>
      <c r="G232">
        <f t="shared" ref="G232:G238" si="16">C232</f>
        <v>13.66</v>
      </c>
      <c r="I232" s="287"/>
    </row>
    <row r="233" spans="2:9">
      <c r="C233">
        <v>122.85</v>
      </c>
      <c r="G233">
        <f t="shared" si="16"/>
        <v>122.85</v>
      </c>
      <c r="I233" s="287"/>
    </row>
    <row r="234" spans="2:9">
      <c r="C234">
        <v>3.28</v>
      </c>
      <c r="G234">
        <f t="shared" si="16"/>
        <v>3.28</v>
      </c>
      <c r="I234" s="287"/>
    </row>
    <row r="235" spans="2:9">
      <c r="C235">
        <v>8.26</v>
      </c>
      <c r="G235">
        <f t="shared" si="16"/>
        <v>8.26</v>
      </c>
      <c r="I235" s="287"/>
    </row>
    <row r="236" spans="2:9">
      <c r="C236">
        <v>7.99</v>
      </c>
      <c r="G236">
        <f t="shared" si="16"/>
        <v>7.99</v>
      </c>
      <c r="I236" s="287"/>
    </row>
    <row r="237" spans="2:9">
      <c r="C237">
        <v>16.600000000000001</v>
      </c>
      <c r="G237">
        <f t="shared" si="16"/>
        <v>16.600000000000001</v>
      </c>
      <c r="I237" s="287"/>
    </row>
    <row r="238" spans="2:9">
      <c r="C238">
        <v>13.5</v>
      </c>
      <c r="G238">
        <f t="shared" si="16"/>
        <v>13.5</v>
      </c>
    </row>
    <row r="241" spans="2:9">
      <c r="B241" s="285" t="s">
        <v>132</v>
      </c>
      <c r="C241" s="285"/>
      <c r="D241" s="285"/>
      <c r="E241" s="285"/>
      <c r="F241" s="285"/>
      <c r="G241" s="285"/>
      <c r="H241" s="285"/>
      <c r="I241" s="285"/>
    </row>
    <row r="243" spans="2:9">
      <c r="C243" t="s">
        <v>527</v>
      </c>
      <c r="G243" t="s">
        <v>499</v>
      </c>
    </row>
    <row r="244" spans="2:9">
      <c r="B244" t="s">
        <v>530</v>
      </c>
      <c r="C244">
        <f>(2.5*1.2)*4</f>
        <v>12</v>
      </c>
      <c r="G244">
        <f>C244</f>
        <v>12</v>
      </c>
      <c r="I244" s="287">
        <f>SUM(G244:G251)</f>
        <v>25.284000000000006</v>
      </c>
    </row>
    <row r="245" spans="2:9">
      <c r="B245" t="s">
        <v>530</v>
      </c>
      <c r="C245">
        <f>(2.31*1.2)*2</f>
        <v>5.5439999999999996</v>
      </c>
      <c r="G245">
        <f t="shared" ref="G245:G251" si="17">C245</f>
        <v>5.5439999999999996</v>
      </c>
      <c r="I245" s="287"/>
    </row>
    <row r="246" spans="2:9">
      <c r="B246" t="s">
        <v>530</v>
      </c>
      <c r="C246">
        <f>1.35*1.2</f>
        <v>1.62</v>
      </c>
      <c r="G246">
        <f t="shared" si="17"/>
        <v>1.62</v>
      </c>
      <c r="I246" s="287"/>
    </row>
    <row r="247" spans="2:9">
      <c r="B247" t="s">
        <v>531</v>
      </c>
      <c r="C247">
        <f>(1.2*0.6)*2</f>
        <v>1.44</v>
      </c>
      <c r="G247">
        <f t="shared" si="17"/>
        <v>1.44</v>
      </c>
      <c r="I247" s="287"/>
    </row>
    <row r="248" spans="2:9">
      <c r="B248" t="s">
        <v>532</v>
      </c>
      <c r="C248">
        <f>1.2*1.2</f>
        <v>1.44</v>
      </c>
      <c r="G248">
        <f t="shared" si="17"/>
        <v>1.44</v>
      </c>
      <c r="I248" s="287"/>
    </row>
    <row r="249" spans="2:9">
      <c r="B249" t="s">
        <v>532</v>
      </c>
      <c r="C249">
        <f>1.2*1.2</f>
        <v>1.44</v>
      </c>
      <c r="G249">
        <f t="shared" si="17"/>
        <v>1.44</v>
      </c>
      <c r="I249" s="287"/>
    </row>
    <row r="250" spans="2:9">
      <c r="B250" t="s">
        <v>532</v>
      </c>
      <c r="C250">
        <f>1.2*1.5</f>
        <v>1.7999999999999998</v>
      </c>
      <c r="G250">
        <f t="shared" si="17"/>
        <v>1.7999999999999998</v>
      </c>
      <c r="I250" s="287"/>
    </row>
    <row r="251" spans="2:9">
      <c r="G251">
        <f t="shared" si="17"/>
        <v>0</v>
      </c>
      <c r="I251" s="287"/>
    </row>
    <row r="253" spans="2:9">
      <c r="B253" s="285" t="s">
        <v>533</v>
      </c>
      <c r="C253" s="285"/>
      <c r="D253" s="285"/>
      <c r="E253" s="285"/>
      <c r="F253" s="285"/>
      <c r="G253" s="285"/>
      <c r="H253" s="285"/>
      <c r="I253" s="285"/>
    </row>
    <row r="255" spans="2:9">
      <c r="C255" t="s">
        <v>527</v>
      </c>
      <c r="G255" t="s">
        <v>499</v>
      </c>
    </row>
    <row r="256" spans="2:9">
      <c r="B256" t="s">
        <v>528</v>
      </c>
      <c r="C256">
        <f>0.8*1.6</f>
        <v>1.2800000000000002</v>
      </c>
      <c r="G256">
        <f>C256</f>
        <v>1.2800000000000002</v>
      </c>
      <c r="I256" s="287">
        <f>SUM(G256:G262)</f>
        <v>1.2800000000000002</v>
      </c>
    </row>
    <row r="257" spans="2:9">
      <c r="B257" t="s">
        <v>528</v>
      </c>
      <c r="G257">
        <f t="shared" ref="G257:G262" si="18">C257</f>
        <v>0</v>
      </c>
      <c r="I257" s="287"/>
    </row>
    <row r="258" spans="2:9">
      <c r="B258" t="s">
        <v>528</v>
      </c>
      <c r="G258">
        <f t="shared" si="18"/>
        <v>0</v>
      </c>
      <c r="I258" s="287"/>
    </row>
    <row r="259" spans="2:9">
      <c r="G259">
        <f t="shared" si="18"/>
        <v>0</v>
      </c>
      <c r="I259" s="287"/>
    </row>
    <row r="260" spans="2:9">
      <c r="G260">
        <f t="shared" si="18"/>
        <v>0</v>
      </c>
      <c r="I260" s="287"/>
    </row>
    <row r="261" spans="2:9">
      <c r="G261">
        <f t="shared" si="18"/>
        <v>0</v>
      </c>
      <c r="I261" s="287"/>
    </row>
    <row r="262" spans="2:9">
      <c r="G262">
        <f t="shared" si="18"/>
        <v>0</v>
      </c>
      <c r="I262" s="287"/>
    </row>
    <row r="265" spans="2:9">
      <c r="B265" s="285" t="s">
        <v>534</v>
      </c>
      <c r="C265" s="285"/>
      <c r="D265" s="285"/>
      <c r="E265" s="285"/>
      <c r="F265" s="285"/>
      <c r="G265" s="285"/>
      <c r="H265" s="285"/>
      <c r="I265" s="285"/>
    </row>
    <row r="267" spans="2:9">
      <c r="C267" t="s">
        <v>535</v>
      </c>
      <c r="D267" t="s">
        <v>536</v>
      </c>
      <c r="G267" t="s">
        <v>499</v>
      </c>
    </row>
    <row r="268" spans="2:9">
      <c r="B268" t="s">
        <v>511</v>
      </c>
      <c r="C268">
        <v>1.2</v>
      </c>
      <c r="D268">
        <v>1.2</v>
      </c>
      <c r="G268">
        <f>C268*D268</f>
        <v>1.44</v>
      </c>
      <c r="I268" s="287">
        <f>SUM(G268:G275)</f>
        <v>27.983999999999998</v>
      </c>
    </row>
    <row r="269" spans="2:9">
      <c r="B269" t="s">
        <v>511</v>
      </c>
      <c r="C269">
        <v>1.2</v>
      </c>
      <c r="D269">
        <v>1.2</v>
      </c>
      <c r="G269">
        <f t="shared" ref="G269:G274" si="19">C269*D269</f>
        <v>1.44</v>
      </c>
      <c r="I269" s="287"/>
    </row>
    <row r="270" spans="2:9">
      <c r="B270" t="s">
        <v>511</v>
      </c>
      <c r="C270">
        <v>1.2</v>
      </c>
      <c r="D270">
        <v>1.5</v>
      </c>
      <c r="G270">
        <f t="shared" si="19"/>
        <v>1.7999999999999998</v>
      </c>
      <c r="I270" s="287"/>
    </row>
    <row r="271" spans="2:9">
      <c r="B271" t="s">
        <v>511</v>
      </c>
      <c r="C271">
        <v>1.2</v>
      </c>
      <c r="D271">
        <v>1.2</v>
      </c>
      <c r="G271">
        <f t="shared" si="19"/>
        <v>1.44</v>
      </c>
      <c r="I271" s="287"/>
    </row>
    <row r="272" spans="2:9">
      <c r="B272" t="s">
        <v>537</v>
      </c>
      <c r="C272">
        <v>2.5</v>
      </c>
      <c r="D272">
        <v>1.2</v>
      </c>
      <c r="E272">
        <v>4</v>
      </c>
      <c r="G272">
        <f>C272*D272*E272</f>
        <v>12</v>
      </c>
      <c r="I272" s="287"/>
    </row>
    <row r="273" spans="2:9">
      <c r="B273" t="s">
        <v>537</v>
      </c>
      <c r="C273">
        <v>2.31</v>
      </c>
      <c r="D273">
        <v>1.2</v>
      </c>
      <c r="E273">
        <v>2</v>
      </c>
      <c r="G273">
        <f>C273*D273*E273</f>
        <v>5.5439999999999996</v>
      </c>
      <c r="I273" s="287"/>
    </row>
    <row r="274" spans="2:9">
      <c r="B274" t="s">
        <v>537</v>
      </c>
      <c r="C274">
        <v>1.35</v>
      </c>
      <c r="D274">
        <v>1.2</v>
      </c>
      <c r="G274">
        <f t="shared" si="19"/>
        <v>1.62</v>
      </c>
      <c r="I274" s="287"/>
    </row>
    <row r="275" spans="2:9">
      <c r="B275" t="s">
        <v>538</v>
      </c>
      <c r="C275">
        <v>1.5</v>
      </c>
      <c r="D275">
        <v>0.9</v>
      </c>
      <c r="E275">
        <v>2</v>
      </c>
      <c r="G275">
        <f>C275*D275*E275</f>
        <v>2.7</v>
      </c>
    </row>
    <row r="277" spans="2:9">
      <c r="B277" s="285" t="s">
        <v>539</v>
      </c>
      <c r="C277" s="285"/>
      <c r="D277" s="285"/>
      <c r="E277" s="285"/>
      <c r="F277" s="285"/>
      <c r="G277" s="285"/>
      <c r="H277" s="285"/>
      <c r="I277" s="285"/>
    </row>
    <row r="279" spans="2:9">
      <c r="C279" t="s">
        <v>540</v>
      </c>
      <c r="D279" t="s">
        <v>541</v>
      </c>
      <c r="G279" t="s">
        <v>499</v>
      </c>
    </row>
    <row r="280" spans="2:9">
      <c r="B280" t="s">
        <v>542</v>
      </c>
      <c r="C280">
        <v>1.18</v>
      </c>
      <c r="D280">
        <v>2.9</v>
      </c>
      <c r="G280">
        <f>C280*D280</f>
        <v>3.4219999999999997</v>
      </c>
      <c r="I280" s="287">
        <f>SUM(G280:G286)</f>
        <v>14.588000000000001</v>
      </c>
    </row>
    <row r="281" spans="2:9">
      <c r="B281" t="s">
        <v>543</v>
      </c>
      <c r="C281">
        <v>1.18</v>
      </c>
      <c r="D281">
        <v>2.9</v>
      </c>
      <c r="G281">
        <f t="shared" ref="G281:G286" si="20">C281*D281</f>
        <v>3.4219999999999997</v>
      </c>
      <c r="I281" s="287"/>
    </row>
    <row r="282" spans="2:9">
      <c r="B282" t="s">
        <v>544</v>
      </c>
      <c r="C282">
        <v>3.52</v>
      </c>
      <c r="D282">
        <v>2.2000000000000002</v>
      </c>
      <c r="G282">
        <f t="shared" si="20"/>
        <v>7.7440000000000007</v>
      </c>
      <c r="I282" s="287"/>
    </row>
    <row r="283" spans="2:9">
      <c r="G283">
        <f t="shared" si="20"/>
        <v>0</v>
      </c>
      <c r="I283" s="287"/>
    </row>
    <row r="284" spans="2:9">
      <c r="G284">
        <f t="shared" si="20"/>
        <v>0</v>
      </c>
      <c r="I284" s="287"/>
    </row>
    <row r="285" spans="2:9">
      <c r="G285">
        <f t="shared" si="20"/>
        <v>0</v>
      </c>
      <c r="I285" s="287"/>
    </row>
    <row r="286" spans="2:9">
      <c r="G286">
        <f t="shared" si="20"/>
        <v>0</v>
      </c>
      <c r="I286" s="287"/>
    </row>
    <row r="289" spans="2:9">
      <c r="B289" s="285" t="s">
        <v>545</v>
      </c>
      <c r="C289" s="285"/>
      <c r="D289" s="285"/>
      <c r="E289" s="285"/>
      <c r="F289" s="285"/>
      <c r="G289" s="285"/>
      <c r="H289" s="285"/>
      <c r="I289" s="285"/>
    </row>
    <row r="291" spans="2:9">
      <c r="C291" t="s">
        <v>540</v>
      </c>
      <c r="D291" t="s">
        <v>541</v>
      </c>
      <c r="E291" t="s">
        <v>14</v>
      </c>
      <c r="G291" t="s">
        <v>499</v>
      </c>
    </row>
    <row r="292" spans="2:9">
      <c r="B292" t="s">
        <v>542</v>
      </c>
      <c r="C292">
        <v>1.3</v>
      </c>
      <c r="D292">
        <v>1.25</v>
      </c>
      <c r="E292">
        <v>2</v>
      </c>
      <c r="G292">
        <f>(C292*D292)*E292</f>
        <v>3.25</v>
      </c>
      <c r="I292" s="287">
        <f>SUM(G292:G302)</f>
        <v>46.940999999999995</v>
      </c>
    </row>
    <row r="293" spans="2:9">
      <c r="B293" t="s">
        <v>542</v>
      </c>
      <c r="C293">
        <v>1.5</v>
      </c>
      <c r="D293">
        <v>1.2</v>
      </c>
      <c r="E293">
        <v>3</v>
      </c>
      <c r="G293">
        <f t="shared" ref="G293:G302" si="21">(C293*D293)*E293</f>
        <v>5.3999999999999995</v>
      </c>
      <c r="I293" s="287"/>
    </row>
    <row r="294" spans="2:9">
      <c r="B294" t="s">
        <v>542</v>
      </c>
      <c r="C294">
        <v>2.5</v>
      </c>
      <c r="D294">
        <v>1.2</v>
      </c>
      <c r="E294">
        <v>1</v>
      </c>
      <c r="G294">
        <f t="shared" si="21"/>
        <v>3</v>
      </c>
      <c r="I294" s="287"/>
    </row>
    <row r="295" spans="2:9">
      <c r="B295" t="s">
        <v>546</v>
      </c>
      <c r="C295">
        <v>1.3</v>
      </c>
      <c r="D295">
        <v>1.25</v>
      </c>
      <c r="E295">
        <v>2</v>
      </c>
      <c r="G295">
        <f t="shared" si="21"/>
        <v>3.25</v>
      </c>
      <c r="I295" s="287"/>
    </row>
    <row r="296" spans="2:9">
      <c r="B296" t="s">
        <v>546</v>
      </c>
      <c r="C296">
        <v>1.5</v>
      </c>
      <c r="D296">
        <v>1.2</v>
      </c>
      <c r="E296">
        <v>3</v>
      </c>
      <c r="G296">
        <f t="shared" si="21"/>
        <v>5.3999999999999995</v>
      </c>
      <c r="I296" s="287"/>
    </row>
    <row r="297" spans="2:9">
      <c r="B297" t="s">
        <v>546</v>
      </c>
      <c r="C297">
        <v>2.5</v>
      </c>
      <c r="D297">
        <v>1.2</v>
      </c>
      <c r="E297">
        <v>1</v>
      </c>
      <c r="G297">
        <f t="shared" si="21"/>
        <v>3</v>
      </c>
      <c r="I297" s="287"/>
    </row>
    <row r="298" spans="2:9">
      <c r="B298" t="s">
        <v>546</v>
      </c>
      <c r="C298">
        <v>2</v>
      </c>
      <c r="D298">
        <v>1</v>
      </c>
      <c r="E298">
        <v>1</v>
      </c>
      <c r="G298">
        <f t="shared" si="21"/>
        <v>2</v>
      </c>
      <c r="I298" s="287"/>
    </row>
    <row r="299" spans="2:9">
      <c r="B299" t="s">
        <v>546</v>
      </c>
      <c r="C299">
        <v>1.55</v>
      </c>
      <c r="D299">
        <v>1.3</v>
      </c>
      <c r="E299">
        <v>1</v>
      </c>
      <c r="G299">
        <f t="shared" si="21"/>
        <v>2.0150000000000001</v>
      </c>
    </row>
    <row r="300" spans="2:9">
      <c r="B300" t="s">
        <v>547</v>
      </c>
      <c r="C300">
        <v>2.5</v>
      </c>
      <c r="D300">
        <v>1.2</v>
      </c>
      <c r="E300">
        <v>4</v>
      </c>
      <c r="G300">
        <f t="shared" si="21"/>
        <v>12</v>
      </c>
    </row>
    <row r="301" spans="2:9">
      <c r="B301" t="s">
        <v>547</v>
      </c>
      <c r="C301">
        <v>2.31</v>
      </c>
      <c r="D301">
        <v>1.3</v>
      </c>
      <c r="E301">
        <v>2</v>
      </c>
      <c r="G301">
        <f t="shared" si="21"/>
        <v>6.0060000000000002</v>
      </c>
    </row>
    <row r="302" spans="2:9">
      <c r="B302" t="s">
        <v>547</v>
      </c>
      <c r="C302">
        <v>1.35</v>
      </c>
      <c r="D302">
        <v>1.2</v>
      </c>
      <c r="E302">
        <v>1</v>
      </c>
      <c r="G302">
        <f t="shared" si="21"/>
        <v>1.62</v>
      </c>
    </row>
    <row r="305" spans="2:9">
      <c r="B305" s="285" t="s">
        <v>548</v>
      </c>
      <c r="C305" s="285"/>
      <c r="D305" s="285"/>
      <c r="E305" s="285"/>
      <c r="F305" s="285"/>
      <c r="G305" s="285"/>
      <c r="H305" s="285"/>
      <c r="I305" s="285"/>
    </row>
    <row r="307" spans="2:9">
      <c r="C307" t="s">
        <v>549</v>
      </c>
      <c r="G307" t="s">
        <v>499</v>
      </c>
    </row>
    <row r="308" spans="2:9">
      <c r="C308">
        <v>73.95</v>
      </c>
      <c r="G308">
        <f>C308</f>
        <v>73.95</v>
      </c>
      <c r="I308" s="287">
        <f>SUM(G308:G319)</f>
        <v>1242.2</v>
      </c>
    </row>
    <row r="309" spans="2:9">
      <c r="C309">
        <v>73.95</v>
      </c>
      <c r="G309">
        <f t="shared" ref="G309:G319" si="22">C309</f>
        <v>73.95</v>
      </c>
      <c r="I309" s="287"/>
    </row>
    <row r="310" spans="2:9">
      <c r="C310">
        <v>275.82</v>
      </c>
      <c r="G310">
        <f t="shared" si="22"/>
        <v>275.82</v>
      </c>
      <c r="I310" s="287"/>
    </row>
    <row r="311" spans="2:9">
      <c r="C311">
        <v>32.58</v>
      </c>
      <c r="G311">
        <f t="shared" si="22"/>
        <v>32.58</v>
      </c>
      <c r="I311" s="287"/>
    </row>
    <row r="312" spans="2:9">
      <c r="C312">
        <v>60.84</v>
      </c>
      <c r="G312">
        <f t="shared" si="22"/>
        <v>60.84</v>
      </c>
      <c r="I312" s="287"/>
    </row>
    <row r="313" spans="2:9">
      <c r="C313">
        <v>215.47</v>
      </c>
      <c r="G313">
        <f t="shared" si="22"/>
        <v>215.47</v>
      </c>
      <c r="I313" s="287"/>
    </row>
    <row r="314" spans="2:9">
      <c r="C314">
        <v>108.32</v>
      </c>
      <c r="G314">
        <f t="shared" si="22"/>
        <v>108.32</v>
      </c>
      <c r="I314" s="287"/>
    </row>
    <row r="315" spans="2:9">
      <c r="C315">
        <v>61.08</v>
      </c>
      <c r="G315">
        <f t="shared" si="22"/>
        <v>61.08</v>
      </c>
    </row>
    <row r="316" spans="2:9">
      <c r="C316">
        <v>113.51</v>
      </c>
      <c r="G316">
        <f t="shared" si="22"/>
        <v>113.51</v>
      </c>
    </row>
    <row r="317" spans="2:9">
      <c r="C317">
        <v>52.12</v>
      </c>
      <c r="G317">
        <f t="shared" si="22"/>
        <v>52.12</v>
      </c>
    </row>
    <row r="318" spans="2:9">
      <c r="C318">
        <v>155.01</v>
      </c>
      <c r="G318">
        <f t="shared" si="22"/>
        <v>155.01</v>
      </c>
    </row>
    <row r="319" spans="2:9">
      <c r="C319">
        <v>19.55</v>
      </c>
      <c r="G319">
        <f t="shared" si="22"/>
        <v>19.55</v>
      </c>
    </row>
    <row r="321" spans="2:9">
      <c r="B321" s="285" t="s">
        <v>550</v>
      </c>
      <c r="C321" s="285"/>
      <c r="D321" s="285"/>
      <c r="E321" s="285"/>
      <c r="F321" s="285"/>
      <c r="G321" s="285"/>
      <c r="H321" s="285"/>
      <c r="I321" s="285"/>
    </row>
    <row r="323" spans="2:9">
      <c r="C323" t="s">
        <v>549</v>
      </c>
      <c r="G323" t="s">
        <v>499</v>
      </c>
    </row>
    <row r="324" spans="2:9">
      <c r="C324">
        <v>17.079999999999998</v>
      </c>
      <c r="G324">
        <f>C324</f>
        <v>17.079999999999998</v>
      </c>
      <c r="I324" s="287">
        <f>SUM(G324:G334)</f>
        <v>235.57000000000002</v>
      </c>
    </row>
    <row r="325" spans="2:9">
      <c r="C325">
        <v>17.079999999999998</v>
      </c>
      <c r="G325">
        <f t="shared" ref="G325:G334" si="23">C325</f>
        <v>17.079999999999998</v>
      </c>
      <c r="I325" s="287"/>
    </row>
    <row r="326" spans="2:9">
      <c r="C326">
        <v>48.95</v>
      </c>
      <c r="G326">
        <f t="shared" si="23"/>
        <v>48.95</v>
      </c>
      <c r="I326" s="287"/>
    </row>
    <row r="327" spans="2:9">
      <c r="C327">
        <v>10.84</v>
      </c>
      <c r="G327">
        <f t="shared" si="23"/>
        <v>10.84</v>
      </c>
      <c r="I327" s="287"/>
    </row>
    <row r="328" spans="2:9">
      <c r="C328">
        <v>22.1</v>
      </c>
      <c r="G328">
        <f t="shared" si="23"/>
        <v>22.1</v>
      </c>
      <c r="I328" s="287"/>
    </row>
    <row r="329" spans="2:9">
      <c r="C329">
        <v>76.17</v>
      </c>
      <c r="G329">
        <f t="shared" si="23"/>
        <v>76.17</v>
      </c>
      <c r="I329" s="287"/>
    </row>
    <row r="330" spans="2:9">
      <c r="C330">
        <v>25.2</v>
      </c>
      <c r="G330">
        <f t="shared" si="23"/>
        <v>25.2</v>
      </c>
      <c r="I330" s="287"/>
    </row>
    <row r="331" spans="2:9">
      <c r="C331">
        <v>14.4</v>
      </c>
      <c r="G331">
        <f t="shared" si="23"/>
        <v>14.4</v>
      </c>
    </row>
    <row r="332" spans="2:9">
      <c r="C332">
        <v>3.75</v>
      </c>
      <c r="G332">
        <f t="shared" si="23"/>
        <v>3.75</v>
      </c>
    </row>
    <row r="333" spans="2:9">
      <c r="G333">
        <f t="shared" si="23"/>
        <v>0</v>
      </c>
    </row>
    <row r="334" spans="2:9">
      <c r="G334">
        <f t="shared" si="23"/>
        <v>0</v>
      </c>
    </row>
    <row r="337" spans="2:9">
      <c r="B337" s="285" t="s">
        <v>551</v>
      </c>
      <c r="C337" s="285"/>
      <c r="D337" s="285"/>
      <c r="E337" s="285"/>
      <c r="F337" s="285"/>
      <c r="G337" s="285"/>
      <c r="H337" s="285"/>
      <c r="I337" s="285"/>
    </row>
    <row r="339" spans="2:9">
      <c r="C339" t="s">
        <v>552</v>
      </c>
      <c r="D339" t="s">
        <v>536</v>
      </c>
      <c r="E339" t="s">
        <v>14</v>
      </c>
      <c r="G339" t="s">
        <v>499</v>
      </c>
    </row>
    <row r="340" spans="2:9">
      <c r="C340">
        <v>5.6</v>
      </c>
      <c r="D340">
        <v>0.3</v>
      </c>
      <c r="E340">
        <v>2</v>
      </c>
      <c r="G340">
        <f>(C340*D340)*E340</f>
        <v>3.36</v>
      </c>
      <c r="I340" s="287">
        <f>SUM(G340:G350)</f>
        <v>128.55199999999996</v>
      </c>
    </row>
    <row r="341" spans="2:9">
      <c r="C341">
        <v>3.1</v>
      </c>
      <c r="D341">
        <v>0.3</v>
      </c>
      <c r="E341">
        <v>2</v>
      </c>
      <c r="G341">
        <f t="shared" ref="G341:G350" si="24">(C341*D341)*E341</f>
        <v>1.8599999999999999</v>
      </c>
      <c r="I341" s="287"/>
    </row>
    <row r="342" spans="2:9">
      <c r="C342">
        <v>3.25</v>
      </c>
      <c r="D342">
        <v>0.3</v>
      </c>
      <c r="E342">
        <v>2</v>
      </c>
      <c r="G342">
        <f t="shared" si="24"/>
        <v>1.95</v>
      </c>
      <c r="I342" s="287"/>
    </row>
    <row r="343" spans="2:9">
      <c r="C343">
        <v>12.7</v>
      </c>
      <c r="D343">
        <v>0.3</v>
      </c>
      <c r="E343">
        <v>8</v>
      </c>
      <c r="G343">
        <f t="shared" si="24"/>
        <v>30.479999999999997</v>
      </c>
      <c r="I343" s="287"/>
    </row>
    <row r="344" spans="2:9">
      <c r="C344">
        <v>1.95</v>
      </c>
      <c r="D344">
        <v>0.4</v>
      </c>
      <c r="E344">
        <v>16</v>
      </c>
      <c r="G344">
        <f t="shared" si="24"/>
        <v>12.48</v>
      </c>
      <c r="I344" s="287"/>
    </row>
    <row r="345" spans="2:9">
      <c r="C345">
        <v>1.9</v>
      </c>
      <c r="D345">
        <v>0.4</v>
      </c>
      <c r="E345">
        <v>8</v>
      </c>
      <c r="G345">
        <f t="shared" si="24"/>
        <v>6.08</v>
      </c>
      <c r="I345" s="287"/>
    </row>
    <row r="346" spans="2:9">
      <c r="C346">
        <v>57.55</v>
      </c>
      <c r="D346">
        <v>0.3</v>
      </c>
      <c r="E346">
        <v>2</v>
      </c>
      <c r="G346">
        <f t="shared" si="24"/>
        <v>34.529999999999994</v>
      </c>
      <c r="I346" s="287"/>
    </row>
    <row r="347" spans="2:9">
      <c r="C347">
        <v>11.01</v>
      </c>
      <c r="D347">
        <v>0.3</v>
      </c>
      <c r="E347">
        <v>2</v>
      </c>
      <c r="G347">
        <f t="shared" si="24"/>
        <v>6.6059999999999999</v>
      </c>
    </row>
    <row r="348" spans="2:9">
      <c r="C348">
        <v>6.61</v>
      </c>
      <c r="D348">
        <v>0.3</v>
      </c>
      <c r="E348">
        <v>2</v>
      </c>
      <c r="G348">
        <f t="shared" si="24"/>
        <v>3.9660000000000002</v>
      </c>
    </row>
    <row r="349" spans="2:9">
      <c r="C349">
        <v>3.8</v>
      </c>
      <c r="D349">
        <v>0.3</v>
      </c>
      <c r="E349">
        <v>16</v>
      </c>
      <c r="G349">
        <f t="shared" si="24"/>
        <v>18.239999999999998</v>
      </c>
    </row>
    <row r="350" spans="2:9">
      <c r="C350">
        <v>3</v>
      </c>
      <c r="D350">
        <v>0.3</v>
      </c>
      <c r="E350">
        <v>10</v>
      </c>
      <c r="G350">
        <f t="shared" si="24"/>
        <v>9</v>
      </c>
    </row>
    <row r="353" spans="2:9">
      <c r="B353" s="285" t="s">
        <v>553</v>
      </c>
      <c r="C353" s="285"/>
      <c r="D353" s="285"/>
      <c r="E353" s="285"/>
      <c r="F353" s="285"/>
      <c r="G353" s="285"/>
      <c r="H353" s="285"/>
      <c r="I353" s="285"/>
    </row>
    <row r="355" spans="2:9">
      <c r="B355" t="s">
        <v>494</v>
      </c>
      <c r="C355" t="s">
        <v>552</v>
      </c>
      <c r="D355" t="s">
        <v>536</v>
      </c>
      <c r="E355" t="s">
        <v>14</v>
      </c>
      <c r="G355" t="s">
        <v>499</v>
      </c>
    </row>
    <row r="356" spans="2:9">
      <c r="B356">
        <v>0.15</v>
      </c>
      <c r="C356">
        <v>5.6</v>
      </c>
      <c r="D356">
        <v>0.3</v>
      </c>
      <c r="E356">
        <v>2</v>
      </c>
      <c r="G356">
        <f>(C356*D356)*E356*B356</f>
        <v>0.504</v>
      </c>
      <c r="I356" s="287">
        <f>SUM(G356:G370)</f>
        <v>25.736458000000002</v>
      </c>
    </row>
    <row r="357" spans="2:9">
      <c r="B357">
        <v>0.15</v>
      </c>
      <c r="C357">
        <v>3.1</v>
      </c>
      <c r="D357">
        <v>0.3</v>
      </c>
      <c r="E357">
        <v>2</v>
      </c>
      <c r="G357">
        <f t="shared" ref="G357:G366" si="25">(C357*D357)*E357*B357</f>
        <v>0.27899999999999997</v>
      </c>
      <c r="I357" s="287"/>
    </row>
    <row r="358" spans="2:9">
      <c r="B358">
        <v>0.15</v>
      </c>
      <c r="C358">
        <v>3.25</v>
      </c>
      <c r="D358">
        <v>0.3</v>
      </c>
      <c r="E358">
        <v>2</v>
      </c>
      <c r="G358">
        <f t="shared" si="25"/>
        <v>0.29249999999999998</v>
      </c>
      <c r="I358" s="287"/>
    </row>
    <row r="359" spans="2:9">
      <c r="B359">
        <v>0.15</v>
      </c>
      <c r="C359">
        <v>12.7</v>
      </c>
      <c r="D359">
        <v>0.3</v>
      </c>
      <c r="E359">
        <v>8</v>
      </c>
      <c r="G359">
        <f t="shared" si="25"/>
        <v>4.5719999999999992</v>
      </c>
      <c r="I359" s="287"/>
    </row>
    <row r="360" spans="2:9">
      <c r="B360">
        <v>0.15</v>
      </c>
      <c r="C360">
        <v>1.95</v>
      </c>
      <c r="D360">
        <v>0.4</v>
      </c>
      <c r="E360">
        <v>16</v>
      </c>
      <c r="G360">
        <f t="shared" si="25"/>
        <v>1.8719999999999999</v>
      </c>
      <c r="I360" s="287"/>
    </row>
    <row r="361" spans="2:9">
      <c r="B361">
        <v>0.15</v>
      </c>
      <c r="C361">
        <v>1.9</v>
      </c>
      <c r="D361">
        <v>0.4</v>
      </c>
      <c r="E361">
        <v>8</v>
      </c>
      <c r="G361">
        <f t="shared" si="25"/>
        <v>0.91199999999999992</v>
      </c>
      <c r="I361" s="287"/>
    </row>
    <row r="362" spans="2:9">
      <c r="B362">
        <v>0.15</v>
      </c>
      <c r="C362">
        <v>57.55</v>
      </c>
      <c r="D362">
        <v>0.3</v>
      </c>
      <c r="E362">
        <v>2</v>
      </c>
      <c r="G362">
        <f t="shared" si="25"/>
        <v>5.1794999999999991</v>
      </c>
      <c r="I362" s="287"/>
    </row>
    <row r="363" spans="2:9">
      <c r="B363">
        <v>0.15</v>
      </c>
      <c r="C363">
        <v>11.01</v>
      </c>
      <c r="D363">
        <v>0.3</v>
      </c>
      <c r="E363">
        <v>2</v>
      </c>
      <c r="G363">
        <f t="shared" si="25"/>
        <v>0.99089999999999989</v>
      </c>
    </row>
    <row r="364" spans="2:9">
      <c r="B364">
        <v>0.15</v>
      </c>
      <c r="C364">
        <v>6.61</v>
      </c>
      <c r="D364">
        <v>0.3</v>
      </c>
      <c r="E364">
        <v>2</v>
      </c>
      <c r="G364">
        <f t="shared" si="25"/>
        <v>0.59489999999999998</v>
      </c>
    </row>
    <row r="365" spans="2:9">
      <c r="B365">
        <v>0.15</v>
      </c>
      <c r="C365">
        <v>3.8</v>
      </c>
      <c r="D365">
        <v>0.3</v>
      </c>
      <c r="E365">
        <v>16</v>
      </c>
      <c r="G365">
        <f t="shared" si="25"/>
        <v>2.7359999999999998</v>
      </c>
    </row>
    <row r="366" spans="2:9">
      <c r="B366">
        <v>0.15</v>
      </c>
      <c r="C366">
        <v>3</v>
      </c>
      <c r="D366">
        <v>0.3</v>
      </c>
      <c r="E366">
        <v>10</v>
      </c>
      <c r="G366">
        <f t="shared" si="25"/>
        <v>1.3499999999999999</v>
      </c>
    </row>
    <row r="367" spans="2:9">
      <c r="B367">
        <v>0.12</v>
      </c>
      <c r="C367">
        <v>5.43</v>
      </c>
      <c r="D367">
        <v>5.88</v>
      </c>
      <c r="G367">
        <f>(C367*D367)*B367</f>
        <v>3.8314079999999993</v>
      </c>
    </row>
    <row r="368" spans="2:9">
      <c r="B368">
        <v>0.15</v>
      </c>
      <c r="C368">
        <v>1.9</v>
      </c>
      <c r="D368">
        <v>1.95</v>
      </c>
      <c r="G368">
        <f>(C368*D368)*B368</f>
        <v>0.55574999999999997</v>
      </c>
    </row>
    <row r="369" spans="1:9">
      <c r="B369">
        <v>0.1</v>
      </c>
      <c r="C369">
        <v>1.9</v>
      </c>
      <c r="D369">
        <v>1.95</v>
      </c>
      <c r="G369">
        <f>(C369*D369)*B369</f>
        <v>0.3705</v>
      </c>
    </row>
    <row r="370" spans="1:9">
      <c r="A370" t="s">
        <v>554</v>
      </c>
      <c r="D370">
        <v>0.42399999999999999</v>
      </c>
      <c r="E370">
        <v>4</v>
      </c>
      <c r="G370">
        <f>E370*D370</f>
        <v>1.696</v>
      </c>
    </row>
    <row r="374" spans="1:9">
      <c r="B374" s="285" t="s">
        <v>555</v>
      </c>
      <c r="C374" s="285"/>
      <c r="D374" s="285"/>
      <c r="E374" s="285"/>
      <c r="F374" s="285"/>
      <c r="G374" s="285"/>
      <c r="H374" s="285"/>
      <c r="I374" s="285"/>
    </row>
    <row r="376" spans="1:9">
      <c r="C376" t="s">
        <v>527</v>
      </c>
      <c r="G376" t="s">
        <v>499</v>
      </c>
    </row>
    <row r="377" spans="1:9">
      <c r="B377" t="s">
        <v>542</v>
      </c>
      <c r="C377">
        <v>14.19</v>
      </c>
      <c r="G377">
        <f>C377</f>
        <v>14.19</v>
      </c>
      <c r="I377" s="287">
        <f>SUM(G377:G384)</f>
        <v>127.13999999999999</v>
      </c>
    </row>
    <row r="378" spans="1:9">
      <c r="B378" t="s">
        <v>542</v>
      </c>
      <c r="C378">
        <v>9.9</v>
      </c>
      <c r="G378">
        <f t="shared" ref="G378:G384" si="26">C378</f>
        <v>9.9</v>
      </c>
      <c r="I378" s="287"/>
    </row>
    <row r="379" spans="1:9">
      <c r="B379" t="s">
        <v>542</v>
      </c>
      <c r="C379">
        <v>13.35</v>
      </c>
      <c r="G379">
        <f t="shared" si="26"/>
        <v>13.35</v>
      </c>
      <c r="I379" s="287"/>
    </row>
    <row r="380" spans="1:9">
      <c r="B380" t="s">
        <v>546</v>
      </c>
      <c r="C380">
        <v>13.44</v>
      </c>
      <c r="G380">
        <f t="shared" si="26"/>
        <v>13.44</v>
      </c>
      <c r="I380" s="287"/>
    </row>
    <row r="381" spans="1:9">
      <c r="B381" t="s">
        <v>546</v>
      </c>
      <c r="C381">
        <v>14.19</v>
      </c>
      <c r="G381">
        <f t="shared" si="26"/>
        <v>14.19</v>
      </c>
      <c r="I381" s="287"/>
    </row>
    <row r="382" spans="1:9">
      <c r="B382" t="s">
        <v>546</v>
      </c>
      <c r="C382">
        <v>9.9</v>
      </c>
      <c r="G382">
        <f t="shared" si="26"/>
        <v>9.9</v>
      </c>
      <c r="I382" s="287"/>
    </row>
    <row r="383" spans="1:9">
      <c r="B383" t="s">
        <v>546</v>
      </c>
      <c r="C383">
        <v>13.35</v>
      </c>
      <c r="G383">
        <f t="shared" si="26"/>
        <v>13.35</v>
      </c>
      <c r="I383" s="287"/>
    </row>
    <row r="384" spans="1:9">
      <c r="B384" t="s">
        <v>546</v>
      </c>
      <c r="C384">
        <v>38.82</v>
      </c>
      <c r="G384">
        <f t="shared" si="26"/>
        <v>38.82</v>
      </c>
    </row>
    <row r="387" spans="2:9">
      <c r="B387" s="285" t="s">
        <v>556</v>
      </c>
      <c r="C387" s="285"/>
      <c r="D387" s="285"/>
      <c r="E387" s="285"/>
      <c r="F387" s="285"/>
      <c r="G387" s="285"/>
      <c r="H387" s="285"/>
      <c r="I387" s="285"/>
    </row>
    <row r="389" spans="2:9">
      <c r="C389" t="s">
        <v>536</v>
      </c>
      <c r="D389" t="s">
        <v>557</v>
      </c>
      <c r="G389" t="s">
        <v>499</v>
      </c>
    </row>
    <row r="390" spans="2:9">
      <c r="B390" t="s">
        <v>542</v>
      </c>
      <c r="C390">
        <v>2.9</v>
      </c>
      <c r="D390">
        <v>3.3</v>
      </c>
      <c r="G390">
        <f>C390*D390</f>
        <v>9.5699999999999985</v>
      </c>
      <c r="I390" s="287">
        <f>SUM(G390:G398)</f>
        <v>31.464999999999996</v>
      </c>
    </row>
    <row r="391" spans="2:9">
      <c r="B391" t="s">
        <v>546</v>
      </c>
      <c r="C391">
        <v>2.9</v>
      </c>
      <c r="D391">
        <v>3.3</v>
      </c>
      <c r="G391">
        <f t="shared" ref="G391:G397" si="27">C391*D391</f>
        <v>9.5699999999999985</v>
      </c>
      <c r="I391" s="287"/>
    </row>
    <row r="392" spans="2:9">
      <c r="B392" t="s">
        <v>546</v>
      </c>
      <c r="C392">
        <v>2.9</v>
      </c>
      <c r="D392">
        <v>2.2999999999999998</v>
      </c>
      <c r="G392">
        <f t="shared" si="27"/>
        <v>6.669999999999999</v>
      </c>
      <c r="I392" s="287"/>
    </row>
    <row r="393" spans="2:9">
      <c r="B393" t="s">
        <v>546</v>
      </c>
      <c r="C393">
        <v>2.9</v>
      </c>
      <c r="D393">
        <v>1.95</v>
      </c>
      <c r="G393">
        <f t="shared" si="27"/>
        <v>5.6549999999999994</v>
      </c>
      <c r="I393" s="287"/>
    </row>
    <row r="394" spans="2:9">
      <c r="G394">
        <f t="shared" si="27"/>
        <v>0</v>
      </c>
      <c r="I394" s="287"/>
    </row>
    <row r="395" spans="2:9">
      <c r="G395">
        <f t="shared" si="27"/>
        <v>0</v>
      </c>
      <c r="I395" s="287"/>
    </row>
    <row r="396" spans="2:9">
      <c r="G396">
        <f t="shared" si="27"/>
        <v>0</v>
      </c>
      <c r="I396" s="287"/>
    </row>
    <row r="397" spans="2:9">
      <c r="G397">
        <f t="shared" si="27"/>
        <v>0</v>
      </c>
    </row>
    <row r="401" spans="1:9">
      <c r="B401" s="285" t="s">
        <v>558</v>
      </c>
      <c r="C401" s="285"/>
      <c r="D401" s="285"/>
      <c r="E401" s="285"/>
      <c r="F401" s="285"/>
      <c r="G401" s="285"/>
      <c r="H401" s="285"/>
      <c r="I401" s="285"/>
    </row>
    <row r="403" spans="1:9">
      <c r="C403" t="s">
        <v>552</v>
      </c>
      <c r="D403" t="s">
        <v>536</v>
      </c>
      <c r="E403" t="s">
        <v>559</v>
      </c>
      <c r="G403" t="s">
        <v>499</v>
      </c>
    </row>
    <row r="404" spans="1:9">
      <c r="A404" s="286" t="s">
        <v>560</v>
      </c>
      <c r="B404" t="s">
        <v>542</v>
      </c>
      <c r="C404">
        <v>11.5</v>
      </c>
      <c r="D404">
        <v>2.95</v>
      </c>
      <c r="E404">
        <f>(1.2*1.2)+(0.7*2.1)</f>
        <v>2.91</v>
      </c>
      <c r="G404">
        <f>(C404*D404)-E404</f>
        <v>31.015000000000004</v>
      </c>
      <c r="I404" s="287">
        <f>SUM(G404:G432)</f>
        <v>1488.9771999999998</v>
      </c>
    </row>
    <row r="405" spans="1:9">
      <c r="A405" s="286"/>
      <c r="B405" t="s">
        <v>542</v>
      </c>
      <c r="C405">
        <v>11.32</v>
      </c>
      <c r="D405">
        <v>2.95</v>
      </c>
      <c r="E405">
        <f>(1.2*1.2)+(0.7*2.1)</f>
        <v>2.91</v>
      </c>
      <c r="G405">
        <f t="shared" ref="G405:G414" si="28">(C405*D405)-E405</f>
        <v>30.484000000000005</v>
      </c>
      <c r="I405" s="287"/>
    </row>
    <row r="406" spans="1:9">
      <c r="A406" s="286"/>
      <c r="B406" t="s">
        <v>542</v>
      </c>
      <c r="C406">
        <v>18.41</v>
      </c>
      <c r="D406">
        <v>2.95</v>
      </c>
      <c r="E406">
        <f>(1.2*1.2)+(1.5*1.2)+(0.7*2.1)</f>
        <v>4.71</v>
      </c>
      <c r="G406">
        <f t="shared" si="28"/>
        <v>49.599500000000006</v>
      </c>
      <c r="I406" s="287"/>
    </row>
    <row r="407" spans="1:9">
      <c r="A407" s="286"/>
      <c r="B407" t="s">
        <v>542</v>
      </c>
      <c r="C407">
        <v>26.03</v>
      </c>
      <c r="D407">
        <v>2.95</v>
      </c>
      <c r="E407">
        <f>(1.18*2.95)+((0.7*2.1)*3)+(0.8*2.1)+((1.2*1.2)*2)+(1.5*1.2)+(2*2.95)</f>
        <v>20.151000000000003</v>
      </c>
      <c r="G407">
        <f t="shared" si="28"/>
        <v>56.63750000000001</v>
      </c>
      <c r="I407" s="287"/>
    </row>
    <row r="408" spans="1:9">
      <c r="A408" s="286"/>
      <c r="B408" t="s">
        <v>542</v>
      </c>
      <c r="C408">
        <v>15.56</v>
      </c>
      <c r="D408">
        <v>2.95</v>
      </c>
      <c r="E408">
        <f>(1.2*2.5)+(0.7*2.1)</f>
        <v>4.47</v>
      </c>
      <c r="G408">
        <f t="shared" si="28"/>
        <v>41.432000000000002</v>
      </c>
      <c r="I408" s="287"/>
    </row>
    <row r="409" spans="1:9">
      <c r="A409" s="286"/>
      <c r="B409" t="s">
        <v>542</v>
      </c>
      <c r="C409">
        <v>46.22</v>
      </c>
      <c r="D409">
        <v>2.95</v>
      </c>
      <c r="E409">
        <f>(0.8*2.1)+((0.9*2.1)*2)*((0.7*2.1)*4)+(0.6*2.1)+((1.3*1.25)*2)</f>
        <v>28.416400000000003</v>
      </c>
      <c r="G409">
        <f t="shared" si="28"/>
        <v>107.93260000000001</v>
      </c>
      <c r="I409" s="287"/>
    </row>
    <row r="410" spans="1:9">
      <c r="A410" s="286"/>
      <c r="B410" t="s">
        <v>542</v>
      </c>
      <c r="C410">
        <v>14.9</v>
      </c>
      <c r="D410">
        <v>2.95</v>
      </c>
      <c r="E410">
        <f>(1.5*1.2)+(0.7*2.1)</f>
        <v>3.2699999999999996</v>
      </c>
      <c r="G410">
        <f t="shared" si="28"/>
        <v>40.685000000000002</v>
      </c>
      <c r="I410" s="287"/>
    </row>
    <row r="411" spans="1:9">
      <c r="A411" s="286"/>
      <c r="B411" t="s">
        <v>542</v>
      </c>
      <c r="C411">
        <v>12.6</v>
      </c>
      <c r="D411">
        <v>2.9</v>
      </c>
      <c r="E411">
        <f>(1.5*1.2)+(0.7*2.1)</f>
        <v>3.2699999999999996</v>
      </c>
      <c r="G411">
        <f t="shared" si="28"/>
        <v>33.269999999999996</v>
      </c>
      <c r="I411" s="287"/>
    </row>
    <row r="412" spans="1:9">
      <c r="A412" s="286"/>
      <c r="B412" t="s">
        <v>542</v>
      </c>
      <c r="C412">
        <v>10.7</v>
      </c>
      <c r="D412">
        <v>2.9</v>
      </c>
      <c r="E412">
        <f>(1.5*1.2)+(0.7*2.1)</f>
        <v>3.2699999999999996</v>
      </c>
      <c r="G412">
        <f t="shared" si="28"/>
        <v>27.759999999999998</v>
      </c>
      <c r="I412" s="287"/>
    </row>
    <row r="413" spans="1:9">
      <c r="A413" s="286"/>
      <c r="B413" t="s">
        <v>542</v>
      </c>
      <c r="C413">
        <v>19.8</v>
      </c>
      <c r="D413">
        <v>2.9</v>
      </c>
      <c r="E413">
        <f>((0.9*2.1)*2)+((1.35*1.25)*2)+(6.17*2.2)</f>
        <v>20.729000000000003</v>
      </c>
      <c r="G413">
        <f t="shared" si="28"/>
        <v>36.691000000000003</v>
      </c>
      <c r="I413" s="287"/>
    </row>
    <row r="414" spans="1:9">
      <c r="A414" s="286"/>
      <c r="B414" t="s">
        <v>542</v>
      </c>
      <c r="C414">
        <v>15.52</v>
      </c>
      <c r="D414">
        <v>2.9</v>
      </c>
      <c r="E414">
        <f>(0.9*2.1)+(1.2*1.2)</f>
        <v>3.33</v>
      </c>
      <c r="G414">
        <f t="shared" si="28"/>
        <v>41.677999999999997</v>
      </c>
      <c r="I414" s="287"/>
    </row>
    <row r="415" spans="1:9">
      <c r="A415" s="286"/>
      <c r="B415" t="s">
        <v>546</v>
      </c>
      <c r="C415">
        <v>11.81</v>
      </c>
      <c r="D415">
        <v>2.95</v>
      </c>
      <c r="E415">
        <f>(0.7*2.1)+(1.55*1.3)+(0.8*2.1)+(1.85*2)</f>
        <v>8.865000000000002</v>
      </c>
      <c r="G415">
        <f t="shared" ref="G415:G423" si="29">(C415*D415)-E415</f>
        <v>25.974499999999999</v>
      </c>
      <c r="I415" s="287"/>
    </row>
    <row r="416" spans="1:9">
      <c r="A416" s="286"/>
      <c r="B416" t="s">
        <v>546</v>
      </c>
      <c r="C416">
        <v>15.01</v>
      </c>
      <c r="D416">
        <v>2.95</v>
      </c>
      <c r="E416">
        <f>(0.7*2.1)+(1.55*1.3)</f>
        <v>3.4850000000000003</v>
      </c>
      <c r="G416">
        <f t="shared" si="29"/>
        <v>40.794499999999999</v>
      </c>
      <c r="I416" s="287"/>
    </row>
    <row r="417" spans="1:9">
      <c r="A417" s="286"/>
      <c r="B417" t="s">
        <v>546</v>
      </c>
      <c r="C417">
        <v>15.56</v>
      </c>
      <c r="D417">
        <v>2.95</v>
      </c>
      <c r="E417">
        <f>(1.2*2.5)+(0.7*2.1)</f>
        <v>4.47</v>
      </c>
      <c r="G417">
        <f t="shared" si="29"/>
        <v>41.432000000000002</v>
      </c>
      <c r="I417" s="287"/>
    </row>
    <row r="418" spans="1:9">
      <c r="A418" s="286"/>
      <c r="B418" t="s">
        <v>546</v>
      </c>
      <c r="C418">
        <v>46.22</v>
      </c>
      <c r="D418">
        <v>2.95</v>
      </c>
      <c r="E418">
        <f>(0.8*2.1)+((0.9*2.1)*2)*((0.7*2.1)*4)+(0.6*2.1)+((1.3*1.25)*2)</f>
        <v>28.416400000000003</v>
      </c>
      <c r="G418">
        <f t="shared" si="29"/>
        <v>107.93260000000001</v>
      </c>
      <c r="I418" s="287"/>
    </row>
    <row r="419" spans="1:9">
      <c r="A419" s="286"/>
      <c r="B419" t="s">
        <v>546</v>
      </c>
      <c r="C419">
        <v>14.9</v>
      </c>
      <c r="D419">
        <v>2.95</v>
      </c>
      <c r="E419">
        <f>(1.5*1.2)+(0.7*2.1)</f>
        <v>3.2699999999999996</v>
      </c>
      <c r="G419">
        <f t="shared" si="29"/>
        <v>40.685000000000002</v>
      </c>
      <c r="I419" s="287"/>
    </row>
    <row r="420" spans="1:9">
      <c r="A420" s="286"/>
      <c r="B420" t="s">
        <v>546</v>
      </c>
      <c r="C420">
        <v>12.6</v>
      </c>
      <c r="D420">
        <v>2.9</v>
      </c>
      <c r="E420">
        <f>(1.5*1.2)+(0.7*2.1)</f>
        <v>3.2699999999999996</v>
      </c>
      <c r="G420">
        <f t="shared" si="29"/>
        <v>33.269999999999996</v>
      </c>
      <c r="I420" s="287"/>
    </row>
    <row r="421" spans="1:9">
      <c r="A421" s="286"/>
      <c r="B421" t="s">
        <v>546</v>
      </c>
      <c r="C421">
        <v>10.7</v>
      </c>
      <c r="D421">
        <v>2.9</v>
      </c>
      <c r="E421">
        <f>(1.5*1.2)+(0.7*2.1)</f>
        <v>3.2699999999999996</v>
      </c>
      <c r="G421">
        <f t="shared" si="29"/>
        <v>27.759999999999998</v>
      </c>
      <c r="I421" s="287"/>
    </row>
    <row r="422" spans="1:9">
      <c r="A422" s="286"/>
      <c r="B422" t="s">
        <v>546</v>
      </c>
      <c r="C422">
        <v>19.8</v>
      </c>
      <c r="D422">
        <v>2.9</v>
      </c>
      <c r="E422">
        <f>((0.9*2.1)*2)+((1.35*1.25)*2)+(6.17*2.2)</f>
        <v>20.729000000000003</v>
      </c>
      <c r="G422">
        <f t="shared" si="29"/>
        <v>36.691000000000003</v>
      </c>
      <c r="I422" s="287"/>
    </row>
    <row r="423" spans="1:9">
      <c r="A423" s="286"/>
      <c r="B423" t="s">
        <v>546</v>
      </c>
      <c r="C423">
        <v>15.52</v>
      </c>
      <c r="D423">
        <v>2.9</v>
      </c>
      <c r="E423">
        <f>(0.9*2.1)+(1.2*1.2)</f>
        <v>3.33</v>
      </c>
      <c r="G423">
        <f t="shared" si="29"/>
        <v>41.677999999999997</v>
      </c>
      <c r="I423" s="287"/>
    </row>
    <row r="424" spans="1:9">
      <c r="A424" s="286"/>
      <c r="B424" t="s">
        <v>561</v>
      </c>
      <c r="C424">
        <v>67</v>
      </c>
      <c r="D424">
        <v>2.7</v>
      </c>
      <c r="E424">
        <f>((0.9*2.1)*3)+(1.6*2.2)+((2.5*1.2)*4)+((2.3*1.2)*2+(1.35*1.2))</f>
        <v>28.330000000000002</v>
      </c>
      <c r="G424">
        <f t="shared" ref="G424:G430" si="30">(C424*D424)-E424</f>
        <v>152.57</v>
      </c>
      <c r="I424" s="287"/>
    </row>
    <row r="425" spans="1:9">
      <c r="A425" s="286"/>
      <c r="B425" t="s">
        <v>561</v>
      </c>
      <c r="C425">
        <v>18.54</v>
      </c>
      <c r="D425">
        <v>1.8</v>
      </c>
      <c r="G425">
        <f>(C425*D425)</f>
        <v>33.372</v>
      </c>
      <c r="I425" s="287"/>
    </row>
    <row r="426" spans="1:9">
      <c r="A426" s="121"/>
      <c r="I426" s="287"/>
    </row>
    <row r="427" spans="1:9">
      <c r="B427" t="s">
        <v>562</v>
      </c>
      <c r="C427">
        <v>5.5</v>
      </c>
      <c r="D427">
        <v>11.7</v>
      </c>
      <c r="E427">
        <f>(1.6*2.2)</f>
        <v>3.5200000000000005</v>
      </c>
      <c r="G427">
        <f t="shared" si="30"/>
        <v>60.829999999999991</v>
      </c>
      <c r="I427" s="287"/>
    </row>
    <row r="428" spans="1:9">
      <c r="B428" t="s">
        <v>562</v>
      </c>
      <c r="C428">
        <v>22.41</v>
      </c>
      <c r="D428">
        <v>9.9</v>
      </c>
      <c r="E428">
        <f>((2.5*1.2)*5)+((1.5*1.2)*2)+(27)+((2.31*1.2)*2)</f>
        <v>51.143999999999998</v>
      </c>
      <c r="G428">
        <f t="shared" si="30"/>
        <v>170.715</v>
      </c>
      <c r="I428" s="287"/>
    </row>
    <row r="429" spans="1:9">
      <c r="B429" t="s">
        <v>562</v>
      </c>
      <c r="C429">
        <v>4.43</v>
      </c>
      <c r="D429">
        <v>7.8</v>
      </c>
      <c r="E429">
        <f>(1.18*2.9)+(1.2*1.2)</f>
        <v>4.8620000000000001</v>
      </c>
      <c r="G429">
        <f t="shared" si="30"/>
        <v>29.691999999999993</v>
      </c>
      <c r="I429" s="287"/>
    </row>
    <row r="430" spans="1:9">
      <c r="B430" t="s">
        <v>562</v>
      </c>
      <c r="C430">
        <v>10.48</v>
      </c>
      <c r="D430">
        <v>9.1999999999999993</v>
      </c>
      <c r="E430">
        <f>((1.5*1.2)*4)+(2.5*1.2)+(1.35*1.2)</f>
        <v>11.82</v>
      </c>
      <c r="G430">
        <f t="shared" si="30"/>
        <v>84.596000000000004</v>
      </c>
      <c r="I430" s="287"/>
    </row>
    <row r="431" spans="1:9">
      <c r="I431" s="287"/>
    </row>
    <row r="432" spans="1:9">
      <c r="B432" t="s">
        <v>563</v>
      </c>
      <c r="C432">
        <f>26+3</f>
        <v>29</v>
      </c>
      <c r="D432">
        <v>2.2000000000000002</v>
      </c>
      <c r="G432">
        <f>(C432*D432)</f>
        <v>63.800000000000004</v>
      </c>
      <c r="I432" s="287"/>
    </row>
    <row r="437" spans="2:9">
      <c r="B437" s="285" t="s">
        <v>564</v>
      </c>
      <c r="C437" s="285"/>
      <c r="D437" s="285"/>
      <c r="E437" s="285"/>
      <c r="F437" s="285"/>
      <c r="G437" s="285"/>
      <c r="H437" s="285"/>
      <c r="I437" s="285"/>
    </row>
    <row r="439" spans="2:9">
      <c r="C439" t="s">
        <v>527</v>
      </c>
      <c r="G439" t="s">
        <v>499</v>
      </c>
    </row>
    <row r="440" spans="2:9">
      <c r="B440" t="s">
        <v>542</v>
      </c>
      <c r="C440">
        <v>8.26</v>
      </c>
      <c r="G440">
        <f>C440</f>
        <v>8.26</v>
      </c>
      <c r="I440" s="287">
        <f>SUM(G440:G463)</f>
        <v>281.2700000000001</v>
      </c>
    </row>
    <row r="441" spans="2:9">
      <c r="B441" t="s">
        <v>542</v>
      </c>
      <c r="C441">
        <v>7.99</v>
      </c>
      <c r="G441">
        <f t="shared" ref="G441:G453" si="31">C441</f>
        <v>7.99</v>
      </c>
      <c r="I441" s="287"/>
    </row>
    <row r="442" spans="2:9">
      <c r="B442" t="s">
        <v>542</v>
      </c>
      <c r="C442" s="195">
        <v>16.64</v>
      </c>
      <c r="G442">
        <f t="shared" si="31"/>
        <v>16.64</v>
      </c>
      <c r="I442" s="287"/>
    </row>
    <row r="443" spans="2:9">
      <c r="B443" t="s">
        <v>542</v>
      </c>
      <c r="C443" s="196"/>
      <c r="G443">
        <f t="shared" si="31"/>
        <v>0</v>
      </c>
      <c r="I443" s="287"/>
    </row>
    <row r="444" spans="2:9">
      <c r="B444" t="s">
        <v>542</v>
      </c>
      <c r="C444">
        <v>14.87</v>
      </c>
      <c r="G444">
        <f t="shared" si="31"/>
        <v>14.87</v>
      </c>
      <c r="I444" s="287"/>
    </row>
    <row r="445" spans="2:9">
      <c r="B445" t="s">
        <v>542</v>
      </c>
      <c r="C445">
        <v>16.66</v>
      </c>
      <c r="G445">
        <f t="shared" si="31"/>
        <v>16.66</v>
      </c>
      <c r="I445" s="287"/>
    </row>
    <row r="446" spans="2:9">
      <c r="B446" t="s">
        <v>542</v>
      </c>
      <c r="C446">
        <v>14.19</v>
      </c>
      <c r="G446">
        <f t="shared" si="31"/>
        <v>14.19</v>
      </c>
      <c r="I446" s="287"/>
    </row>
    <row r="447" spans="2:9">
      <c r="B447" t="s">
        <v>542</v>
      </c>
      <c r="C447">
        <v>13.35</v>
      </c>
      <c r="G447">
        <f t="shared" si="31"/>
        <v>13.35</v>
      </c>
    </row>
    <row r="448" spans="2:9">
      <c r="B448" t="s">
        <v>542</v>
      </c>
      <c r="C448">
        <v>9.9</v>
      </c>
      <c r="G448">
        <f t="shared" si="31"/>
        <v>9.9</v>
      </c>
    </row>
    <row r="449" spans="2:7">
      <c r="B449" t="s">
        <v>542</v>
      </c>
      <c r="C449">
        <v>18.05</v>
      </c>
      <c r="G449">
        <f t="shared" si="31"/>
        <v>18.05</v>
      </c>
    </row>
    <row r="450" spans="2:7">
      <c r="B450" t="s">
        <v>542</v>
      </c>
      <c r="C450">
        <v>16.96</v>
      </c>
      <c r="G450">
        <f t="shared" si="31"/>
        <v>16.96</v>
      </c>
    </row>
    <row r="451" spans="2:7">
      <c r="B451" t="s">
        <v>565</v>
      </c>
      <c r="C451">
        <v>5.1100000000000003</v>
      </c>
      <c r="G451">
        <f t="shared" si="31"/>
        <v>5.1100000000000003</v>
      </c>
    </row>
    <row r="452" spans="2:7">
      <c r="B452" t="s">
        <v>565</v>
      </c>
      <c r="C452">
        <v>4.83</v>
      </c>
      <c r="G452">
        <f t="shared" si="31"/>
        <v>4.83</v>
      </c>
    </row>
    <row r="453" spans="2:7">
      <c r="G453">
        <f t="shared" si="31"/>
        <v>0</v>
      </c>
    </row>
    <row r="454" spans="2:7">
      <c r="B454" t="s">
        <v>566</v>
      </c>
      <c r="C454">
        <v>5.1100000000000003</v>
      </c>
      <c r="G454">
        <f t="shared" ref="G454:G463" si="32">C454</f>
        <v>5.1100000000000003</v>
      </c>
    </row>
    <row r="455" spans="2:7">
      <c r="B455" t="s">
        <v>566</v>
      </c>
      <c r="C455">
        <v>4.83</v>
      </c>
      <c r="G455">
        <f t="shared" si="32"/>
        <v>4.83</v>
      </c>
    </row>
    <row r="456" spans="2:7">
      <c r="B456" t="s">
        <v>567</v>
      </c>
      <c r="C456">
        <v>14.87</v>
      </c>
      <c r="G456">
        <f t="shared" si="32"/>
        <v>14.87</v>
      </c>
    </row>
    <row r="457" spans="2:7">
      <c r="B457" t="s">
        <v>567</v>
      </c>
      <c r="C457">
        <v>16.66</v>
      </c>
      <c r="G457">
        <f t="shared" si="32"/>
        <v>16.66</v>
      </c>
    </row>
    <row r="458" spans="2:7">
      <c r="B458" t="s">
        <v>567</v>
      </c>
      <c r="C458">
        <v>14.19</v>
      </c>
      <c r="G458">
        <f t="shared" si="32"/>
        <v>14.19</v>
      </c>
    </row>
    <row r="459" spans="2:7">
      <c r="B459" t="s">
        <v>567</v>
      </c>
      <c r="C459">
        <v>13.35</v>
      </c>
      <c r="G459">
        <f t="shared" si="32"/>
        <v>13.35</v>
      </c>
    </row>
    <row r="460" spans="2:7">
      <c r="B460" t="s">
        <v>567</v>
      </c>
      <c r="C460">
        <v>9.9</v>
      </c>
      <c r="G460">
        <f t="shared" si="32"/>
        <v>9.9</v>
      </c>
    </row>
    <row r="461" spans="2:7">
      <c r="B461" t="s">
        <v>567</v>
      </c>
      <c r="C461">
        <v>18.05</v>
      </c>
      <c r="G461">
        <f t="shared" si="32"/>
        <v>18.05</v>
      </c>
    </row>
    <row r="462" spans="2:7">
      <c r="B462" t="s">
        <v>567</v>
      </c>
      <c r="C462">
        <v>16.96</v>
      </c>
      <c r="G462">
        <f t="shared" si="32"/>
        <v>16.96</v>
      </c>
    </row>
    <row r="463" spans="2:7">
      <c r="B463">
        <v>2</v>
      </c>
      <c r="C463">
        <v>20.54</v>
      </c>
      <c r="G463">
        <f t="shared" si="32"/>
        <v>20.54</v>
      </c>
    </row>
    <row r="466" spans="2:10">
      <c r="B466" t="s">
        <v>568</v>
      </c>
    </row>
    <row r="468" spans="2:10">
      <c r="B468" s="122" t="s">
        <v>569</v>
      </c>
      <c r="C468" s="122" t="s">
        <v>570</v>
      </c>
      <c r="D468" s="122"/>
      <c r="E468" s="122"/>
      <c r="F468" s="122"/>
      <c r="G468" s="122"/>
      <c r="H468" s="122"/>
      <c r="I468" s="122"/>
      <c r="J468" s="122"/>
    </row>
    <row r="470" spans="2:10">
      <c r="B470" t="s">
        <v>571</v>
      </c>
    </row>
    <row r="472" spans="2:10">
      <c r="B472" t="s">
        <v>572</v>
      </c>
      <c r="C472">
        <v>128300</v>
      </c>
    </row>
  </sheetData>
  <mergeCells count="59">
    <mergeCell ref="I6:I18"/>
    <mergeCell ref="B4:I4"/>
    <mergeCell ref="B21:I21"/>
    <mergeCell ref="I24:I30"/>
    <mergeCell ref="B35:I35"/>
    <mergeCell ref="I75:I81"/>
    <mergeCell ref="I38:I44"/>
    <mergeCell ref="B48:I48"/>
    <mergeCell ref="I51:I57"/>
    <mergeCell ref="B60:I60"/>
    <mergeCell ref="I63:I69"/>
    <mergeCell ref="B72:I72"/>
    <mergeCell ref="B87:I87"/>
    <mergeCell ref="I90:I96"/>
    <mergeCell ref="B102:I102"/>
    <mergeCell ref="I105:I111"/>
    <mergeCell ref="B119:I119"/>
    <mergeCell ref="I122:I128"/>
    <mergeCell ref="B153:I153"/>
    <mergeCell ref="I156:I162"/>
    <mergeCell ref="B170:I170"/>
    <mergeCell ref="I173:I179"/>
    <mergeCell ref="B135:I135"/>
    <mergeCell ref="I138:I144"/>
    <mergeCell ref="B184:I184"/>
    <mergeCell ref="I187:I193"/>
    <mergeCell ref="B209:I209"/>
    <mergeCell ref="I212:I218"/>
    <mergeCell ref="B228:I228"/>
    <mergeCell ref="I231:I237"/>
    <mergeCell ref="B196:I196"/>
    <mergeCell ref="I199:I205"/>
    <mergeCell ref="B241:I241"/>
    <mergeCell ref="I244:I251"/>
    <mergeCell ref="B253:I253"/>
    <mergeCell ref="I256:I262"/>
    <mergeCell ref="B277:I277"/>
    <mergeCell ref="I280:I286"/>
    <mergeCell ref="B265:I265"/>
    <mergeCell ref="I268:I274"/>
    <mergeCell ref="B289:I289"/>
    <mergeCell ref="I292:I298"/>
    <mergeCell ref="I390:I396"/>
    <mergeCell ref="B305:I305"/>
    <mergeCell ref="I308:I314"/>
    <mergeCell ref="B321:I321"/>
    <mergeCell ref="I324:I330"/>
    <mergeCell ref="B337:I337"/>
    <mergeCell ref="I340:I346"/>
    <mergeCell ref="B353:I353"/>
    <mergeCell ref="I356:I362"/>
    <mergeCell ref="B374:I374"/>
    <mergeCell ref="I377:I383"/>
    <mergeCell ref="B387:I387"/>
    <mergeCell ref="B401:I401"/>
    <mergeCell ref="A404:A425"/>
    <mergeCell ref="I404:I432"/>
    <mergeCell ref="B437:I437"/>
    <mergeCell ref="I440:I446"/>
  </mergeCells>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dimension ref="A1"/>
  <sheetViews>
    <sheetView workbookViewId="0">
      <selection activeCell="E23" sqref="E23"/>
    </sheetView>
  </sheetViews>
  <sheetFormatPr defaultRowHeight="14.4"/>
  <sheetData/>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sheetPr>
    <tabColor rgb="FFFFFF00"/>
  </sheetPr>
  <dimension ref="A1:O195"/>
  <sheetViews>
    <sheetView view="pageBreakPreview" zoomScale="85" zoomScaleNormal="70" zoomScaleSheetLayoutView="85" workbookViewId="0">
      <selection activeCell="A39" sqref="A39:IV39"/>
    </sheetView>
  </sheetViews>
  <sheetFormatPr defaultRowHeight="14.4"/>
  <cols>
    <col min="1" max="1" width="9.88671875" style="1" customWidth="1"/>
    <col min="2" max="2" width="10.6640625" style="2" customWidth="1"/>
    <col min="3" max="3" width="9.44140625" style="3" customWidth="1"/>
    <col min="4" max="4" width="52.88671875" style="4" customWidth="1"/>
    <col min="5" max="5" width="6.88671875" style="5" customWidth="1"/>
    <col min="6" max="6" width="9.6640625" style="6" customWidth="1"/>
    <col min="7" max="7" width="12.88671875" style="6" customWidth="1"/>
    <col min="8" max="8" width="13.109375" style="7" customWidth="1"/>
    <col min="9" max="9" width="18.5546875" style="7" bestFit="1" customWidth="1"/>
    <col min="10" max="10" width="21" style="7" bestFit="1" customWidth="1"/>
    <col min="11" max="11" width="20.109375" style="62" customWidth="1"/>
    <col min="12" max="12" width="17.109375" bestFit="1" customWidth="1"/>
  </cols>
  <sheetData>
    <row r="1" spans="1:15" ht="15" thickBot="1">
      <c r="C1" s="246"/>
    </row>
    <row r="2" spans="1:15" ht="17.25" customHeight="1" thickBot="1">
      <c r="A2" s="263"/>
      <c r="B2" s="264"/>
      <c r="C2" s="264"/>
      <c r="D2" s="264"/>
      <c r="E2" s="267" t="s">
        <v>0</v>
      </c>
      <c r="F2" s="268"/>
      <c r="G2" s="268"/>
      <c r="H2" s="269"/>
      <c r="I2" s="283" t="s">
        <v>1</v>
      </c>
      <c r="J2" s="156" t="s">
        <v>2</v>
      </c>
    </row>
    <row r="3" spans="1:15" ht="17.25" customHeight="1" thickBot="1">
      <c r="A3" s="265"/>
      <c r="B3" s="266"/>
      <c r="C3" s="266"/>
      <c r="D3" s="266"/>
      <c r="E3" s="270"/>
      <c r="F3" s="271"/>
      <c r="G3" s="271"/>
      <c r="H3" s="272"/>
      <c r="I3" s="284"/>
      <c r="J3" s="157" t="s">
        <v>3</v>
      </c>
    </row>
    <row r="4" spans="1:15" ht="17.25" customHeight="1" thickBot="1">
      <c r="A4" s="265"/>
      <c r="B4" s="266"/>
      <c r="C4" s="266"/>
      <c r="D4" s="266"/>
      <c r="E4" s="270"/>
      <c r="F4" s="271"/>
      <c r="G4" s="271"/>
      <c r="H4" s="272"/>
      <c r="I4" s="8"/>
      <c r="J4" s="158" t="s">
        <v>4</v>
      </c>
    </row>
    <row r="5" spans="1:15" ht="14.25" customHeight="1" thickBot="1">
      <c r="A5" s="265"/>
      <c r="B5" s="266"/>
      <c r="C5" s="266"/>
      <c r="D5" s="266"/>
      <c r="E5" s="270"/>
      <c r="F5" s="271"/>
      <c r="G5" s="271"/>
      <c r="H5" s="272"/>
      <c r="I5" s="9">
        <v>0.2223</v>
      </c>
      <c r="J5" s="159">
        <v>45685</v>
      </c>
    </row>
    <row r="6" spans="1:15" ht="12.75" customHeight="1" thickBot="1">
      <c r="A6" s="265"/>
      <c r="B6" s="266"/>
      <c r="C6" s="266"/>
      <c r="D6" s="266"/>
      <c r="E6" s="270"/>
      <c r="F6" s="271"/>
      <c r="G6" s="271"/>
      <c r="H6" s="272"/>
      <c r="I6" s="276" t="s">
        <v>5</v>
      </c>
      <c r="J6" s="277"/>
    </row>
    <row r="7" spans="1:15" ht="12.75" customHeight="1" thickBot="1">
      <c r="A7" s="265"/>
      <c r="B7" s="266"/>
      <c r="C7" s="266"/>
      <c r="D7" s="266"/>
      <c r="E7" s="273"/>
      <c r="F7" s="274"/>
      <c r="G7" s="274"/>
      <c r="H7" s="275"/>
      <c r="I7" s="278"/>
      <c r="J7" s="279"/>
    </row>
    <row r="8" spans="1:15" ht="12.75" customHeight="1" thickBot="1">
      <c r="A8" s="265"/>
      <c r="B8" s="266"/>
      <c r="C8" s="266"/>
      <c r="D8" s="266"/>
      <c r="E8" s="280" t="s">
        <v>6</v>
      </c>
      <c r="F8" s="280"/>
      <c r="G8" s="280"/>
      <c r="H8" s="280"/>
      <c r="I8" s="278" t="s">
        <v>7</v>
      </c>
      <c r="J8" s="279"/>
    </row>
    <row r="9" spans="1:15" ht="15" thickBot="1">
      <c r="A9" s="265"/>
      <c r="B9" s="266"/>
      <c r="C9" s="266"/>
      <c r="D9" s="266"/>
      <c r="E9" s="280"/>
      <c r="F9" s="280"/>
      <c r="G9" s="280"/>
      <c r="H9" s="280"/>
      <c r="I9" s="281" t="s">
        <v>8</v>
      </c>
      <c r="J9" s="282"/>
    </row>
    <row r="10" spans="1:15" ht="49.5" customHeight="1" thickBot="1">
      <c r="A10" s="260" t="s">
        <v>9</v>
      </c>
      <c r="B10" s="261" t="s">
        <v>10</v>
      </c>
      <c r="C10" s="262" t="s">
        <v>11</v>
      </c>
      <c r="D10" s="262" t="s">
        <v>12</v>
      </c>
      <c r="E10" s="262" t="s">
        <v>13</v>
      </c>
      <c r="F10" s="258" t="s">
        <v>14</v>
      </c>
      <c r="G10" s="258" t="s">
        <v>15</v>
      </c>
      <c r="H10" s="259" t="s">
        <v>16</v>
      </c>
      <c r="I10" s="67" t="s">
        <v>17</v>
      </c>
      <c r="J10" s="160" t="s">
        <v>18</v>
      </c>
      <c r="L10" s="5"/>
      <c r="M10" s="5"/>
    </row>
    <row r="11" spans="1:15" ht="16.2" thickBot="1">
      <c r="A11" s="260"/>
      <c r="B11" s="261"/>
      <c r="C11" s="262"/>
      <c r="D11" s="262"/>
      <c r="E11" s="262"/>
      <c r="F11" s="258"/>
      <c r="G11" s="258"/>
      <c r="H11" s="259"/>
      <c r="I11" s="161">
        <f>SUM(I13:I188)/2</f>
        <v>671622.62</v>
      </c>
      <c r="J11" s="161">
        <f>SUM(J13:J188)/2</f>
        <v>820933.60000000056</v>
      </c>
      <c r="L11" s="241"/>
      <c r="M11" s="5"/>
      <c r="O11" s="62"/>
    </row>
    <row r="12" spans="1:15" ht="6" customHeight="1" thickBot="1">
      <c r="A12" s="162"/>
      <c r="B12" s="10"/>
      <c r="C12" s="11"/>
      <c r="D12" s="12"/>
      <c r="E12" s="13"/>
      <c r="F12" s="14"/>
      <c r="G12" s="14"/>
      <c r="H12" s="134"/>
      <c r="I12" s="15"/>
      <c r="J12" s="163"/>
      <c r="L12" s="5"/>
      <c r="M12" s="5"/>
    </row>
    <row r="13" spans="1:15" ht="15.6">
      <c r="A13" s="135" t="s">
        <v>19</v>
      </c>
      <c r="B13" s="136"/>
      <c r="C13" s="137"/>
      <c r="D13" s="138" t="s">
        <v>20</v>
      </c>
      <c r="E13" s="139"/>
      <c r="F13" s="140"/>
      <c r="G13" s="140"/>
      <c r="H13" s="140"/>
      <c r="I13" s="141">
        <f>SUM(I14:I17)</f>
        <v>6441.98</v>
      </c>
      <c r="J13" s="142">
        <f>SUM(J14:J17)</f>
        <v>7874.2899999999991</v>
      </c>
      <c r="L13" s="5"/>
      <c r="M13" s="5"/>
    </row>
    <row r="14" spans="1:15" s="22" customFormat="1" ht="109.2" hidden="1">
      <c r="A14" s="150" t="s">
        <v>21</v>
      </c>
      <c r="B14" s="18" t="s">
        <v>22</v>
      </c>
      <c r="C14" s="18" t="s">
        <v>23</v>
      </c>
      <c r="D14" s="19" t="s">
        <v>24</v>
      </c>
      <c r="E14" s="20" t="s">
        <v>13</v>
      </c>
      <c r="F14" s="21">
        <v>1</v>
      </c>
      <c r="G14" s="165">
        <v>1153.26</v>
      </c>
      <c r="H14" s="21">
        <f>ROUND(G14*(1+$I$5),2)</f>
        <v>1409.63</v>
      </c>
      <c r="I14" s="21">
        <f>ROUND(G14*F14,2)</f>
        <v>1153.26</v>
      </c>
      <c r="J14" s="144">
        <f>ROUND(F14*H14,2)</f>
        <v>1409.63</v>
      </c>
      <c r="K14" s="62"/>
      <c r="L14" s="242"/>
      <c r="M14" s="245"/>
    </row>
    <row r="15" spans="1:15" s="22" customFormat="1" ht="62.4" hidden="1">
      <c r="A15" s="150" t="s">
        <v>25</v>
      </c>
      <c r="B15" s="18" t="s">
        <v>26</v>
      </c>
      <c r="C15" s="18" t="s">
        <v>23</v>
      </c>
      <c r="D15" s="19" t="s">
        <v>27</v>
      </c>
      <c r="E15" s="205" t="s">
        <v>28</v>
      </c>
      <c r="F15" s="21">
        <v>92</v>
      </c>
      <c r="G15" s="165">
        <v>19.87</v>
      </c>
      <c r="H15" s="21">
        <f>ROUND(G15*(1+$I$5),2)</f>
        <v>24.29</v>
      </c>
      <c r="I15" s="21">
        <f>ROUND(G15*F15,2)</f>
        <v>1828.04</v>
      </c>
      <c r="J15" s="144">
        <f>ROUND(F15*H15,2)</f>
        <v>2234.6799999999998</v>
      </c>
      <c r="K15" s="62"/>
      <c r="L15" s="242"/>
      <c r="M15" s="245"/>
    </row>
    <row r="16" spans="1:15" s="25" customFormat="1" ht="31.2" hidden="1">
      <c r="A16" s="143" t="s">
        <v>29</v>
      </c>
      <c r="B16" s="17" t="s">
        <v>30</v>
      </c>
      <c r="C16" s="18" t="s">
        <v>23</v>
      </c>
      <c r="D16" s="19" t="s">
        <v>31</v>
      </c>
      <c r="E16" s="23" t="s">
        <v>32</v>
      </c>
      <c r="F16" s="24">
        <v>2</v>
      </c>
      <c r="G16" s="165">
        <v>1730.34</v>
      </c>
      <c r="H16" s="21">
        <f>ROUND(G16*(1+$I$5),2)</f>
        <v>2114.9899999999998</v>
      </c>
      <c r="I16" s="21">
        <f>ROUND(G16*F16,2)</f>
        <v>3460.68</v>
      </c>
      <c r="J16" s="144">
        <f>ROUND(F16*H16,2)</f>
        <v>4229.9799999999996</v>
      </c>
      <c r="K16" s="62"/>
      <c r="L16" s="243"/>
      <c r="M16" s="245"/>
    </row>
    <row r="17" spans="1:13" s="25" customFormat="1" ht="15.6">
      <c r="A17" s="143"/>
      <c r="B17" s="17"/>
      <c r="C17" s="18"/>
      <c r="D17" s="19"/>
      <c r="E17" s="23"/>
      <c r="F17" s="24"/>
      <c r="G17" s="21"/>
      <c r="H17" s="24"/>
      <c r="I17" s="24"/>
      <c r="J17" s="145"/>
      <c r="K17" s="62"/>
      <c r="L17" s="243"/>
      <c r="M17" s="245"/>
    </row>
    <row r="18" spans="1:13" ht="15.6">
      <c r="A18" s="146" t="s">
        <v>33</v>
      </c>
      <c r="B18" s="68"/>
      <c r="C18" s="69"/>
      <c r="D18" s="70" t="s">
        <v>34</v>
      </c>
      <c r="E18" s="71"/>
      <c r="F18" s="72"/>
      <c r="G18" s="72"/>
      <c r="H18" s="72"/>
      <c r="I18" s="73">
        <f>SUM(I19:I32)</f>
        <v>12883.45</v>
      </c>
      <c r="J18" s="147">
        <f>SUM(J19:J32)</f>
        <v>15747.259999999997</v>
      </c>
      <c r="L18" s="5"/>
      <c r="M18" s="245"/>
    </row>
    <row r="19" spans="1:13" s="25" customFormat="1" ht="62.4" hidden="1">
      <c r="A19" s="143" t="s">
        <v>35</v>
      </c>
      <c r="B19" s="17" t="s">
        <v>36</v>
      </c>
      <c r="C19" s="18" t="s">
        <v>23</v>
      </c>
      <c r="D19" s="19" t="s">
        <v>37</v>
      </c>
      <c r="E19" s="20" t="s">
        <v>38</v>
      </c>
      <c r="F19" s="165">
        <v>9.44</v>
      </c>
      <c r="G19" s="165">
        <v>109.09</v>
      </c>
      <c r="H19" s="21">
        <f>ROUND(G19*(1+$I$5),2)</f>
        <v>133.34</v>
      </c>
      <c r="I19" s="21">
        <f>ROUND(G19*F19,2)</f>
        <v>1029.81</v>
      </c>
      <c r="J19" s="144">
        <f>ROUND(F19*H19,2)</f>
        <v>1258.73</v>
      </c>
      <c r="K19" s="62"/>
      <c r="L19" s="243"/>
      <c r="M19" s="245"/>
    </row>
    <row r="20" spans="1:13" s="25" customFormat="1" ht="78" hidden="1">
      <c r="A20" s="143" t="s">
        <v>39</v>
      </c>
      <c r="B20" s="17" t="s">
        <v>40</v>
      </c>
      <c r="C20" s="18" t="s">
        <v>23</v>
      </c>
      <c r="D20" s="19" t="s">
        <v>41</v>
      </c>
      <c r="E20" s="20" t="s">
        <v>42</v>
      </c>
      <c r="F20" s="165">
        <v>133.21</v>
      </c>
      <c r="G20" s="165">
        <v>21.54</v>
      </c>
      <c r="H20" s="21">
        <f>ROUND(G20*(1+$I$5),2)</f>
        <v>26.33</v>
      </c>
      <c r="I20" s="21">
        <f>ROUND(G20*F20,2)</f>
        <v>2869.34</v>
      </c>
      <c r="J20" s="144">
        <f>ROUND(F20*H20,2)</f>
        <v>3507.42</v>
      </c>
      <c r="K20" s="62"/>
      <c r="L20" s="243"/>
      <c r="M20" s="245"/>
    </row>
    <row r="21" spans="1:13" s="25" customFormat="1" ht="78" hidden="1">
      <c r="A21" s="143" t="s">
        <v>43</v>
      </c>
      <c r="B21" s="17" t="s">
        <v>44</v>
      </c>
      <c r="C21" s="18" t="s">
        <v>23</v>
      </c>
      <c r="D21" s="19" t="s">
        <v>45</v>
      </c>
      <c r="E21" s="20" t="s">
        <v>42</v>
      </c>
      <c r="F21" s="165">
        <v>53.53</v>
      </c>
      <c r="G21" s="165">
        <v>17.23</v>
      </c>
      <c r="H21" s="21">
        <f>ROUND(G21*(1+$I$5),2)</f>
        <v>21.06</v>
      </c>
      <c r="I21" s="21">
        <f>ROUND(G21*F21,2)</f>
        <v>922.32</v>
      </c>
      <c r="J21" s="144">
        <f>ROUND(F21*H21,2)</f>
        <v>1127.3399999999999</v>
      </c>
      <c r="K21" s="62"/>
      <c r="L21" s="243"/>
      <c r="M21" s="245"/>
    </row>
    <row r="22" spans="1:13" s="25" customFormat="1" ht="46.8" hidden="1">
      <c r="A22" s="143" t="s">
        <v>46</v>
      </c>
      <c r="B22" s="17" t="s">
        <v>47</v>
      </c>
      <c r="C22" s="18" t="s">
        <v>48</v>
      </c>
      <c r="D22" s="27" t="s">
        <v>49</v>
      </c>
      <c r="E22" s="20" t="s">
        <v>38</v>
      </c>
      <c r="F22" s="165">
        <f>8.24*0.12</f>
        <v>0.98880000000000001</v>
      </c>
      <c r="G22" s="165">
        <v>280</v>
      </c>
      <c r="H22" s="21">
        <f t="shared" ref="H22:H30" si="0">ROUND(G22*(1+$I$5),2)</f>
        <v>342.24</v>
      </c>
      <c r="I22" s="21">
        <f t="shared" ref="I22:I30" si="1">ROUND(G22*F22,2)</f>
        <v>276.86</v>
      </c>
      <c r="J22" s="144">
        <f t="shared" ref="J22:J30" si="2">ROUND(F22*H22,2)</f>
        <v>338.41</v>
      </c>
      <c r="K22" s="62"/>
      <c r="L22" s="243"/>
      <c r="M22" s="245"/>
    </row>
    <row r="23" spans="1:13" s="25" customFormat="1" ht="46.8" hidden="1">
      <c r="A23" s="143" t="s">
        <v>50</v>
      </c>
      <c r="B23" s="17" t="s">
        <v>51</v>
      </c>
      <c r="C23" s="18" t="s">
        <v>23</v>
      </c>
      <c r="D23" s="19" t="s">
        <v>52</v>
      </c>
      <c r="E23" s="20" t="s">
        <v>38</v>
      </c>
      <c r="F23" s="165">
        <v>7.91</v>
      </c>
      <c r="G23" s="165">
        <v>71.42</v>
      </c>
      <c r="H23" s="21">
        <f t="shared" si="0"/>
        <v>87.3</v>
      </c>
      <c r="I23" s="21">
        <f t="shared" si="1"/>
        <v>564.92999999999995</v>
      </c>
      <c r="J23" s="144">
        <f t="shared" si="2"/>
        <v>690.54</v>
      </c>
      <c r="K23" s="62"/>
      <c r="L23" s="243"/>
      <c r="M23" s="245"/>
    </row>
    <row r="24" spans="1:13" s="25" customFormat="1" ht="31.2" hidden="1">
      <c r="A24" s="143" t="s">
        <v>53</v>
      </c>
      <c r="B24" s="17" t="s">
        <v>54</v>
      </c>
      <c r="C24" s="18" t="s">
        <v>23</v>
      </c>
      <c r="D24" s="19" t="s">
        <v>55</v>
      </c>
      <c r="E24" s="20" t="s">
        <v>42</v>
      </c>
      <c r="F24" s="165">
        <v>7.6</v>
      </c>
      <c r="G24" s="165">
        <v>24.08</v>
      </c>
      <c r="H24" s="21">
        <f t="shared" si="0"/>
        <v>29.43</v>
      </c>
      <c r="I24" s="21">
        <f t="shared" si="1"/>
        <v>183.01</v>
      </c>
      <c r="J24" s="144">
        <f t="shared" si="2"/>
        <v>223.67</v>
      </c>
      <c r="K24" s="62"/>
      <c r="L24" s="243"/>
      <c r="M24" s="245"/>
    </row>
    <row r="25" spans="1:13" s="25" customFormat="1" ht="46.8" hidden="1">
      <c r="A25" s="143" t="s">
        <v>56</v>
      </c>
      <c r="B25" s="17" t="s">
        <v>57</v>
      </c>
      <c r="C25" s="18" t="s">
        <v>23</v>
      </c>
      <c r="D25" s="19" t="s">
        <v>58</v>
      </c>
      <c r="E25" s="20" t="s">
        <v>38</v>
      </c>
      <c r="F25" s="165">
        <f>F19+F22+F23+(F31*0.1)</f>
        <v>26.3688</v>
      </c>
      <c r="G25" s="165">
        <v>24.77</v>
      </c>
      <c r="H25" s="21">
        <f t="shared" si="0"/>
        <v>30.28</v>
      </c>
      <c r="I25" s="21">
        <f t="shared" si="1"/>
        <v>653.16</v>
      </c>
      <c r="J25" s="144">
        <f t="shared" si="2"/>
        <v>798.45</v>
      </c>
      <c r="K25" s="62"/>
      <c r="L25" s="243"/>
      <c r="M25" s="245"/>
    </row>
    <row r="26" spans="1:13" s="25" customFormat="1" ht="31.2" hidden="1">
      <c r="A26" s="143" t="s">
        <v>59</v>
      </c>
      <c r="B26" s="17" t="s">
        <v>60</v>
      </c>
      <c r="C26" s="18" t="s">
        <v>23</v>
      </c>
      <c r="D26" s="19" t="s">
        <v>61</v>
      </c>
      <c r="E26" s="20" t="s">
        <v>38</v>
      </c>
      <c r="F26" s="165">
        <f>F25</f>
        <v>26.3688</v>
      </c>
      <c r="G26" s="165">
        <v>60</v>
      </c>
      <c r="H26" s="21">
        <f t="shared" si="0"/>
        <v>73.34</v>
      </c>
      <c r="I26" s="21">
        <f t="shared" si="1"/>
        <v>1582.13</v>
      </c>
      <c r="J26" s="144">
        <f t="shared" si="2"/>
        <v>1933.89</v>
      </c>
      <c r="K26" s="62"/>
      <c r="L26" s="243"/>
      <c r="M26" s="245"/>
    </row>
    <row r="27" spans="1:13" s="25" customFormat="1" ht="78" hidden="1">
      <c r="A27" s="143" t="s">
        <v>62</v>
      </c>
      <c r="B27" s="17" t="s">
        <v>63</v>
      </c>
      <c r="C27" s="18" t="s">
        <v>23</v>
      </c>
      <c r="D27" s="19" t="s">
        <v>64</v>
      </c>
      <c r="E27" s="20" t="s">
        <v>42</v>
      </c>
      <c r="F27" s="165">
        <v>69.84</v>
      </c>
      <c r="G27" s="165">
        <v>13.31</v>
      </c>
      <c r="H27" s="21">
        <f t="shared" si="0"/>
        <v>16.27</v>
      </c>
      <c r="I27" s="21">
        <f t="shared" si="1"/>
        <v>929.57</v>
      </c>
      <c r="J27" s="144">
        <f t="shared" si="2"/>
        <v>1136.3</v>
      </c>
      <c r="K27" s="62"/>
      <c r="L27" s="243"/>
      <c r="M27" s="245"/>
    </row>
    <row r="28" spans="1:13" s="25" customFormat="1" ht="78" hidden="1">
      <c r="A28" s="143" t="s">
        <v>65</v>
      </c>
      <c r="B28" s="17" t="s">
        <v>66</v>
      </c>
      <c r="C28" s="18" t="s">
        <v>23</v>
      </c>
      <c r="D28" s="19" t="s">
        <v>67</v>
      </c>
      <c r="E28" s="20" t="s">
        <v>42</v>
      </c>
      <c r="F28" s="165">
        <v>18.16</v>
      </c>
      <c r="G28" s="165">
        <v>9.43</v>
      </c>
      <c r="H28" s="21">
        <f t="shared" si="0"/>
        <v>11.53</v>
      </c>
      <c r="I28" s="21">
        <f t="shared" si="1"/>
        <v>171.25</v>
      </c>
      <c r="J28" s="144">
        <f t="shared" si="2"/>
        <v>209.38</v>
      </c>
      <c r="K28" s="62"/>
      <c r="L28" s="243"/>
      <c r="M28" s="245"/>
    </row>
    <row r="29" spans="1:13" s="25" customFormat="1" ht="78" hidden="1">
      <c r="A29" s="143" t="s">
        <v>68</v>
      </c>
      <c r="B29" s="17" t="s">
        <v>69</v>
      </c>
      <c r="C29" s="18" t="s">
        <v>23</v>
      </c>
      <c r="D29" s="19" t="s">
        <v>70</v>
      </c>
      <c r="E29" s="20" t="s">
        <v>71</v>
      </c>
      <c r="F29" s="165">
        <v>11</v>
      </c>
      <c r="G29" s="165">
        <v>18.760000000000002</v>
      </c>
      <c r="H29" s="21">
        <f t="shared" si="0"/>
        <v>22.93</v>
      </c>
      <c r="I29" s="21">
        <f t="shared" si="1"/>
        <v>206.36</v>
      </c>
      <c r="J29" s="144">
        <f t="shared" si="2"/>
        <v>252.23</v>
      </c>
      <c r="K29" s="62"/>
      <c r="L29" s="243"/>
      <c r="M29" s="245"/>
    </row>
    <row r="30" spans="1:13" s="25" customFormat="1" ht="78" hidden="1">
      <c r="A30" s="143" t="s">
        <v>72</v>
      </c>
      <c r="B30" s="17" t="s">
        <v>73</v>
      </c>
      <c r="C30" s="18" t="s">
        <v>23</v>
      </c>
      <c r="D30" s="19" t="s">
        <v>74</v>
      </c>
      <c r="E30" s="20" t="s">
        <v>42</v>
      </c>
      <c r="F30" s="165">
        <v>215.92</v>
      </c>
      <c r="G30" s="165">
        <v>9.32</v>
      </c>
      <c r="H30" s="21">
        <f t="shared" si="0"/>
        <v>11.39</v>
      </c>
      <c r="I30" s="21">
        <f t="shared" si="1"/>
        <v>2012.37</v>
      </c>
      <c r="J30" s="144">
        <f t="shared" si="2"/>
        <v>2459.33</v>
      </c>
      <c r="K30" s="62"/>
      <c r="L30" s="243"/>
      <c r="M30" s="245"/>
    </row>
    <row r="31" spans="1:13" s="25" customFormat="1" ht="93.6" hidden="1">
      <c r="A31" s="143" t="s">
        <v>75</v>
      </c>
      <c r="B31" s="17" t="s">
        <v>76</v>
      </c>
      <c r="C31" s="18" t="s">
        <v>23</v>
      </c>
      <c r="D31" s="19" t="s">
        <v>77</v>
      </c>
      <c r="E31" s="20" t="s">
        <v>42</v>
      </c>
      <c r="F31" s="165">
        <v>80.3</v>
      </c>
      <c r="G31" s="165">
        <v>18.46</v>
      </c>
      <c r="H31" s="21">
        <f>ROUND(G31*(1+$I$5),2)</f>
        <v>22.56</v>
      </c>
      <c r="I31" s="21">
        <f>ROUND(G31*F31,2)</f>
        <v>1482.34</v>
      </c>
      <c r="J31" s="144">
        <f>ROUND(F31*H31,2)</f>
        <v>1811.57</v>
      </c>
      <c r="K31" s="62"/>
      <c r="L31" s="243"/>
      <c r="M31" s="245"/>
    </row>
    <row r="32" spans="1:13" s="25" customFormat="1" ht="15.6">
      <c r="A32" s="143"/>
      <c r="B32" s="17"/>
      <c r="C32" s="18"/>
      <c r="D32" s="19"/>
      <c r="E32" s="20"/>
      <c r="F32" s="21"/>
      <c r="G32" s="21"/>
      <c r="H32" s="21"/>
      <c r="I32" s="21"/>
      <c r="J32" s="144"/>
      <c r="K32" s="62"/>
      <c r="L32" s="243"/>
      <c r="M32" s="245"/>
    </row>
    <row r="33" spans="1:13" ht="15.6">
      <c r="A33" s="146" t="s">
        <v>78</v>
      </c>
      <c r="B33" s="68"/>
      <c r="C33" s="69"/>
      <c r="D33" s="75" t="s">
        <v>79</v>
      </c>
      <c r="E33" s="76"/>
      <c r="F33" s="77"/>
      <c r="G33" s="77"/>
      <c r="H33" s="77"/>
      <c r="I33" s="78">
        <f>SUM(I34:I38)</f>
        <v>29528.1</v>
      </c>
      <c r="J33" s="147">
        <f>SUM(J34:J39)</f>
        <v>36093.230000000003</v>
      </c>
      <c r="L33" s="5"/>
      <c r="M33" s="245"/>
    </row>
    <row r="34" spans="1:13" ht="46.8" hidden="1">
      <c r="A34" s="148" t="s">
        <v>80</v>
      </c>
      <c r="B34" s="17" t="s">
        <v>81</v>
      </c>
      <c r="C34" s="28" t="s">
        <v>23</v>
      </c>
      <c r="D34" s="27" t="s">
        <v>82</v>
      </c>
      <c r="E34" s="23" t="s">
        <v>42</v>
      </c>
      <c r="F34" s="26">
        <v>202.32</v>
      </c>
      <c r="G34" s="165">
        <v>70.88</v>
      </c>
      <c r="H34" s="24">
        <f>ROUND(G34*(1+$I$5),2)</f>
        <v>86.64</v>
      </c>
      <c r="I34" s="24">
        <f t="shared" ref="I34:I49" si="3">ROUND(G34*F34,2)</f>
        <v>14340.44</v>
      </c>
      <c r="J34" s="145">
        <f t="shared" ref="J34:J49" si="4">ROUND(F34*H34,2)</f>
        <v>17529</v>
      </c>
      <c r="L34" s="5"/>
      <c r="M34" s="245"/>
    </row>
    <row r="35" spans="1:13" ht="46.8" hidden="1">
      <c r="A35" s="148" t="s">
        <v>83</v>
      </c>
      <c r="B35" s="17" t="s">
        <v>84</v>
      </c>
      <c r="C35" s="28" t="s">
        <v>23</v>
      </c>
      <c r="D35" s="27" t="s">
        <v>85</v>
      </c>
      <c r="E35" s="23" t="s">
        <v>86</v>
      </c>
      <c r="F35" s="26">
        <f>3.25+3.1+3.1+5.6</f>
        <v>15.049999999999999</v>
      </c>
      <c r="G35" s="165">
        <v>7.07</v>
      </c>
      <c r="H35" s="24">
        <f>ROUND(G35*(1+$I$5),2)</f>
        <v>8.64</v>
      </c>
      <c r="I35" s="24">
        <f>ROUND(G35*F35,2)</f>
        <v>106.4</v>
      </c>
      <c r="J35" s="145">
        <f>ROUND(F35*H35,2)</f>
        <v>130.03</v>
      </c>
      <c r="L35" s="5"/>
      <c r="M35" s="245"/>
    </row>
    <row r="36" spans="1:13" ht="62.4" hidden="1">
      <c r="A36" s="148" t="s">
        <v>87</v>
      </c>
      <c r="B36" s="17" t="s">
        <v>88</v>
      </c>
      <c r="C36" s="28" t="s">
        <v>23</v>
      </c>
      <c r="D36" s="27" t="s">
        <v>89</v>
      </c>
      <c r="E36" s="23" t="s">
        <v>38</v>
      </c>
      <c r="F36" s="26">
        <v>2.2200000000000002</v>
      </c>
      <c r="G36" s="165">
        <v>3330.96</v>
      </c>
      <c r="H36" s="24">
        <f>ROUND(G36*(1+$I$5),2)</f>
        <v>4071.43</v>
      </c>
      <c r="I36" s="24">
        <f>ROUND(G36*F36,2)</f>
        <v>7394.73</v>
      </c>
      <c r="J36" s="145">
        <f>ROUND(F36*H36,2)</f>
        <v>9038.57</v>
      </c>
      <c r="L36" s="5"/>
      <c r="M36" s="245"/>
    </row>
    <row r="37" spans="1:13" ht="46.8" hidden="1">
      <c r="A37" s="148" t="s">
        <v>90</v>
      </c>
      <c r="B37" s="17" t="s">
        <v>91</v>
      </c>
      <c r="C37" s="28" t="s">
        <v>23</v>
      </c>
      <c r="D37" s="27" t="s">
        <v>92</v>
      </c>
      <c r="E37" s="23" t="s">
        <v>42</v>
      </c>
      <c r="F37" s="26">
        <v>83.66</v>
      </c>
      <c r="G37" s="165">
        <v>84.19</v>
      </c>
      <c r="H37" s="24">
        <f>ROUND(G37*(1+$I$5),2)</f>
        <v>102.91</v>
      </c>
      <c r="I37" s="24">
        <f>ROUND(G37*F37,2)</f>
        <v>7043.34</v>
      </c>
      <c r="J37" s="145">
        <f>ROUND(F37*H37,2)</f>
        <v>8609.4500000000007</v>
      </c>
      <c r="L37" s="5"/>
      <c r="M37" s="245"/>
    </row>
    <row r="38" spans="1:13" ht="62.4" hidden="1">
      <c r="A38" s="148" t="s">
        <v>93</v>
      </c>
      <c r="B38" s="17" t="s">
        <v>94</v>
      </c>
      <c r="C38" s="28" t="s">
        <v>23</v>
      </c>
      <c r="D38" s="27" t="s">
        <v>95</v>
      </c>
      <c r="E38" s="23" t="s">
        <v>42</v>
      </c>
      <c r="F38" s="26">
        <v>2.88</v>
      </c>
      <c r="G38" s="165">
        <v>223.33</v>
      </c>
      <c r="H38" s="24">
        <f>ROUND(G38*(1+$I$5),2)</f>
        <v>272.98</v>
      </c>
      <c r="I38" s="24">
        <f>ROUND(G38*F38,2)</f>
        <v>643.19000000000005</v>
      </c>
      <c r="J38" s="145">
        <f>ROUND(F38*H38,2)</f>
        <v>786.18</v>
      </c>
      <c r="L38" s="5"/>
      <c r="M38" s="245"/>
    </row>
    <row r="39" spans="1:13" s="25" customFormat="1" ht="15.6">
      <c r="A39" s="143"/>
      <c r="B39" s="17"/>
      <c r="C39" s="18"/>
      <c r="D39" s="19"/>
      <c r="E39" s="20"/>
      <c r="F39" s="21"/>
      <c r="G39" s="21"/>
      <c r="H39" s="21"/>
      <c r="I39" s="21"/>
      <c r="J39" s="144"/>
      <c r="K39" s="62"/>
      <c r="L39" s="243"/>
      <c r="M39" s="245"/>
    </row>
    <row r="40" spans="1:13" ht="15.6">
      <c r="A40" s="146" t="s">
        <v>96</v>
      </c>
      <c r="B40" s="68"/>
      <c r="C40" s="69"/>
      <c r="D40" s="75" t="s">
        <v>97</v>
      </c>
      <c r="E40" s="76"/>
      <c r="F40" s="77"/>
      <c r="G40" s="77"/>
      <c r="H40" s="77"/>
      <c r="I40" s="78">
        <f>SUM(I41:I50)</f>
        <v>100261.21999999999</v>
      </c>
      <c r="J40" s="147">
        <f>SUM(J41:J50)</f>
        <v>122551.94</v>
      </c>
      <c r="L40" s="5"/>
      <c r="M40" s="245"/>
    </row>
    <row r="41" spans="1:13" ht="78" hidden="1">
      <c r="A41" s="148" t="s">
        <v>98</v>
      </c>
      <c r="B41" s="17" t="s">
        <v>99</v>
      </c>
      <c r="C41" s="28" t="s">
        <v>23</v>
      </c>
      <c r="D41" s="27" t="s">
        <v>100</v>
      </c>
      <c r="E41" s="23" t="s">
        <v>42</v>
      </c>
      <c r="F41" s="26">
        <v>54.81</v>
      </c>
      <c r="G41" s="165">
        <v>84.29</v>
      </c>
      <c r="H41" s="24">
        <f t="shared" ref="H41:H49" si="5">ROUND(G41*(1+$I$5),2)</f>
        <v>103.03</v>
      </c>
      <c r="I41" s="24">
        <f t="shared" si="3"/>
        <v>4619.93</v>
      </c>
      <c r="J41" s="145">
        <f t="shared" si="4"/>
        <v>5647.07</v>
      </c>
      <c r="L41" s="5"/>
      <c r="M41" s="245"/>
    </row>
    <row r="42" spans="1:13" ht="46.8" hidden="1">
      <c r="A42" s="148" t="s">
        <v>101</v>
      </c>
      <c r="B42" s="17" t="s">
        <v>102</v>
      </c>
      <c r="C42" s="28" t="s">
        <v>23</v>
      </c>
      <c r="D42" s="27" t="s">
        <v>103</v>
      </c>
      <c r="E42" s="23" t="s">
        <v>42</v>
      </c>
      <c r="F42" s="26">
        <v>9.1300000000000008</v>
      </c>
      <c r="G42" s="165">
        <v>677.65</v>
      </c>
      <c r="H42" s="24">
        <f t="shared" si="5"/>
        <v>828.29</v>
      </c>
      <c r="I42" s="24">
        <f t="shared" si="3"/>
        <v>6186.94</v>
      </c>
      <c r="J42" s="145">
        <f t="shared" si="4"/>
        <v>7562.29</v>
      </c>
      <c r="L42" s="5"/>
      <c r="M42" s="245"/>
    </row>
    <row r="43" spans="1:13" ht="62.4" hidden="1">
      <c r="A43" s="148" t="s">
        <v>104</v>
      </c>
      <c r="B43" s="17" t="s">
        <v>105</v>
      </c>
      <c r="C43" s="28" t="s">
        <v>23</v>
      </c>
      <c r="D43" s="27" t="s">
        <v>106</v>
      </c>
      <c r="E43" s="23" t="s">
        <v>42</v>
      </c>
      <c r="F43" s="26">
        <v>571.97</v>
      </c>
      <c r="G43" s="165">
        <v>14.79</v>
      </c>
      <c r="H43" s="24">
        <f t="shared" si="5"/>
        <v>18.079999999999998</v>
      </c>
      <c r="I43" s="24">
        <f t="shared" si="3"/>
        <v>8459.44</v>
      </c>
      <c r="J43" s="145">
        <f t="shared" si="4"/>
        <v>10341.219999999999</v>
      </c>
      <c r="L43" s="5"/>
      <c r="M43" s="245"/>
    </row>
    <row r="44" spans="1:13" ht="62.4" hidden="1">
      <c r="A44" s="148" t="s">
        <v>107</v>
      </c>
      <c r="B44" s="17" t="s">
        <v>108</v>
      </c>
      <c r="C44" s="28" t="s">
        <v>23</v>
      </c>
      <c r="D44" s="27" t="s">
        <v>109</v>
      </c>
      <c r="E44" s="23" t="s">
        <v>42</v>
      </c>
      <c r="F44" s="26">
        <f>F43</f>
        <v>571.97</v>
      </c>
      <c r="G44" s="165">
        <v>37.56</v>
      </c>
      <c r="H44" s="24">
        <f t="shared" si="5"/>
        <v>45.91</v>
      </c>
      <c r="I44" s="24">
        <f t="shared" si="3"/>
        <v>21483.19</v>
      </c>
      <c r="J44" s="145">
        <f t="shared" si="4"/>
        <v>26259.14</v>
      </c>
      <c r="L44" s="5"/>
      <c r="M44" s="245"/>
    </row>
    <row r="45" spans="1:13" ht="93.6" hidden="1">
      <c r="A45" s="148" t="s">
        <v>110</v>
      </c>
      <c r="B45" s="17" t="s">
        <v>111</v>
      </c>
      <c r="C45" s="28" t="s">
        <v>23</v>
      </c>
      <c r="D45" s="27" t="s">
        <v>112</v>
      </c>
      <c r="E45" s="23" t="s">
        <v>42</v>
      </c>
      <c r="F45" s="26">
        <v>191.12</v>
      </c>
      <c r="G45" s="165">
        <v>76.099999999999994</v>
      </c>
      <c r="H45" s="24">
        <f t="shared" si="5"/>
        <v>93.02</v>
      </c>
      <c r="I45" s="24">
        <f t="shared" si="3"/>
        <v>14544.23</v>
      </c>
      <c r="J45" s="145">
        <f t="shared" si="4"/>
        <v>17777.98</v>
      </c>
      <c r="L45" s="5"/>
      <c r="M45" s="245"/>
    </row>
    <row r="46" spans="1:13" ht="78" hidden="1">
      <c r="A46" s="148" t="s">
        <v>113</v>
      </c>
      <c r="B46" s="17" t="s">
        <v>114</v>
      </c>
      <c r="C46" s="28" t="s">
        <v>23</v>
      </c>
      <c r="D46" s="27" t="s">
        <v>115</v>
      </c>
      <c r="E46" s="23" t="s">
        <v>42</v>
      </c>
      <c r="F46" s="26">
        <v>259.89999999999998</v>
      </c>
      <c r="G46" s="165">
        <v>85.11</v>
      </c>
      <c r="H46" s="24">
        <f t="shared" si="5"/>
        <v>104.03</v>
      </c>
      <c r="I46" s="24">
        <f t="shared" si="3"/>
        <v>22120.09</v>
      </c>
      <c r="J46" s="145">
        <f t="shared" si="4"/>
        <v>27037.4</v>
      </c>
      <c r="L46" s="5"/>
      <c r="M46" s="245"/>
    </row>
    <row r="47" spans="1:13" ht="46.8" hidden="1">
      <c r="A47" s="148" t="s">
        <v>116</v>
      </c>
      <c r="B47" s="17" t="s">
        <v>117</v>
      </c>
      <c r="C47" s="28" t="s">
        <v>23</v>
      </c>
      <c r="D47" s="27" t="s">
        <v>118</v>
      </c>
      <c r="E47" s="23" t="s">
        <v>42</v>
      </c>
      <c r="F47" s="26">
        <v>49.66</v>
      </c>
      <c r="G47" s="165">
        <v>98.07</v>
      </c>
      <c r="H47" s="24">
        <f t="shared" si="5"/>
        <v>119.87</v>
      </c>
      <c r="I47" s="24">
        <f t="shared" si="3"/>
        <v>4870.16</v>
      </c>
      <c r="J47" s="145">
        <f t="shared" si="4"/>
        <v>5952.74</v>
      </c>
      <c r="L47" s="5"/>
      <c r="M47" s="245"/>
    </row>
    <row r="48" spans="1:13" ht="31.2" hidden="1">
      <c r="A48" s="148" t="s">
        <v>119</v>
      </c>
      <c r="B48" s="17" t="s">
        <v>120</v>
      </c>
      <c r="C48" s="28" t="s">
        <v>23</v>
      </c>
      <c r="D48" s="27" t="s">
        <v>121</v>
      </c>
      <c r="E48" s="23" t="s">
        <v>42</v>
      </c>
      <c r="F48" s="26">
        <v>216.39</v>
      </c>
      <c r="G48" s="165">
        <v>44.85</v>
      </c>
      <c r="H48" s="24">
        <f t="shared" si="5"/>
        <v>54.82</v>
      </c>
      <c r="I48" s="24">
        <f t="shared" si="3"/>
        <v>9705.09</v>
      </c>
      <c r="J48" s="145">
        <f t="shared" si="4"/>
        <v>11862.5</v>
      </c>
      <c r="L48" s="5"/>
      <c r="M48" s="245"/>
    </row>
    <row r="49" spans="1:13" ht="46.8" hidden="1">
      <c r="A49" s="148" t="s">
        <v>122</v>
      </c>
      <c r="B49" s="17" t="s">
        <v>123</v>
      </c>
      <c r="C49" s="28" t="s">
        <v>48</v>
      </c>
      <c r="D49" s="27" t="s">
        <v>124</v>
      </c>
      <c r="E49" s="23" t="s">
        <v>86</v>
      </c>
      <c r="F49" s="26">
        <v>142.27000000000001</v>
      </c>
      <c r="G49" s="165">
        <v>7.73</v>
      </c>
      <c r="H49" s="24">
        <f t="shared" si="5"/>
        <v>9.4499999999999993</v>
      </c>
      <c r="I49" s="24">
        <f t="shared" si="3"/>
        <v>1099.75</v>
      </c>
      <c r="J49" s="145">
        <f t="shared" si="4"/>
        <v>1344.45</v>
      </c>
      <c r="L49" s="5"/>
      <c r="M49" s="245"/>
    </row>
    <row r="50" spans="1:13" ht="93.6" hidden="1">
      <c r="A50" s="148" t="s">
        <v>125</v>
      </c>
      <c r="B50" s="17" t="s">
        <v>126</v>
      </c>
      <c r="C50" s="28" t="s">
        <v>23</v>
      </c>
      <c r="D50" s="27" t="s">
        <v>127</v>
      </c>
      <c r="E50" s="23" t="s">
        <v>42</v>
      </c>
      <c r="F50" s="26">
        <v>80.3</v>
      </c>
      <c r="G50" s="165">
        <v>89.32</v>
      </c>
      <c r="H50" s="24">
        <f>ROUND(G50*(1+$I$5),2)</f>
        <v>109.18</v>
      </c>
      <c r="I50" s="24">
        <f>ROUND(G50*F50,2)</f>
        <v>7172.4</v>
      </c>
      <c r="J50" s="145">
        <f>ROUND(F50*H50,2)</f>
        <v>8767.15</v>
      </c>
      <c r="L50" s="5"/>
      <c r="M50" s="245"/>
    </row>
    <row r="51" spans="1:13" ht="15.6">
      <c r="A51" s="148"/>
      <c r="B51" s="17"/>
      <c r="C51" s="28"/>
      <c r="D51" s="27"/>
      <c r="E51" s="23"/>
      <c r="F51" s="26"/>
      <c r="G51" s="165"/>
      <c r="H51" s="24"/>
      <c r="I51" s="24"/>
      <c r="J51" s="145"/>
      <c r="L51" s="5"/>
      <c r="M51" s="245"/>
    </row>
    <row r="52" spans="1:13" s="29" customFormat="1" ht="15.6">
      <c r="A52" s="146" t="s">
        <v>128</v>
      </c>
      <c r="B52" s="68"/>
      <c r="C52" s="69"/>
      <c r="D52" s="70" t="s">
        <v>129</v>
      </c>
      <c r="E52" s="79"/>
      <c r="F52" s="80"/>
      <c r="G52" s="80"/>
      <c r="H52" s="80"/>
      <c r="I52" s="81">
        <f>SUM(I53:I63)</f>
        <v>68840.989999999991</v>
      </c>
      <c r="J52" s="149">
        <f>SUM(J53:J62)</f>
        <v>84144.42</v>
      </c>
      <c r="K52" s="62"/>
      <c r="L52" s="244"/>
      <c r="M52" s="245"/>
    </row>
    <row r="53" spans="1:13" s="22" customFormat="1" ht="46.8" hidden="1">
      <c r="A53" s="150" t="s">
        <v>130</v>
      </c>
      <c r="B53" s="17" t="s">
        <v>131</v>
      </c>
      <c r="C53" s="18" t="s">
        <v>23</v>
      </c>
      <c r="D53" s="19" t="s">
        <v>132</v>
      </c>
      <c r="E53" s="20" t="s">
        <v>42</v>
      </c>
      <c r="F53" s="165">
        <v>25.28</v>
      </c>
      <c r="G53" s="165">
        <v>533.57000000000005</v>
      </c>
      <c r="H53" s="21">
        <f t="shared" ref="H53:H62" si="6">ROUND(G53*(1+$I$5),2)</f>
        <v>652.17999999999995</v>
      </c>
      <c r="I53" s="21">
        <f t="shared" ref="I53:I62" si="7">ROUND(G53*F53,2)</f>
        <v>13488.65</v>
      </c>
      <c r="J53" s="144">
        <f t="shared" ref="J53:J62" si="8">ROUND(F53*H53,2)</f>
        <v>16487.11</v>
      </c>
      <c r="K53" s="62"/>
      <c r="L53" s="242"/>
      <c r="M53" s="245"/>
    </row>
    <row r="54" spans="1:13" s="22" customFormat="1" ht="46.8" hidden="1">
      <c r="A54" s="150" t="s">
        <v>133</v>
      </c>
      <c r="B54" s="17" t="s">
        <v>134</v>
      </c>
      <c r="C54" s="168" t="s">
        <v>23</v>
      </c>
      <c r="D54" s="27" t="s">
        <v>135</v>
      </c>
      <c r="E54" s="199" t="s">
        <v>42</v>
      </c>
      <c r="F54" s="165">
        <v>1.36</v>
      </c>
      <c r="G54" s="165">
        <v>492.65</v>
      </c>
      <c r="H54" s="165">
        <f t="shared" si="6"/>
        <v>602.16999999999996</v>
      </c>
      <c r="I54" s="165">
        <f t="shared" si="7"/>
        <v>670</v>
      </c>
      <c r="J54" s="200">
        <f>ROUND(F54*H54,2)</f>
        <v>818.95</v>
      </c>
      <c r="K54" s="62"/>
      <c r="L54" s="242"/>
      <c r="M54" s="245"/>
    </row>
    <row r="55" spans="1:13" s="22" customFormat="1" ht="46.8" hidden="1">
      <c r="A55" s="150" t="s">
        <v>136</v>
      </c>
      <c r="B55" s="167" t="s">
        <v>137</v>
      </c>
      <c r="C55" s="168" t="s">
        <v>23</v>
      </c>
      <c r="D55" s="27" t="s">
        <v>138</v>
      </c>
      <c r="E55" s="199" t="s">
        <v>42</v>
      </c>
      <c r="F55" s="165">
        <v>14.31</v>
      </c>
      <c r="G55" s="165">
        <v>411.47</v>
      </c>
      <c r="H55" s="165">
        <f t="shared" si="6"/>
        <v>502.94</v>
      </c>
      <c r="I55" s="165">
        <f t="shared" si="7"/>
        <v>5888.14</v>
      </c>
      <c r="J55" s="200">
        <f t="shared" si="8"/>
        <v>7197.07</v>
      </c>
      <c r="K55" s="62"/>
      <c r="L55" s="242"/>
      <c r="M55" s="245"/>
    </row>
    <row r="56" spans="1:13" s="22" customFormat="1" ht="78" hidden="1">
      <c r="A56" s="150" t="s">
        <v>139</v>
      </c>
      <c r="B56" s="17" t="s">
        <v>140</v>
      </c>
      <c r="C56" s="18" t="s">
        <v>23</v>
      </c>
      <c r="D56" s="19" t="s">
        <v>141</v>
      </c>
      <c r="E56" s="20" t="s">
        <v>142</v>
      </c>
      <c r="F56" s="165">
        <v>9</v>
      </c>
      <c r="G56" s="165">
        <v>1107.21</v>
      </c>
      <c r="H56" s="21">
        <f t="shared" si="6"/>
        <v>1353.34</v>
      </c>
      <c r="I56" s="21">
        <f t="shared" si="7"/>
        <v>9964.89</v>
      </c>
      <c r="J56" s="144">
        <f t="shared" si="8"/>
        <v>12180.06</v>
      </c>
      <c r="K56" s="62"/>
      <c r="L56" s="242"/>
      <c r="M56" s="245"/>
    </row>
    <row r="57" spans="1:13" s="22" customFormat="1" ht="78" hidden="1">
      <c r="A57" s="150" t="s">
        <v>143</v>
      </c>
      <c r="B57" s="17" t="s">
        <v>144</v>
      </c>
      <c r="C57" s="18" t="s">
        <v>23</v>
      </c>
      <c r="D57" s="19" t="s">
        <v>145</v>
      </c>
      <c r="E57" s="20" t="s">
        <v>142</v>
      </c>
      <c r="F57" s="165">
        <v>10</v>
      </c>
      <c r="G57" s="165">
        <v>1069.95</v>
      </c>
      <c r="H57" s="21">
        <f t="shared" si="6"/>
        <v>1307.8</v>
      </c>
      <c r="I57" s="21">
        <f t="shared" si="7"/>
        <v>10699.5</v>
      </c>
      <c r="J57" s="144">
        <f t="shared" si="8"/>
        <v>13078</v>
      </c>
      <c r="K57" s="62"/>
      <c r="L57" s="242"/>
      <c r="M57" s="245"/>
    </row>
    <row r="58" spans="1:13" s="22" customFormat="1" ht="62.4" hidden="1">
      <c r="A58" s="150" t="s">
        <v>146</v>
      </c>
      <c r="B58" s="17" t="s">
        <v>147</v>
      </c>
      <c r="C58" s="18" t="s">
        <v>23</v>
      </c>
      <c r="D58" s="27" t="s">
        <v>148</v>
      </c>
      <c r="E58" s="20" t="s">
        <v>142</v>
      </c>
      <c r="F58" s="165">
        <v>1</v>
      </c>
      <c r="G58" s="165">
        <v>632.95000000000005</v>
      </c>
      <c r="H58" s="21">
        <f t="shared" si="6"/>
        <v>773.65</v>
      </c>
      <c r="I58" s="21">
        <f t="shared" si="7"/>
        <v>632.95000000000005</v>
      </c>
      <c r="J58" s="144">
        <f t="shared" si="8"/>
        <v>773.65</v>
      </c>
      <c r="K58" s="62"/>
      <c r="L58" s="242"/>
      <c r="M58" s="245"/>
    </row>
    <row r="59" spans="1:13" s="22" customFormat="1" ht="93.6" hidden="1">
      <c r="A59" s="150" t="s">
        <v>149</v>
      </c>
      <c r="B59" s="17" t="s">
        <v>150</v>
      </c>
      <c r="C59" s="18" t="s">
        <v>23</v>
      </c>
      <c r="D59" s="19" t="s">
        <v>151</v>
      </c>
      <c r="E59" s="20" t="s">
        <v>142</v>
      </c>
      <c r="F59" s="165">
        <v>3</v>
      </c>
      <c r="G59" s="165">
        <v>372.68</v>
      </c>
      <c r="H59" s="21">
        <f t="shared" si="6"/>
        <v>455.53</v>
      </c>
      <c r="I59" s="21">
        <f t="shared" si="7"/>
        <v>1118.04</v>
      </c>
      <c r="J59" s="144">
        <f t="shared" si="8"/>
        <v>1366.59</v>
      </c>
      <c r="K59" s="62"/>
      <c r="L59" s="242"/>
      <c r="M59" s="245"/>
    </row>
    <row r="60" spans="1:13" s="22" customFormat="1" ht="93.6" hidden="1">
      <c r="A60" s="150" t="s">
        <v>152</v>
      </c>
      <c r="B60" s="17" t="s">
        <v>153</v>
      </c>
      <c r="C60" s="18" t="s">
        <v>23</v>
      </c>
      <c r="D60" s="19" t="s">
        <v>154</v>
      </c>
      <c r="E60" s="20" t="s">
        <v>42</v>
      </c>
      <c r="F60" s="165">
        <v>1.47</v>
      </c>
      <c r="G60" s="165">
        <v>485.4</v>
      </c>
      <c r="H60" s="21">
        <f t="shared" si="6"/>
        <v>593.29999999999995</v>
      </c>
      <c r="I60" s="21">
        <f t="shared" si="7"/>
        <v>713.54</v>
      </c>
      <c r="J60" s="144">
        <f t="shared" si="8"/>
        <v>872.15</v>
      </c>
      <c r="K60" s="62"/>
      <c r="L60" s="242"/>
      <c r="M60" s="245"/>
    </row>
    <row r="61" spans="1:13" s="22" customFormat="1" ht="46.8" hidden="1">
      <c r="A61" s="150" t="s">
        <v>155</v>
      </c>
      <c r="B61" s="17" t="s">
        <v>156</v>
      </c>
      <c r="C61" s="18" t="s">
        <v>23</v>
      </c>
      <c r="D61" s="19" t="s">
        <v>157</v>
      </c>
      <c r="E61" s="20" t="s">
        <v>42</v>
      </c>
      <c r="F61" s="165">
        <v>51.75</v>
      </c>
      <c r="G61" s="165">
        <v>395.36</v>
      </c>
      <c r="H61" s="21">
        <f t="shared" si="6"/>
        <v>483.25</v>
      </c>
      <c r="I61" s="21">
        <f t="shared" si="7"/>
        <v>20459.88</v>
      </c>
      <c r="J61" s="144">
        <f t="shared" si="8"/>
        <v>25008.19</v>
      </c>
      <c r="K61" s="62"/>
      <c r="L61" s="242"/>
      <c r="M61" s="245"/>
    </row>
    <row r="62" spans="1:13" s="22" customFormat="1" ht="78" hidden="1">
      <c r="A62" s="150" t="s">
        <v>158</v>
      </c>
      <c r="B62" s="17" t="s">
        <v>159</v>
      </c>
      <c r="C62" s="18" t="s">
        <v>23</v>
      </c>
      <c r="D62" s="19" t="s">
        <v>160</v>
      </c>
      <c r="E62" s="20" t="s">
        <v>42</v>
      </c>
      <c r="F62" s="165">
        <v>27.98</v>
      </c>
      <c r="G62" s="165">
        <v>186.04</v>
      </c>
      <c r="H62" s="21">
        <f t="shared" si="6"/>
        <v>227.4</v>
      </c>
      <c r="I62" s="21">
        <f t="shared" si="7"/>
        <v>5205.3999999999996</v>
      </c>
      <c r="J62" s="144">
        <f t="shared" si="8"/>
        <v>6362.65</v>
      </c>
      <c r="K62" s="62"/>
      <c r="L62" s="242"/>
      <c r="M62" s="245"/>
    </row>
    <row r="63" spans="1:13" s="22" customFormat="1" ht="15.6">
      <c r="A63" s="143"/>
      <c r="B63" s="17"/>
      <c r="C63" s="18"/>
      <c r="D63" s="19"/>
      <c r="E63" s="20"/>
      <c r="F63" s="21"/>
      <c r="G63" s="21"/>
      <c r="H63" s="21"/>
      <c r="I63" s="21"/>
      <c r="J63" s="144"/>
      <c r="K63" s="62"/>
      <c r="L63" s="242"/>
      <c r="M63" s="245"/>
    </row>
    <row r="64" spans="1:13" ht="15.6">
      <c r="A64" s="146" t="s">
        <v>161</v>
      </c>
      <c r="B64" s="68"/>
      <c r="C64" s="69"/>
      <c r="D64" s="70" t="s">
        <v>162</v>
      </c>
      <c r="E64" s="71"/>
      <c r="F64" s="72"/>
      <c r="G64" s="72"/>
      <c r="H64" s="72"/>
      <c r="I64" s="73">
        <f>SUM(I65:I67)</f>
        <v>19683.240000000002</v>
      </c>
      <c r="J64" s="147">
        <f>SUM(J65:J67)</f>
        <v>24053.16</v>
      </c>
      <c r="L64" s="5"/>
      <c r="M64" s="245"/>
    </row>
    <row r="65" spans="1:13" s="25" customFormat="1" ht="31.2" hidden="1">
      <c r="A65" s="143" t="s">
        <v>163</v>
      </c>
      <c r="B65" s="17" t="s">
        <v>164</v>
      </c>
      <c r="C65" s="18" t="s">
        <v>23</v>
      </c>
      <c r="D65" s="19" t="s">
        <v>165</v>
      </c>
      <c r="E65" s="30" t="s">
        <v>166</v>
      </c>
      <c r="F65" s="165">
        <v>1242.2</v>
      </c>
      <c r="G65" s="165">
        <v>13.2</v>
      </c>
      <c r="H65" s="31">
        <f>ROUND(G65*(1+$I$5),2)</f>
        <v>16.13</v>
      </c>
      <c r="I65" s="21">
        <f>ROUND(G65*F65,2)</f>
        <v>16397.04</v>
      </c>
      <c r="J65" s="151">
        <f>ROUND(F65*H65,2)</f>
        <v>20036.689999999999</v>
      </c>
      <c r="K65" s="62"/>
      <c r="L65" s="243"/>
      <c r="M65" s="245"/>
    </row>
    <row r="66" spans="1:13" s="25" customFormat="1" ht="31.2" hidden="1">
      <c r="A66" s="143" t="s">
        <v>167</v>
      </c>
      <c r="B66" s="17" t="s">
        <v>168</v>
      </c>
      <c r="C66" s="18" t="s">
        <v>23</v>
      </c>
      <c r="D66" s="19" t="s">
        <v>169</v>
      </c>
      <c r="E66" s="30" t="s">
        <v>166</v>
      </c>
      <c r="F66" s="165">
        <v>235.57</v>
      </c>
      <c r="G66" s="165">
        <v>13.95</v>
      </c>
      <c r="H66" s="31">
        <f>ROUND(G66*(1+$I$5),2)</f>
        <v>17.05</v>
      </c>
      <c r="I66" s="21">
        <f>ROUND(G66*F66,2)</f>
        <v>3286.2</v>
      </c>
      <c r="J66" s="151">
        <f>ROUND(F66*H66,2)</f>
        <v>4016.47</v>
      </c>
      <c r="K66" s="62"/>
      <c r="L66" s="243"/>
      <c r="M66" s="245"/>
    </row>
    <row r="67" spans="1:13" s="25" customFormat="1" ht="15.6">
      <c r="A67" s="143"/>
      <c r="B67" s="17"/>
      <c r="C67" s="18"/>
      <c r="D67" s="19"/>
      <c r="E67" s="30"/>
      <c r="F67" s="21"/>
      <c r="G67" s="21"/>
      <c r="H67" s="31"/>
      <c r="I67" s="21"/>
      <c r="J67" s="151"/>
      <c r="K67" s="62"/>
      <c r="L67" s="243"/>
      <c r="M67" s="245"/>
    </row>
    <row r="68" spans="1:13" ht="15.6">
      <c r="A68" s="146" t="s">
        <v>170</v>
      </c>
      <c r="B68" s="68"/>
      <c r="C68" s="69"/>
      <c r="D68" s="70" t="s">
        <v>171</v>
      </c>
      <c r="E68" s="71"/>
      <c r="F68" s="72"/>
      <c r="G68" s="72"/>
      <c r="H68" s="72"/>
      <c r="I68" s="74">
        <f>SUM(I69:I70)</f>
        <v>26584.55</v>
      </c>
      <c r="J68" s="147">
        <f>SUM(J69:J71)</f>
        <v>32494.53</v>
      </c>
      <c r="L68" s="5"/>
      <c r="M68" s="245"/>
    </row>
    <row r="69" spans="1:13" s="25" customFormat="1" ht="31.2" hidden="1">
      <c r="A69" s="143" t="s">
        <v>172</v>
      </c>
      <c r="B69" s="17" t="s">
        <v>173</v>
      </c>
      <c r="C69" s="18" t="s">
        <v>23</v>
      </c>
      <c r="D69" s="58" t="s">
        <v>174</v>
      </c>
      <c r="E69" s="30" t="s">
        <v>42</v>
      </c>
      <c r="F69" s="164">
        <v>157.38999999999999</v>
      </c>
      <c r="G69" s="164">
        <v>75.88</v>
      </c>
      <c r="H69" s="31">
        <f>ROUND(G69*(1+$I$5),2)</f>
        <v>92.75</v>
      </c>
      <c r="I69" s="31">
        <f>ROUND(G69*F69,2)</f>
        <v>11942.75</v>
      </c>
      <c r="J69" s="151">
        <f>ROUND(F69*H69,2)</f>
        <v>14597.92</v>
      </c>
      <c r="K69" s="62"/>
      <c r="L69" s="243"/>
      <c r="M69" s="245"/>
    </row>
    <row r="70" spans="1:13" s="25" customFormat="1" ht="46.8" hidden="1">
      <c r="A70" s="143" t="s">
        <v>175</v>
      </c>
      <c r="B70" s="17" t="s">
        <v>176</v>
      </c>
      <c r="C70" s="18" t="s">
        <v>23</v>
      </c>
      <c r="D70" s="58" t="s">
        <v>177</v>
      </c>
      <c r="E70" s="30" t="s">
        <v>38</v>
      </c>
      <c r="F70" s="164">
        <v>21.44</v>
      </c>
      <c r="G70" s="164">
        <v>682.92</v>
      </c>
      <c r="H70" s="31">
        <f t="shared" ref="H70:H90" si="9">ROUND(G70*(1+$I$5),2)</f>
        <v>834.73</v>
      </c>
      <c r="I70" s="31">
        <f>ROUND(G70*F70,2)</f>
        <v>14641.8</v>
      </c>
      <c r="J70" s="151">
        <f>ROUND(F70*H70,2)</f>
        <v>17896.61</v>
      </c>
      <c r="K70" s="62"/>
      <c r="L70" s="243"/>
      <c r="M70" s="245"/>
    </row>
    <row r="71" spans="1:13" s="25" customFormat="1" ht="15.6">
      <c r="A71" s="143"/>
      <c r="B71" s="17"/>
      <c r="C71" s="18"/>
      <c r="D71" s="58"/>
      <c r="E71" s="30"/>
      <c r="F71" s="31"/>
      <c r="G71" s="31"/>
      <c r="H71" s="31"/>
      <c r="I71" s="31"/>
      <c r="J71" s="151"/>
      <c r="K71" s="62"/>
      <c r="L71" s="243"/>
      <c r="M71" s="245"/>
    </row>
    <row r="72" spans="1:13" ht="15.6">
      <c r="A72" s="146" t="s">
        <v>178</v>
      </c>
      <c r="B72" s="68"/>
      <c r="C72" s="69"/>
      <c r="D72" s="70" t="s">
        <v>179</v>
      </c>
      <c r="E72" s="71"/>
      <c r="F72" s="72"/>
      <c r="G72" s="72"/>
      <c r="H72" s="72"/>
      <c r="I72" s="74">
        <f>SUM(I73:I74)</f>
        <v>18119.84</v>
      </c>
      <c r="J72" s="147">
        <f>SUM(J73:J75)</f>
        <v>22147.760000000002</v>
      </c>
      <c r="L72" s="5"/>
      <c r="M72" s="245"/>
    </row>
    <row r="73" spans="1:13" s="25" customFormat="1" ht="46.8" hidden="1">
      <c r="A73" s="143" t="s">
        <v>180</v>
      </c>
      <c r="B73" s="17" t="s">
        <v>181</v>
      </c>
      <c r="C73" s="18" t="s">
        <v>23</v>
      </c>
      <c r="D73" s="58" t="s">
        <v>182</v>
      </c>
      <c r="E73" s="186" t="s">
        <v>28</v>
      </c>
      <c r="F73" s="164">
        <f>((30.74*9.3)+(10.48*10))*3</f>
        <v>1172.046</v>
      </c>
      <c r="G73" s="164">
        <v>12.5</v>
      </c>
      <c r="H73" s="31">
        <f>ROUND(G73*(1+$I$5),2)</f>
        <v>15.28</v>
      </c>
      <c r="I73" s="31">
        <f>ROUND(G73*F73,2)</f>
        <v>14650.58</v>
      </c>
      <c r="J73" s="151">
        <f>ROUND(F73*H73,2)</f>
        <v>17908.86</v>
      </c>
      <c r="K73" s="62"/>
      <c r="L73" s="243"/>
      <c r="M73" s="245"/>
    </row>
    <row r="74" spans="1:13" s="25" customFormat="1" ht="62.4" hidden="1">
      <c r="A74" s="143" t="s">
        <v>183</v>
      </c>
      <c r="B74" s="17" t="s">
        <v>184</v>
      </c>
      <c r="C74" s="18" t="s">
        <v>23</v>
      </c>
      <c r="D74" s="58" t="s">
        <v>185</v>
      </c>
      <c r="E74" s="30" t="s">
        <v>42</v>
      </c>
      <c r="F74" s="164">
        <f>((30.74*9.3)+(10.48*10))</f>
        <v>390.68200000000002</v>
      </c>
      <c r="G74" s="164">
        <v>8.8800000000000008</v>
      </c>
      <c r="H74" s="31">
        <f t="shared" si="9"/>
        <v>10.85</v>
      </c>
      <c r="I74" s="31">
        <f>ROUND(G74*F74,2)</f>
        <v>3469.26</v>
      </c>
      <c r="J74" s="151">
        <f>ROUND(F74*H74,2)</f>
        <v>4238.8999999999996</v>
      </c>
      <c r="K74" s="62"/>
      <c r="L74" s="243"/>
      <c r="M74" s="245"/>
    </row>
    <row r="75" spans="1:13" s="25" customFormat="1" ht="15.6">
      <c r="A75" s="143"/>
      <c r="B75" s="17"/>
      <c r="C75" s="18"/>
      <c r="D75" s="58"/>
      <c r="E75" s="30"/>
      <c r="F75" s="164"/>
      <c r="G75" s="164"/>
      <c r="H75" s="31"/>
      <c r="I75" s="31"/>
      <c r="J75" s="151"/>
      <c r="K75" s="62"/>
      <c r="L75" s="243"/>
      <c r="M75" s="245"/>
    </row>
    <row r="76" spans="1:13" ht="15.6">
      <c r="A76" s="146" t="s">
        <v>186</v>
      </c>
      <c r="B76" s="68"/>
      <c r="C76" s="69"/>
      <c r="D76" s="70" t="s">
        <v>187</v>
      </c>
      <c r="E76" s="71"/>
      <c r="F76" s="72"/>
      <c r="G76" s="72"/>
      <c r="H76" s="72"/>
      <c r="I76" s="74">
        <f>SUM(I77:I81)</f>
        <v>39292.82</v>
      </c>
      <c r="J76" s="147">
        <f>SUM(J77:J81)</f>
        <v>48026.47</v>
      </c>
      <c r="L76" s="5"/>
      <c r="M76" s="245"/>
    </row>
    <row r="77" spans="1:13" s="25" customFormat="1" ht="46.8" hidden="1">
      <c r="A77" s="143" t="s">
        <v>188</v>
      </c>
      <c r="B77" s="17" t="s">
        <v>189</v>
      </c>
      <c r="C77" s="18" t="s">
        <v>23</v>
      </c>
      <c r="D77" s="166" t="s">
        <v>190</v>
      </c>
      <c r="E77" s="169" t="s">
        <v>42</v>
      </c>
      <c r="F77" s="164">
        <v>127.14</v>
      </c>
      <c r="G77" s="164">
        <v>48.49</v>
      </c>
      <c r="H77" s="31">
        <f>ROUND(G77*(1+$I$5),2)</f>
        <v>59.27</v>
      </c>
      <c r="I77" s="31">
        <f>ROUND(G77*F77,2)</f>
        <v>6165.02</v>
      </c>
      <c r="J77" s="151">
        <f>ROUND(F77*H77,2)</f>
        <v>7535.59</v>
      </c>
      <c r="K77" s="62"/>
      <c r="L77" s="243"/>
      <c r="M77" s="245"/>
    </row>
    <row r="78" spans="1:13" s="25" customFormat="1" ht="46.8" hidden="1">
      <c r="A78" s="150" t="s">
        <v>191</v>
      </c>
      <c r="B78" s="167" t="s">
        <v>192</v>
      </c>
      <c r="C78" s="18" t="s">
        <v>23</v>
      </c>
      <c r="D78" s="166" t="s">
        <v>193</v>
      </c>
      <c r="E78" s="169" t="s">
        <v>42</v>
      </c>
      <c r="F78" s="164">
        <v>31.46</v>
      </c>
      <c r="G78" s="164">
        <v>25.28</v>
      </c>
      <c r="H78" s="31">
        <f t="shared" si="9"/>
        <v>30.9</v>
      </c>
      <c r="I78" s="31">
        <f>ROUND(G78*F78,2)</f>
        <v>795.31</v>
      </c>
      <c r="J78" s="151">
        <f>ROUND(F78*H78,2)</f>
        <v>972.11</v>
      </c>
      <c r="K78" s="62"/>
      <c r="L78" s="243"/>
      <c r="M78" s="245"/>
    </row>
    <row r="79" spans="1:13" s="25" customFormat="1" ht="46.8" hidden="1">
      <c r="A79" s="143" t="s">
        <v>194</v>
      </c>
      <c r="B79" s="17" t="s">
        <v>195</v>
      </c>
      <c r="C79" s="18" t="s">
        <v>23</v>
      </c>
      <c r="D79" s="166" t="s">
        <v>196</v>
      </c>
      <c r="E79" s="169" t="s">
        <v>42</v>
      </c>
      <c r="F79" s="164">
        <v>1524.68</v>
      </c>
      <c r="G79" s="164">
        <v>15.66</v>
      </c>
      <c r="H79" s="31">
        <f t="shared" si="9"/>
        <v>19.14</v>
      </c>
      <c r="I79" s="31">
        <f>ROUND(G79*F79,2)</f>
        <v>23876.49</v>
      </c>
      <c r="J79" s="151">
        <f>ROUND(F79*H79,2)</f>
        <v>29182.38</v>
      </c>
      <c r="K79" s="62"/>
      <c r="L79" s="243"/>
      <c r="M79" s="245"/>
    </row>
    <row r="80" spans="1:13" s="25" customFormat="1" ht="46.8" hidden="1">
      <c r="A80" s="143" t="s">
        <v>197</v>
      </c>
      <c r="B80" s="17" t="s">
        <v>198</v>
      </c>
      <c r="C80" s="18" t="s">
        <v>23</v>
      </c>
      <c r="D80" s="58" t="s">
        <v>199</v>
      </c>
      <c r="E80" s="30" t="s">
        <v>42</v>
      </c>
      <c r="F80" s="164">
        <f>F61+F55+F54+F53+F60</f>
        <v>94.17</v>
      </c>
      <c r="G80" s="164">
        <v>33.49</v>
      </c>
      <c r="H80" s="31">
        <f t="shared" si="9"/>
        <v>40.93</v>
      </c>
      <c r="I80" s="31">
        <f>ROUND(G80*F80,2)</f>
        <v>3153.75</v>
      </c>
      <c r="J80" s="151">
        <f>ROUND(F80*H80,2)</f>
        <v>3854.38</v>
      </c>
      <c r="K80" s="62"/>
      <c r="L80" s="243"/>
      <c r="M80" s="245"/>
    </row>
    <row r="81" spans="1:13" s="25" customFormat="1" ht="46.8" hidden="1">
      <c r="A81" s="143" t="s">
        <v>200</v>
      </c>
      <c r="B81" s="17" t="s">
        <v>201</v>
      </c>
      <c r="C81" s="18" t="s">
        <v>23</v>
      </c>
      <c r="D81" s="58" t="s">
        <v>202</v>
      </c>
      <c r="E81" s="30" t="s">
        <v>42</v>
      </c>
      <c r="F81" s="164">
        <v>267.52</v>
      </c>
      <c r="G81" s="164">
        <v>19.82</v>
      </c>
      <c r="H81" s="31">
        <f t="shared" si="9"/>
        <v>24.23</v>
      </c>
      <c r="I81" s="31">
        <f>ROUND(G81*F81,2)</f>
        <v>5302.25</v>
      </c>
      <c r="J81" s="151">
        <f>ROUND(F81*H81,2)</f>
        <v>6482.01</v>
      </c>
      <c r="K81" s="62"/>
      <c r="L81" s="243"/>
      <c r="M81" s="245"/>
    </row>
    <row r="82" spans="1:13" s="25" customFormat="1" ht="15.6">
      <c r="A82" s="143"/>
      <c r="B82" s="17"/>
      <c r="C82" s="18"/>
      <c r="D82" s="58"/>
      <c r="E82" s="30"/>
      <c r="F82" s="31"/>
      <c r="G82" s="31"/>
      <c r="H82" s="31"/>
      <c r="I82" s="31"/>
      <c r="J82" s="151"/>
      <c r="K82" s="62"/>
      <c r="L82" s="243"/>
      <c r="M82" s="245"/>
    </row>
    <row r="83" spans="1:13" ht="15.6">
      <c r="A83" s="146" t="s">
        <v>203</v>
      </c>
      <c r="B83" s="68"/>
      <c r="C83" s="69"/>
      <c r="D83" s="70" t="s">
        <v>204</v>
      </c>
      <c r="E83" s="71"/>
      <c r="F83" s="72"/>
      <c r="G83" s="72"/>
      <c r="H83" s="72"/>
      <c r="I83" s="74">
        <f>SUM(I84:I92)</f>
        <v>81311.580000000016</v>
      </c>
      <c r="J83" s="147">
        <f>SUM(J84:J91)</f>
        <v>99386.449999999983</v>
      </c>
      <c r="L83" s="5"/>
      <c r="M83" s="245"/>
    </row>
    <row r="84" spans="1:13" s="25" customFormat="1" ht="109.2" hidden="1">
      <c r="A84" s="143" t="s">
        <v>205</v>
      </c>
      <c r="B84" s="17" t="s">
        <v>206</v>
      </c>
      <c r="C84" s="18" t="s">
        <v>23</v>
      </c>
      <c r="D84" s="58" t="s">
        <v>207</v>
      </c>
      <c r="E84" s="30" t="s">
        <v>42</v>
      </c>
      <c r="F84" s="164">
        <v>175.64</v>
      </c>
      <c r="G84" s="164">
        <v>159.61000000000001</v>
      </c>
      <c r="H84" s="31">
        <f>ROUND(G84*(1+$I$5),2)</f>
        <v>195.09</v>
      </c>
      <c r="I84" s="31">
        <f t="shared" ref="I84:I91" si="10">ROUND(G84*F84,2)</f>
        <v>28033.9</v>
      </c>
      <c r="J84" s="151">
        <f t="shared" ref="J84:J90" si="11">ROUND(F84*H84,2)</f>
        <v>34265.61</v>
      </c>
      <c r="K84" s="62"/>
      <c r="L84" s="243"/>
      <c r="M84" s="245"/>
    </row>
    <row r="85" spans="1:13" s="25" customFormat="1" ht="93.6" hidden="1">
      <c r="A85" s="150" t="s">
        <v>208</v>
      </c>
      <c r="B85" s="167" t="s">
        <v>209</v>
      </c>
      <c r="C85" s="168" t="s">
        <v>23</v>
      </c>
      <c r="D85" s="166" t="s">
        <v>210</v>
      </c>
      <c r="E85" s="169" t="s">
        <v>166</v>
      </c>
      <c r="F85" s="164">
        <v>1500</v>
      </c>
      <c r="G85" s="164">
        <v>22.63</v>
      </c>
      <c r="H85" s="164">
        <f>ROUND(G85*(1+$I$5),2)</f>
        <v>27.66</v>
      </c>
      <c r="I85" s="164">
        <f t="shared" si="10"/>
        <v>33945</v>
      </c>
      <c r="J85" s="170">
        <f>ROUND(F85*H85,2)</f>
        <v>41490</v>
      </c>
      <c r="K85" s="62"/>
      <c r="L85" s="243"/>
      <c r="M85" s="245"/>
    </row>
    <row r="86" spans="1:13" s="25" customFormat="1" ht="62.4" hidden="1">
      <c r="A86" s="143" t="s">
        <v>211</v>
      </c>
      <c r="B86" s="17" t="s">
        <v>212</v>
      </c>
      <c r="C86" s="18" t="s">
        <v>23</v>
      </c>
      <c r="D86" s="58" t="s">
        <v>213</v>
      </c>
      <c r="E86" s="30" t="s">
        <v>42</v>
      </c>
      <c r="F86" s="164">
        <v>161.63</v>
      </c>
      <c r="G86" s="164">
        <v>59.32</v>
      </c>
      <c r="H86" s="31">
        <f t="shared" si="9"/>
        <v>72.510000000000005</v>
      </c>
      <c r="I86" s="31">
        <f t="shared" si="10"/>
        <v>9587.89</v>
      </c>
      <c r="J86" s="151">
        <f t="shared" si="11"/>
        <v>11719.79</v>
      </c>
      <c r="K86" s="62"/>
      <c r="L86" s="243"/>
      <c r="M86" s="245"/>
    </row>
    <row r="87" spans="1:13" s="25" customFormat="1" ht="62.4" hidden="1">
      <c r="A87" s="150" t="s">
        <v>214</v>
      </c>
      <c r="B87" s="17" t="s">
        <v>215</v>
      </c>
      <c r="C87" s="18" t="s">
        <v>23</v>
      </c>
      <c r="D87" s="58" t="s">
        <v>216</v>
      </c>
      <c r="E87" s="30" t="s">
        <v>42</v>
      </c>
      <c r="F87" s="164">
        <v>71.27</v>
      </c>
      <c r="G87" s="164">
        <v>59.32</v>
      </c>
      <c r="H87" s="31">
        <f t="shared" si="9"/>
        <v>72.510000000000005</v>
      </c>
      <c r="I87" s="31">
        <f t="shared" si="10"/>
        <v>4227.74</v>
      </c>
      <c r="J87" s="151">
        <f t="shared" si="11"/>
        <v>5167.79</v>
      </c>
      <c r="K87" s="62"/>
      <c r="L87" s="243"/>
      <c r="M87" s="245"/>
    </row>
    <row r="88" spans="1:13" s="25" customFormat="1" ht="62.4" hidden="1">
      <c r="A88" s="150" t="s">
        <v>217</v>
      </c>
      <c r="B88" s="17" t="s">
        <v>218</v>
      </c>
      <c r="C88" s="18" t="s">
        <v>23</v>
      </c>
      <c r="D88" s="58" t="s">
        <v>219</v>
      </c>
      <c r="E88" s="30" t="s">
        <v>86</v>
      </c>
      <c r="F88" s="164">
        <v>94.76</v>
      </c>
      <c r="G88" s="164">
        <v>16.02</v>
      </c>
      <c r="H88" s="31">
        <f t="shared" si="9"/>
        <v>19.579999999999998</v>
      </c>
      <c r="I88" s="31">
        <f t="shared" si="10"/>
        <v>1518.06</v>
      </c>
      <c r="J88" s="151">
        <f>ROUND(F88*H88,2)</f>
        <v>1855.4</v>
      </c>
      <c r="K88" s="62"/>
      <c r="L88" s="243"/>
      <c r="M88" s="245"/>
    </row>
    <row r="89" spans="1:13" s="25" customFormat="1" ht="46.8" hidden="1">
      <c r="A89" s="150" t="s">
        <v>220</v>
      </c>
      <c r="B89" s="17" t="s">
        <v>221</v>
      </c>
      <c r="C89" s="18" t="s">
        <v>23</v>
      </c>
      <c r="D89" s="58" t="s">
        <v>222</v>
      </c>
      <c r="E89" s="30" t="s">
        <v>86</v>
      </c>
      <c r="F89" s="164">
        <v>20.350000000000001</v>
      </c>
      <c r="G89" s="164">
        <v>56.68</v>
      </c>
      <c r="H89" s="31">
        <f t="shared" si="9"/>
        <v>69.28</v>
      </c>
      <c r="I89" s="31">
        <f t="shared" si="10"/>
        <v>1153.44</v>
      </c>
      <c r="J89" s="151">
        <f>ROUND(F89*H89,2)</f>
        <v>1409.85</v>
      </c>
      <c r="K89" s="62"/>
      <c r="L89" s="243"/>
      <c r="M89" s="245"/>
    </row>
    <row r="90" spans="1:13" s="25" customFormat="1" ht="46.8" hidden="1">
      <c r="A90" s="143" t="s">
        <v>223</v>
      </c>
      <c r="B90" s="17" t="s">
        <v>224</v>
      </c>
      <c r="C90" s="18" t="s">
        <v>23</v>
      </c>
      <c r="D90" s="58" t="s">
        <v>225</v>
      </c>
      <c r="E90" s="30" t="s">
        <v>86</v>
      </c>
      <c r="F90" s="164">
        <v>22.1</v>
      </c>
      <c r="G90" s="164">
        <v>46.22</v>
      </c>
      <c r="H90" s="31">
        <f t="shared" si="9"/>
        <v>56.49</v>
      </c>
      <c r="I90" s="31">
        <f t="shared" si="10"/>
        <v>1021.46</v>
      </c>
      <c r="J90" s="151">
        <f t="shared" si="11"/>
        <v>1248.43</v>
      </c>
      <c r="K90" s="62"/>
      <c r="L90" s="243"/>
      <c r="M90" s="245"/>
    </row>
    <row r="91" spans="1:13" s="25" customFormat="1" ht="46.8" hidden="1">
      <c r="A91" s="143" t="s">
        <v>226</v>
      </c>
      <c r="B91" s="17" t="s">
        <v>227</v>
      </c>
      <c r="C91" s="18" t="s">
        <v>23</v>
      </c>
      <c r="D91" s="58" t="s">
        <v>228</v>
      </c>
      <c r="E91" s="30" t="s">
        <v>86</v>
      </c>
      <c r="F91" s="164">
        <v>20.5</v>
      </c>
      <c r="G91" s="164">
        <v>88.98</v>
      </c>
      <c r="H91" s="31">
        <f>ROUND(G91*(1+$I$5),2)</f>
        <v>108.76</v>
      </c>
      <c r="I91" s="31">
        <f t="shared" si="10"/>
        <v>1824.09</v>
      </c>
      <c r="J91" s="151">
        <f>ROUND(F91*H91,2)</f>
        <v>2229.58</v>
      </c>
      <c r="K91" s="62"/>
      <c r="L91" s="243"/>
      <c r="M91" s="245"/>
    </row>
    <row r="92" spans="1:13" s="25" customFormat="1" ht="15.6">
      <c r="A92" s="143"/>
      <c r="B92" s="17"/>
      <c r="C92" s="18"/>
      <c r="D92" s="58"/>
      <c r="E92" s="30"/>
      <c r="F92" s="31"/>
      <c r="G92" s="31"/>
      <c r="H92" s="31"/>
      <c r="I92" s="31"/>
      <c r="J92" s="151"/>
      <c r="K92" s="62"/>
      <c r="L92" s="243"/>
      <c r="M92" s="245"/>
    </row>
    <row r="93" spans="1:13" ht="15.6">
      <c r="A93" s="146" t="s">
        <v>229</v>
      </c>
      <c r="B93" s="68"/>
      <c r="C93" s="69"/>
      <c r="D93" s="70" t="s">
        <v>230</v>
      </c>
      <c r="E93" s="71"/>
      <c r="F93" s="72"/>
      <c r="G93" s="72"/>
      <c r="H93" s="72"/>
      <c r="I93" s="74">
        <f>SUM(I94:I131)</f>
        <v>61441.84</v>
      </c>
      <c r="J93" s="147">
        <f>SUM(J94:J131)</f>
        <v>75116.140000000014</v>
      </c>
      <c r="L93" s="5"/>
      <c r="M93" s="245"/>
    </row>
    <row r="94" spans="1:13" s="25" customFormat="1" ht="78" hidden="1">
      <c r="A94" s="150" t="s">
        <v>231</v>
      </c>
      <c r="B94" s="167" t="s">
        <v>232</v>
      </c>
      <c r="C94" s="168" t="s">
        <v>23</v>
      </c>
      <c r="D94" s="166" t="s">
        <v>233</v>
      </c>
      <c r="E94" s="169" t="s">
        <v>71</v>
      </c>
      <c r="F94" s="164">
        <v>1</v>
      </c>
      <c r="G94" s="164">
        <v>4626.79</v>
      </c>
      <c r="H94" s="164">
        <f>ROUND(G94*(1+$I$5),2)</f>
        <v>5655.33</v>
      </c>
      <c r="I94" s="164">
        <f>ROUND(G94*F94,2)</f>
        <v>4626.79</v>
      </c>
      <c r="J94" s="170">
        <f>ROUND(F94*H94,2)</f>
        <v>5655.33</v>
      </c>
      <c r="K94" s="62"/>
      <c r="L94" s="243"/>
      <c r="M94" s="245"/>
    </row>
    <row r="95" spans="1:13" s="25" customFormat="1" ht="46.8" hidden="1">
      <c r="A95" s="150" t="s">
        <v>234</v>
      </c>
      <c r="B95" s="167" t="s">
        <v>235</v>
      </c>
      <c r="C95" s="168" t="s">
        <v>23</v>
      </c>
      <c r="D95" s="166" t="s">
        <v>236</v>
      </c>
      <c r="E95" s="169" t="s">
        <v>71</v>
      </c>
      <c r="F95" s="164">
        <v>3</v>
      </c>
      <c r="G95" s="164">
        <v>82.83</v>
      </c>
      <c r="H95" s="164">
        <f>ROUND(G95*(1+$I$5),2)</f>
        <v>101.24</v>
      </c>
      <c r="I95" s="164">
        <f>ROUND(G95*F95,2)</f>
        <v>248.49</v>
      </c>
      <c r="J95" s="170">
        <f>ROUND(F95*H95,2)</f>
        <v>303.72000000000003</v>
      </c>
      <c r="K95" s="62"/>
      <c r="L95" s="243"/>
      <c r="M95" s="245"/>
    </row>
    <row r="96" spans="1:13" s="25" customFormat="1" ht="62.4" hidden="1">
      <c r="A96" s="150" t="s">
        <v>237</v>
      </c>
      <c r="B96" s="167" t="s">
        <v>238</v>
      </c>
      <c r="C96" s="168" t="s">
        <v>23</v>
      </c>
      <c r="D96" s="166" t="s">
        <v>239</v>
      </c>
      <c r="E96" s="169" t="s">
        <v>71</v>
      </c>
      <c r="F96" s="164">
        <v>13</v>
      </c>
      <c r="G96" s="164">
        <v>17.89</v>
      </c>
      <c r="H96" s="164">
        <f>ROUND(G96*(1+$I$5),2)</f>
        <v>21.87</v>
      </c>
      <c r="I96" s="164">
        <f>ROUND(G96*F96,2)</f>
        <v>232.57</v>
      </c>
      <c r="J96" s="170">
        <f>ROUND(F96*H96,2)</f>
        <v>284.31</v>
      </c>
      <c r="K96" s="62"/>
      <c r="L96" s="243"/>
      <c r="M96" s="245"/>
    </row>
    <row r="97" spans="1:13" s="25" customFormat="1" ht="46.8" hidden="1">
      <c r="A97" s="150" t="s">
        <v>240</v>
      </c>
      <c r="B97" s="167" t="s">
        <v>241</v>
      </c>
      <c r="C97" s="168" t="s">
        <v>23</v>
      </c>
      <c r="D97" s="166" t="s">
        <v>242</v>
      </c>
      <c r="E97" s="169" t="s">
        <v>71</v>
      </c>
      <c r="F97" s="164">
        <v>10</v>
      </c>
      <c r="G97" s="164">
        <v>39.92</v>
      </c>
      <c r="H97" s="164">
        <f t="shared" ref="H97:H169" si="12">ROUND(G97*(1+$I$5),2)</f>
        <v>48.79</v>
      </c>
      <c r="I97" s="164">
        <f>ROUND(G97*F97,2)</f>
        <v>399.2</v>
      </c>
      <c r="J97" s="170">
        <f>ROUND(F97*H97,2)</f>
        <v>487.9</v>
      </c>
      <c r="K97" s="62"/>
      <c r="L97" s="243"/>
      <c r="M97" s="245"/>
    </row>
    <row r="98" spans="1:13" s="25" customFormat="1" ht="46.8" hidden="1">
      <c r="A98" s="150" t="s">
        <v>243</v>
      </c>
      <c r="B98" s="167" t="s">
        <v>244</v>
      </c>
      <c r="C98" s="168" t="s">
        <v>23</v>
      </c>
      <c r="D98" s="166" t="s">
        <v>245</v>
      </c>
      <c r="E98" s="169" t="s">
        <v>71</v>
      </c>
      <c r="F98" s="164">
        <v>2</v>
      </c>
      <c r="G98" s="164">
        <v>45.68</v>
      </c>
      <c r="H98" s="164">
        <f t="shared" si="12"/>
        <v>55.83</v>
      </c>
      <c r="I98" s="164">
        <f t="shared" ref="I98:I129" si="13">ROUND(G98*F98,2)</f>
        <v>91.36</v>
      </c>
      <c r="J98" s="170">
        <f t="shared" ref="J98:J131" si="14">ROUND(F98*H98,2)</f>
        <v>111.66</v>
      </c>
      <c r="K98" s="62"/>
      <c r="L98" s="243"/>
      <c r="M98" s="245"/>
    </row>
    <row r="99" spans="1:13" s="25" customFormat="1" ht="46.8" hidden="1">
      <c r="A99" s="150" t="s">
        <v>246</v>
      </c>
      <c r="B99" s="167" t="s">
        <v>247</v>
      </c>
      <c r="C99" s="168" t="s">
        <v>23</v>
      </c>
      <c r="D99" s="166" t="s">
        <v>248</v>
      </c>
      <c r="E99" s="169" t="s">
        <v>71</v>
      </c>
      <c r="F99" s="164">
        <v>13</v>
      </c>
      <c r="G99" s="164">
        <v>17.78</v>
      </c>
      <c r="H99" s="164">
        <f t="shared" si="12"/>
        <v>21.73</v>
      </c>
      <c r="I99" s="164">
        <f t="shared" si="13"/>
        <v>231.14</v>
      </c>
      <c r="J99" s="170">
        <f t="shared" si="14"/>
        <v>282.49</v>
      </c>
      <c r="K99" s="62"/>
      <c r="L99" s="243"/>
      <c r="M99" s="245"/>
    </row>
    <row r="100" spans="1:13" s="25" customFormat="1" ht="62.4" hidden="1">
      <c r="A100" s="150" t="s">
        <v>249</v>
      </c>
      <c r="B100" s="167" t="s">
        <v>250</v>
      </c>
      <c r="C100" s="168" t="s">
        <v>23</v>
      </c>
      <c r="D100" s="166" t="s">
        <v>251</v>
      </c>
      <c r="E100" s="169" t="s">
        <v>71</v>
      </c>
      <c r="F100" s="164">
        <v>10</v>
      </c>
      <c r="G100" s="164">
        <v>16</v>
      </c>
      <c r="H100" s="164">
        <f t="shared" si="12"/>
        <v>19.559999999999999</v>
      </c>
      <c r="I100" s="164">
        <f t="shared" si="13"/>
        <v>160</v>
      </c>
      <c r="J100" s="170">
        <f t="shared" si="14"/>
        <v>195.6</v>
      </c>
      <c r="K100" s="62"/>
      <c r="L100" s="243"/>
      <c r="M100" s="245"/>
    </row>
    <row r="101" spans="1:13" s="25" customFormat="1" ht="46.8" hidden="1">
      <c r="A101" s="150" t="s">
        <v>252</v>
      </c>
      <c r="B101" s="167" t="s">
        <v>253</v>
      </c>
      <c r="C101" s="168" t="s">
        <v>23</v>
      </c>
      <c r="D101" s="166" t="s">
        <v>254</v>
      </c>
      <c r="E101" s="169" t="s">
        <v>71</v>
      </c>
      <c r="F101" s="164">
        <v>2</v>
      </c>
      <c r="G101" s="164">
        <v>19.05</v>
      </c>
      <c r="H101" s="164">
        <f t="shared" si="12"/>
        <v>23.28</v>
      </c>
      <c r="I101" s="164">
        <f t="shared" si="13"/>
        <v>38.1</v>
      </c>
      <c r="J101" s="170">
        <f t="shared" si="14"/>
        <v>46.56</v>
      </c>
      <c r="K101" s="62"/>
      <c r="L101" s="243"/>
      <c r="M101" s="245"/>
    </row>
    <row r="102" spans="1:13" s="25" customFormat="1" ht="46.8" hidden="1">
      <c r="A102" s="150" t="s">
        <v>255</v>
      </c>
      <c r="B102" s="167" t="s">
        <v>256</v>
      </c>
      <c r="C102" s="168" t="s">
        <v>23</v>
      </c>
      <c r="D102" s="166" t="s">
        <v>257</v>
      </c>
      <c r="E102" s="169" t="s">
        <v>71</v>
      </c>
      <c r="F102" s="164">
        <v>7</v>
      </c>
      <c r="G102" s="164">
        <v>49.19</v>
      </c>
      <c r="H102" s="164">
        <f t="shared" si="12"/>
        <v>60.12</v>
      </c>
      <c r="I102" s="164">
        <f t="shared" si="13"/>
        <v>344.33</v>
      </c>
      <c r="J102" s="170">
        <f t="shared" si="14"/>
        <v>420.84</v>
      </c>
      <c r="K102" s="62"/>
      <c r="L102" s="243"/>
      <c r="M102" s="245"/>
    </row>
    <row r="103" spans="1:13" s="25" customFormat="1" ht="46.8" hidden="1">
      <c r="A103" s="150" t="s">
        <v>258</v>
      </c>
      <c r="B103" s="167" t="s">
        <v>259</v>
      </c>
      <c r="C103" s="168" t="s">
        <v>23</v>
      </c>
      <c r="D103" s="166" t="s">
        <v>260</v>
      </c>
      <c r="E103" s="169" t="s">
        <v>71</v>
      </c>
      <c r="F103" s="164">
        <v>2</v>
      </c>
      <c r="G103" s="164">
        <v>76.3</v>
      </c>
      <c r="H103" s="164">
        <f t="shared" si="12"/>
        <v>93.26</v>
      </c>
      <c r="I103" s="164">
        <f t="shared" si="13"/>
        <v>152.6</v>
      </c>
      <c r="J103" s="170">
        <f t="shared" si="14"/>
        <v>186.52</v>
      </c>
      <c r="K103" s="62"/>
      <c r="L103" s="243"/>
      <c r="M103" s="245"/>
    </row>
    <row r="104" spans="1:13" s="25" customFormat="1" ht="46.8" hidden="1">
      <c r="A104" s="150" t="s">
        <v>261</v>
      </c>
      <c r="B104" s="167" t="s">
        <v>262</v>
      </c>
      <c r="C104" s="168" t="s">
        <v>23</v>
      </c>
      <c r="D104" s="166" t="s">
        <v>263</v>
      </c>
      <c r="E104" s="169" t="s">
        <v>71</v>
      </c>
      <c r="F104" s="164">
        <v>1</v>
      </c>
      <c r="G104" s="164">
        <v>187.26</v>
      </c>
      <c r="H104" s="164">
        <f t="shared" si="12"/>
        <v>228.89</v>
      </c>
      <c r="I104" s="164">
        <f t="shared" si="13"/>
        <v>187.26</v>
      </c>
      <c r="J104" s="170">
        <f t="shared" si="14"/>
        <v>228.89</v>
      </c>
      <c r="K104" s="62"/>
      <c r="L104" s="243"/>
      <c r="M104" s="245"/>
    </row>
    <row r="105" spans="1:13" s="25" customFormat="1" ht="46.8" hidden="1">
      <c r="A105" s="150" t="s">
        <v>264</v>
      </c>
      <c r="B105" s="167" t="s">
        <v>265</v>
      </c>
      <c r="C105" s="168" t="s">
        <v>23</v>
      </c>
      <c r="D105" s="166" t="s">
        <v>266</v>
      </c>
      <c r="E105" s="169" t="s">
        <v>71</v>
      </c>
      <c r="F105" s="164">
        <v>1</v>
      </c>
      <c r="G105" s="164">
        <v>186.2</v>
      </c>
      <c r="H105" s="164">
        <f t="shared" si="12"/>
        <v>227.59</v>
      </c>
      <c r="I105" s="164">
        <f t="shared" si="13"/>
        <v>186.2</v>
      </c>
      <c r="J105" s="170">
        <f t="shared" si="14"/>
        <v>227.59</v>
      </c>
      <c r="K105" s="62"/>
      <c r="L105" s="243"/>
      <c r="M105" s="245"/>
    </row>
    <row r="106" spans="1:13" s="25" customFormat="1" ht="46.8" hidden="1">
      <c r="A106" s="150" t="s">
        <v>267</v>
      </c>
      <c r="B106" s="167" t="s">
        <v>268</v>
      </c>
      <c r="C106" s="168" t="s">
        <v>23</v>
      </c>
      <c r="D106" s="166" t="s">
        <v>269</v>
      </c>
      <c r="E106" s="169" t="s">
        <v>71</v>
      </c>
      <c r="F106" s="164">
        <v>2</v>
      </c>
      <c r="G106" s="164">
        <v>68.209999999999994</v>
      </c>
      <c r="H106" s="164">
        <f t="shared" si="12"/>
        <v>83.37</v>
      </c>
      <c r="I106" s="164">
        <f t="shared" si="13"/>
        <v>136.41999999999999</v>
      </c>
      <c r="J106" s="170">
        <f t="shared" si="14"/>
        <v>166.74</v>
      </c>
      <c r="K106" s="62"/>
      <c r="L106" s="243"/>
      <c r="M106" s="245"/>
    </row>
    <row r="107" spans="1:13" s="25" customFormat="1" ht="62.4" hidden="1">
      <c r="A107" s="150" t="s">
        <v>270</v>
      </c>
      <c r="B107" s="167" t="s">
        <v>271</v>
      </c>
      <c r="C107" s="168" t="s">
        <v>23</v>
      </c>
      <c r="D107" s="166" t="s">
        <v>272</v>
      </c>
      <c r="E107" s="169" t="s">
        <v>86</v>
      </c>
      <c r="F107" s="164">
        <v>100</v>
      </c>
      <c r="G107" s="164">
        <v>6.02</v>
      </c>
      <c r="H107" s="164">
        <f t="shared" si="12"/>
        <v>7.36</v>
      </c>
      <c r="I107" s="164">
        <f t="shared" si="13"/>
        <v>602</v>
      </c>
      <c r="J107" s="170">
        <f t="shared" si="14"/>
        <v>736</v>
      </c>
      <c r="K107" s="62"/>
      <c r="L107" s="243"/>
      <c r="M107" s="245"/>
    </row>
    <row r="108" spans="1:13" s="25" customFormat="1" ht="62.4" hidden="1">
      <c r="A108" s="150" t="s">
        <v>273</v>
      </c>
      <c r="B108" s="167" t="s">
        <v>271</v>
      </c>
      <c r="C108" s="168" t="s">
        <v>23</v>
      </c>
      <c r="D108" s="166" t="s">
        <v>274</v>
      </c>
      <c r="E108" s="169" t="s">
        <v>86</v>
      </c>
      <c r="F108" s="164">
        <v>100</v>
      </c>
      <c r="G108" s="164">
        <v>6.02</v>
      </c>
      <c r="H108" s="164">
        <f t="shared" si="12"/>
        <v>7.36</v>
      </c>
      <c r="I108" s="164">
        <f t="shared" si="13"/>
        <v>602</v>
      </c>
      <c r="J108" s="170">
        <f t="shared" si="14"/>
        <v>736</v>
      </c>
      <c r="K108" s="62"/>
      <c r="L108" s="243"/>
      <c r="M108" s="245"/>
    </row>
    <row r="109" spans="1:13" s="25" customFormat="1" ht="62.4" hidden="1">
      <c r="A109" s="150" t="s">
        <v>275</v>
      </c>
      <c r="B109" s="167" t="s">
        <v>271</v>
      </c>
      <c r="C109" s="168" t="s">
        <v>23</v>
      </c>
      <c r="D109" s="166" t="s">
        <v>276</v>
      </c>
      <c r="E109" s="169" t="s">
        <v>86</v>
      </c>
      <c r="F109" s="164">
        <v>100</v>
      </c>
      <c r="G109" s="164">
        <v>6.02</v>
      </c>
      <c r="H109" s="164">
        <f t="shared" si="12"/>
        <v>7.36</v>
      </c>
      <c r="I109" s="164">
        <f t="shared" si="13"/>
        <v>602</v>
      </c>
      <c r="J109" s="170">
        <f t="shared" si="14"/>
        <v>736</v>
      </c>
      <c r="K109" s="62"/>
      <c r="L109" s="243"/>
      <c r="M109" s="245"/>
    </row>
    <row r="110" spans="1:13" s="25" customFormat="1" ht="62.4" hidden="1">
      <c r="A110" s="150" t="s">
        <v>277</v>
      </c>
      <c r="B110" s="167" t="s">
        <v>278</v>
      </c>
      <c r="C110" s="168" t="s">
        <v>23</v>
      </c>
      <c r="D110" s="166" t="s">
        <v>279</v>
      </c>
      <c r="E110" s="169" t="s">
        <v>86</v>
      </c>
      <c r="F110" s="164">
        <v>600</v>
      </c>
      <c r="G110" s="164">
        <v>4.26</v>
      </c>
      <c r="H110" s="164">
        <f t="shared" si="12"/>
        <v>5.21</v>
      </c>
      <c r="I110" s="164">
        <f t="shared" si="13"/>
        <v>2556</v>
      </c>
      <c r="J110" s="170">
        <f t="shared" si="14"/>
        <v>3126</v>
      </c>
      <c r="K110" s="62"/>
      <c r="L110" s="243"/>
      <c r="M110" s="245"/>
    </row>
    <row r="111" spans="1:13" s="25" customFormat="1" ht="62.4" hidden="1">
      <c r="A111" s="150" t="s">
        <v>280</v>
      </c>
      <c r="B111" s="167" t="s">
        <v>278</v>
      </c>
      <c r="C111" s="168" t="s">
        <v>23</v>
      </c>
      <c r="D111" s="166" t="s">
        <v>281</v>
      </c>
      <c r="E111" s="169" t="s">
        <v>86</v>
      </c>
      <c r="F111" s="164">
        <v>600</v>
      </c>
      <c r="G111" s="164">
        <v>4.26</v>
      </c>
      <c r="H111" s="164">
        <f t="shared" si="12"/>
        <v>5.21</v>
      </c>
      <c r="I111" s="164">
        <f t="shared" si="13"/>
        <v>2556</v>
      </c>
      <c r="J111" s="170">
        <f t="shared" si="14"/>
        <v>3126</v>
      </c>
      <c r="K111" s="62"/>
      <c r="L111" s="243"/>
      <c r="M111" s="245"/>
    </row>
    <row r="112" spans="1:13" s="25" customFormat="1" ht="62.4" hidden="1">
      <c r="A112" s="150" t="s">
        <v>282</v>
      </c>
      <c r="B112" s="167" t="s">
        <v>278</v>
      </c>
      <c r="C112" s="168" t="s">
        <v>23</v>
      </c>
      <c r="D112" s="166" t="s">
        <v>283</v>
      </c>
      <c r="E112" s="169" t="s">
        <v>86</v>
      </c>
      <c r="F112" s="164">
        <v>600</v>
      </c>
      <c r="G112" s="164">
        <v>4.26</v>
      </c>
      <c r="H112" s="164">
        <f t="shared" si="12"/>
        <v>5.21</v>
      </c>
      <c r="I112" s="164">
        <f t="shared" si="13"/>
        <v>2556</v>
      </c>
      <c r="J112" s="170">
        <f t="shared" si="14"/>
        <v>3126</v>
      </c>
      <c r="K112" s="62"/>
      <c r="L112" s="243"/>
      <c r="M112" s="245"/>
    </row>
    <row r="113" spans="1:13" s="25" customFormat="1" ht="62.4" hidden="1">
      <c r="A113" s="150" t="s">
        <v>284</v>
      </c>
      <c r="B113" s="167" t="s">
        <v>285</v>
      </c>
      <c r="C113" s="168" t="s">
        <v>23</v>
      </c>
      <c r="D113" s="166" t="s">
        <v>286</v>
      </c>
      <c r="E113" s="169" t="s">
        <v>86</v>
      </c>
      <c r="F113" s="164">
        <v>800</v>
      </c>
      <c r="G113" s="164">
        <v>2.95</v>
      </c>
      <c r="H113" s="164">
        <f t="shared" si="12"/>
        <v>3.61</v>
      </c>
      <c r="I113" s="164">
        <f t="shared" si="13"/>
        <v>2360</v>
      </c>
      <c r="J113" s="170">
        <f t="shared" si="14"/>
        <v>2888</v>
      </c>
      <c r="K113" s="62"/>
      <c r="L113" s="243"/>
      <c r="M113" s="245"/>
    </row>
    <row r="114" spans="1:13" s="25" customFormat="1" ht="62.4" hidden="1">
      <c r="A114" s="150" t="s">
        <v>287</v>
      </c>
      <c r="B114" s="167" t="s">
        <v>285</v>
      </c>
      <c r="C114" s="168" t="s">
        <v>23</v>
      </c>
      <c r="D114" s="166" t="s">
        <v>288</v>
      </c>
      <c r="E114" s="169" t="s">
        <v>86</v>
      </c>
      <c r="F114" s="164">
        <v>800</v>
      </c>
      <c r="G114" s="164">
        <v>2.95</v>
      </c>
      <c r="H114" s="164">
        <f t="shared" si="12"/>
        <v>3.61</v>
      </c>
      <c r="I114" s="164">
        <f t="shared" si="13"/>
        <v>2360</v>
      </c>
      <c r="J114" s="170">
        <f t="shared" si="14"/>
        <v>2888</v>
      </c>
      <c r="K114" s="62"/>
      <c r="L114" s="243"/>
      <c r="M114" s="245"/>
    </row>
    <row r="115" spans="1:13" s="25" customFormat="1" ht="62.4" hidden="1">
      <c r="A115" s="150" t="s">
        <v>289</v>
      </c>
      <c r="B115" s="167" t="s">
        <v>285</v>
      </c>
      <c r="C115" s="168" t="s">
        <v>23</v>
      </c>
      <c r="D115" s="166" t="s">
        <v>290</v>
      </c>
      <c r="E115" s="169" t="s">
        <v>86</v>
      </c>
      <c r="F115" s="164">
        <v>800</v>
      </c>
      <c r="G115" s="164">
        <v>2.95</v>
      </c>
      <c r="H115" s="164">
        <f t="shared" si="12"/>
        <v>3.61</v>
      </c>
      <c r="I115" s="164">
        <f t="shared" si="13"/>
        <v>2360</v>
      </c>
      <c r="J115" s="170">
        <f t="shared" si="14"/>
        <v>2888</v>
      </c>
      <c r="K115" s="62"/>
      <c r="L115" s="243"/>
      <c r="M115" s="245"/>
    </row>
    <row r="116" spans="1:13" s="25" customFormat="1" ht="62.4" hidden="1">
      <c r="A116" s="150" t="s">
        <v>291</v>
      </c>
      <c r="B116" s="167" t="s">
        <v>292</v>
      </c>
      <c r="C116" s="168" t="s">
        <v>23</v>
      </c>
      <c r="D116" s="166" t="s">
        <v>293</v>
      </c>
      <c r="E116" s="169" t="s">
        <v>86</v>
      </c>
      <c r="F116" s="164">
        <v>80</v>
      </c>
      <c r="G116" s="164">
        <v>14.72</v>
      </c>
      <c r="H116" s="164">
        <f t="shared" si="12"/>
        <v>17.989999999999998</v>
      </c>
      <c r="I116" s="164">
        <f t="shared" si="13"/>
        <v>1177.5999999999999</v>
      </c>
      <c r="J116" s="170">
        <f t="shared" si="14"/>
        <v>1439.2</v>
      </c>
      <c r="K116" s="62"/>
      <c r="L116" s="243"/>
      <c r="M116" s="245"/>
    </row>
    <row r="117" spans="1:13" s="25" customFormat="1" ht="62.4" hidden="1">
      <c r="A117" s="150" t="s">
        <v>294</v>
      </c>
      <c r="B117" s="167" t="s">
        <v>292</v>
      </c>
      <c r="C117" s="168" t="s">
        <v>23</v>
      </c>
      <c r="D117" s="166" t="s">
        <v>295</v>
      </c>
      <c r="E117" s="169" t="s">
        <v>86</v>
      </c>
      <c r="F117" s="164">
        <v>30</v>
      </c>
      <c r="G117" s="164">
        <v>14.72</v>
      </c>
      <c r="H117" s="164">
        <f t="shared" si="12"/>
        <v>17.989999999999998</v>
      </c>
      <c r="I117" s="164">
        <f t="shared" si="13"/>
        <v>441.6</v>
      </c>
      <c r="J117" s="170">
        <f t="shared" si="14"/>
        <v>539.70000000000005</v>
      </c>
      <c r="K117" s="62"/>
      <c r="L117" s="243"/>
      <c r="M117" s="245"/>
    </row>
    <row r="118" spans="1:13" s="25" customFormat="1" ht="62.4" hidden="1">
      <c r="A118" s="150" t="s">
        <v>296</v>
      </c>
      <c r="B118" s="167" t="s">
        <v>292</v>
      </c>
      <c r="C118" s="168" t="s">
        <v>23</v>
      </c>
      <c r="D118" s="166" t="s">
        <v>297</v>
      </c>
      <c r="E118" s="169" t="s">
        <v>86</v>
      </c>
      <c r="F118" s="164">
        <v>30</v>
      </c>
      <c r="G118" s="164">
        <v>14.72</v>
      </c>
      <c r="H118" s="164">
        <f t="shared" si="12"/>
        <v>17.989999999999998</v>
      </c>
      <c r="I118" s="164">
        <f t="shared" si="13"/>
        <v>441.6</v>
      </c>
      <c r="J118" s="170">
        <f t="shared" si="14"/>
        <v>539.70000000000005</v>
      </c>
      <c r="K118" s="62"/>
      <c r="L118" s="243"/>
      <c r="M118" s="245"/>
    </row>
    <row r="119" spans="1:13" s="25" customFormat="1" ht="62.4" hidden="1">
      <c r="A119" s="150" t="s">
        <v>298</v>
      </c>
      <c r="B119" s="167" t="s">
        <v>299</v>
      </c>
      <c r="C119" s="168" t="s">
        <v>23</v>
      </c>
      <c r="D119" s="166" t="s">
        <v>300</v>
      </c>
      <c r="E119" s="169" t="s">
        <v>86</v>
      </c>
      <c r="F119" s="164">
        <f>10*4</f>
        <v>40</v>
      </c>
      <c r="G119" s="164">
        <v>87.75</v>
      </c>
      <c r="H119" s="164">
        <f t="shared" si="12"/>
        <v>107.26</v>
      </c>
      <c r="I119" s="164">
        <f t="shared" si="13"/>
        <v>3510</v>
      </c>
      <c r="J119" s="170">
        <f t="shared" si="14"/>
        <v>4290.3999999999996</v>
      </c>
      <c r="K119" s="62"/>
      <c r="L119" s="243"/>
      <c r="M119" s="245"/>
    </row>
    <row r="120" spans="1:13" s="25" customFormat="1" ht="62.4" hidden="1">
      <c r="A120" s="150" t="s">
        <v>301</v>
      </c>
      <c r="B120" s="167" t="s">
        <v>299</v>
      </c>
      <c r="C120" s="168" t="s">
        <v>23</v>
      </c>
      <c r="D120" s="166" t="s">
        <v>302</v>
      </c>
      <c r="E120" s="169" t="s">
        <v>86</v>
      </c>
      <c r="F120" s="164">
        <v>10</v>
      </c>
      <c r="G120" s="164">
        <v>87.75</v>
      </c>
      <c r="H120" s="164">
        <f t="shared" si="12"/>
        <v>107.26</v>
      </c>
      <c r="I120" s="164">
        <f t="shared" si="13"/>
        <v>877.5</v>
      </c>
      <c r="J120" s="170">
        <f t="shared" si="14"/>
        <v>1072.5999999999999</v>
      </c>
      <c r="K120" s="62"/>
      <c r="L120" s="243"/>
      <c r="M120" s="245"/>
    </row>
    <row r="121" spans="1:13" s="25" customFormat="1" ht="62.4" hidden="1">
      <c r="A121" s="150" t="s">
        <v>303</v>
      </c>
      <c r="B121" s="167" t="s">
        <v>304</v>
      </c>
      <c r="C121" s="168" t="s">
        <v>23</v>
      </c>
      <c r="D121" s="166" t="s">
        <v>305</v>
      </c>
      <c r="E121" s="169" t="s">
        <v>86</v>
      </c>
      <c r="F121" s="164">
        <v>10</v>
      </c>
      <c r="G121" s="164">
        <v>20.260000000000002</v>
      </c>
      <c r="H121" s="164">
        <f t="shared" si="12"/>
        <v>24.76</v>
      </c>
      <c r="I121" s="164">
        <f t="shared" si="13"/>
        <v>202.6</v>
      </c>
      <c r="J121" s="170">
        <f t="shared" si="14"/>
        <v>247.6</v>
      </c>
      <c r="K121" s="62"/>
      <c r="L121" s="243"/>
      <c r="M121" s="245"/>
    </row>
    <row r="122" spans="1:13" s="25" customFormat="1" ht="78" hidden="1">
      <c r="A122" s="150" t="s">
        <v>306</v>
      </c>
      <c r="B122" s="167" t="s">
        <v>307</v>
      </c>
      <c r="C122" s="168" t="s">
        <v>23</v>
      </c>
      <c r="D122" s="166" t="s">
        <v>308</v>
      </c>
      <c r="E122" s="169" t="s">
        <v>71</v>
      </c>
      <c r="F122" s="164">
        <v>39</v>
      </c>
      <c r="G122" s="164">
        <v>31.7</v>
      </c>
      <c r="H122" s="164">
        <f t="shared" si="12"/>
        <v>38.75</v>
      </c>
      <c r="I122" s="164">
        <f t="shared" si="13"/>
        <v>1236.3</v>
      </c>
      <c r="J122" s="170">
        <f t="shared" si="14"/>
        <v>1511.25</v>
      </c>
      <c r="K122" s="62"/>
      <c r="L122" s="243"/>
      <c r="M122" s="245"/>
    </row>
    <row r="123" spans="1:13" s="25" customFormat="1" ht="78" hidden="1">
      <c r="A123" s="150" t="s">
        <v>309</v>
      </c>
      <c r="B123" s="167" t="s">
        <v>310</v>
      </c>
      <c r="C123" s="168" t="s">
        <v>23</v>
      </c>
      <c r="D123" s="166" t="s">
        <v>311</v>
      </c>
      <c r="E123" s="169" t="s">
        <v>71</v>
      </c>
      <c r="F123" s="164">
        <v>115</v>
      </c>
      <c r="G123" s="164">
        <v>30.22</v>
      </c>
      <c r="H123" s="164">
        <f t="shared" si="12"/>
        <v>36.94</v>
      </c>
      <c r="I123" s="164">
        <f t="shared" si="13"/>
        <v>3475.3</v>
      </c>
      <c r="J123" s="170">
        <f t="shared" si="14"/>
        <v>4248.1000000000004</v>
      </c>
      <c r="K123" s="62"/>
      <c r="L123" s="243"/>
      <c r="M123" s="245"/>
    </row>
    <row r="124" spans="1:13" s="25" customFormat="1" ht="78" hidden="1">
      <c r="A124" s="150" t="s">
        <v>312</v>
      </c>
      <c r="B124" s="167" t="s">
        <v>313</v>
      </c>
      <c r="C124" s="168" t="s">
        <v>23</v>
      </c>
      <c r="D124" s="166" t="s">
        <v>314</v>
      </c>
      <c r="E124" s="169" t="s">
        <v>71</v>
      </c>
      <c r="F124" s="164">
        <v>10</v>
      </c>
      <c r="G124" s="164">
        <v>32.83</v>
      </c>
      <c r="H124" s="164">
        <f t="shared" si="12"/>
        <v>40.130000000000003</v>
      </c>
      <c r="I124" s="164">
        <f t="shared" si="13"/>
        <v>328.3</v>
      </c>
      <c r="J124" s="170">
        <f t="shared" si="14"/>
        <v>401.3</v>
      </c>
      <c r="K124" s="62"/>
      <c r="L124" s="243"/>
      <c r="M124" s="245"/>
    </row>
    <row r="125" spans="1:13" s="25" customFormat="1" ht="62.4" hidden="1">
      <c r="A125" s="150" t="s">
        <v>315</v>
      </c>
      <c r="B125" s="167" t="s">
        <v>316</v>
      </c>
      <c r="C125" s="168" t="s">
        <v>48</v>
      </c>
      <c r="D125" s="166" t="s">
        <v>317</v>
      </c>
      <c r="E125" s="169" t="s">
        <v>71</v>
      </c>
      <c r="F125" s="164">
        <v>4</v>
      </c>
      <c r="G125" s="164">
        <v>589.01</v>
      </c>
      <c r="H125" s="164">
        <f t="shared" si="12"/>
        <v>719.95</v>
      </c>
      <c r="I125" s="164">
        <f t="shared" si="13"/>
        <v>2356.04</v>
      </c>
      <c r="J125" s="170">
        <f t="shared" si="14"/>
        <v>2879.8</v>
      </c>
      <c r="K125" s="62"/>
      <c r="L125" s="243"/>
      <c r="M125" s="245"/>
    </row>
    <row r="126" spans="1:13" s="25" customFormat="1" ht="62.4" hidden="1">
      <c r="A126" s="150" t="s">
        <v>318</v>
      </c>
      <c r="B126" s="167" t="s">
        <v>319</v>
      </c>
      <c r="C126" s="168" t="s">
        <v>23</v>
      </c>
      <c r="D126" s="166" t="s">
        <v>320</v>
      </c>
      <c r="E126" s="169" t="s">
        <v>71</v>
      </c>
      <c r="F126" s="164">
        <v>23</v>
      </c>
      <c r="G126" s="164">
        <v>153.02000000000001</v>
      </c>
      <c r="H126" s="164">
        <f t="shared" si="12"/>
        <v>187.04</v>
      </c>
      <c r="I126" s="164">
        <f t="shared" si="13"/>
        <v>3519.46</v>
      </c>
      <c r="J126" s="170">
        <f t="shared" si="14"/>
        <v>4301.92</v>
      </c>
      <c r="K126" s="62"/>
      <c r="L126" s="243"/>
      <c r="M126" s="245"/>
    </row>
    <row r="127" spans="1:13" s="25" customFormat="1" ht="62.4" hidden="1">
      <c r="A127" s="150" t="s">
        <v>321</v>
      </c>
      <c r="B127" s="167" t="s">
        <v>322</v>
      </c>
      <c r="C127" s="168" t="s">
        <v>23</v>
      </c>
      <c r="D127" s="166" t="s">
        <v>323</v>
      </c>
      <c r="E127" s="169" t="s">
        <v>71</v>
      </c>
      <c r="F127" s="164">
        <v>56</v>
      </c>
      <c r="G127" s="164">
        <v>210.3</v>
      </c>
      <c r="H127" s="164">
        <f t="shared" si="12"/>
        <v>257.05</v>
      </c>
      <c r="I127" s="164">
        <f t="shared" si="13"/>
        <v>11776.8</v>
      </c>
      <c r="J127" s="170">
        <f t="shared" si="14"/>
        <v>14394.8</v>
      </c>
      <c r="K127" s="62"/>
      <c r="L127" s="243"/>
      <c r="M127" s="245"/>
    </row>
    <row r="128" spans="1:13" s="25" customFormat="1" ht="62.4" hidden="1">
      <c r="A128" s="150" t="s">
        <v>324</v>
      </c>
      <c r="B128" s="167" t="s">
        <v>325</v>
      </c>
      <c r="C128" s="168" t="s">
        <v>23</v>
      </c>
      <c r="D128" s="166" t="s">
        <v>326</v>
      </c>
      <c r="E128" s="169" t="s">
        <v>71</v>
      </c>
      <c r="F128" s="164">
        <f>56*2</f>
        <v>112</v>
      </c>
      <c r="G128" s="164">
        <v>17.399999999999999</v>
      </c>
      <c r="H128" s="164">
        <f t="shared" si="12"/>
        <v>21.27</v>
      </c>
      <c r="I128" s="164">
        <f t="shared" si="13"/>
        <v>1948.8</v>
      </c>
      <c r="J128" s="170">
        <f t="shared" si="14"/>
        <v>2382.2399999999998</v>
      </c>
      <c r="K128" s="62"/>
      <c r="L128" s="243"/>
      <c r="M128" s="245"/>
    </row>
    <row r="129" spans="1:13" s="25" customFormat="1" ht="62.4" hidden="1">
      <c r="A129" s="150" t="s">
        <v>327</v>
      </c>
      <c r="B129" s="167" t="s">
        <v>328</v>
      </c>
      <c r="C129" s="168" t="s">
        <v>23</v>
      </c>
      <c r="D129" s="166" t="s">
        <v>329</v>
      </c>
      <c r="E129" s="169" t="s">
        <v>71</v>
      </c>
      <c r="F129" s="164">
        <f>23*2</f>
        <v>46</v>
      </c>
      <c r="G129" s="164">
        <v>17.78</v>
      </c>
      <c r="H129" s="164">
        <f t="shared" si="12"/>
        <v>21.73</v>
      </c>
      <c r="I129" s="164">
        <f t="shared" si="13"/>
        <v>817.88</v>
      </c>
      <c r="J129" s="170">
        <f t="shared" si="14"/>
        <v>999.58</v>
      </c>
      <c r="K129" s="62"/>
      <c r="L129" s="243"/>
      <c r="M129" s="245"/>
    </row>
    <row r="130" spans="1:13" s="25" customFormat="1" ht="46.8" hidden="1">
      <c r="A130" s="150" t="s">
        <v>330</v>
      </c>
      <c r="B130" s="167" t="s">
        <v>331</v>
      </c>
      <c r="C130" s="168" t="s">
        <v>23</v>
      </c>
      <c r="D130" s="166" t="s">
        <v>332</v>
      </c>
      <c r="E130" s="169" t="s">
        <v>86</v>
      </c>
      <c r="F130" s="164">
        <v>40</v>
      </c>
      <c r="G130" s="164">
        <v>8.89</v>
      </c>
      <c r="H130" s="164">
        <f t="shared" si="12"/>
        <v>10.87</v>
      </c>
      <c r="I130" s="164">
        <f>ROUND(G130*F130,2)</f>
        <v>355.6</v>
      </c>
      <c r="J130" s="170">
        <f t="shared" si="14"/>
        <v>434.8</v>
      </c>
      <c r="K130" s="62"/>
      <c r="L130" s="243"/>
      <c r="M130" s="245"/>
    </row>
    <row r="131" spans="1:13" s="25" customFormat="1" ht="62.4" hidden="1">
      <c r="A131" s="150" t="s">
        <v>333</v>
      </c>
      <c r="B131" s="167" t="s">
        <v>334</v>
      </c>
      <c r="C131" s="168" t="s">
        <v>23</v>
      </c>
      <c r="D131" s="166" t="s">
        <v>335</v>
      </c>
      <c r="E131" s="169" t="s">
        <v>86</v>
      </c>
      <c r="F131" s="164">
        <v>300</v>
      </c>
      <c r="G131" s="164">
        <v>17.96</v>
      </c>
      <c r="H131" s="164">
        <f t="shared" si="12"/>
        <v>21.95</v>
      </c>
      <c r="I131" s="164">
        <f>ROUND(G131*F131,2)</f>
        <v>5388</v>
      </c>
      <c r="J131" s="170">
        <f t="shared" si="14"/>
        <v>6585</v>
      </c>
      <c r="K131" s="62"/>
      <c r="L131" s="243"/>
      <c r="M131" s="245"/>
    </row>
    <row r="132" spans="1:13" s="25" customFormat="1" ht="15.6">
      <c r="A132" s="143"/>
      <c r="B132" s="17"/>
      <c r="C132" s="18"/>
      <c r="D132" s="58"/>
      <c r="E132" s="30"/>
      <c r="F132" s="31"/>
      <c r="G132" s="31"/>
      <c r="H132" s="31"/>
      <c r="I132" s="31"/>
      <c r="J132" s="151"/>
      <c r="K132" s="62"/>
      <c r="L132" s="243"/>
      <c r="M132" s="245"/>
    </row>
    <row r="133" spans="1:13" ht="15.6">
      <c r="A133" s="146" t="s">
        <v>336</v>
      </c>
      <c r="B133" s="68"/>
      <c r="C133" s="69"/>
      <c r="D133" s="70" t="s">
        <v>337</v>
      </c>
      <c r="E133" s="71"/>
      <c r="F133" s="72"/>
      <c r="G133" s="72"/>
      <c r="H133" s="72"/>
      <c r="I133" s="74">
        <f>SUM(I134:I140)</f>
        <v>23451.43</v>
      </c>
      <c r="J133" s="147">
        <f>SUM(J134:J139)</f>
        <v>28661.200000000001</v>
      </c>
      <c r="L133" s="5"/>
      <c r="M133" s="245"/>
    </row>
    <row r="134" spans="1:13" s="25" customFormat="1" ht="62.4" hidden="1">
      <c r="A134" s="143" t="s">
        <v>338</v>
      </c>
      <c r="B134" s="17" t="s">
        <v>339</v>
      </c>
      <c r="C134" s="18" t="s">
        <v>23</v>
      </c>
      <c r="D134" s="166" t="s">
        <v>340</v>
      </c>
      <c r="E134" s="169" t="s">
        <v>86</v>
      </c>
      <c r="F134" s="164">
        <v>1360</v>
      </c>
      <c r="G134" s="164">
        <v>6.04</v>
      </c>
      <c r="H134" s="31">
        <f t="shared" si="12"/>
        <v>7.38</v>
      </c>
      <c r="I134" s="31">
        <f t="shared" ref="I134:I139" si="15">ROUND(G134*F134,2)</f>
        <v>8214.4</v>
      </c>
      <c r="J134" s="151">
        <f t="shared" ref="J134:J139" si="16">ROUND(F134*H134,2)</f>
        <v>10036.799999999999</v>
      </c>
      <c r="K134" s="62"/>
      <c r="L134" s="243"/>
      <c r="M134" s="245"/>
    </row>
    <row r="135" spans="1:13" s="25" customFormat="1" ht="62.4" hidden="1">
      <c r="A135" s="143" t="s">
        <v>341</v>
      </c>
      <c r="B135" s="17" t="s">
        <v>342</v>
      </c>
      <c r="C135" s="18" t="s">
        <v>23</v>
      </c>
      <c r="D135" s="166" t="s">
        <v>343</v>
      </c>
      <c r="E135" s="169" t="s">
        <v>86</v>
      </c>
      <c r="F135" s="164">
        <v>80</v>
      </c>
      <c r="G135" s="164">
        <v>88.11</v>
      </c>
      <c r="H135" s="31">
        <f t="shared" si="12"/>
        <v>107.7</v>
      </c>
      <c r="I135" s="31">
        <f t="shared" si="15"/>
        <v>7048.8</v>
      </c>
      <c r="J135" s="151">
        <f t="shared" si="16"/>
        <v>8616</v>
      </c>
      <c r="K135" s="62"/>
      <c r="L135" s="243"/>
      <c r="M135" s="245"/>
    </row>
    <row r="136" spans="1:13" s="25" customFormat="1" ht="78" hidden="1">
      <c r="A136" s="143" t="s">
        <v>344</v>
      </c>
      <c r="B136" s="17" t="s">
        <v>334</v>
      </c>
      <c r="C136" s="18" t="s">
        <v>23</v>
      </c>
      <c r="D136" s="166" t="s">
        <v>345</v>
      </c>
      <c r="E136" s="169" t="s">
        <v>86</v>
      </c>
      <c r="F136" s="164">
        <v>80</v>
      </c>
      <c r="G136" s="164">
        <v>17.96</v>
      </c>
      <c r="H136" s="31">
        <f t="shared" si="12"/>
        <v>21.95</v>
      </c>
      <c r="I136" s="31">
        <f t="shared" si="15"/>
        <v>1436.8</v>
      </c>
      <c r="J136" s="151">
        <f t="shared" si="16"/>
        <v>1756</v>
      </c>
      <c r="K136" s="62"/>
      <c r="L136" s="243"/>
      <c r="M136" s="245"/>
    </row>
    <row r="137" spans="1:13" s="25" customFormat="1" ht="78" hidden="1">
      <c r="A137" s="143" t="s">
        <v>346</v>
      </c>
      <c r="B137" s="17" t="s">
        <v>347</v>
      </c>
      <c r="C137" s="18" t="s">
        <v>23</v>
      </c>
      <c r="D137" s="166" t="s">
        <v>348</v>
      </c>
      <c r="E137" s="169" t="s">
        <v>71</v>
      </c>
      <c r="F137" s="164">
        <v>27</v>
      </c>
      <c r="G137" s="164">
        <v>128.05000000000001</v>
      </c>
      <c r="H137" s="31">
        <f t="shared" si="12"/>
        <v>156.52000000000001</v>
      </c>
      <c r="I137" s="31">
        <f t="shared" si="15"/>
        <v>3457.35</v>
      </c>
      <c r="J137" s="151">
        <f t="shared" si="16"/>
        <v>4226.04</v>
      </c>
      <c r="K137" s="62"/>
      <c r="L137" s="243"/>
      <c r="M137" s="245"/>
    </row>
    <row r="138" spans="1:13" s="25" customFormat="1" ht="31.2" hidden="1">
      <c r="A138" s="143" t="s">
        <v>349</v>
      </c>
      <c r="B138" s="17" t="s">
        <v>350</v>
      </c>
      <c r="C138" s="18" t="s">
        <v>48</v>
      </c>
      <c r="D138" s="166" t="s">
        <v>351</v>
      </c>
      <c r="E138" s="169" t="s">
        <v>71</v>
      </c>
      <c r="F138" s="164">
        <v>1</v>
      </c>
      <c r="G138" s="164">
        <v>1411.13</v>
      </c>
      <c r="H138" s="31">
        <f t="shared" si="12"/>
        <v>1724.82</v>
      </c>
      <c r="I138" s="31">
        <f t="shared" si="15"/>
        <v>1411.13</v>
      </c>
      <c r="J138" s="151">
        <f t="shared" si="16"/>
        <v>1724.82</v>
      </c>
      <c r="K138" s="62"/>
      <c r="L138" s="243"/>
      <c r="M138" s="245"/>
    </row>
    <row r="139" spans="1:13" s="25" customFormat="1" ht="31.2" hidden="1">
      <c r="A139" s="143" t="s">
        <v>352</v>
      </c>
      <c r="B139" s="17" t="s">
        <v>353</v>
      </c>
      <c r="C139" s="18" t="s">
        <v>48</v>
      </c>
      <c r="D139" s="166" t="s">
        <v>354</v>
      </c>
      <c r="E139" s="169" t="s">
        <v>71</v>
      </c>
      <c r="F139" s="164">
        <v>3</v>
      </c>
      <c r="G139" s="164">
        <v>627.65</v>
      </c>
      <c r="H139" s="31">
        <f t="shared" si="12"/>
        <v>767.18</v>
      </c>
      <c r="I139" s="31">
        <f t="shared" si="15"/>
        <v>1882.95</v>
      </c>
      <c r="J139" s="151">
        <f t="shared" si="16"/>
        <v>2301.54</v>
      </c>
      <c r="K139" s="62"/>
      <c r="L139" s="243"/>
      <c r="M139" s="245"/>
    </row>
    <row r="140" spans="1:13" s="25" customFormat="1" ht="15.6">
      <c r="A140" s="143"/>
      <c r="B140" s="17"/>
      <c r="C140" s="18"/>
      <c r="D140" s="58"/>
      <c r="E140" s="30"/>
      <c r="F140" s="31"/>
      <c r="G140" s="31"/>
      <c r="H140" s="31"/>
      <c r="I140" s="31"/>
      <c r="J140" s="151"/>
      <c r="K140" s="62"/>
      <c r="L140" s="243"/>
      <c r="M140" s="245"/>
    </row>
    <row r="141" spans="1:13" ht="15.6">
      <c r="A141" s="146" t="s">
        <v>355</v>
      </c>
      <c r="B141" s="68"/>
      <c r="C141" s="69"/>
      <c r="D141" s="70" t="s">
        <v>356</v>
      </c>
      <c r="E141" s="71"/>
      <c r="F141" s="72"/>
      <c r="G141" s="72"/>
      <c r="H141" s="72"/>
      <c r="I141" s="74">
        <f>SUM(I142:I169)</f>
        <v>29975.27</v>
      </c>
      <c r="J141" s="147">
        <f>SUM(J142:J169)</f>
        <v>36638.860000000008</v>
      </c>
      <c r="L141" s="5"/>
      <c r="M141" s="245"/>
    </row>
    <row r="142" spans="1:13" s="25" customFormat="1" ht="46.8" hidden="1">
      <c r="A142" s="143" t="s">
        <v>357</v>
      </c>
      <c r="B142" s="17" t="s">
        <v>358</v>
      </c>
      <c r="C142" s="18" t="s">
        <v>23</v>
      </c>
      <c r="D142" s="58" t="s">
        <v>359</v>
      </c>
      <c r="E142" s="30" t="s">
        <v>86</v>
      </c>
      <c r="F142" s="164">
        <v>20</v>
      </c>
      <c r="G142" s="164">
        <v>38.39</v>
      </c>
      <c r="H142" s="31">
        <f t="shared" si="12"/>
        <v>46.92</v>
      </c>
      <c r="I142" s="31">
        <f>ROUND(G142*F142,2)</f>
        <v>767.8</v>
      </c>
      <c r="J142" s="151">
        <f>ROUND(F142*H142,2)</f>
        <v>938.4</v>
      </c>
      <c r="K142" s="62"/>
      <c r="L142" s="243"/>
      <c r="M142" s="245"/>
    </row>
    <row r="143" spans="1:13" s="25" customFormat="1" ht="124.8" hidden="1">
      <c r="A143" s="143" t="s">
        <v>360</v>
      </c>
      <c r="B143" s="17" t="s">
        <v>361</v>
      </c>
      <c r="C143" s="18" t="s">
        <v>23</v>
      </c>
      <c r="D143" s="58" t="s">
        <v>362</v>
      </c>
      <c r="E143" s="30" t="s">
        <v>71</v>
      </c>
      <c r="F143" s="164">
        <v>10</v>
      </c>
      <c r="G143" s="164">
        <v>166.75</v>
      </c>
      <c r="H143" s="31">
        <f t="shared" si="12"/>
        <v>203.82</v>
      </c>
      <c r="I143" s="31">
        <f>ROUND(G143*F143,2)</f>
        <v>1667.5</v>
      </c>
      <c r="J143" s="151">
        <f>ROUND(F143*H143,2)</f>
        <v>2038.2</v>
      </c>
      <c r="K143" s="62"/>
      <c r="L143" s="243"/>
      <c r="M143" s="245"/>
    </row>
    <row r="144" spans="1:13" s="25" customFormat="1" ht="93.6" hidden="1">
      <c r="A144" s="143" t="s">
        <v>363</v>
      </c>
      <c r="B144" s="17" t="s">
        <v>364</v>
      </c>
      <c r="C144" s="18" t="s">
        <v>23</v>
      </c>
      <c r="D144" s="58" t="s">
        <v>365</v>
      </c>
      <c r="E144" s="30" t="s">
        <v>71</v>
      </c>
      <c r="F144" s="164">
        <v>9</v>
      </c>
      <c r="G144" s="164">
        <v>314.25</v>
      </c>
      <c r="H144" s="31">
        <f t="shared" si="12"/>
        <v>384.11</v>
      </c>
      <c r="I144" s="31">
        <f>ROUND(G144*F144,2)</f>
        <v>2828.25</v>
      </c>
      <c r="J144" s="151">
        <f>ROUND(F144*H144,2)</f>
        <v>3456.99</v>
      </c>
      <c r="K144" s="62"/>
      <c r="L144" s="243"/>
      <c r="M144" s="245"/>
    </row>
    <row r="145" spans="1:13" s="25" customFormat="1" ht="109.2" hidden="1">
      <c r="A145" s="143" t="s">
        <v>366</v>
      </c>
      <c r="B145" s="17" t="s">
        <v>367</v>
      </c>
      <c r="C145" s="18" t="s">
        <v>23</v>
      </c>
      <c r="D145" s="58" t="s">
        <v>368</v>
      </c>
      <c r="E145" s="30" t="s">
        <v>71</v>
      </c>
      <c r="F145" s="164">
        <v>1</v>
      </c>
      <c r="G145" s="164">
        <v>219.4</v>
      </c>
      <c r="H145" s="31">
        <f t="shared" si="12"/>
        <v>268.17</v>
      </c>
      <c r="I145" s="31">
        <f t="shared" ref="I145:I152" si="17">ROUND(G145*F145,2)</f>
        <v>219.4</v>
      </c>
      <c r="J145" s="151">
        <f t="shared" ref="J145:J169" si="18">ROUND(F145*H145,2)</f>
        <v>268.17</v>
      </c>
      <c r="K145" s="62"/>
      <c r="L145" s="243"/>
      <c r="M145" s="245"/>
    </row>
    <row r="146" spans="1:13" s="25" customFormat="1" ht="93.6" hidden="1">
      <c r="A146" s="143" t="s">
        <v>369</v>
      </c>
      <c r="B146" s="17" t="s">
        <v>370</v>
      </c>
      <c r="C146" s="18" t="s">
        <v>23</v>
      </c>
      <c r="D146" s="58" t="s">
        <v>371</v>
      </c>
      <c r="E146" s="30" t="s">
        <v>71</v>
      </c>
      <c r="F146" s="164">
        <v>21</v>
      </c>
      <c r="G146" s="164">
        <v>138</v>
      </c>
      <c r="H146" s="31">
        <f t="shared" si="12"/>
        <v>168.68</v>
      </c>
      <c r="I146" s="31">
        <f t="shared" si="17"/>
        <v>2898</v>
      </c>
      <c r="J146" s="151">
        <f t="shared" si="18"/>
        <v>3542.28</v>
      </c>
      <c r="K146" s="62"/>
      <c r="L146" s="243"/>
      <c r="M146" s="245"/>
    </row>
    <row r="147" spans="1:13" s="25" customFormat="1" ht="31.2" hidden="1">
      <c r="A147" s="143" t="s">
        <v>372</v>
      </c>
      <c r="B147" s="17" t="s">
        <v>373</v>
      </c>
      <c r="C147" s="18" t="s">
        <v>23</v>
      </c>
      <c r="D147" s="58" t="s">
        <v>374</v>
      </c>
      <c r="E147" s="30" t="s">
        <v>71</v>
      </c>
      <c r="F147" s="164">
        <v>1</v>
      </c>
      <c r="G147" s="164">
        <v>31.38</v>
      </c>
      <c r="H147" s="31">
        <f t="shared" si="12"/>
        <v>38.36</v>
      </c>
      <c r="I147" s="31">
        <f t="shared" si="17"/>
        <v>31.38</v>
      </c>
      <c r="J147" s="151">
        <f t="shared" si="18"/>
        <v>38.36</v>
      </c>
      <c r="K147" s="62"/>
      <c r="L147" s="243"/>
      <c r="M147" s="245"/>
    </row>
    <row r="148" spans="1:13" s="25" customFormat="1" ht="46.8" hidden="1">
      <c r="A148" s="143" t="s">
        <v>375</v>
      </c>
      <c r="B148" s="17" t="s">
        <v>376</v>
      </c>
      <c r="C148" s="18" t="s">
        <v>23</v>
      </c>
      <c r="D148" s="58" t="s">
        <v>377</v>
      </c>
      <c r="E148" s="30" t="s">
        <v>86</v>
      </c>
      <c r="F148" s="164">
        <v>40</v>
      </c>
      <c r="G148" s="164">
        <v>30.18</v>
      </c>
      <c r="H148" s="31">
        <f t="shared" si="12"/>
        <v>36.89</v>
      </c>
      <c r="I148" s="31">
        <f t="shared" si="17"/>
        <v>1207.2</v>
      </c>
      <c r="J148" s="151">
        <f t="shared" si="18"/>
        <v>1475.6</v>
      </c>
      <c r="K148" s="62"/>
      <c r="L148" s="243"/>
      <c r="M148" s="245"/>
    </row>
    <row r="149" spans="1:13" s="25" customFormat="1" ht="46.8" hidden="1">
      <c r="A149" s="143" t="s">
        <v>378</v>
      </c>
      <c r="B149" s="17" t="s">
        <v>379</v>
      </c>
      <c r="C149" s="18" t="s">
        <v>23</v>
      </c>
      <c r="D149" s="58" t="s">
        <v>380</v>
      </c>
      <c r="E149" s="30" t="s">
        <v>86</v>
      </c>
      <c r="F149" s="164">
        <v>20</v>
      </c>
      <c r="G149" s="164">
        <v>23.29</v>
      </c>
      <c r="H149" s="31">
        <f t="shared" si="12"/>
        <v>28.47</v>
      </c>
      <c r="I149" s="31">
        <f t="shared" si="17"/>
        <v>465.8</v>
      </c>
      <c r="J149" s="151">
        <f t="shared" si="18"/>
        <v>569.4</v>
      </c>
      <c r="K149" s="62"/>
      <c r="L149" s="243"/>
      <c r="M149" s="245"/>
    </row>
    <row r="150" spans="1:13" s="25" customFormat="1" ht="46.8" hidden="1">
      <c r="A150" s="143" t="s">
        <v>381</v>
      </c>
      <c r="B150" s="17" t="s">
        <v>382</v>
      </c>
      <c r="C150" s="18" t="s">
        <v>23</v>
      </c>
      <c r="D150" s="58" t="s">
        <v>383</v>
      </c>
      <c r="E150" s="30" t="s">
        <v>86</v>
      </c>
      <c r="F150" s="164">
        <v>40</v>
      </c>
      <c r="G150" s="164">
        <v>21.15</v>
      </c>
      <c r="H150" s="31">
        <f t="shared" si="12"/>
        <v>25.85</v>
      </c>
      <c r="I150" s="31">
        <f t="shared" si="17"/>
        <v>846</v>
      </c>
      <c r="J150" s="151">
        <f t="shared" si="18"/>
        <v>1034</v>
      </c>
      <c r="K150" s="62"/>
      <c r="L150" s="243"/>
      <c r="M150" s="245"/>
    </row>
    <row r="151" spans="1:13" s="25" customFormat="1" ht="62.4" hidden="1">
      <c r="A151" s="143" t="s">
        <v>384</v>
      </c>
      <c r="B151" s="17" t="s">
        <v>385</v>
      </c>
      <c r="C151" s="18" t="s">
        <v>23</v>
      </c>
      <c r="D151" s="58" t="s">
        <v>386</v>
      </c>
      <c r="E151" s="30" t="s">
        <v>71</v>
      </c>
      <c r="F151" s="164">
        <v>1</v>
      </c>
      <c r="G151" s="164">
        <v>129.07</v>
      </c>
      <c r="H151" s="31">
        <f t="shared" si="12"/>
        <v>157.76</v>
      </c>
      <c r="I151" s="31">
        <f t="shared" si="17"/>
        <v>129.07</v>
      </c>
      <c r="J151" s="151">
        <f t="shared" si="18"/>
        <v>157.76</v>
      </c>
      <c r="K151" s="62"/>
      <c r="L151" s="243"/>
      <c r="M151" s="245"/>
    </row>
    <row r="152" spans="1:13" s="25" customFormat="1" ht="62.4" hidden="1">
      <c r="A152" s="143" t="s">
        <v>387</v>
      </c>
      <c r="B152" s="17" t="s">
        <v>388</v>
      </c>
      <c r="C152" s="18" t="s">
        <v>23</v>
      </c>
      <c r="D152" s="58" t="s">
        <v>389</v>
      </c>
      <c r="E152" s="30" t="s">
        <v>71</v>
      </c>
      <c r="F152" s="164">
        <v>7</v>
      </c>
      <c r="G152" s="164">
        <v>91.85</v>
      </c>
      <c r="H152" s="31">
        <f t="shared" si="12"/>
        <v>112.27</v>
      </c>
      <c r="I152" s="31">
        <f t="shared" si="17"/>
        <v>642.95000000000005</v>
      </c>
      <c r="J152" s="151">
        <f t="shared" si="18"/>
        <v>785.89</v>
      </c>
      <c r="K152" s="62"/>
      <c r="L152" s="243"/>
      <c r="M152" s="245"/>
    </row>
    <row r="153" spans="1:13" s="25" customFormat="1" ht="31.2" hidden="1">
      <c r="A153" s="143" t="s">
        <v>390</v>
      </c>
      <c r="B153" s="17" t="s">
        <v>391</v>
      </c>
      <c r="C153" s="18" t="s">
        <v>23</v>
      </c>
      <c r="D153" s="58" t="s">
        <v>392</v>
      </c>
      <c r="E153" s="30" t="s">
        <v>71</v>
      </c>
      <c r="F153" s="164">
        <v>2</v>
      </c>
      <c r="G153" s="164">
        <v>88.37</v>
      </c>
      <c r="H153" s="31">
        <f t="shared" si="12"/>
        <v>108.01</v>
      </c>
      <c r="I153" s="31">
        <f>ROUND(G153*F153,2)</f>
        <v>176.74</v>
      </c>
      <c r="J153" s="151">
        <f t="shared" si="18"/>
        <v>216.02</v>
      </c>
      <c r="K153" s="62"/>
      <c r="L153" s="243"/>
      <c r="M153" s="245"/>
    </row>
    <row r="154" spans="1:13" s="25" customFormat="1" ht="62.4" hidden="1">
      <c r="A154" s="143" t="s">
        <v>393</v>
      </c>
      <c r="B154" s="17" t="s">
        <v>394</v>
      </c>
      <c r="C154" s="18" t="s">
        <v>23</v>
      </c>
      <c r="D154" s="58" t="s">
        <v>395</v>
      </c>
      <c r="E154" s="30" t="s">
        <v>71</v>
      </c>
      <c r="F154" s="164">
        <v>1</v>
      </c>
      <c r="G154" s="164">
        <v>992.19</v>
      </c>
      <c r="H154" s="31">
        <f t="shared" si="12"/>
        <v>1212.75</v>
      </c>
      <c r="I154" s="31">
        <f>ROUND(G154*F154,2)</f>
        <v>992.19</v>
      </c>
      <c r="J154" s="151">
        <f t="shared" si="18"/>
        <v>1212.75</v>
      </c>
      <c r="K154" s="62"/>
      <c r="L154" s="243"/>
      <c r="M154" s="245"/>
    </row>
    <row r="155" spans="1:13" s="25" customFormat="1" ht="46.8" hidden="1">
      <c r="A155" s="143" t="s">
        <v>396</v>
      </c>
      <c r="B155" s="17" t="s">
        <v>397</v>
      </c>
      <c r="C155" s="18" t="s">
        <v>48</v>
      </c>
      <c r="D155" s="58" t="s">
        <v>398</v>
      </c>
      <c r="E155" s="30" t="s">
        <v>71</v>
      </c>
      <c r="F155" s="164">
        <v>9</v>
      </c>
      <c r="G155" s="164">
        <v>552.21</v>
      </c>
      <c r="H155" s="31">
        <f t="shared" si="12"/>
        <v>674.97</v>
      </c>
      <c r="I155" s="31">
        <f t="shared" ref="I155:I169" si="19">ROUND(G155*F155,2)</f>
        <v>4969.8900000000003</v>
      </c>
      <c r="J155" s="151">
        <f t="shared" si="18"/>
        <v>6074.73</v>
      </c>
      <c r="K155" s="62"/>
      <c r="L155" s="243"/>
      <c r="M155" s="245"/>
    </row>
    <row r="156" spans="1:13" s="25" customFormat="1" ht="78" hidden="1">
      <c r="A156" s="143" t="s">
        <v>399</v>
      </c>
      <c r="B156" s="17" t="s">
        <v>400</v>
      </c>
      <c r="C156" s="18" t="s">
        <v>23</v>
      </c>
      <c r="D156" s="58" t="s">
        <v>401</v>
      </c>
      <c r="E156" s="30" t="s">
        <v>71</v>
      </c>
      <c r="F156" s="164">
        <v>4</v>
      </c>
      <c r="G156" s="164">
        <v>177.78</v>
      </c>
      <c r="H156" s="31">
        <f t="shared" si="12"/>
        <v>217.3</v>
      </c>
      <c r="I156" s="31">
        <f t="shared" si="19"/>
        <v>711.12</v>
      </c>
      <c r="J156" s="151">
        <f t="shared" si="18"/>
        <v>869.2</v>
      </c>
      <c r="K156" s="62"/>
      <c r="L156" s="243"/>
      <c r="M156" s="245"/>
    </row>
    <row r="157" spans="1:13" s="25" customFormat="1" ht="78" hidden="1">
      <c r="A157" s="143" t="s">
        <v>402</v>
      </c>
      <c r="B157" s="17" t="s">
        <v>403</v>
      </c>
      <c r="C157" s="18" t="s">
        <v>23</v>
      </c>
      <c r="D157" s="58" t="s">
        <v>404</v>
      </c>
      <c r="E157" s="30" t="s">
        <v>71</v>
      </c>
      <c r="F157" s="164">
        <v>4</v>
      </c>
      <c r="G157" s="164">
        <v>181.5</v>
      </c>
      <c r="H157" s="31">
        <f t="shared" si="12"/>
        <v>221.85</v>
      </c>
      <c r="I157" s="31">
        <f t="shared" si="19"/>
        <v>726</v>
      </c>
      <c r="J157" s="151">
        <f t="shared" si="18"/>
        <v>887.4</v>
      </c>
      <c r="K157" s="62"/>
      <c r="L157" s="243"/>
      <c r="M157" s="245"/>
    </row>
    <row r="158" spans="1:13" s="25" customFormat="1" ht="78" hidden="1">
      <c r="A158" s="143" t="s">
        <v>405</v>
      </c>
      <c r="B158" s="17" t="s">
        <v>406</v>
      </c>
      <c r="C158" s="18" t="s">
        <v>23</v>
      </c>
      <c r="D158" s="58" t="s">
        <v>407</v>
      </c>
      <c r="E158" s="30" t="s">
        <v>71</v>
      </c>
      <c r="F158" s="164">
        <v>8</v>
      </c>
      <c r="G158" s="164">
        <v>152.30000000000001</v>
      </c>
      <c r="H158" s="31">
        <f t="shared" si="12"/>
        <v>186.16</v>
      </c>
      <c r="I158" s="31">
        <f t="shared" si="19"/>
        <v>1218.4000000000001</v>
      </c>
      <c r="J158" s="151">
        <f t="shared" si="18"/>
        <v>1489.28</v>
      </c>
      <c r="K158" s="62"/>
      <c r="L158" s="243"/>
      <c r="M158" s="245"/>
    </row>
    <row r="159" spans="1:13" s="25" customFormat="1" ht="78" hidden="1">
      <c r="A159" s="143" t="s">
        <v>408</v>
      </c>
      <c r="B159" s="17" t="s">
        <v>409</v>
      </c>
      <c r="C159" s="18" t="s">
        <v>23</v>
      </c>
      <c r="D159" s="58" t="s">
        <v>410</v>
      </c>
      <c r="E159" s="30" t="s">
        <v>71</v>
      </c>
      <c r="F159" s="164">
        <v>4</v>
      </c>
      <c r="G159" s="164">
        <v>139</v>
      </c>
      <c r="H159" s="31">
        <f t="shared" si="12"/>
        <v>169.9</v>
      </c>
      <c r="I159" s="31">
        <f t="shared" si="19"/>
        <v>556</v>
      </c>
      <c r="J159" s="151">
        <f t="shared" si="18"/>
        <v>679.6</v>
      </c>
      <c r="K159" s="62"/>
      <c r="L159" s="243"/>
      <c r="M159" s="245"/>
    </row>
    <row r="160" spans="1:13" s="25" customFormat="1" ht="93.6" hidden="1">
      <c r="A160" s="143" t="s">
        <v>411</v>
      </c>
      <c r="B160" s="17" t="s">
        <v>412</v>
      </c>
      <c r="C160" s="18" t="s">
        <v>48</v>
      </c>
      <c r="D160" s="166" t="s">
        <v>413</v>
      </c>
      <c r="E160" s="30" t="s">
        <v>71</v>
      </c>
      <c r="F160" s="164">
        <v>6</v>
      </c>
      <c r="G160" s="164">
        <v>291.37</v>
      </c>
      <c r="H160" s="31">
        <f t="shared" si="12"/>
        <v>356.14</v>
      </c>
      <c r="I160" s="31">
        <f t="shared" si="19"/>
        <v>1748.22</v>
      </c>
      <c r="J160" s="151">
        <f t="shared" si="18"/>
        <v>2136.84</v>
      </c>
      <c r="K160" s="62"/>
      <c r="L160" s="243"/>
      <c r="M160" s="245"/>
    </row>
    <row r="161" spans="1:13" s="25" customFormat="1" ht="78" hidden="1">
      <c r="A161" s="143" t="s">
        <v>414</v>
      </c>
      <c r="B161" s="17" t="s">
        <v>415</v>
      </c>
      <c r="C161" s="18" t="s">
        <v>23</v>
      </c>
      <c r="D161" s="166" t="s">
        <v>416</v>
      </c>
      <c r="E161" s="30" t="s">
        <v>71</v>
      </c>
      <c r="F161" s="164">
        <v>4</v>
      </c>
      <c r="G161" s="164">
        <v>376.88</v>
      </c>
      <c r="H161" s="31">
        <f t="shared" si="12"/>
        <v>460.66</v>
      </c>
      <c r="I161" s="31">
        <f t="shared" si="19"/>
        <v>1507.52</v>
      </c>
      <c r="J161" s="151">
        <f t="shared" si="18"/>
        <v>1842.64</v>
      </c>
      <c r="K161" s="62"/>
      <c r="L161" s="243"/>
      <c r="M161" s="245"/>
    </row>
    <row r="162" spans="1:13" s="25" customFormat="1" ht="62.4" hidden="1">
      <c r="A162" s="143" t="s">
        <v>417</v>
      </c>
      <c r="B162" s="17" t="s">
        <v>418</v>
      </c>
      <c r="C162" s="18" t="s">
        <v>23</v>
      </c>
      <c r="D162" s="166" t="s">
        <v>419</v>
      </c>
      <c r="E162" s="30" t="s">
        <v>71</v>
      </c>
      <c r="F162" s="164">
        <v>4</v>
      </c>
      <c r="G162" s="164">
        <v>118.43</v>
      </c>
      <c r="H162" s="31">
        <f t="shared" si="12"/>
        <v>144.76</v>
      </c>
      <c r="I162" s="31">
        <f t="shared" si="19"/>
        <v>473.72</v>
      </c>
      <c r="J162" s="151">
        <f t="shared" si="18"/>
        <v>579.04</v>
      </c>
      <c r="K162" s="62"/>
      <c r="L162" s="243"/>
      <c r="M162" s="245"/>
    </row>
    <row r="163" spans="1:13" s="25" customFormat="1" ht="93.6" hidden="1">
      <c r="A163" s="143" t="s">
        <v>420</v>
      </c>
      <c r="B163" s="17" t="s">
        <v>421</v>
      </c>
      <c r="C163" s="18" t="s">
        <v>23</v>
      </c>
      <c r="D163" s="166" t="s">
        <v>422</v>
      </c>
      <c r="E163" s="30" t="s">
        <v>42</v>
      </c>
      <c r="F163" s="237">
        <v>1.2</v>
      </c>
      <c r="G163" s="164">
        <v>408.55</v>
      </c>
      <c r="H163" s="31">
        <f t="shared" si="12"/>
        <v>499.37</v>
      </c>
      <c r="I163" s="31">
        <f t="shared" si="19"/>
        <v>490.26</v>
      </c>
      <c r="J163" s="151">
        <f t="shared" si="18"/>
        <v>599.24</v>
      </c>
      <c r="K163" s="62"/>
      <c r="L163" s="243"/>
      <c r="M163" s="245"/>
    </row>
    <row r="164" spans="1:13" s="25" customFormat="1" ht="31.2" hidden="1">
      <c r="A164" s="143" t="s">
        <v>423</v>
      </c>
      <c r="B164" s="17" t="s">
        <v>424</v>
      </c>
      <c r="C164" s="18" t="s">
        <v>23</v>
      </c>
      <c r="D164" s="166" t="s">
        <v>425</v>
      </c>
      <c r="E164" s="30" t="s">
        <v>71</v>
      </c>
      <c r="F164" s="164">
        <v>4</v>
      </c>
      <c r="G164" s="164">
        <v>118.9</v>
      </c>
      <c r="H164" s="31">
        <f t="shared" si="12"/>
        <v>145.33000000000001</v>
      </c>
      <c r="I164" s="31">
        <f t="shared" si="19"/>
        <v>475.6</v>
      </c>
      <c r="J164" s="151">
        <f t="shared" si="18"/>
        <v>581.32000000000005</v>
      </c>
      <c r="K164" s="62"/>
      <c r="L164" s="243"/>
      <c r="M164" s="245"/>
    </row>
    <row r="165" spans="1:13" s="25" customFormat="1" ht="62.4" hidden="1">
      <c r="A165" s="143" t="s">
        <v>426</v>
      </c>
      <c r="B165" s="17" t="s">
        <v>427</v>
      </c>
      <c r="C165" s="18" t="s">
        <v>23</v>
      </c>
      <c r="D165" s="166" t="s">
        <v>428</v>
      </c>
      <c r="E165" s="30" t="s">
        <v>86</v>
      </c>
      <c r="F165" s="164">
        <f>3.5+3.5</f>
        <v>7</v>
      </c>
      <c r="G165" s="164">
        <v>43.89</v>
      </c>
      <c r="H165" s="31">
        <f t="shared" si="12"/>
        <v>53.65</v>
      </c>
      <c r="I165" s="31">
        <f t="shared" si="19"/>
        <v>307.23</v>
      </c>
      <c r="J165" s="151">
        <f t="shared" si="18"/>
        <v>375.55</v>
      </c>
      <c r="K165" s="62"/>
      <c r="L165" s="243"/>
      <c r="M165" s="245"/>
    </row>
    <row r="166" spans="1:13" s="25" customFormat="1" ht="31.2" hidden="1">
      <c r="A166" s="143" t="s">
        <v>429</v>
      </c>
      <c r="B166" s="17" t="s">
        <v>430</v>
      </c>
      <c r="C166" s="18" t="s">
        <v>48</v>
      </c>
      <c r="D166" s="166" t="s">
        <v>431</v>
      </c>
      <c r="E166" s="30" t="s">
        <v>71</v>
      </c>
      <c r="F166" s="164">
        <v>2</v>
      </c>
      <c r="G166" s="164">
        <v>810.41</v>
      </c>
      <c r="H166" s="31">
        <f t="shared" si="12"/>
        <v>990.56</v>
      </c>
      <c r="I166" s="31">
        <f t="shared" si="19"/>
        <v>1620.82</v>
      </c>
      <c r="J166" s="151">
        <f t="shared" si="18"/>
        <v>1981.12</v>
      </c>
      <c r="K166" s="62"/>
      <c r="L166" s="243"/>
      <c r="M166" s="245"/>
    </row>
    <row r="167" spans="1:13" s="25" customFormat="1" ht="46.8" hidden="1">
      <c r="A167" s="143" t="s">
        <v>432</v>
      </c>
      <c r="B167" s="17" t="s">
        <v>433</v>
      </c>
      <c r="C167" s="18" t="s">
        <v>23</v>
      </c>
      <c r="D167" s="58" t="s">
        <v>434</v>
      </c>
      <c r="E167" s="30" t="s">
        <v>71</v>
      </c>
      <c r="F167" s="164">
        <v>9</v>
      </c>
      <c r="G167" s="164">
        <v>67.63</v>
      </c>
      <c r="H167" s="31">
        <f t="shared" si="12"/>
        <v>82.66</v>
      </c>
      <c r="I167" s="31">
        <f t="shared" si="19"/>
        <v>608.66999999999996</v>
      </c>
      <c r="J167" s="151">
        <f t="shared" si="18"/>
        <v>743.94</v>
      </c>
      <c r="K167" s="62"/>
      <c r="L167" s="243"/>
      <c r="M167" s="245"/>
    </row>
    <row r="168" spans="1:13" s="25" customFormat="1" ht="62.4" hidden="1">
      <c r="A168" s="143" t="s">
        <v>435</v>
      </c>
      <c r="B168" s="17" t="s">
        <v>436</v>
      </c>
      <c r="C168" s="18" t="s">
        <v>23</v>
      </c>
      <c r="D168" s="58" t="s">
        <v>437</v>
      </c>
      <c r="E168" s="30" t="s">
        <v>71</v>
      </c>
      <c r="F168" s="164">
        <v>8</v>
      </c>
      <c r="G168" s="164">
        <v>60.6</v>
      </c>
      <c r="H168" s="31">
        <f t="shared" si="12"/>
        <v>74.069999999999993</v>
      </c>
      <c r="I168" s="31">
        <f t="shared" si="19"/>
        <v>484.8</v>
      </c>
      <c r="J168" s="151">
        <f t="shared" si="18"/>
        <v>592.55999999999995</v>
      </c>
      <c r="K168" s="62"/>
      <c r="L168" s="243"/>
      <c r="M168" s="245"/>
    </row>
    <row r="169" spans="1:13" s="25" customFormat="1" ht="62.4" hidden="1">
      <c r="A169" s="143" t="s">
        <v>438</v>
      </c>
      <c r="B169" s="17" t="s">
        <v>439</v>
      </c>
      <c r="C169" s="18" t="s">
        <v>23</v>
      </c>
      <c r="D169" s="58" t="s">
        <v>440</v>
      </c>
      <c r="E169" s="30" t="s">
        <v>71</v>
      </c>
      <c r="F169" s="164">
        <v>6</v>
      </c>
      <c r="G169" s="164">
        <v>200.79</v>
      </c>
      <c r="H169" s="31">
        <f t="shared" si="12"/>
        <v>245.43</v>
      </c>
      <c r="I169" s="31">
        <f t="shared" si="19"/>
        <v>1204.74</v>
      </c>
      <c r="J169" s="151">
        <f t="shared" si="18"/>
        <v>1472.58</v>
      </c>
      <c r="K169" s="62"/>
      <c r="L169" s="243"/>
      <c r="M169" s="245"/>
    </row>
    <row r="170" spans="1:13" s="25" customFormat="1" ht="15.6">
      <c r="A170" s="143"/>
      <c r="B170" s="17"/>
      <c r="C170" s="18"/>
      <c r="D170" s="58"/>
      <c r="E170" s="30"/>
      <c r="F170" s="164"/>
      <c r="G170" s="31"/>
      <c r="H170" s="31"/>
      <c r="I170" s="31"/>
      <c r="J170" s="151"/>
      <c r="K170" s="62"/>
      <c r="L170" s="243"/>
      <c r="M170" s="245"/>
    </row>
    <row r="171" spans="1:13" ht="15.6">
      <c r="A171" s="146" t="s">
        <v>441</v>
      </c>
      <c r="B171" s="68"/>
      <c r="C171" s="69"/>
      <c r="D171" s="70" t="s">
        <v>442</v>
      </c>
      <c r="E171" s="71"/>
      <c r="F171" s="72"/>
      <c r="G171" s="72"/>
      <c r="H171" s="72"/>
      <c r="I171" s="74">
        <f>SUM(I173:I187)</f>
        <v>153806.31000000003</v>
      </c>
      <c r="J171" s="147">
        <f>SUM(J172:J188)</f>
        <v>187997.89000000004</v>
      </c>
      <c r="L171" s="5"/>
      <c r="M171" s="245"/>
    </row>
    <row r="172" spans="1:13" s="25" customFormat="1" ht="15.6" hidden="1">
      <c r="A172" s="143"/>
      <c r="B172" s="17"/>
      <c r="C172" s="18"/>
      <c r="D172" s="58"/>
      <c r="E172" s="30"/>
      <c r="F172" s="31"/>
      <c r="G172" s="31"/>
      <c r="H172" s="31"/>
      <c r="I172" s="31"/>
      <c r="J172" s="151"/>
      <c r="K172" s="62"/>
      <c r="L172" s="243"/>
      <c r="M172" s="245"/>
    </row>
    <row r="173" spans="1:13" s="25" customFormat="1" ht="93.6" hidden="1">
      <c r="A173" s="143" t="s">
        <v>443</v>
      </c>
      <c r="B173" s="17" t="s">
        <v>444</v>
      </c>
      <c r="C173" s="18" t="s">
        <v>23</v>
      </c>
      <c r="D173" s="58" t="s">
        <v>445</v>
      </c>
      <c r="E173" s="30" t="s">
        <v>86</v>
      </c>
      <c r="F173" s="164">
        <v>11.5</v>
      </c>
      <c r="G173" s="164">
        <v>570.76</v>
      </c>
      <c r="H173" s="31">
        <f t="shared" ref="H173:H186" si="20">ROUND(G173*(1+$I$5),2)</f>
        <v>697.64</v>
      </c>
      <c r="I173" s="31">
        <f t="shared" ref="I173:I186" si="21">ROUND(G173*F173,2)</f>
        <v>6563.74</v>
      </c>
      <c r="J173" s="151">
        <f t="shared" ref="J173:J186" si="22">ROUND(F173*H173,2)</f>
        <v>8022.86</v>
      </c>
      <c r="K173" s="62"/>
      <c r="L173" s="243"/>
      <c r="M173" s="245"/>
    </row>
    <row r="174" spans="1:13" s="25" customFormat="1" ht="62.4" hidden="1">
      <c r="A174" s="143" t="s">
        <v>446</v>
      </c>
      <c r="B174" s="17" t="s">
        <v>447</v>
      </c>
      <c r="C174" s="18" t="s">
        <v>23</v>
      </c>
      <c r="D174" s="58" t="s">
        <v>448</v>
      </c>
      <c r="E174" s="30" t="s">
        <v>86</v>
      </c>
      <c r="F174" s="164">
        <v>20.399999999999999</v>
      </c>
      <c r="G174" s="164">
        <v>104.18</v>
      </c>
      <c r="H174" s="31">
        <f t="shared" si="20"/>
        <v>127.34</v>
      </c>
      <c r="I174" s="31">
        <f t="shared" si="21"/>
        <v>2125.27</v>
      </c>
      <c r="J174" s="151">
        <f t="shared" si="22"/>
        <v>2597.7399999999998</v>
      </c>
      <c r="K174" s="62"/>
      <c r="L174" s="243"/>
      <c r="M174" s="245"/>
    </row>
    <row r="175" spans="1:13" s="25" customFormat="1" ht="15.6" hidden="1">
      <c r="A175" s="143" t="s">
        <v>449</v>
      </c>
      <c r="B175" s="17" t="s">
        <v>450</v>
      </c>
      <c r="C175" s="18" t="s">
        <v>451</v>
      </c>
      <c r="D175" s="58" t="s">
        <v>452</v>
      </c>
      <c r="E175" s="30" t="s">
        <v>453</v>
      </c>
      <c r="F175" s="164">
        <v>1</v>
      </c>
      <c r="G175" s="164">
        <v>131427.13</v>
      </c>
      <c r="H175" s="31">
        <f t="shared" si="20"/>
        <v>160643.38</v>
      </c>
      <c r="I175" s="31">
        <f t="shared" si="21"/>
        <v>131427.13</v>
      </c>
      <c r="J175" s="151">
        <f t="shared" si="22"/>
        <v>160643.38</v>
      </c>
      <c r="K175" s="62"/>
      <c r="L175" s="243"/>
      <c r="M175" s="245"/>
    </row>
    <row r="176" spans="1:13" s="25" customFormat="1" ht="93.6" hidden="1">
      <c r="A176" s="143" t="s">
        <v>454</v>
      </c>
      <c r="B176" s="17" t="s">
        <v>455</v>
      </c>
      <c r="C176" s="18" t="s">
        <v>23</v>
      </c>
      <c r="D176" s="58" t="s">
        <v>456</v>
      </c>
      <c r="E176" s="30" t="s">
        <v>42</v>
      </c>
      <c r="F176" s="164">
        <f>31.92</f>
        <v>31.92</v>
      </c>
      <c r="G176" s="164">
        <v>187.13</v>
      </c>
      <c r="H176" s="31">
        <f t="shared" si="20"/>
        <v>228.73</v>
      </c>
      <c r="I176" s="31">
        <f t="shared" si="21"/>
        <v>5973.19</v>
      </c>
      <c r="J176" s="151">
        <f t="shared" si="22"/>
        <v>7301.06</v>
      </c>
      <c r="K176" s="62"/>
      <c r="L176" s="243"/>
      <c r="M176" s="245"/>
    </row>
    <row r="177" spans="1:13" s="25" customFormat="1" ht="31.2" hidden="1">
      <c r="A177" s="143" t="s">
        <v>457</v>
      </c>
      <c r="B177" s="17" t="s">
        <v>458</v>
      </c>
      <c r="C177" s="18" t="s">
        <v>23</v>
      </c>
      <c r="D177" s="58" t="s">
        <v>459</v>
      </c>
      <c r="E177" s="30" t="s">
        <v>71</v>
      </c>
      <c r="F177" s="164">
        <v>7</v>
      </c>
      <c r="G177" s="164">
        <v>223.98</v>
      </c>
      <c r="H177" s="31">
        <f t="shared" si="20"/>
        <v>273.77</v>
      </c>
      <c r="I177" s="31">
        <f t="shared" si="21"/>
        <v>1567.86</v>
      </c>
      <c r="J177" s="151">
        <f t="shared" si="22"/>
        <v>1916.39</v>
      </c>
      <c r="K177" s="62"/>
      <c r="L177" s="243"/>
      <c r="M177" s="245"/>
    </row>
    <row r="178" spans="1:13" s="25" customFormat="1" ht="46.8" hidden="1">
      <c r="A178" s="143" t="s">
        <v>460</v>
      </c>
      <c r="B178" s="17" t="s">
        <v>461</v>
      </c>
      <c r="C178" s="18" t="s">
        <v>23</v>
      </c>
      <c r="D178" s="58" t="s">
        <v>462</v>
      </c>
      <c r="E178" s="30" t="s">
        <v>71</v>
      </c>
      <c r="F178" s="164">
        <v>2</v>
      </c>
      <c r="G178" s="164">
        <v>155.88</v>
      </c>
      <c r="H178" s="31">
        <f t="shared" si="20"/>
        <v>190.53</v>
      </c>
      <c r="I178" s="31">
        <f t="shared" si="21"/>
        <v>311.76</v>
      </c>
      <c r="J178" s="151">
        <f t="shared" si="22"/>
        <v>381.06</v>
      </c>
      <c r="K178" s="62"/>
      <c r="L178" s="243"/>
      <c r="M178" s="245"/>
    </row>
    <row r="179" spans="1:13" s="25" customFormat="1" ht="46.8" hidden="1">
      <c r="A179" s="143" t="s">
        <v>463</v>
      </c>
      <c r="B179" s="17" t="s">
        <v>464</v>
      </c>
      <c r="C179" s="18" t="s">
        <v>23</v>
      </c>
      <c r="D179" s="58" t="s">
        <v>465</v>
      </c>
      <c r="E179" s="30" t="s">
        <v>71</v>
      </c>
      <c r="F179" s="164">
        <v>2</v>
      </c>
      <c r="G179" s="164">
        <v>27.66</v>
      </c>
      <c r="H179" s="31">
        <f t="shared" si="20"/>
        <v>33.81</v>
      </c>
      <c r="I179" s="31">
        <f t="shared" si="21"/>
        <v>55.32</v>
      </c>
      <c r="J179" s="151">
        <f t="shared" si="22"/>
        <v>67.62</v>
      </c>
      <c r="K179" s="62"/>
      <c r="L179" s="243"/>
      <c r="M179" s="245"/>
    </row>
    <row r="180" spans="1:13" s="25" customFormat="1" ht="46.8" hidden="1">
      <c r="A180" s="143" t="s">
        <v>466</v>
      </c>
      <c r="B180" s="17" t="s">
        <v>467</v>
      </c>
      <c r="C180" s="18" t="s">
        <v>23</v>
      </c>
      <c r="D180" s="58" t="s">
        <v>468</v>
      </c>
      <c r="E180" s="30" t="s">
        <v>71</v>
      </c>
      <c r="F180" s="164">
        <v>3</v>
      </c>
      <c r="G180" s="164">
        <v>18.23</v>
      </c>
      <c r="H180" s="31">
        <f t="shared" si="20"/>
        <v>22.28</v>
      </c>
      <c r="I180" s="31">
        <f t="shared" si="21"/>
        <v>54.69</v>
      </c>
      <c r="J180" s="151">
        <f t="shared" si="22"/>
        <v>66.84</v>
      </c>
      <c r="K180" s="62"/>
      <c r="L180" s="243"/>
      <c r="M180" s="245"/>
    </row>
    <row r="181" spans="1:13" s="25" customFormat="1" ht="46.8" hidden="1">
      <c r="A181" s="143" t="s">
        <v>469</v>
      </c>
      <c r="B181" s="17" t="s">
        <v>470</v>
      </c>
      <c r="C181" s="18" t="s">
        <v>23</v>
      </c>
      <c r="D181" s="58" t="s">
        <v>471</v>
      </c>
      <c r="E181" s="30" t="s">
        <v>71</v>
      </c>
      <c r="F181" s="164">
        <v>1</v>
      </c>
      <c r="G181" s="164">
        <v>38.85</v>
      </c>
      <c r="H181" s="31">
        <f t="shared" si="20"/>
        <v>47.49</v>
      </c>
      <c r="I181" s="31">
        <f t="shared" si="21"/>
        <v>38.85</v>
      </c>
      <c r="J181" s="151">
        <f t="shared" si="22"/>
        <v>47.49</v>
      </c>
      <c r="K181" s="62"/>
      <c r="L181" s="243"/>
      <c r="M181" s="245"/>
    </row>
    <row r="182" spans="1:13" s="25" customFormat="1" ht="46.8" hidden="1">
      <c r="A182" s="143" t="s">
        <v>472</v>
      </c>
      <c r="B182" s="17" t="s">
        <v>473</v>
      </c>
      <c r="C182" s="18" t="s">
        <v>23</v>
      </c>
      <c r="D182" s="58" t="s">
        <v>474</v>
      </c>
      <c r="E182" s="30" t="s">
        <v>71</v>
      </c>
      <c r="F182" s="164">
        <v>2</v>
      </c>
      <c r="G182" s="164">
        <v>38.85</v>
      </c>
      <c r="H182" s="31">
        <f t="shared" si="20"/>
        <v>47.49</v>
      </c>
      <c r="I182" s="31">
        <f t="shared" si="21"/>
        <v>77.7</v>
      </c>
      <c r="J182" s="151">
        <f t="shared" si="22"/>
        <v>94.98</v>
      </c>
      <c r="K182" s="62"/>
      <c r="L182" s="243"/>
      <c r="M182" s="245"/>
    </row>
    <row r="183" spans="1:13" s="25" customFormat="1" ht="46.8" hidden="1">
      <c r="A183" s="143" t="s">
        <v>475</v>
      </c>
      <c r="B183" s="17" t="s">
        <v>476</v>
      </c>
      <c r="C183" s="18" t="s">
        <v>23</v>
      </c>
      <c r="D183" s="58" t="s">
        <v>477</v>
      </c>
      <c r="E183" s="30" t="s">
        <v>71</v>
      </c>
      <c r="F183" s="164">
        <v>9</v>
      </c>
      <c r="G183" s="164">
        <v>38.85</v>
      </c>
      <c r="H183" s="31">
        <f t="shared" si="20"/>
        <v>47.49</v>
      </c>
      <c r="I183" s="31">
        <f t="shared" si="21"/>
        <v>349.65</v>
      </c>
      <c r="J183" s="151">
        <f t="shared" si="22"/>
        <v>427.41</v>
      </c>
      <c r="K183" s="62"/>
      <c r="L183" s="243"/>
      <c r="M183" s="245"/>
    </row>
    <row r="184" spans="1:13" s="25" customFormat="1" ht="46.8" hidden="1">
      <c r="A184" s="143" t="s">
        <v>478</v>
      </c>
      <c r="B184" s="17" t="s">
        <v>479</v>
      </c>
      <c r="C184" s="18" t="s">
        <v>23</v>
      </c>
      <c r="D184" s="58" t="s">
        <v>480</v>
      </c>
      <c r="E184" s="30" t="s">
        <v>71</v>
      </c>
      <c r="F184" s="164">
        <v>15</v>
      </c>
      <c r="G184" s="164">
        <v>38.85</v>
      </c>
      <c r="H184" s="31">
        <f t="shared" si="20"/>
        <v>47.49</v>
      </c>
      <c r="I184" s="31">
        <f t="shared" si="21"/>
        <v>582.75</v>
      </c>
      <c r="J184" s="151">
        <f t="shared" si="22"/>
        <v>712.35</v>
      </c>
      <c r="K184" s="62"/>
      <c r="L184" s="243"/>
      <c r="M184" s="245"/>
    </row>
    <row r="185" spans="1:13" s="25" customFormat="1" ht="46.8" hidden="1">
      <c r="A185" s="143" t="s">
        <v>481</v>
      </c>
      <c r="B185" s="17" t="s">
        <v>482</v>
      </c>
      <c r="C185" s="18" t="s">
        <v>23</v>
      </c>
      <c r="D185" s="58" t="s">
        <v>483</v>
      </c>
      <c r="E185" s="30" t="s">
        <v>71</v>
      </c>
      <c r="F185" s="164">
        <v>7</v>
      </c>
      <c r="G185" s="164">
        <v>19.78</v>
      </c>
      <c r="H185" s="31">
        <f t="shared" si="20"/>
        <v>24.18</v>
      </c>
      <c r="I185" s="31">
        <f t="shared" si="21"/>
        <v>138.46</v>
      </c>
      <c r="J185" s="151">
        <f t="shared" si="22"/>
        <v>169.26</v>
      </c>
      <c r="K185" s="62"/>
      <c r="L185" s="243"/>
      <c r="M185" s="245"/>
    </row>
    <row r="186" spans="1:13" s="25" customFormat="1" ht="46.8" hidden="1">
      <c r="A186" s="143" t="s">
        <v>484</v>
      </c>
      <c r="B186" s="17" t="s">
        <v>485</v>
      </c>
      <c r="C186" s="18" t="s">
        <v>23</v>
      </c>
      <c r="D186" s="58" t="s">
        <v>486</v>
      </c>
      <c r="E186" s="30" t="s">
        <v>71</v>
      </c>
      <c r="F186" s="164">
        <v>1</v>
      </c>
      <c r="G186" s="164">
        <v>129.07</v>
      </c>
      <c r="H186" s="31">
        <f t="shared" si="20"/>
        <v>157.76</v>
      </c>
      <c r="I186" s="31">
        <f t="shared" si="21"/>
        <v>129.07</v>
      </c>
      <c r="J186" s="151">
        <f t="shared" si="22"/>
        <v>157.76</v>
      </c>
      <c r="K186" s="62"/>
      <c r="L186" s="243"/>
      <c r="M186" s="245"/>
    </row>
    <row r="187" spans="1:13" s="25" customFormat="1" ht="15.6" hidden="1">
      <c r="A187" s="143" t="s">
        <v>487</v>
      </c>
      <c r="B187" s="17" t="s">
        <v>488</v>
      </c>
      <c r="C187" s="18" t="s">
        <v>23</v>
      </c>
      <c r="D187" s="58" t="s">
        <v>489</v>
      </c>
      <c r="E187" s="30" t="s">
        <v>42</v>
      </c>
      <c r="F187" s="164">
        <v>566.95000000000005</v>
      </c>
      <c r="G187" s="164">
        <v>7.78</v>
      </c>
      <c r="H187" s="31">
        <f>ROUND(G187*(1+$I$5),2)</f>
        <v>9.51</v>
      </c>
      <c r="I187" s="31">
        <f>ROUND(G187*F187,2)</f>
        <v>4410.87</v>
      </c>
      <c r="J187" s="151">
        <f>ROUND(F187*H187,2)</f>
        <v>5391.69</v>
      </c>
      <c r="K187" s="62"/>
      <c r="L187" s="243"/>
      <c r="M187" s="245"/>
    </row>
    <row r="188" spans="1:13" s="25" customFormat="1" ht="16.2" thickBot="1">
      <c r="A188" s="152"/>
      <c r="B188" s="153"/>
      <c r="C188" s="154"/>
      <c r="D188" s="59"/>
      <c r="E188" s="60"/>
      <c r="F188" s="61"/>
      <c r="G188" s="201"/>
      <c r="H188" s="61"/>
      <c r="I188" s="61"/>
      <c r="J188" s="155"/>
      <c r="K188" s="238"/>
      <c r="L188" s="243"/>
      <c r="M188" s="243"/>
    </row>
    <row r="195" spans="10:10">
      <c r="J195" s="56"/>
    </row>
  </sheetData>
  <mergeCells count="16">
    <mergeCell ref="G10:G11"/>
    <mergeCell ref="H10:H11"/>
    <mergeCell ref="A10:A11"/>
    <mergeCell ref="B10:B11"/>
    <mergeCell ref="C10:C11"/>
    <mergeCell ref="D10:D11"/>
    <mergeCell ref="E10:E11"/>
    <mergeCell ref="F10:F11"/>
    <mergeCell ref="A2:D9"/>
    <mergeCell ref="E2:H7"/>
    <mergeCell ref="I2:I3"/>
    <mergeCell ref="I6:J6"/>
    <mergeCell ref="I7:J7"/>
    <mergeCell ref="E8:H9"/>
    <mergeCell ref="I8:J8"/>
    <mergeCell ref="I9:J9"/>
  </mergeCells>
  <pageMargins left="0.511811024" right="0.511811024" top="0.78740157499999996" bottom="0.78740157499999996" header="0.31496062000000002" footer="0.31496062000000002"/>
  <pageSetup paperSize="9" scale="70" orientation="landscape" horizontalDpi="0" verticalDpi="0" r:id="rId1"/>
  <drawing r:id="rId2"/>
</worksheet>
</file>

<file path=xl/worksheets/sheet6.xml><?xml version="1.0" encoding="utf-8"?>
<worksheet xmlns="http://schemas.openxmlformats.org/spreadsheetml/2006/main" xmlns:r="http://schemas.openxmlformats.org/officeDocument/2006/relationships">
  <sheetPr>
    <tabColor rgb="FFFFFF00"/>
  </sheetPr>
  <dimension ref="A2:S43"/>
  <sheetViews>
    <sheetView view="pageBreakPreview" topLeftCell="A16" zoomScaleNormal="100" zoomScaleSheetLayoutView="100" workbookViewId="0">
      <selection activeCell="G31" sqref="G31"/>
    </sheetView>
  </sheetViews>
  <sheetFormatPr defaultColWidth="9.109375" defaultRowHeight="13.2"/>
  <cols>
    <col min="1" max="1" width="7" style="33" customWidth="1"/>
    <col min="2" max="2" width="34.5546875" style="33" customWidth="1"/>
    <col min="3" max="3" width="8.33203125" style="33" customWidth="1"/>
    <col min="4" max="4" width="12.33203125" style="34" customWidth="1"/>
    <col min="5" max="5" width="10" style="33" bestFit="1" customWidth="1"/>
    <col min="6" max="6" width="12.33203125" style="33" customWidth="1"/>
    <col min="7" max="7" width="11" style="33" bestFit="1" customWidth="1"/>
    <col min="8" max="8" width="12.33203125" style="33" customWidth="1"/>
    <col min="9" max="10" width="12.88671875" style="33" customWidth="1"/>
    <col min="11" max="12" width="12.33203125" style="33" customWidth="1"/>
    <col min="13" max="13" width="10.109375" style="33" bestFit="1" customWidth="1"/>
    <col min="14" max="14" width="12.33203125" style="33" customWidth="1"/>
    <col min="15" max="15" width="9.109375" style="33" bestFit="1" customWidth="1"/>
    <col min="16" max="16" width="12.33203125" style="33" customWidth="1"/>
    <col min="17" max="17" width="11.109375" style="33" bestFit="1" customWidth="1"/>
    <col min="18" max="18" width="15.109375" style="33" bestFit="1" customWidth="1"/>
    <col min="19" max="19" width="10" style="33" bestFit="1" customWidth="1"/>
    <col min="20" max="16384" width="9.109375" style="33"/>
  </cols>
  <sheetData>
    <row r="2" spans="1:19" ht="13.8" thickBot="1"/>
    <row r="3" spans="1:19" customFormat="1" ht="17.25" customHeight="1" thickBot="1">
      <c r="A3" s="266"/>
      <c r="B3" s="266"/>
      <c r="C3" s="266"/>
      <c r="D3" s="266"/>
      <c r="E3" s="290" t="s">
        <v>573</v>
      </c>
      <c r="F3" s="291"/>
      <c r="G3" s="291"/>
      <c r="H3" s="291"/>
      <c r="I3" s="291"/>
      <c r="J3" s="291"/>
      <c r="K3" s="291"/>
      <c r="L3" s="291"/>
      <c r="M3" s="291"/>
      <c r="N3" s="291"/>
      <c r="O3" s="291"/>
      <c r="P3" s="292"/>
    </row>
    <row r="4" spans="1:19" customFormat="1" ht="17.25" customHeight="1" thickBot="1">
      <c r="A4" s="266"/>
      <c r="B4" s="266"/>
      <c r="C4" s="266"/>
      <c r="D4" s="266"/>
      <c r="E4" s="293"/>
      <c r="F4" s="294"/>
      <c r="G4" s="294"/>
      <c r="H4" s="294"/>
      <c r="I4" s="294"/>
      <c r="J4" s="294"/>
      <c r="K4" s="294"/>
      <c r="L4" s="294"/>
      <c r="M4" s="294"/>
      <c r="N4" s="294"/>
      <c r="O4" s="294"/>
      <c r="P4" s="295"/>
    </row>
    <row r="5" spans="1:19" customFormat="1" ht="17.25" customHeight="1" thickBot="1">
      <c r="A5" s="266"/>
      <c r="B5" s="266"/>
      <c r="C5" s="266"/>
      <c r="D5" s="266"/>
      <c r="E5" s="293"/>
      <c r="F5" s="294"/>
      <c r="G5" s="294"/>
      <c r="H5" s="294"/>
      <c r="I5" s="294"/>
      <c r="J5" s="294"/>
      <c r="K5" s="294"/>
      <c r="L5" s="294"/>
      <c r="M5" s="294"/>
      <c r="N5" s="294"/>
      <c r="O5" s="294"/>
      <c r="P5" s="295"/>
    </row>
    <row r="6" spans="1:19" customFormat="1" ht="14.25" customHeight="1" thickBot="1">
      <c r="A6" s="266"/>
      <c r="B6" s="266"/>
      <c r="C6" s="266"/>
      <c r="D6" s="266"/>
      <c r="E6" s="293"/>
      <c r="F6" s="294"/>
      <c r="G6" s="294"/>
      <c r="H6" s="294"/>
      <c r="I6" s="294"/>
      <c r="J6" s="294"/>
      <c r="K6" s="294"/>
      <c r="L6" s="294"/>
      <c r="M6" s="294"/>
      <c r="N6" s="294"/>
      <c r="O6" s="294"/>
      <c r="P6" s="295"/>
    </row>
    <row r="7" spans="1:19" customFormat="1" ht="15" thickBot="1">
      <c r="A7" s="307"/>
      <c r="B7" s="307"/>
      <c r="C7" s="307"/>
      <c r="D7" s="307"/>
      <c r="E7" s="296"/>
      <c r="F7" s="297"/>
      <c r="G7" s="297"/>
      <c r="H7" s="297"/>
      <c r="I7" s="297"/>
      <c r="J7" s="297"/>
      <c r="K7" s="297"/>
      <c r="L7" s="297"/>
      <c r="M7" s="297"/>
      <c r="N7" s="297"/>
      <c r="O7" s="297"/>
      <c r="P7" s="298"/>
    </row>
    <row r="8" spans="1:19" s="35" customFormat="1" ht="13.5" customHeight="1">
      <c r="A8" s="299" t="s">
        <v>0</v>
      </c>
      <c r="B8" s="300"/>
      <c r="C8" s="300"/>
      <c r="D8" s="300"/>
      <c r="E8" s="300"/>
      <c r="F8" s="300"/>
      <c r="G8" s="300"/>
      <c r="H8" s="300"/>
      <c r="I8" s="300"/>
      <c r="J8" s="300"/>
      <c r="K8" s="300"/>
      <c r="L8" s="300"/>
      <c r="M8" s="300"/>
      <c r="N8" s="300"/>
      <c r="O8" s="300"/>
      <c r="P8" s="301"/>
    </row>
    <row r="9" spans="1:19" s="35" customFormat="1" ht="27" customHeight="1" thickBot="1">
      <c r="A9" s="302"/>
      <c r="B9" s="303"/>
      <c r="C9" s="303"/>
      <c r="D9" s="303"/>
      <c r="E9" s="303"/>
      <c r="F9" s="303"/>
      <c r="G9" s="303"/>
      <c r="H9" s="303"/>
      <c r="I9" s="303"/>
      <c r="J9" s="303"/>
      <c r="K9" s="303"/>
      <c r="L9" s="303"/>
      <c r="M9" s="303"/>
      <c r="N9" s="303"/>
      <c r="O9" s="303"/>
      <c r="P9" s="304"/>
    </row>
    <row r="10" spans="1:19" s="35" customFormat="1" ht="12" customHeight="1">
      <c r="A10" s="310" t="s">
        <v>9</v>
      </c>
      <c r="B10" s="313" t="s">
        <v>574</v>
      </c>
      <c r="C10" s="313" t="s">
        <v>575</v>
      </c>
      <c r="D10" s="316" t="s">
        <v>576</v>
      </c>
      <c r="E10" s="305" t="s">
        <v>577</v>
      </c>
      <c r="F10" s="319"/>
      <c r="G10" s="319"/>
      <c r="H10" s="319"/>
      <c r="I10" s="319"/>
      <c r="J10" s="319"/>
      <c r="K10" s="319"/>
      <c r="L10" s="319"/>
      <c r="M10" s="319"/>
      <c r="N10" s="319"/>
      <c r="O10" s="319"/>
      <c r="P10" s="320"/>
    </row>
    <row r="11" spans="1:19" s="35" customFormat="1" ht="12" customHeight="1">
      <c r="A11" s="311"/>
      <c r="B11" s="314"/>
      <c r="C11" s="314"/>
      <c r="D11" s="317"/>
      <c r="E11" s="305" t="s">
        <v>578</v>
      </c>
      <c r="F11" s="306"/>
      <c r="G11" s="305" t="s">
        <v>579</v>
      </c>
      <c r="H11" s="306"/>
      <c r="I11" s="305" t="s">
        <v>580</v>
      </c>
      <c r="J11" s="306"/>
      <c r="K11" s="305" t="s">
        <v>581</v>
      </c>
      <c r="L11" s="306"/>
      <c r="M11" s="305" t="s">
        <v>582</v>
      </c>
      <c r="N11" s="306"/>
      <c r="O11" s="305" t="s">
        <v>583</v>
      </c>
      <c r="P11" s="306"/>
    </row>
    <row r="12" spans="1:19" s="35" customFormat="1" ht="12">
      <c r="A12" s="312"/>
      <c r="B12" s="315"/>
      <c r="C12" s="315"/>
      <c r="D12" s="318"/>
      <c r="E12" s="36" t="s">
        <v>584</v>
      </c>
      <c r="F12" s="36" t="s">
        <v>585</v>
      </c>
      <c r="G12" s="36" t="s">
        <v>584</v>
      </c>
      <c r="H12" s="36" t="s">
        <v>585</v>
      </c>
      <c r="I12" s="36" t="s">
        <v>584</v>
      </c>
      <c r="J12" s="36" t="s">
        <v>585</v>
      </c>
      <c r="K12" s="36" t="s">
        <v>584</v>
      </c>
      <c r="L12" s="36" t="s">
        <v>585</v>
      </c>
      <c r="M12" s="36" t="s">
        <v>584</v>
      </c>
      <c r="N12" s="36" t="s">
        <v>585</v>
      </c>
      <c r="O12" s="36" t="s">
        <v>584</v>
      </c>
      <c r="P12" s="36" t="s">
        <v>585</v>
      </c>
      <c r="Q12" s="64"/>
    </row>
    <row r="13" spans="1:19" s="35" customFormat="1" ht="14.4">
      <c r="A13" s="37">
        <v>1</v>
      </c>
      <c r="B13" s="131" t="str">
        <f>'ORÇAMENTO ANALITICO'!D13</f>
        <v>SERVIÇOS PRELIMINARES</v>
      </c>
      <c r="C13" s="132">
        <f t="shared" ref="C13:C26" si="0">D13/$D$27</f>
        <v>9.5918719857489097E-3</v>
      </c>
      <c r="D13" s="133">
        <f>'ORÇAMENTO ANALITICO'!J13</f>
        <v>7874.2899999999991</v>
      </c>
      <c r="E13" s="203">
        <v>0.4622</v>
      </c>
      <c r="F13" s="38">
        <f t="shared" ref="F13:F26" si="1">E13*$D13</f>
        <v>3639.4968379999996</v>
      </c>
      <c r="G13" s="204">
        <f>100%-E13</f>
        <v>0.53780000000000006</v>
      </c>
      <c r="H13" s="38">
        <f t="shared" ref="H13:H26" si="2">G13*$D13</f>
        <v>4234.7931619999999</v>
      </c>
      <c r="I13" s="204"/>
      <c r="J13" s="38">
        <f t="shared" ref="J13:J26" si="3">I13*$D13</f>
        <v>0</v>
      </c>
      <c r="K13" s="204"/>
      <c r="L13" s="38">
        <f>K13*$D13</f>
        <v>0</v>
      </c>
      <c r="M13" s="204"/>
      <c r="N13" s="38">
        <f t="shared" ref="N13:N26" si="4">M13*$D13</f>
        <v>0</v>
      </c>
      <c r="O13" s="204"/>
      <c r="P13" s="38">
        <f t="shared" ref="P13:P26" si="5">O13*$D13</f>
        <v>0</v>
      </c>
      <c r="Q13" s="39">
        <f>O13+E13+M13+G13+I13+K13</f>
        <v>1</v>
      </c>
      <c r="R13" s="62">
        <f>P13+N13+H13+F13+J13+L13</f>
        <v>7874.2899999999991</v>
      </c>
      <c r="S13" s="63"/>
    </row>
    <row r="14" spans="1:19" s="35" customFormat="1" ht="22.8">
      <c r="A14" s="37">
        <v>2</v>
      </c>
      <c r="B14" s="131" t="str">
        <f>'ORÇAMENTO ANALITICO'!D18</f>
        <v>ESCAVAÇÕES, DEMOLIÇÕES E REMOÇÃO</v>
      </c>
      <c r="C14" s="132">
        <f t="shared" si="0"/>
        <v>1.9182136046082168E-2</v>
      </c>
      <c r="D14" s="133">
        <f>'ORÇAMENTO ANALITICO'!J18</f>
        <v>15747.259999999997</v>
      </c>
      <c r="E14" s="203">
        <v>1</v>
      </c>
      <c r="F14" s="38">
        <f t="shared" si="1"/>
        <v>15747.259999999997</v>
      </c>
      <c r="G14" s="204"/>
      <c r="H14" s="38">
        <f t="shared" si="2"/>
        <v>0</v>
      </c>
      <c r="I14" s="204"/>
      <c r="J14" s="38">
        <f t="shared" si="3"/>
        <v>0</v>
      </c>
      <c r="K14" s="204"/>
      <c r="L14" s="38">
        <f t="shared" ref="L14:L26" si="6">K14*$D14</f>
        <v>0</v>
      </c>
      <c r="M14" s="204"/>
      <c r="N14" s="38">
        <f t="shared" si="4"/>
        <v>0</v>
      </c>
      <c r="O14" s="204"/>
      <c r="P14" s="38">
        <f t="shared" si="5"/>
        <v>0</v>
      </c>
      <c r="Q14" s="39">
        <f t="shared" ref="Q14:Q26" si="7">O14+E14+M14+G14+I14+K14</f>
        <v>1</v>
      </c>
      <c r="R14" s="62">
        <f t="shared" ref="R14:R27" si="8">P14+N14+H14+F14+J14+L14</f>
        <v>15747.259999999997</v>
      </c>
    </row>
    <row r="15" spans="1:19" s="35" customFormat="1" ht="14.4">
      <c r="A15" s="37">
        <v>3</v>
      </c>
      <c r="B15" s="206" t="str">
        <f>'ORÇAMENTO ANALITICO'!D33</f>
        <v>ALVENÁRIAS</v>
      </c>
      <c r="C15" s="132">
        <f t="shared" si="0"/>
        <v>4.396607715898096E-2</v>
      </c>
      <c r="D15" s="133">
        <f>'ORÇAMENTO ANALITICO'!J33</f>
        <v>36093.230000000003</v>
      </c>
      <c r="E15" s="203">
        <v>0.3</v>
      </c>
      <c r="F15" s="38">
        <f t="shared" si="1"/>
        <v>10827.969000000001</v>
      </c>
      <c r="G15" s="204">
        <v>0.55000000000000004</v>
      </c>
      <c r="H15" s="38">
        <f t="shared" si="2"/>
        <v>19851.276500000004</v>
      </c>
      <c r="I15" s="204">
        <v>0.15</v>
      </c>
      <c r="J15" s="38">
        <f t="shared" si="3"/>
        <v>5413.9845000000005</v>
      </c>
      <c r="K15" s="204"/>
      <c r="L15" s="38">
        <f t="shared" si="6"/>
        <v>0</v>
      </c>
      <c r="M15" s="204"/>
      <c r="N15" s="38">
        <f t="shared" si="4"/>
        <v>0</v>
      </c>
      <c r="O15" s="204"/>
      <c r="P15" s="38">
        <f t="shared" si="5"/>
        <v>0</v>
      </c>
      <c r="Q15" s="39">
        <f t="shared" si="7"/>
        <v>1</v>
      </c>
      <c r="R15" s="62">
        <f t="shared" si="8"/>
        <v>36093.230000000003</v>
      </c>
    </row>
    <row r="16" spans="1:19" s="35" customFormat="1" ht="14.4">
      <c r="A16" s="37">
        <v>4</v>
      </c>
      <c r="B16" s="40" t="str">
        <f>'ORÇAMENTO ANALITICO'!D40</f>
        <v>DIVISÕES E REVESTIMENTOS</v>
      </c>
      <c r="C16" s="132">
        <f t="shared" si="0"/>
        <v>0.14928362050231592</v>
      </c>
      <c r="D16" s="133">
        <f>'ORÇAMENTO ANALITICO'!J40</f>
        <v>122551.94</v>
      </c>
      <c r="E16" s="203"/>
      <c r="F16" s="38">
        <f t="shared" si="1"/>
        <v>0</v>
      </c>
      <c r="G16" s="204">
        <v>0.15</v>
      </c>
      <c r="H16" s="38">
        <f t="shared" si="2"/>
        <v>18382.791000000001</v>
      </c>
      <c r="I16" s="204">
        <v>0.15</v>
      </c>
      <c r="J16" s="38">
        <f t="shared" si="3"/>
        <v>18382.791000000001</v>
      </c>
      <c r="K16" s="204">
        <v>0.35</v>
      </c>
      <c r="L16" s="38">
        <f t="shared" si="6"/>
        <v>42893.178999999996</v>
      </c>
      <c r="M16" s="204">
        <v>0.35</v>
      </c>
      <c r="N16" s="38">
        <f t="shared" si="4"/>
        <v>42893.178999999996</v>
      </c>
      <c r="O16" s="204"/>
      <c r="P16" s="38">
        <f t="shared" si="5"/>
        <v>0</v>
      </c>
      <c r="Q16" s="39">
        <f t="shared" si="7"/>
        <v>1</v>
      </c>
      <c r="R16" s="62">
        <f t="shared" si="8"/>
        <v>122551.94</v>
      </c>
    </row>
    <row r="17" spans="1:18" s="35" customFormat="1" ht="14.4">
      <c r="A17" s="37">
        <v>5</v>
      </c>
      <c r="B17" s="207" t="str">
        <f>'ORÇAMENTO ANALITICO'!D52</f>
        <v>ESQUADRIAS , GRADE PROTEÇÃO</v>
      </c>
      <c r="C17" s="132">
        <f t="shared" si="0"/>
        <v>0.10249844810834885</v>
      </c>
      <c r="D17" s="133">
        <f>'ORÇAMENTO ANALITICO'!J52</f>
        <v>84144.42</v>
      </c>
      <c r="E17" s="203"/>
      <c r="F17" s="38">
        <f t="shared" si="1"/>
        <v>0</v>
      </c>
      <c r="G17" s="204"/>
      <c r="H17" s="38">
        <f t="shared" si="2"/>
        <v>0</v>
      </c>
      <c r="I17" s="204">
        <v>0.3</v>
      </c>
      <c r="J17" s="38">
        <f t="shared" si="3"/>
        <v>25243.325999999997</v>
      </c>
      <c r="K17" s="204">
        <v>0.5</v>
      </c>
      <c r="L17" s="38">
        <f t="shared" si="6"/>
        <v>42072.21</v>
      </c>
      <c r="M17" s="204">
        <v>0.2</v>
      </c>
      <c r="N17" s="38">
        <f t="shared" si="4"/>
        <v>16828.884000000002</v>
      </c>
      <c r="O17" s="204"/>
      <c r="P17" s="38">
        <f t="shared" si="5"/>
        <v>0</v>
      </c>
      <c r="Q17" s="39">
        <f t="shared" si="7"/>
        <v>1</v>
      </c>
      <c r="R17" s="62">
        <f t="shared" si="8"/>
        <v>84144.42</v>
      </c>
    </row>
    <row r="18" spans="1:18" s="35" customFormat="1" ht="14.4">
      <c r="A18" s="37">
        <v>6</v>
      </c>
      <c r="B18" s="40" t="str">
        <f>'ORÇAMENTO ANALITICO'!D64</f>
        <v>CORTE E DOBRA DE AÇO</v>
      </c>
      <c r="C18" s="132">
        <f t="shared" si="0"/>
        <v>2.9299763098988765E-2</v>
      </c>
      <c r="D18" s="133">
        <f>'ORÇAMENTO ANALITICO'!J64</f>
        <v>24053.16</v>
      </c>
      <c r="E18" s="203">
        <v>0.4</v>
      </c>
      <c r="F18" s="38">
        <f t="shared" si="1"/>
        <v>9621.264000000001</v>
      </c>
      <c r="G18" s="204">
        <v>0.4</v>
      </c>
      <c r="H18" s="38">
        <f t="shared" si="2"/>
        <v>9621.264000000001</v>
      </c>
      <c r="I18" s="204">
        <v>0.2</v>
      </c>
      <c r="J18" s="38">
        <f t="shared" si="3"/>
        <v>4810.6320000000005</v>
      </c>
      <c r="K18" s="204"/>
      <c r="L18" s="38">
        <f t="shared" si="6"/>
        <v>0</v>
      </c>
      <c r="M18" s="204"/>
      <c r="N18" s="38">
        <f t="shared" si="4"/>
        <v>0</v>
      </c>
      <c r="O18" s="204"/>
      <c r="P18" s="38">
        <f t="shared" si="5"/>
        <v>0</v>
      </c>
      <c r="Q18" s="39">
        <f t="shared" si="7"/>
        <v>1</v>
      </c>
      <c r="R18" s="62">
        <f t="shared" si="8"/>
        <v>24053.160000000003</v>
      </c>
    </row>
    <row r="19" spans="1:18" s="35" customFormat="1" ht="14.4">
      <c r="A19" s="37">
        <v>7</v>
      </c>
      <c r="B19" s="207" t="str">
        <f>'ORÇAMENTO ANALITICO'!D68</f>
        <v>CONCRETO, FORMA E DESFORMA</v>
      </c>
      <c r="C19" s="132">
        <f t="shared" si="0"/>
        <v>3.9582409588302885E-2</v>
      </c>
      <c r="D19" s="133">
        <f>'ORÇAMENTO ANALITICO'!J68</f>
        <v>32494.53</v>
      </c>
      <c r="E19" s="203">
        <v>0.1</v>
      </c>
      <c r="F19" s="38">
        <f t="shared" si="1"/>
        <v>3249.453</v>
      </c>
      <c r="G19" s="204">
        <v>0.7</v>
      </c>
      <c r="H19" s="38">
        <f t="shared" si="2"/>
        <v>22746.170999999998</v>
      </c>
      <c r="I19" s="204">
        <v>0.2</v>
      </c>
      <c r="J19" s="38">
        <f t="shared" si="3"/>
        <v>6498.9059999999999</v>
      </c>
      <c r="K19" s="204"/>
      <c r="L19" s="38">
        <f t="shared" si="6"/>
        <v>0</v>
      </c>
      <c r="M19" s="204"/>
      <c r="N19" s="38">
        <f t="shared" si="4"/>
        <v>0</v>
      </c>
      <c r="O19" s="204"/>
      <c r="P19" s="38">
        <f t="shared" si="5"/>
        <v>0</v>
      </c>
      <c r="Q19" s="39">
        <f t="shared" si="7"/>
        <v>1</v>
      </c>
      <c r="R19" s="62">
        <f t="shared" si="8"/>
        <v>32494.53</v>
      </c>
    </row>
    <row r="20" spans="1:18" s="35" customFormat="1" ht="14.4">
      <c r="A20" s="37">
        <v>8</v>
      </c>
      <c r="B20" s="207" t="str">
        <f>'ORÇAMENTO ANALITICO'!D72</f>
        <v>ANDAIME</v>
      </c>
      <c r="C20" s="132">
        <f t="shared" si="0"/>
        <v>2.697874712400614E-2</v>
      </c>
      <c r="D20" s="133">
        <f>'ORÇAMENTO ANALITICO'!J72</f>
        <v>22147.760000000002</v>
      </c>
      <c r="E20" s="203"/>
      <c r="F20" s="38">
        <f t="shared" si="1"/>
        <v>0</v>
      </c>
      <c r="G20" s="204">
        <v>0.4</v>
      </c>
      <c r="H20" s="38">
        <f t="shared" si="2"/>
        <v>8859.1040000000012</v>
      </c>
      <c r="I20" s="204">
        <v>0.3</v>
      </c>
      <c r="J20" s="38">
        <f t="shared" si="3"/>
        <v>6644.3280000000004</v>
      </c>
      <c r="K20" s="204">
        <v>0.3</v>
      </c>
      <c r="L20" s="38">
        <f t="shared" si="6"/>
        <v>6644.3280000000004</v>
      </c>
      <c r="M20" s="204"/>
      <c r="N20" s="38">
        <f t="shared" si="4"/>
        <v>0</v>
      </c>
      <c r="O20" s="204"/>
      <c r="P20" s="38">
        <f>O20*$D20</f>
        <v>0</v>
      </c>
      <c r="Q20" s="39">
        <f t="shared" si="7"/>
        <v>1</v>
      </c>
      <c r="R20" s="62">
        <f t="shared" si="8"/>
        <v>22147.760000000002</v>
      </c>
    </row>
    <row r="21" spans="1:18" s="35" customFormat="1" ht="14.4">
      <c r="A21" s="37">
        <v>9</v>
      </c>
      <c r="B21" s="40" t="str">
        <f>'ORÇAMENTO ANALITICO'!D76</f>
        <v>PINTURA</v>
      </c>
      <c r="C21" s="132">
        <f t="shared" si="0"/>
        <v>5.8502258891583933E-2</v>
      </c>
      <c r="D21" s="133">
        <f>'ORÇAMENTO ANALITICO'!J76</f>
        <v>48026.47</v>
      </c>
      <c r="E21" s="203"/>
      <c r="F21" s="38">
        <f t="shared" si="1"/>
        <v>0</v>
      </c>
      <c r="G21" s="204"/>
      <c r="H21" s="38">
        <f t="shared" si="2"/>
        <v>0</v>
      </c>
      <c r="I21" s="204"/>
      <c r="J21" s="38">
        <f t="shared" si="3"/>
        <v>0</v>
      </c>
      <c r="K21" s="204">
        <v>0.4</v>
      </c>
      <c r="L21" s="38">
        <f t="shared" si="6"/>
        <v>19210.588</v>
      </c>
      <c r="M21" s="204">
        <v>0.4</v>
      </c>
      <c r="N21" s="38">
        <f t="shared" si="4"/>
        <v>19210.588</v>
      </c>
      <c r="O21" s="204">
        <v>0.2</v>
      </c>
      <c r="P21" s="38">
        <f t="shared" si="5"/>
        <v>9605.2939999999999</v>
      </c>
      <c r="Q21" s="39">
        <f t="shared" si="7"/>
        <v>1</v>
      </c>
      <c r="R21" s="62">
        <f t="shared" si="8"/>
        <v>48026.47</v>
      </c>
    </row>
    <row r="22" spans="1:18" s="35" customFormat="1" ht="14.4">
      <c r="A22" s="37">
        <v>10</v>
      </c>
      <c r="B22" s="40" t="str">
        <f>'ORÇAMENTO ANALITICO'!D83</f>
        <v>COBERTURA</v>
      </c>
      <c r="C22" s="132">
        <f t="shared" si="0"/>
        <v>0.12106515070159146</v>
      </c>
      <c r="D22" s="133">
        <f>'ORÇAMENTO ANALITICO'!J83</f>
        <v>99386.449999999983</v>
      </c>
      <c r="E22" s="203"/>
      <c r="F22" s="38">
        <f t="shared" si="1"/>
        <v>0</v>
      </c>
      <c r="G22" s="204"/>
      <c r="H22" s="38">
        <f t="shared" si="2"/>
        <v>0</v>
      </c>
      <c r="I22" s="204">
        <v>0.69</v>
      </c>
      <c r="J22" s="38">
        <f t="shared" si="3"/>
        <v>68576.650499999989</v>
      </c>
      <c r="K22" s="204">
        <v>0.1</v>
      </c>
      <c r="L22" s="38">
        <f t="shared" si="6"/>
        <v>9938.6449999999986</v>
      </c>
      <c r="M22" s="204">
        <v>0.21</v>
      </c>
      <c r="N22" s="38">
        <f t="shared" si="4"/>
        <v>20871.154499999997</v>
      </c>
      <c r="O22" s="204"/>
      <c r="P22" s="38">
        <f t="shared" si="5"/>
        <v>0</v>
      </c>
      <c r="Q22" s="39">
        <f t="shared" si="7"/>
        <v>0.99999999999999989</v>
      </c>
      <c r="R22" s="62">
        <f t="shared" si="8"/>
        <v>99386.45</v>
      </c>
    </row>
    <row r="23" spans="1:18" s="35" customFormat="1" ht="14.4">
      <c r="A23" s="37">
        <v>11</v>
      </c>
      <c r="B23" s="40" t="str">
        <f>'ORÇAMENTO ANALITICO'!D93</f>
        <v>INSTALAÇÕES ELETRICAS</v>
      </c>
      <c r="C23" s="132">
        <f t="shared" si="0"/>
        <v>9.1500871690475369E-2</v>
      </c>
      <c r="D23" s="133">
        <f>'ORÇAMENTO ANALITICO'!J93</f>
        <v>75116.140000000014</v>
      </c>
      <c r="E23" s="203"/>
      <c r="F23" s="38">
        <f t="shared" si="1"/>
        <v>0</v>
      </c>
      <c r="G23" s="204">
        <v>0.2</v>
      </c>
      <c r="H23" s="38">
        <f t="shared" si="2"/>
        <v>15023.228000000003</v>
      </c>
      <c r="I23" s="204">
        <v>0.4</v>
      </c>
      <c r="J23" s="38">
        <f t="shared" si="3"/>
        <v>30046.456000000006</v>
      </c>
      <c r="K23" s="204">
        <v>0.4</v>
      </c>
      <c r="L23" s="38">
        <f t="shared" si="6"/>
        <v>30046.456000000006</v>
      </c>
      <c r="M23" s="204"/>
      <c r="N23" s="38">
        <f t="shared" si="4"/>
        <v>0</v>
      </c>
      <c r="O23" s="204"/>
      <c r="P23" s="38">
        <f t="shared" si="5"/>
        <v>0</v>
      </c>
      <c r="Q23" s="39">
        <f t="shared" si="7"/>
        <v>1</v>
      </c>
      <c r="R23" s="62">
        <f t="shared" si="8"/>
        <v>75116.140000000014</v>
      </c>
    </row>
    <row r="24" spans="1:18" s="35" customFormat="1" ht="14.4">
      <c r="A24" s="37">
        <v>12</v>
      </c>
      <c r="B24" s="40" t="str">
        <f>'ORÇAMENTO ANALITICO'!D133</f>
        <v xml:space="preserve">CABEAMENTO </v>
      </c>
      <c r="C24" s="132">
        <f t="shared" si="0"/>
        <v>3.4912933274993257E-2</v>
      </c>
      <c r="D24" s="133">
        <f>'ORÇAMENTO ANALITICO'!J133</f>
        <v>28661.200000000001</v>
      </c>
      <c r="E24" s="203"/>
      <c r="F24" s="38">
        <f t="shared" si="1"/>
        <v>0</v>
      </c>
      <c r="G24" s="204"/>
      <c r="H24" s="38">
        <f t="shared" si="2"/>
        <v>0</v>
      </c>
      <c r="I24" s="204">
        <v>0.2</v>
      </c>
      <c r="J24" s="38">
        <f t="shared" si="3"/>
        <v>5732.2400000000007</v>
      </c>
      <c r="K24" s="204">
        <v>0.8</v>
      </c>
      <c r="L24" s="38">
        <f t="shared" si="6"/>
        <v>22928.960000000003</v>
      </c>
      <c r="M24" s="204"/>
      <c r="N24" s="38">
        <f t="shared" si="4"/>
        <v>0</v>
      </c>
      <c r="O24" s="204"/>
      <c r="P24" s="38">
        <f t="shared" si="5"/>
        <v>0</v>
      </c>
      <c r="Q24" s="39">
        <f t="shared" si="7"/>
        <v>1</v>
      </c>
      <c r="R24" s="62">
        <f t="shared" si="8"/>
        <v>28661.200000000004</v>
      </c>
    </row>
    <row r="25" spans="1:18" s="35" customFormat="1" ht="14.4">
      <c r="A25" s="37">
        <v>13</v>
      </c>
      <c r="B25" s="40" t="str">
        <f>'ORÇAMENTO ANALITICO'!D141</f>
        <v>INSTALAÇÕES HIDRO SANITÁRIAS</v>
      </c>
      <c r="C25" s="132">
        <f t="shared" si="0"/>
        <v>4.4630722874541881E-2</v>
      </c>
      <c r="D25" s="133">
        <f>'ORÇAMENTO ANALITICO'!J141</f>
        <v>36638.860000000008</v>
      </c>
      <c r="E25" s="203"/>
      <c r="F25" s="38">
        <f t="shared" si="1"/>
        <v>0</v>
      </c>
      <c r="G25" s="204"/>
      <c r="H25" s="38">
        <f t="shared" si="2"/>
        <v>0</v>
      </c>
      <c r="I25" s="204">
        <v>0.2</v>
      </c>
      <c r="J25" s="38">
        <f t="shared" si="3"/>
        <v>7327.7720000000018</v>
      </c>
      <c r="K25" s="204">
        <v>0.2</v>
      </c>
      <c r="L25" s="38">
        <f t="shared" si="6"/>
        <v>7327.7720000000018</v>
      </c>
      <c r="M25" s="204">
        <v>0.3</v>
      </c>
      <c r="N25" s="38">
        <f t="shared" si="4"/>
        <v>10991.658000000001</v>
      </c>
      <c r="O25" s="204">
        <v>0.3</v>
      </c>
      <c r="P25" s="38">
        <f t="shared" si="5"/>
        <v>10991.658000000001</v>
      </c>
      <c r="Q25" s="39">
        <f t="shared" si="7"/>
        <v>1</v>
      </c>
      <c r="R25" s="62">
        <f t="shared" si="8"/>
        <v>36638.860000000008</v>
      </c>
    </row>
    <row r="26" spans="1:18" s="35" customFormat="1" ht="14.4">
      <c r="A26" s="37">
        <v>14</v>
      </c>
      <c r="B26" s="40" t="str">
        <f>'ORÇAMENTO ANALITICO'!D171</f>
        <v>SERVIÇOS COMPLEMENTARES</v>
      </c>
      <c r="C26" s="132">
        <f t="shared" si="0"/>
        <v>0.22900498895403973</v>
      </c>
      <c r="D26" s="133">
        <f>'ORÇAMENTO ANALITICO'!J171</f>
        <v>187997.89000000004</v>
      </c>
      <c r="E26" s="203"/>
      <c r="F26" s="38">
        <f t="shared" si="1"/>
        <v>0</v>
      </c>
      <c r="G26" s="204">
        <v>3.7999999999999999E-2</v>
      </c>
      <c r="H26" s="38">
        <f t="shared" si="2"/>
        <v>7143.9198200000019</v>
      </c>
      <c r="I26" s="204"/>
      <c r="J26" s="38">
        <f t="shared" si="3"/>
        <v>0</v>
      </c>
      <c r="K26" s="204"/>
      <c r="L26" s="38">
        <f t="shared" si="6"/>
        <v>0</v>
      </c>
      <c r="M26" s="204">
        <v>0.4</v>
      </c>
      <c r="N26" s="38">
        <f t="shared" si="4"/>
        <v>75199.156000000017</v>
      </c>
      <c r="O26" s="202">
        <f>100%-M26-G26</f>
        <v>0.56199999999999994</v>
      </c>
      <c r="P26" s="38">
        <f t="shared" si="5"/>
        <v>105654.81418000002</v>
      </c>
      <c r="Q26" s="39">
        <f t="shared" si="7"/>
        <v>1</v>
      </c>
      <c r="R26" s="62">
        <f t="shared" si="8"/>
        <v>187997.89000000004</v>
      </c>
    </row>
    <row r="27" spans="1:18" s="46" customFormat="1" ht="15" thickBot="1">
      <c r="A27" s="309" t="s">
        <v>586</v>
      </c>
      <c r="B27" s="41" t="s">
        <v>587</v>
      </c>
      <c r="C27" s="42">
        <f>SUM(C13:C26)</f>
        <v>1.0000000000000002</v>
      </c>
      <c r="D27" s="43">
        <f>SUM(D13:D26)</f>
        <v>820933.59999999986</v>
      </c>
      <c r="E27" s="44">
        <f>F27/$D$27</f>
        <v>5.24834686240154E-2</v>
      </c>
      <c r="F27" s="45">
        <f>SUM(F13:F26)</f>
        <v>43085.442838000003</v>
      </c>
      <c r="G27" s="44">
        <f>H27/$D$27</f>
        <v>0.12895384898608125</v>
      </c>
      <c r="H27" s="45">
        <f>SUM(H13:H26)</f>
        <v>105862.54748200001</v>
      </c>
      <c r="I27" s="44">
        <f>J27/$D$27</f>
        <v>0.21765108164655461</v>
      </c>
      <c r="J27" s="45">
        <f>SUM(J13:J26)</f>
        <v>178677.08599999998</v>
      </c>
      <c r="K27" s="44">
        <f>L27/$D$27</f>
        <v>0.22055637386507268</v>
      </c>
      <c r="L27" s="45">
        <f>SUM(L13:L26)</f>
        <v>181062.13800000001</v>
      </c>
      <c r="M27" s="44">
        <f>N27/$D$27</f>
        <v>0.22656475444542656</v>
      </c>
      <c r="N27" s="45">
        <f>SUM(N13:N26)</f>
        <v>185994.6195</v>
      </c>
      <c r="O27" s="44">
        <f>P27/$D$27</f>
        <v>0.15379047243284968</v>
      </c>
      <c r="P27" s="45">
        <f>SUM(P13:P26)</f>
        <v>126251.76618000002</v>
      </c>
      <c r="Q27" s="39">
        <f>O27+E27+M27+G27+K27+I27</f>
        <v>1.0000000000000002</v>
      </c>
      <c r="R27" s="62">
        <f t="shared" si="8"/>
        <v>820933.60000000009</v>
      </c>
    </row>
    <row r="28" spans="1:18" s="46" customFormat="1" ht="12.6" thickBot="1">
      <c r="A28" s="309"/>
      <c r="B28" s="47" t="s">
        <v>588</v>
      </c>
      <c r="C28" s="48"/>
      <c r="D28" s="49"/>
      <c r="E28" s="48">
        <f>SUM(E27)</f>
        <v>5.24834686240154E-2</v>
      </c>
      <c r="F28" s="50">
        <f>F27</f>
        <v>43085.442838000003</v>
      </c>
      <c r="G28" s="48">
        <f t="shared" ref="G28:O28" si="9">E28+G27</f>
        <v>0.18143731761009665</v>
      </c>
      <c r="H28" s="50">
        <f t="shared" si="9"/>
        <v>148947.99032000001</v>
      </c>
      <c r="I28" s="48">
        <f t="shared" si="9"/>
        <v>0.39908839925665129</v>
      </c>
      <c r="J28" s="50">
        <f t="shared" si="9"/>
        <v>327625.07631999999</v>
      </c>
      <c r="K28" s="48">
        <f t="shared" si="9"/>
        <v>0.61964477312172395</v>
      </c>
      <c r="L28" s="50">
        <f t="shared" si="9"/>
        <v>508687.21432000003</v>
      </c>
      <c r="M28" s="48">
        <f t="shared" si="9"/>
        <v>0.84620952756715051</v>
      </c>
      <c r="N28" s="50">
        <f t="shared" si="9"/>
        <v>694681.83382000006</v>
      </c>
      <c r="O28" s="48">
        <f t="shared" si="9"/>
        <v>1.0000000000000002</v>
      </c>
      <c r="P28" s="50">
        <f>P27+N28</f>
        <v>820933.60000000009</v>
      </c>
    </row>
    <row r="29" spans="1:18" s="35" customFormat="1" ht="11.4">
      <c r="D29" s="51"/>
    </row>
    <row r="30" spans="1:18" s="35" customFormat="1" ht="14.4">
      <c r="B30" s="52"/>
      <c r="C30" s="308"/>
      <c r="D30" s="308"/>
    </row>
    <row r="31" spans="1:18" s="35" customFormat="1" ht="11.4">
      <c r="C31" s="53"/>
      <c r="D31" s="54"/>
    </row>
    <row r="32" spans="1:18" s="35" customFormat="1" ht="11.4">
      <c r="D32" s="55"/>
      <c r="Q32" s="35">
        <f>3000.8/3</f>
        <v>1000.2666666666668</v>
      </c>
      <c r="R32" s="35">
        <v>33184.839999999997</v>
      </c>
    </row>
    <row r="33" spans="4:19" s="35" customFormat="1" ht="14.4">
      <c r="D33" s="55"/>
      <c r="Q33" s="57">
        <f>Q32/3000.8</f>
        <v>0.33333333333333337</v>
      </c>
      <c r="R33" s="57">
        <f>R32/76433.82</f>
        <v>0.43416435290032596</v>
      </c>
    </row>
    <row r="34" spans="4:19" s="35" customFormat="1" ht="11.4">
      <c r="D34" s="55"/>
    </row>
    <row r="35" spans="4:19" s="35" customFormat="1" ht="11.4">
      <c r="D35" s="55"/>
    </row>
    <row r="36" spans="4:19" s="35" customFormat="1" ht="11.4">
      <c r="D36" s="55"/>
    </row>
    <row r="37" spans="4:19" s="35" customFormat="1" ht="14.4">
      <c r="D37" s="51"/>
      <c r="Q37" s="57"/>
      <c r="R37" s="57"/>
      <c r="S37" s="57"/>
    </row>
    <row r="38" spans="4:19" s="35" customFormat="1" ht="11.4">
      <c r="D38" s="51"/>
    </row>
    <row r="39" spans="4:19" s="35" customFormat="1" ht="11.4">
      <c r="D39" s="51"/>
    </row>
    <row r="40" spans="4:19" s="35" customFormat="1" ht="11.4">
      <c r="D40" s="51"/>
    </row>
    <row r="41" spans="4:19" s="35" customFormat="1" ht="11.4">
      <c r="D41" s="51"/>
    </row>
    <row r="42" spans="4:19" s="35" customFormat="1" ht="11.4">
      <c r="D42" s="51"/>
    </row>
    <row r="43" spans="4:19" s="35" customFormat="1" ht="11.4">
      <c r="D43" s="51"/>
    </row>
  </sheetData>
  <sheetProtection selectLockedCells="1" selectUnlockedCells="1"/>
  <mergeCells count="17">
    <mergeCell ref="C30:D30"/>
    <mergeCell ref="A27:A28"/>
    <mergeCell ref="G11:H11"/>
    <mergeCell ref="M11:N11"/>
    <mergeCell ref="A10:A12"/>
    <mergeCell ref="B10:B12"/>
    <mergeCell ref="C10:C12"/>
    <mergeCell ref="D10:D12"/>
    <mergeCell ref="E10:P10"/>
    <mergeCell ref="E11:F11"/>
    <mergeCell ref="E3:P6"/>
    <mergeCell ref="E7:P7"/>
    <mergeCell ref="A8:P9"/>
    <mergeCell ref="K11:L11"/>
    <mergeCell ref="I11:J11"/>
    <mergeCell ref="A3:D7"/>
    <mergeCell ref="O11:P11"/>
  </mergeCells>
  <printOptions horizontalCentered="1" verticalCentered="1"/>
  <pageMargins left="0.19652777777777777" right="0.19652777777777777" top="0.78749999999999998" bottom="0.78749999999999998" header="0.51181102362204722" footer="0.51181102362204722"/>
  <pageSetup paperSize="9" scale="71" firstPageNumber="0"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sheetPr>
    <tabColor rgb="FF92D050"/>
    <pageSetUpPr fitToPage="1"/>
  </sheetPr>
  <dimension ref="A4:N12"/>
  <sheetViews>
    <sheetView view="pageBreakPreview" topLeftCell="A13" zoomScale="70" zoomScaleNormal="100" zoomScaleSheetLayoutView="70" workbookViewId="0">
      <selection activeCell="M43" sqref="M43"/>
    </sheetView>
  </sheetViews>
  <sheetFormatPr defaultRowHeight="14.4"/>
  <sheetData>
    <row r="4" spans="1:14" ht="15" thickBot="1"/>
    <row r="5" spans="1:14" ht="17.25" customHeight="1" thickBot="1">
      <c r="A5" s="266"/>
      <c r="B5" s="266"/>
      <c r="C5" s="266"/>
      <c r="D5" s="266"/>
      <c r="E5" s="321" t="s">
        <v>1</v>
      </c>
      <c r="F5" s="322"/>
      <c r="G5" s="322"/>
      <c r="H5" s="322"/>
      <c r="I5" s="322"/>
      <c r="J5" s="322"/>
      <c r="K5" s="322"/>
      <c r="L5" s="322"/>
      <c r="M5" s="322"/>
      <c r="N5" s="323"/>
    </row>
    <row r="6" spans="1:14" ht="17.25" customHeight="1" thickBot="1">
      <c r="A6" s="266"/>
      <c r="B6" s="266"/>
      <c r="C6" s="266"/>
      <c r="D6" s="266"/>
      <c r="E6" s="324"/>
      <c r="F6" s="325"/>
      <c r="G6" s="325"/>
      <c r="H6" s="325"/>
      <c r="I6" s="325"/>
      <c r="J6" s="325"/>
      <c r="K6" s="325"/>
      <c r="L6" s="325"/>
      <c r="M6" s="325"/>
      <c r="N6" s="326"/>
    </row>
    <row r="7" spans="1:14" ht="17.25" customHeight="1" thickBot="1">
      <c r="A7" s="266"/>
      <c r="B7" s="266"/>
      <c r="C7" s="266"/>
      <c r="D7" s="266"/>
      <c r="E7" s="324"/>
      <c r="F7" s="325"/>
      <c r="G7" s="325"/>
      <c r="H7" s="325"/>
      <c r="I7" s="325"/>
      <c r="J7" s="325"/>
      <c r="K7" s="325"/>
      <c r="L7" s="325"/>
      <c r="M7" s="325"/>
      <c r="N7" s="326"/>
    </row>
    <row r="8" spans="1:14" ht="14.25" customHeight="1" thickBot="1">
      <c r="A8" s="266"/>
      <c r="B8" s="266"/>
      <c r="C8" s="266"/>
      <c r="D8" s="266"/>
      <c r="E8" s="324"/>
      <c r="F8" s="325"/>
      <c r="G8" s="325"/>
      <c r="H8" s="325"/>
      <c r="I8" s="325"/>
      <c r="J8" s="325"/>
      <c r="K8" s="325"/>
      <c r="L8" s="325"/>
      <c r="M8" s="325"/>
      <c r="N8" s="326"/>
    </row>
    <row r="9" spans="1:14" ht="12.75" customHeight="1" thickBot="1">
      <c r="A9" s="266"/>
      <c r="B9" s="266"/>
      <c r="C9" s="266"/>
      <c r="D9" s="266"/>
      <c r="E9" s="324"/>
      <c r="F9" s="325"/>
      <c r="G9" s="325"/>
      <c r="H9" s="325"/>
      <c r="I9" s="325"/>
      <c r="J9" s="325"/>
      <c r="K9" s="325"/>
      <c r="L9" s="325"/>
      <c r="M9" s="325"/>
      <c r="N9" s="326"/>
    </row>
    <row r="10" spans="1:14" ht="12.75" customHeight="1" thickBot="1">
      <c r="A10" s="266"/>
      <c r="B10" s="266"/>
      <c r="C10" s="266"/>
      <c r="D10" s="266"/>
      <c r="E10" s="324"/>
      <c r="F10" s="325"/>
      <c r="G10" s="325"/>
      <c r="H10" s="325"/>
      <c r="I10" s="325"/>
      <c r="J10" s="325"/>
      <c r="K10" s="325"/>
      <c r="L10" s="325"/>
      <c r="M10" s="325"/>
      <c r="N10" s="326"/>
    </row>
    <row r="11" spans="1:14" ht="12.75" customHeight="1" thickBot="1">
      <c r="A11" s="266"/>
      <c r="B11" s="266"/>
      <c r="C11" s="266"/>
      <c r="D11" s="266"/>
      <c r="E11" s="327" t="s">
        <v>0</v>
      </c>
      <c r="F11" s="328"/>
      <c r="G11" s="328"/>
      <c r="H11" s="328"/>
      <c r="I11" s="328"/>
      <c r="J11" s="328"/>
      <c r="K11" s="328"/>
      <c r="L11" s="328"/>
      <c r="M11" s="328"/>
      <c r="N11" s="329"/>
    </row>
    <row r="12" spans="1:14" ht="12.75" customHeight="1" thickBot="1">
      <c r="A12" s="266"/>
      <c r="B12" s="266"/>
      <c r="C12" s="266"/>
      <c r="D12" s="266"/>
      <c r="E12" s="330"/>
      <c r="F12" s="331"/>
      <c r="G12" s="331"/>
      <c r="H12" s="331"/>
      <c r="I12" s="331"/>
      <c r="J12" s="331"/>
      <c r="K12" s="331"/>
      <c r="L12" s="331"/>
      <c r="M12" s="331"/>
      <c r="N12" s="332"/>
    </row>
  </sheetData>
  <sheetProtection selectLockedCells="1" selectUnlockedCells="1"/>
  <mergeCells count="3">
    <mergeCell ref="E5:N10"/>
    <mergeCell ref="E11:N12"/>
    <mergeCell ref="A5:D12"/>
  </mergeCells>
  <printOptions horizontalCentered="1"/>
  <pageMargins left="0.51180555555555562" right="0.51180555555555562" top="0.78749999999999998" bottom="0.78749999999999998" header="0.51181102362204722" footer="0.51181102362204722"/>
  <pageSetup paperSize="9" scale="74" firstPageNumber="0" fitToHeight="0" orientation="portrait" horizontalDpi="300" verticalDpi="300" r:id="rId1"/>
  <headerFooter alignWithMargins="0"/>
  <drawing r:id="rId2"/>
</worksheet>
</file>

<file path=xl/worksheets/sheet8.xml><?xml version="1.0" encoding="utf-8"?>
<worksheet xmlns="http://schemas.openxmlformats.org/spreadsheetml/2006/main" xmlns:r="http://schemas.openxmlformats.org/officeDocument/2006/relationships">
  <sheetPr>
    <tabColor rgb="FFFF0000"/>
  </sheetPr>
  <dimension ref="A1:O65536"/>
  <sheetViews>
    <sheetView view="pageBreakPreview" zoomScale="85" zoomScaleNormal="100" zoomScaleSheetLayoutView="85" workbookViewId="0">
      <pane ySplit="11" topLeftCell="A384" activePane="bottomLeft" state="frozen"/>
      <selection pane="bottomLeft" activeCell="H387" sqref="H387"/>
    </sheetView>
  </sheetViews>
  <sheetFormatPr defaultRowHeight="14.4"/>
  <cols>
    <col min="1" max="1" width="8.44140625" style="1" customWidth="1"/>
    <col min="2" max="2" width="12.88671875" style="2" customWidth="1"/>
    <col min="3" max="3" width="12.88671875" style="3" customWidth="1"/>
    <col min="4" max="4" width="31.6640625" style="4" customWidth="1"/>
    <col min="5" max="5" width="9.33203125" style="5" customWidth="1"/>
    <col min="6" max="9" width="9.33203125" style="6" customWidth="1"/>
    <col min="10" max="10" width="9.33203125" style="7" customWidth="1"/>
    <col min="11" max="12" width="14.5546875" style="7" customWidth="1"/>
    <col min="13" max="13" width="10.33203125" bestFit="1" customWidth="1"/>
    <col min="14" max="14" width="16" bestFit="1" customWidth="1"/>
    <col min="15" max="15" width="14.44140625" bestFit="1" customWidth="1"/>
  </cols>
  <sheetData>
    <row r="1" spans="1:15" ht="15" thickBot="1">
      <c r="C1" s="246"/>
    </row>
    <row r="2" spans="1:15" ht="17.25" customHeight="1" thickBot="1">
      <c r="A2" s="263"/>
      <c r="B2" s="264"/>
      <c r="C2" s="264"/>
      <c r="D2" s="264"/>
      <c r="E2" s="267" t="s">
        <v>0</v>
      </c>
      <c r="F2" s="268"/>
      <c r="G2" s="268"/>
      <c r="H2" s="268"/>
      <c r="I2" s="268"/>
      <c r="J2" s="269"/>
      <c r="K2" s="283" t="s">
        <v>1</v>
      </c>
      <c r="L2" s="156" t="s">
        <v>2</v>
      </c>
    </row>
    <row r="3" spans="1:15" ht="17.25" customHeight="1" thickBot="1">
      <c r="A3" s="265"/>
      <c r="B3" s="266"/>
      <c r="C3" s="266"/>
      <c r="D3" s="266"/>
      <c r="E3" s="270"/>
      <c r="F3" s="271"/>
      <c r="G3" s="271"/>
      <c r="H3" s="271"/>
      <c r="I3" s="271"/>
      <c r="J3" s="272"/>
      <c r="K3" s="284"/>
      <c r="L3" s="157" t="s">
        <v>3</v>
      </c>
    </row>
    <row r="4" spans="1:15" ht="17.25" customHeight="1" thickBot="1">
      <c r="A4" s="265"/>
      <c r="B4" s="266"/>
      <c r="C4" s="266"/>
      <c r="D4" s="266"/>
      <c r="E4" s="270"/>
      <c r="F4" s="271"/>
      <c r="G4" s="271"/>
      <c r="H4" s="271"/>
      <c r="I4" s="271"/>
      <c r="J4" s="272"/>
      <c r="K4" s="8"/>
      <c r="L4" s="158" t="s">
        <v>4</v>
      </c>
    </row>
    <row r="5" spans="1:15" ht="14.25" customHeight="1" thickBot="1">
      <c r="A5" s="265"/>
      <c r="B5" s="266"/>
      <c r="C5" s="266"/>
      <c r="D5" s="266"/>
      <c r="E5" s="270"/>
      <c r="F5" s="271"/>
      <c r="G5" s="271"/>
      <c r="H5" s="271"/>
      <c r="I5" s="271"/>
      <c r="J5" s="272"/>
      <c r="K5" s="9">
        <v>0.2223</v>
      </c>
      <c r="L5" s="159">
        <v>45859</v>
      </c>
    </row>
    <row r="6" spans="1:15" ht="12.75" customHeight="1" thickBot="1">
      <c r="A6" s="265"/>
      <c r="B6" s="266"/>
      <c r="C6" s="266"/>
      <c r="D6" s="266"/>
      <c r="E6" s="270"/>
      <c r="F6" s="271"/>
      <c r="G6" s="271"/>
      <c r="H6" s="271"/>
      <c r="I6" s="271"/>
      <c r="J6" s="272"/>
      <c r="K6" s="276" t="s">
        <v>5</v>
      </c>
      <c r="L6" s="277"/>
    </row>
    <row r="7" spans="1:15" ht="12.75" customHeight="1" thickBot="1">
      <c r="A7" s="265"/>
      <c r="B7" s="266"/>
      <c r="C7" s="266"/>
      <c r="D7" s="266"/>
      <c r="E7" s="273"/>
      <c r="F7" s="274"/>
      <c r="G7" s="274"/>
      <c r="H7" s="274"/>
      <c r="I7" s="274"/>
      <c r="J7" s="275"/>
      <c r="K7" s="278"/>
      <c r="L7" s="279"/>
    </row>
    <row r="8" spans="1:15" ht="12.75" customHeight="1" thickBot="1">
      <c r="A8" s="265"/>
      <c r="B8" s="266"/>
      <c r="C8" s="266"/>
      <c r="D8" s="266"/>
      <c r="E8" s="280" t="s">
        <v>6</v>
      </c>
      <c r="F8" s="280"/>
      <c r="G8" s="280"/>
      <c r="H8" s="280"/>
      <c r="I8" s="280"/>
      <c r="J8" s="280"/>
      <c r="K8" s="278" t="s">
        <v>589</v>
      </c>
      <c r="L8" s="279"/>
    </row>
    <row r="9" spans="1:15" ht="15" thickBot="1">
      <c r="A9" s="384"/>
      <c r="B9" s="307"/>
      <c r="C9" s="307"/>
      <c r="D9" s="307"/>
      <c r="E9" s="385"/>
      <c r="F9" s="385"/>
      <c r="G9" s="385"/>
      <c r="H9" s="385"/>
      <c r="I9" s="385"/>
      <c r="J9" s="385"/>
      <c r="K9" s="278" t="s">
        <v>590</v>
      </c>
      <c r="L9" s="279"/>
    </row>
    <row r="10" spans="1:15" ht="32.25" customHeight="1" thickBot="1">
      <c r="A10" s="386" t="s">
        <v>9</v>
      </c>
      <c r="B10" s="388" t="s">
        <v>591</v>
      </c>
      <c r="C10" s="389"/>
      <c r="D10" s="392" t="s">
        <v>592</v>
      </c>
      <c r="E10" s="394" t="s">
        <v>593</v>
      </c>
      <c r="F10" s="381" t="s">
        <v>507</v>
      </c>
      <c r="G10" s="381" t="s">
        <v>594</v>
      </c>
      <c r="H10" s="381" t="s">
        <v>595</v>
      </c>
      <c r="I10" s="383" t="s">
        <v>510</v>
      </c>
      <c r="J10" s="396" t="s">
        <v>596</v>
      </c>
      <c r="K10" s="398" t="s">
        <v>586</v>
      </c>
      <c r="L10" s="376" t="s">
        <v>13</v>
      </c>
    </row>
    <row r="11" spans="1:15" ht="15.75" customHeight="1" thickBot="1">
      <c r="A11" s="387"/>
      <c r="B11" s="390"/>
      <c r="C11" s="391"/>
      <c r="D11" s="393"/>
      <c r="E11" s="395"/>
      <c r="F11" s="382"/>
      <c r="G11" s="382"/>
      <c r="H11" s="382"/>
      <c r="I11" s="382"/>
      <c r="J11" s="397"/>
      <c r="K11" s="399"/>
      <c r="L11" s="377"/>
      <c r="M11" s="16"/>
      <c r="N11" s="65"/>
      <c r="O11" s="65"/>
    </row>
    <row r="12" spans="1:15">
      <c r="A12" s="174"/>
      <c r="B12" s="175"/>
      <c r="C12" s="175"/>
      <c r="D12" s="213"/>
      <c r="E12" s="253"/>
      <c r="F12" s="214"/>
      <c r="G12" s="214"/>
      <c r="H12" s="214"/>
      <c r="I12" s="214"/>
      <c r="J12" s="175"/>
      <c r="K12" s="378"/>
      <c r="L12" s="379"/>
    </row>
    <row r="13" spans="1:15" hidden="1">
      <c r="A13" s="215">
        <v>1.1000000000000001</v>
      </c>
      <c r="B13" s="361"/>
      <c r="C13" s="361"/>
      <c r="D13" s="171"/>
      <c r="E13" s="252"/>
      <c r="F13" s="172"/>
      <c r="G13" s="172"/>
      <c r="H13" s="172"/>
      <c r="I13" s="172"/>
      <c r="J13" s="173"/>
      <c r="K13" s="380"/>
      <c r="L13" s="375"/>
    </row>
    <row r="14" spans="1:15" hidden="1">
      <c r="A14" s="215">
        <v>1.2</v>
      </c>
      <c r="B14" s="361"/>
      <c r="C14" s="361"/>
      <c r="D14" s="171"/>
      <c r="E14" s="252"/>
      <c r="F14" s="172"/>
      <c r="G14" s="172"/>
      <c r="H14" s="172"/>
      <c r="I14" s="172"/>
      <c r="J14" s="173"/>
      <c r="K14" s="380"/>
      <c r="L14" s="375"/>
    </row>
    <row r="15" spans="1:15" hidden="1">
      <c r="A15" s="215">
        <v>1.3</v>
      </c>
      <c r="B15" s="361"/>
      <c r="C15" s="361"/>
      <c r="D15" s="171"/>
      <c r="E15" s="252"/>
      <c r="F15" s="172"/>
      <c r="G15" s="172"/>
      <c r="H15" s="172"/>
      <c r="I15" s="172"/>
      <c r="J15" s="173"/>
      <c r="K15" s="380"/>
      <c r="L15" s="375"/>
    </row>
    <row r="16" spans="1:15" ht="10.5" customHeight="1" thickBot="1">
      <c r="A16" s="216"/>
      <c r="B16" s="10"/>
      <c r="C16" s="11"/>
      <c r="D16" s="12"/>
      <c r="E16" s="13"/>
      <c r="F16" s="14"/>
      <c r="G16" s="14"/>
      <c r="H16" s="14"/>
      <c r="I16" s="14"/>
      <c r="J16" s="15"/>
      <c r="K16" s="15"/>
      <c r="L16" s="163"/>
    </row>
    <row r="17" spans="1:12" ht="16.2" thickBot="1">
      <c r="A17" s="178">
        <v>2</v>
      </c>
      <c r="B17" s="343" t="s">
        <v>34</v>
      </c>
      <c r="C17" s="343"/>
      <c r="D17" s="343"/>
      <c r="E17" s="343"/>
      <c r="F17" s="343"/>
      <c r="G17" s="343"/>
      <c r="H17" s="343"/>
      <c r="I17" s="343"/>
      <c r="J17" s="343"/>
      <c r="K17" s="343"/>
      <c r="L17" s="344"/>
    </row>
    <row r="18" spans="1:12" ht="10.5" customHeight="1">
      <c r="A18" s="216"/>
      <c r="B18" s="10"/>
      <c r="C18" s="11"/>
      <c r="D18" s="12"/>
      <c r="E18" s="13"/>
      <c r="F18" s="14"/>
      <c r="G18" s="14"/>
      <c r="H18" s="14"/>
      <c r="I18" s="14"/>
      <c r="J18" s="15"/>
      <c r="K18" s="15"/>
      <c r="L18" s="163"/>
    </row>
    <row r="19" spans="1:12">
      <c r="A19" s="374">
        <v>2.1</v>
      </c>
      <c r="B19" s="334" t="s">
        <v>597</v>
      </c>
      <c r="C19" s="335"/>
      <c r="D19" s="171" t="s">
        <v>598</v>
      </c>
      <c r="E19" s="176">
        <v>3.1</v>
      </c>
      <c r="F19" s="176">
        <v>2.95</v>
      </c>
      <c r="G19" s="176">
        <v>0.15</v>
      </c>
      <c r="H19" s="176"/>
      <c r="I19" s="176"/>
      <c r="J19" s="173">
        <f t="shared" ref="J19:J31" si="0">G19*F19*E19</f>
        <v>1.37175</v>
      </c>
      <c r="K19" s="340">
        <f>SUM(J19:J31)</f>
        <v>9.4449000000000005</v>
      </c>
      <c r="L19" s="375" t="s">
        <v>599</v>
      </c>
    </row>
    <row r="20" spans="1:12">
      <c r="A20" s="374"/>
      <c r="B20" s="336"/>
      <c r="C20" s="337"/>
      <c r="D20" s="171" t="s">
        <v>600</v>
      </c>
      <c r="E20" s="176">
        <v>2.65</v>
      </c>
      <c r="F20" s="176">
        <v>2.2000000000000002</v>
      </c>
      <c r="G20" s="176">
        <v>0.15</v>
      </c>
      <c r="H20" s="176"/>
      <c r="I20" s="176"/>
      <c r="J20" s="173">
        <f t="shared" si="0"/>
        <v>0.87450000000000006</v>
      </c>
      <c r="K20" s="340"/>
      <c r="L20" s="375"/>
    </row>
    <row r="21" spans="1:12">
      <c r="A21" s="374"/>
      <c r="B21" s="336"/>
      <c r="C21" s="337"/>
      <c r="D21" s="171" t="s">
        <v>600</v>
      </c>
      <c r="E21" s="176">
        <v>1.18</v>
      </c>
      <c r="F21" s="176">
        <v>2.95</v>
      </c>
      <c r="G21" s="176">
        <v>0.15</v>
      </c>
      <c r="H21" s="176"/>
      <c r="I21" s="176"/>
      <c r="J21" s="173">
        <f t="shared" si="0"/>
        <v>0.52215</v>
      </c>
      <c r="K21" s="340"/>
      <c r="L21" s="375"/>
    </row>
    <row r="22" spans="1:12">
      <c r="A22" s="374"/>
      <c r="B22" s="336"/>
      <c r="C22" s="337"/>
      <c r="D22" s="171" t="s">
        <v>601</v>
      </c>
      <c r="E22" s="176">
        <v>0.9</v>
      </c>
      <c r="F22" s="176">
        <v>2.1</v>
      </c>
      <c r="G22" s="176">
        <v>0.15</v>
      </c>
      <c r="H22" s="176"/>
      <c r="I22" s="176"/>
      <c r="J22" s="173">
        <f t="shared" si="0"/>
        <v>0.28350000000000003</v>
      </c>
      <c r="K22" s="340"/>
      <c r="L22" s="375"/>
    </row>
    <row r="23" spans="1:12">
      <c r="A23" s="374"/>
      <c r="B23" s="336"/>
      <c r="C23" s="337"/>
      <c r="D23" s="171" t="s">
        <v>602</v>
      </c>
      <c r="E23" s="176">
        <v>0.9</v>
      </c>
      <c r="F23" s="176">
        <v>2.1</v>
      </c>
      <c r="G23" s="176">
        <v>0.15</v>
      </c>
      <c r="H23" s="176"/>
      <c r="I23" s="176"/>
      <c r="J23" s="173">
        <f t="shared" si="0"/>
        <v>0.28350000000000003</v>
      </c>
      <c r="K23" s="340"/>
      <c r="L23" s="375"/>
    </row>
    <row r="24" spans="1:12">
      <c r="A24" s="374"/>
      <c r="B24" s="336"/>
      <c r="C24" s="337"/>
      <c r="D24" s="171" t="s">
        <v>603</v>
      </c>
      <c r="E24" s="176">
        <v>0.9</v>
      </c>
      <c r="F24" s="176">
        <v>2.1</v>
      </c>
      <c r="G24" s="176">
        <v>0.15</v>
      </c>
      <c r="H24" s="176"/>
      <c r="I24" s="176"/>
      <c r="J24" s="173">
        <f t="shared" si="0"/>
        <v>0.28350000000000003</v>
      </c>
      <c r="K24" s="340"/>
      <c r="L24" s="375"/>
    </row>
    <row r="25" spans="1:12">
      <c r="A25" s="374"/>
      <c r="B25" s="336"/>
      <c r="C25" s="337"/>
      <c r="D25" s="171" t="s">
        <v>604</v>
      </c>
      <c r="E25" s="176">
        <v>1.6</v>
      </c>
      <c r="F25" s="176">
        <v>2.2000000000000002</v>
      </c>
      <c r="G25" s="176">
        <v>0.15</v>
      </c>
      <c r="H25" s="176"/>
      <c r="I25" s="176"/>
      <c r="J25" s="173">
        <f t="shared" si="0"/>
        <v>0.52800000000000002</v>
      </c>
      <c r="K25" s="340"/>
      <c r="L25" s="375"/>
    </row>
    <row r="26" spans="1:12">
      <c r="A26" s="374"/>
      <c r="B26" s="336"/>
      <c r="C26" s="337"/>
      <c r="D26" s="171" t="s">
        <v>605</v>
      </c>
      <c r="E26" s="176">
        <v>0.9</v>
      </c>
      <c r="F26" s="176">
        <v>2.1</v>
      </c>
      <c r="G26" s="176">
        <v>0.15</v>
      </c>
      <c r="H26" s="176"/>
      <c r="I26" s="176"/>
      <c r="J26" s="173">
        <f t="shared" si="0"/>
        <v>0.28350000000000003</v>
      </c>
      <c r="K26" s="340"/>
      <c r="L26" s="375"/>
    </row>
    <row r="27" spans="1:12">
      <c r="A27" s="374"/>
      <c r="B27" s="336"/>
      <c r="C27" s="337"/>
      <c r="D27" s="171" t="s">
        <v>606</v>
      </c>
      <c r="E27" s="176">
        <v>0.9</v>
      </c>
      <c r="F27" s="176">
        <v>2.1</v>
      </c>
      <c r="G27" s="176">
        <v>0.15</v>
      </c>
      <c r="H27" s="176"/>
      <c r="I27" s="176"/>
      <c r="J27" s="173">
        <f t="shared" si="0"/>
        <v>0.28350000000000003</v>
      </c>
      <c r="K27" s="340"/>
      <c r="L27" s="375"/>
    </row>
    <row r="28" spans="1:12">
      <c r="A28" s="374"/>
      <c r="B28" s="336"/>
      <c r="C28" s="337"/>
      <c r="D28" s="171" t="s">
        <v>607</v>
      </c>
      <c r="E28" s="176">
        <v>1.6</v>
      </c>
      <c r="F28" s="176">
        <v>2.2000000000000002</v>
      </c>
      <c r="G28" s="176">
        <v>0.15</v>
      </c>
      <c r="H28" s="176"/>
      <c r="I28" s="176"/>
      <c r="J28" s="173">
        <f t="shared" si="0"/>
        <v>0.52800000000000002</v>
      </c>
      <c r="K28" s="340"/>
      <c r="L28" s="375"/>
    </row>
    <row r="29" spans="1:12">
      <c r="A29" s="374"/>
      <c r="B29" s="336"/>
      <c r="C29" s="337"/>
      <c r="D29" s="171" t="s">
        <v>608</v>
      </c>
      <c r="E29" s="176">
        <v>9.52</v>
      </c>
      <c r="F29" s="176">
        <v>1</v>
      </c>
      <c r="G29" s="176">
        <v>0.15</v>
      </c>
      <c r="H29" s="176"/>
      <c r="I29" s="176"/>
      <c r="J29" s="173">
        <f t="shared" si="0"/>
        <v>1.4279999999999999</v>
      </c>
      <c r="K29" s="340"/>
      <c r="L29" s="375"/>
    </row>
    <row r="30" spans="1:12">
      <c r="A30" s="374"/>
      <c r="B30" s="336"/>
      <c r="C30" s="337"/>
      <c r="D30" s="171" t="s">
        <v>609</v>
      </c>
      <c r="E30" s="176">
        <v>1.6</v>
      </c>
      <c r="F30" s="176">
        <v>1.5</v>
      </c>
      <c r="G30" s="176">
        <v>0.15</v>
      </c>
      <c r="H30" s="176"/>
      <c r="I30" s="176"/>
      <c r="J30" s="173">
        <f t="shared" si="0"/>
        <v>0.36</v>
      </c>
      <c r="K30" s="340"/>
      <c r="L30" s="375"/>
    </row>
    <row r="31" spans="1:12">
      <c r="A31" s="374"/>
      <c r="B31" s="338"/>
      <c r="C31" s="339"/>
      <c r="D31" s="171" t="s">
        <v>610</v>
      </c>
      <c r="E31" s="176">
        <f>1.9+2.2+1.7+2.25</f>
        <v>8.0500000000000007</v>
      </c>
      <c r="F31" s="176">
        <v>2</v>
      </c>
      <c r="G31" s="176">
        <v>0.15</v>
      </c>
      <c r="H31" s="176"/>
      <c r="I31" s="176"/>
      <c r="J31" s="173">
        <f t="shared" si="0"/>
        <v>2.415</v>
      </c>
      <c r="K31" s="340"/>
      <c r="L31" s="375"/>
    </row>
    <row r="32" spans="1:12">
      <c r="A32" s="216"/>
      <c r="B32" s="10"/>
      <c r="C32" s="11"/>
      <c r="D32" s="12"/>
      <c r="E32" s="13"/>
      <c r="F32" s="14"/>
      <c r="G32" s="14"/>
      <c r="H32" s="14"/>
      <c r="I32" s="14"/>
      <c r="J32" s="15"/>
      <c r="K32" s="15"/>
      <c r="L32" s="163"/>
    </row>
    <row r="33" spans="1:12">
      <c r="A33" s="374">
        <v>2.2000000000000002</v>
      </c>
      <c r="B33" s="334" t="s">
        <v>611</v>
      </c>
      <c r="C33" s="335"/>
      <c r="D33" s="171" t="s">
        <v>600</v>
      </c>
      <c r="E33" s="176">
        <v>10.85</v>
      </c>
      <c r="F33" s="176">
        <v>1.5</v>
      </c>
      <c r="G33" s="176"/>
      <c r="H33" s="176"/>
      <c r="I33" s="176">
        <f>(2.1*0.8)</f>
        <v>1.6800000000000002</v>
      </c>
      <c r="J33" s="173">
        <f t="shared" ref="J33:J38" si="1">(E33*F33)-I33</f>
        <v>14.594999999999999</v>
      </c>
      <c r="K33" s="340">
        <f>SUM(J33:J40)</f>
        <v>133.20500000000001</v>
      </c>
      <c r="L33" s="375" t="s">
        <v>42</v>
      </c>
    </row>
    <row r="34" spans="1:12">
      <c r="A34" s="374"/>
      <c r="B34" s="336"/>
      <c r="C34" s="337"/>
      <c r="D34" s="171" t="s">
        <v>612</v>
      </c>
      <c r="E34" s="176">
        <f>(6.6+3.1)</f>
        <v>9.6999999999999993</v>
      </c>
      <c r="F34" s="176">
        <v>2.95</v>
      </c>
      <c r="G34" s="176"/>
      <c r="H34" s="176"/>
      <c r="I34" s="176">
        <f>(0.9*2.1)+(0.4*0.4)</f>
        <v>2.0500000000000003</v>
      </c>
      <c r="J34" s="173">
        <f t="shared" si="1"/>
        <v>26.564999999999998</v>
      </c>
      <c r="K34" s="340"/>
      <c r="L34" s="375"/>
    </row>
    <row r="35" spans="1:12">
      <c r="A35" s="374"/>
      <c r="B35" s="336"/>
      <c r="C35" s="337"/>
      <c r="D35" s="171" t="s">
        <v>613</v>
      </c>
      <c r="E35" s="176">
        <f>(2.9+6.6)</f>
        <v>9.5</v>
      </c>
      <c r="F35" s="176">
        <v>2.95</v>
      </c>
      <c r="G35" s="176"/>
      <c r="H35" s="176"/>
      <c r="I35" s="176">
        <f>(0.6*2.1)+(0.4*0.4)</f>
        <v>1.42</v>
      </c>
      <c r="J35" s="173">
        <f t="shared" si="1"/>
        <v>26.605000000000004</v>
      </c>
      <c r="K35" s="340"/>
      <c r="L35" s="375"/>
    </row>
    <row r="36" spans="1:12">
      <c r="A36" s="374"/>
      <c r="B36" s="336"/>
      <c r="C36" s="337"/>
      <c r="D36" s="171" t="s">
        <v>614</v>
      </c>
      <c r="E36" s="176">
        <f>(6.6+3.1)</f>
        <v>9.6999999999999993</v>
      </c>
      <c r="F36" s="176">
        <v>2.95</v>
      </c>
      <c r="G36" s="176"/>
      <c r="H36" s="176"/>
      <c r="I36" s="176">
        <f>(0.9*2.1)+(0.4*0.4)</f>
        <v>2.0500000000000003</v>
      </c>
      <c r="J36" s="173">
        <f t="shared" si="1"/>
        <v>26.564999999999998</v>
      </c>
      <c r="K36" s="340"/>
      <c r="L36" s="375"/>
    </row>
    <row r="37" spans="1:12">
      <c r="A37" s="374"/>
      <c r="B37" s="336"/>
      <c r="C37" s="337"/>
      <c r="D37" s="171" t="s">
        <v>615</v>
      </c>
      <c r="E37" s="176">
        <f>(2.9+6.6)</f>
        <v>9.5</v>
      </c>
      <c r="F37" s="176">
        <v>2.95</v>
      </c>
      <c r="G37" s="176"/>
      <c r="H37" s="176"/>
      <c r="I37" s="176">
        <f>(0.6*2.1)+(0.4*0.4)</f>
        <v>1.42</v>
      </c>
      <c r="J37" s="173">
        <f t="shared" si="1"/>
        <v>26.605000000000004</v>
      </c>
      <c r="K37" s="340"/>
      <c r="L37" s="375"/>
    </row>
    <row r="38" spans="1:12">
      <c r="A38" s="374"/>
      <c r="B38" s="336"/>
      <c r="C38" s="337"/>
      <c r="D38" s="171" t="s">
        <v>616</v>
      </c>
      <c r="E38" s="176">
        <v>4.8</v>
      </c>
      <c r="F38" s="176">
        <v>2.95</v>
      </c>
      <c r="G38" s="176"/>
      <c r="H38" s="176"/>
      <c r="I38" s="176">
        <f>0.9*2.1</f>
        <v>1.8900000000000001</v>
      </c>
      <c r="J38" s="173">
        <f t="shared" si="1"/>
        <v>12.27</v>
      </c>
      <c r="K38" s="340"/>
      <c r="L38" s="375"/>
    </row>
    <row r="39" spans="1:12">
      <c r="A39" s="374"/>
      <c r="B39" s="336"/>
      <c r="C39" s="337"/>
      <c r="D39" s="171"/>
      <c r="E39" s="176"/>
      <c r="F39" s="176"/>
      <c r="G39" s="176"/>
      <c r="H39" s="176"/>
      <c r="I39" s="176"/>
      <c r="J39" s="173">
        <f>(E39*F39)-G39</f>
        <v>0</v>
      </c>
      <c r="K39" s="340"/>
      <c r="L39" s="375"/>
    </row>
    <row r="40" spans="1:12">
      <c r="A40" s="374"/>
      <c r="B40" s="338"/>
      <c r="C40" s="339"/>
      <c r="D40" s="171"/>
      <c r="E40" s="176"/>
      <c r="F40" s="176"/>
      <c r="G40" s="176"/>
      <c r="H40" s="176"/>
      <c r="I40" s="176"/>
      <c r="J40" s="173">
        <f>(E40*F40)-G40</f>
        <v>0</v>
      </c>
      <c r="K40" s="340"/>
      <c r="L40" s="375"/>
    </row>
    <row r="41" spans="1:12">
      <c r="A41" s="216"/>
      <c r="B41" s="10"/>
      <c r="C41" s="11"/>
      <c r="D41" s="12"/>
      <c r="E41" s="13"/>
      <c r="F41" s="14"/>
      <c r="G41" s="14"/>
      <c r="H41" s="14"/>
      <c r="I41" s="14"/>
      <c r="J41" s="15"/>
      <c r="K41" s="15"/>
      <c r="L41" s="163"/>
    </row>
    <row r="42" spans="1:12">
      <c r="A42" s="374">
        <v>2.2999999999999998</v>
      </c>
      <c r="B42" s="334" t="s">
        <v>617</v>
      </c>
      <c r="C42" s="335"/>
      <c r="D42" s="171" t="s">
        <v>618</v>
      </c>
      <c r="E42" s="176">
        <v>2.95</v>
      </c>
      <c r="F42" s="176"/>
      <c r="G42" s="176">
        <v>3.7</v>
      </c>
      <c r="H42" s="176"/>
      <c r="I42" s="176"/>
      <c r="J42" s="173">
        <f t="shared" ref="J42:J54" si="2">(E42*G42)</f>
        <v>10.915000000000001</v>
      </c>
      <c r="K42" s="340">
        <f>SUM(J42:J54)</f>
        <v>53.533999999999999</v>
      </c>
      <c r="L42" s="375" t="s">
        <v>42</v>
      </c>
    </row>
    <row r="43" spans="1:12">
      <c r="A43" s="374"/>
      <c r="B43" s="336"/>
      <c r="C43" s="337"/>
      <c r="D43" s="171" t="s">
        <v>619</v>
      </c>
      <c r="E43" s="176">
        <v>3.85</v>
      </c>
      <c r="F43" s="176"/>
      <c r="G43" s="176">
        <v>1.18</v>
      </c>
      <c r="H43" s="176"/>
      <c r="I43" s="176"/>
      <c r="J43" s="173">
        <f t="shared" si="2"/>
        <v>4.5430000000000001</v>
      </c>
      <c r="K43" s="340"/>
      <c r="L43" s="375"/>
    </row>
    <row r="44" spans="1:12">
      <c r="A44" s="374"/>
      <c r="B44" s="336"/>
      <c r="C44" s="337"/>
      <c r="D44" s="171" t="s">
        <v>620</v>
      </c>
      <c r="E44" s="176">
        <v>3.5</v>
      </c>
      <c r="F44" s="176"/>
      <c r="G44" s="176">
        <v>4.28</v>
      </c>
      <c r="H44" s="176"/>
      <c r="I44" s="176"/>
      <c r="J44" s="173">
        <f t="shared" si="2"/>
        <v>14.98</v>
      </c>
      <c r="K44" s="340"/>
      <c r="L44" s="375"/>
    </row>
    <row r="45" spans="1:12">
      <c r="A45" s="374"/>
      <c r="B45" s="336"/>
      <c r="C45" s="337"/>
      <c r="D45" s="171" t="s">
        <v>621</v>
      </c>
      <c r="E45" s="176">
        <v>2.06</v>
      </c>
      <c r="F45" s="176"/>
      <c r="G45" s="176">
        <v>1.6</v>
      </c>
      <c r="H45" s="176"/>
      <c r="I45" s="176"/>
      <c r="J45" s="173">
        <f t="shared" si="2"/>
        <v>3.2960000000000003</v>
      </c>
      <c r="K45" s="340"/>
      <c r="L45" s="375"/>
    </row>
    <row r="46" spans="1:12">
      <c r="A46" s="374"/>
      <c r="B46" s="336"/>
      <c r="C46" s="337"/>
      <c r="D46" s="171" t="s">
        <v>622</v>
      </c>
      <c r="E46" s="176">
        <v>3.3</v>
      </c>
      <c r="F46" s="176"/>
      <c r="G46" s="176">
        <v>1.55</v>
      </c>
      <c r="H46" s="176"/>
      <c r="I46" s="176"/>
      <c r="J46" s="173">
        <f t="shared" si="2"/>
        <v>5.1150000000000002</v>
      </c>
      <c r="K46" s="340"/>
      <c r="L46" s="375"/>
    </row>
    <row r="47" spans="1:12">
      <c r="A47" s="374"/>
      <c r="B47" s="336"/>
      <c r="C47" s="337"/>
      <c r="D47" s="171" t="s">
        <v>623</v>
      </c>
      <c r="E47" s="176">
        <v>3.3</v>
      </c>
      <c r="F47" s="176"/>
      <c r="G47" s="176">
        <v>1.45</v>
      </c>
      <c r="H47" s="176"/>
      <c r="I47" s="176"/>
      <c r="J47" s="173">
        <f t="shared" si="2"/>
        <v>4.7849999999999993</v>
      </c>
      <c r="K47" s="340"/>
      <c r="L47" s="375"/>
    </row>
    <row r="48" spans="1:12">
      <c r="A48" s="374"/>
      <c r="B48" s="336"/>
      <c r="C48" s="337"/>
      <c r="D48" s="171" t="s">
        <v>624</v>
      </c>
      <c r="E48" s="176">
        <v>3.3</v>
      </c>
      <c r="F48" s="176"/>
      <c r="G48" s="176">
        <v>1.55</v>
      </c>
      <c r="H48" s="176"/>
      <c r="I48" s="176"/>
      <c r="J48" s="173">
        <f t="shared" si="2"/>
        <v>5.1150000000000002</v>
      </c>
      <c r="K48" s="340"/>
      <c r="L48" s="375"/>
    </row>
    <row r="49" spans="1:12">
      <c r="A49" s="374"/>
      <c r="B49" s="336"/>
      <c r="C49" s="337"/>
      <c r="D49" s="171" t="s">
        <v>625</v>
      </c>
      <c r="E49" s="176">
        <v>3.3</v>
      </c>
      <c r="F49" s="176"/>
      <c r="G49" s="176">
        <v>1.45</v>
      </c>
      <c r="H49" s="176"/>
      <c r="I49" s="176"/>
      <c r="J49" s="173">
        <f t="shared" si="2"/>
        <v>4.7849999999999993</v>
      </c>
      <c r="K49" s="340"/>
      <c r="L49" s="375"/>
    </row>
    <row r="50" spans="1:12">
      <c r="A50" s="374"/>
      <c r="B50" s="336"/>
      <c r="C50" s="337"/>
      <c r="D50" s="171"/>
      <c r="E50" s="176"/>
      <c r="F50" s="176"/>
      <c r="G50" s="176"/>
      <c r="H50" s="176"/>
      <c r="I50" s="176"/>
      <c r="J50" s="173">
        <f t="shared" si="2"/>
        <v>0</v>
      </c>
      <c r="K50" s="340"/>
      <c r="L50" s="375"/>
    </row>
    <row r="51" spans="1:12">
      <c r="A51" s="374"/>
      <c r="B51" s="336"/>
      <c r="C51" s="337"/>
      <c r="D51" s="171"/>
      <c r="E51" s="176"/>
      <c r="F51" s="176"/>
      <c r="G51" s="176"/>
      <c r="H51" s="176"/>
      <c r="I51" s="176"/>
      <c r="J51" s="173">
        <f t="shared" si="2"/>
        <v>0</v>
      </c>
      <c r="K51" s="340"/>
      <c r="L51" s="375"/>
    </row>
    <row r="52" spans="1:12">
      <c r="A52" s="374"/>
      <c r="B52" s="336"/>
      <c r="C52" s="337"/>
      <c r="D52" s="171"/>
      <c r="E52" s="176"/>
      <c r="F52" s="176"/>
      <c r="G52" s="176"/>
      <c r="H52" s="176"/>
      <c r="I52" s="176"/>
      <c r="J52" s="173">
        <f t="shared" si="2"/>
        <v>0</v>
      </c>
      <c r="K52" s="340"/>
      <c r="L52" s="375"/>
    </row>
    <row r="53" spans="1:12">
      <c r="A53" s="374"/>
      <c r="B53" s="336"/>
      <c r="C53" s="337"/>
      <c r="D53" s="171"/>
      <c r="E53" s="176"/>
      <c r="F53" s="176"/>
      <c r="G53" s="176"/>
      <c r="H53" s="176"/>
      <c r="I53" s="176"/>
      <c r="J53" s="173">
        <f t="shared" si="2"/>
        <v>0</v>
      </c>
      <c r="K53" s="340"/>
      <c r="L53" s="375"/>
    </row>
    <row r="54" spans="1:12">
      <c r="A54" s="374"/>
      <c r="B54" s="338"/>
      <c r="C54" s="339"/>
      <c r="D54" s="171"/>
      <c r="E54" s="176"/>
      <c r="F54" s="176"/>
      <c r="G54" s="176"/>
      <c r="H54" s="176"/>
      <c r="I54" s="176"/>
      <c r="J54" s="173">
        <f t="shared" si="2"/>
        <v>0</v>
      </c>
      <c r="K54" s="340"/>
      <c r="L54" s="375"/>
    </row>
    <row r="55" spans="1:12">
      <c r="A55" s="216"/>
      <c r="B55" s="10"/>
      <c r="C55" s="11"/>
      <c r="D55" s="12"/>
      <c r="E55" s="13"/>
      <c r="F55" s="14"/>
      <c r="G55" s="14"/>
      <c r="H55" s="14"/>
      <c r="I55" s="14"/>
      <c r="J55" s="15"/>
      <c r="K55" s="15"/>
      <c r="L55" s="163"/>
    </row>
    <row r="56" spans="1:12">
      <c r="A56" s="250">
        <v>2.4</v>
      </c>
      <c r="B56" s="341" t="s">
        <v>626</v>
      </c>
      <c r="C56" s="342"/>
      <c r="D56" s="171" t="s">
        <v>627</v>
      </c>
      <c r="E56" s="252">
        <v>4.12</v>
      </c>
      <c r="F56" s="172">
        <v>0.12</v>
      </c>
      <c r="G56" s="172">
        <v>2</v>
      </c>
      <c r="H56" s="172"/>
      <c r="I56" s="172"/>
      <c r="J56" s="177">
        <f>G56*F56*E56</f>
        <v>0.98880000000000001</v>
      </c>
      <c r="K56" s="247">
        <f>J56</f>
        <v>0.98880000000000001</v>
      </c>
      <c r="L56" s="251" t="s">
        <v>38</v>
      </c>
    </row>
    <row r="57" spans="1:12">
      <c r="A57" s="216"/>
      <c r="B57" s="10"/>
      <c r="C57" s="11"/>
      <c r="D57" s="12"/>
      <c r="E57" s="13"/>
      <c r="F57" s="14"/>
      <c r="G57" s="14"/>
      <c r="H57" s="14"/>
      <c r="I57" s="14"/>
      <c r="J57" s="15"/>
      <c r="K57" s="15"/>
      <c r="L57" s="163"/>
    </row>
    <row r="58" spans="1:12">
      <c r="A58" s="374">
        <v>2.5</v>
      </c>
      <c r="B58" s="334" t="s">
        <v>628</v>
      </c>
      <c r="C58" s="335"/>
      <c r="D58" s="171" t="s">
        <v>629</v>
      </c>
      <c r="E58" s="176">
        <v>3.25</v>
      </c>
      <c r="F58" s="176">
        <v>0.3</v>
      </c>
      <c r="G58" s="176">
        <v>0.25</v>
      </c>
      <c r="H58" s="176"/>
      <c r="I58" s="176"/>
      <c r="J58" s="173">
        <f t="shared" ref="J58:J70" si="3">G58*F58*E58</f>
        <v>0.24374999999999999</v>
      </c>
      <c r="K58" s="340">
        <f>SUM(J58:J70)*1.3</f>
        <v>7.9082249999999998</v>
      </c>
      <c r="L58" s="375" t="s">
        <v>599</v>
      </c>
    </row>
    <row r="59" spans="1:12">
      <c r="A59" s="374"/>
      <c r="B59" s="336"/>
      <c r="C59" s="337"/>
      <c r="D59" s="171" t="s">
        <v>630</v>
      </c>
      <c r="E59" s="176">
        <v>3.25</v>
      </c>
      <c r="F59" s="176">
        <v>0.3</v>
      </c>
      <c r="G59" s="176">
        <v>0.25</v>
      </c>
      <c r="H59" s="176"/>
      <c r="I59" s="176"/>
      <c r="J59" s="173">
        <f t="shared" si="3"/>
        <v>0.24374999999999999</v>
      </c>
      <c r="K59" s="340"/>
      <c r="L59" s="375"/>
    </row>
    <row r="60" spans="1:12">
      <c r="A60" s="374"/>
      <c r="B60" s="336"/>
      <c r="C60" s="337"/>
      <c r="D60" s="171" t="s">
        <v>630</v>
      </c>
      <c r="E60" s="176">
        <v>3.1</v>
      </c>
      <c r="F60" s="176">
        <v>0.3</v>
      </c>
      <c r="G60" s="176">
        <v>0.25</v>
      </c>
      <c r="H60" s="176"/>
      <c r="I60" s="176"/>
      <c r="J60" s="173">
        <f t="shared" si="3"/>
        <v>0.23249999999999998</v>
      </c>
      <c r="K60" s="340"/>
      <c r="L60" s="375"/>
    </row>
    <row r="61" spans="1:12">
      <c r="A61" s="374"/>
      <c r="B61" s="336"/>
      <c r="C61" s="337"/>
      <c r="D61" s="171" t="s">
        <v>600</v>
      </c>
      <c r="E61" s="176">
        <v>5.6</v>
      </c>
      <c r="F61" s="176">
        <v>0.3</v>
      </c>
      <c r="G61" s="176">
        <v>0.25</v>
      </c>
      <c r="H61" s="176"/>
      <c r="I61" s="176"/>
      <c r="J61" s="173">
        <f t="shared" si="3"/>
        <v>0.42</v>
      </c>
      <c r="K61" s="340"/>
      <c r="L61" s="375"/>
    </row>
    <row r="62" spans="1:12">
      <c r="A62" s="374"/>
      <c r="B62" s="336"/>
      <c r="C62" s="337"/>
      <c r="D62" s="171" t="s">
        <v>631</v>
      </c>
      <c r="E62" s="176">
        <v>1.95</v>
      </c>
      <c r="F62" s="176">
        <v>1.3</v>
      </c>
      <c r="G62" s="176">
        <v>1.95</v>
      </c>
      <c r="H62" s="176"/>
      <c r="I62" s="176"/>
      <c r="J62" s="173">
        <f t="shared" si="3"/>
        <v>4.9432499999999999</v>
      </c>
      <c r="K62" s="340"/>
      <c r="L62" s="375"/>
    </row>
    <row r="63" spans="1:12">
      <c r="A63" s="374"/>
      <c r="B63" s="336"/>
      <c r="C63" s="337"/>
      <c r="D63" s="171" t="s">
        <v>632</v>
      </c>
      <c r="E63" s="176"/>
      <c r="F63" s="176"/>
      <c r="G63" s="176"/>
      <c r="H63" s="176"/>
      <c r="I63" s="176"/>
      <c r="J63" s="173">
        <f t="shared" si="3"/>
        <v>0</v>
      </c>
      <c r="K63" s="340"/>
      <c r="L63" s="375"/>
    </row>
    <row r="64" spans="1:12">
      <c r="A64" s="374"/>
      <c r="B64" s="336"/>
      <c r="C64" s="337"/>
      <c r="D64" s="171"/>
      <c r="E64" s="176"/>
      <c r="F64" s="176"/>
      <c r="G64" s="176"/>
      <c r="H64" s="176"/>
      <c r="I64" s="176"/>
      <c r="J64" s="173">
        <f t="shared" si="3"/>
        <v>0</v>
      </c>
      <c r="K64" s="340"/>
      <c r="L64" s="375"/>
    </row>
    <row r="65" spans="1:12">
      <c r="A65" s="374"/>
      <c r="B65" s="336"/>
      <c r="C65" s="337"/>
      <c r="D65" s="171"/>
      <c r="E65" s="176"/>
      <c r="F65" s="176"/>
      <c r="G65" s="176"/>
      <c r="H65" s="176"/>
      <c r="I65" s="176"/>
      <c r="J65" s="173">
        <f t="shared" si="3"/>
        <v>0</v>
      </c>
      <c r="K65" s="340"/>
      <c r="L65" s="375"/>
    </row>
    <row r="66" spans="1:12">
      <c r="A66" s="374"/>
      <c r="B66" s="336"/>
      <c r="C66" s="337"/>
      <c r="D66" s="171"/>
      <c r="E66" s="176"/>
      <c r="F66" s="176"/>
      <c r="G66" s="176"/>
      <c r="H66" s="176"/>
      <c r="I66" s="176"/>
      <c r="J66" s="173">
        <f t="shared" si="3"/>
        <v>0</v>
      </c>
      <c r="K66" s="340"/>
      <c r="L66" s="375"/>
    </row>
    <row r="67" spans="1:12">
      <c r="A67" s="374"/>
      <c r="B67" s="336"/>
      <c r="C67" s="337"/>
      <c r="D67" s="171"/>
      <c r="E67" s="176"/>
      <c r="F67" s="176"/>
      <c r="G67" s="176"/>
      <c r="H67" s="176"/>
      <c r="I67" s="176"/>
      <c r="J67" s="173">
        <f t="shared" si="3"/>
        <v>0</v>
      </c>
      <c r="K67" s="340"/>
      <c r="L67" s="375"/>
    </row>
    <row r="68" spans="1:12">
      <c r="A68" s="374"/>
      <c r="B68" s="336"/>
      <c r="C68" s="337"/>
      <c r="D68" s="171"/>
      <c r="E68" s="176"/>
      <c r="F68" s="176"/>
      <c r="G68" s="176"/>
      <c r="H68" s="176"/>
      <c r="I68" s="176"/>
      <c r="J68" s="173">
        <f t="shared" si="3"/>
        <v>0</v>
      </c>
      <c r="K68" s="340"/>
      <c r="L68" s="375"/>
    </row>
    <row r="69" spans="1:12">
      <c r="A69" s="374"/>
      <c r="B69" s="336"/>
      <c r="C69" s="337"/>
      <c r="D69" s="171"/>
      <c r="E69" s="176"/>
      <c r="F69" s="176"/>
      <c r="G69" s="176"/>
      <c r="H69" s="176"/>
      <c r="I69" s="176"/>
      <c r="J69" s="173">
        <f t="shared" si="3"/>
        <v>0</v>
      </c>
      <c r="K69" s="340"/>
      <c r="L69" s="375"/>
    </row>
    <row r="70" spans="1:12">
      <c r="A70" s="374"/>
      <c r="B70" s="338"/>
      <c r="C70" s="339"/>
      <c r="D70" s="171"/>
      <c r="E70" s="176"/>
      <c r="F70" s="176"/>
      <c r="G70" s="176"/>
      <c r="H70" s="176"/>
      <c r="I70" s="176"/>
      <c r="J70" s="173">
        <f t="shared" si="3"/>
        <v>0</v>
      </c>
      <c r="K70" s="340"/>
      <c r="L70" s="375"/>
    </row>
    <row r="71" spans="1:12">
      <c r="A71" s="216"/>
      <c r="B71" s="10"/>
      <c r="C71" s="11"/>
      <c r="D71" s="12"/>
      <c r="E71" s="13"/>
      <c r="F71" s="14"/>
      <c r="G71" s="14"/>
      <c r="H71" s="14"/>
      <c r="I71" s="14"/>
      <c r="J71" s="15"/>
      <c r="K71" s="15"/>
      <c r="L71" s="163"/>
    </row>
    <row r="72" spans="1:12">
      <c r="A72" s="374">
        <v>2.6</v>
      </c>
      <c r="B72" s="334" t="s">
        <v>505</v>
      </c>
      <c r="C72" s="335"/>
      <c r="D72" s="171" t="s">
        <v>633</v>
      </c>
      <c r="E72" s="176">
        <v>3.25</v>
      </c>
      <c r="F72" s="176"/>
      <c r="G72" s="176">
        <v>0.25</v>
      </c>
      <c r="H72" s="176"/>
      <c r="I72" s="176"/>
      <c r="J72" s="173">
        <f t="shared" ref="J72:J84" si="4">G72*E72</f>
        <v>0.8125</v>
      </c>
      <c r="K72" s="340">
        <f>SUM(J72:J84)</f>
        <v>7.6024999999999991</v>
      </c>
      <c r="L72" s="345" t="s">
        <v>500</v>
      </c>
    </row>
    <row r="73" spans="1:12">
      <c r="A73" s="374"/>
      <c r="B73" s="336"/>
      <c r="C73" s="337"/>
      <c r="D73" s="171" t="s">
        <v>633</v>
      </c>
      <c r="E73" s="176">
        <v>3.25</v>
      </c>
      <c r="F73" s="176"/>
      <c r="G73" s="176">
        <v>0.25</v>
      </c>
      <c r="H73" s="176"/>
      <c r="I73" s="176"/>
      <c r="J73" s="173">
        <f t="shared" si="4"/>
        <v>0.8125</v>
      </c>
      <c r="K73" s="340"/>
      <c r="L73" s="375"/>
    </row>
    <row r="74" spans="1:12">
      <c r="A74" s="374"/>
      <c r="B74" s="336"/>
      <c r="C74" s="337"/>
      <c r="D74" s="171" t="s">
        <v>633</v>
      </c>
      <c r="E74" s="176">
        <v>3.1</v>
      </c>
      <c r="F74" s="176"/>
      <c r="G74" s="176">
        <v>0.25</v>
      </c>
      <c r="H74" s="176"/>
      <c r="I74" s="176"/>
      <c r="J74" s="173">
        <f t="shared" si="4"/>
        <v>0.77500000000000002</v>
      </c>
      <c r="K74" s="340"/>
      <c r="L74" s="375"/>
    </row>
    <row r="75" spans="1:12">
      <c r="A75" s="374"/>
      <c r="B75" s="336"/>
      <c r="C75" s="337"/>
      <c r="D75" s="171" t="s">
        <v>600</v>
      </c>
      <c r="E75" s="176">
        <v>5.6</v>
      </c>
      <c r="F75" s="176"/>
      <c r="G75" s="176">
        <v>0.25</v>
      </c>
      <c r="H75" s="176"/>
      <c r="I75" s="176"/>
      <c r="J75" s="173">
        <f t="shared" si="4"/>
        <v>1.4</v>
      </c>
      <c r="K75" s="340"/>
      <c r="L75" s="375"/>
    </row>
    <row r="76" spans="1:12">
      <c r="A76" s="374"/>
      <c r="B76" s="336"/>
      <c r="C76" s="337"/>
      <c r="D76" s="171" t="s">
        <v>631</v>
      </c>
      <c r="E76" s="176">
        <v>1.95</v>
      </c>
      <c r="F76" s="176"/>
      <c r="G76" s="176">
        <v>1.95</v>
      </c>
      <c r="H76" s="176"/>
      <c r="I76" s="176"/>
      <c r="J76" s="173">
        <f t="shared" si="4"/>
        <v>3.8024999999999998</v>
      </c>
      <c r="K76" s="340"/>
      <c r="L76" s="375"/>
    </row>
    <row r="77" spans="1:12">
      <c r="A77" s="374"/>
      <c r="B77" s="336"/>
      <c r="C77" s="337"/>
      <c r="D77" s="171"/>
      <c r="E77" s="176"/>
      <c r="F77" s="176"/>
      <c r="G77" s="176"/>
      <c r="H77" s="176"/>
      <c r="I77" s="176"/>
      <c r="J77" s="173">
        <f t="shared" si="4"/>
        <v>0</v>
      </c>
      <c r="K77" s="340"/>
      <c r="L77" s="375"/>
    </row>
    <row r="78" spans="1:12">
      <c r="A78" s="374"/>
      <c r="B78" s="336"/>
      <c r="C78" s="337"/>
      <c r="D78" s="171"/>
      <c r="E78" s="176"/>
      <c r="F78" s="176"/>
      <c r="G78" s="176"/>
      <c r="H78" s="176"/>
      <c r="I78" s="176"/>
      <c r="J78" s="173">
        <f t="shared" si="4"/>
        <v>0</v>
      </c>
      <c r="K78" s="340"/>
      <c r="L78" s="375"/>
    </row>
    <row r="79" spans="1:12">
      <c r="A79" s="374"/>
      <c r="B79" s="336"/>
      <c r="C79" s="337"/>
      <c r="D79" s="171"/>
      <c r="E79" s="176"/>
      <c r="F79" s="176"/>
      <c r="G79" s="176"/>
      <c r="H79" s="176"/>
      <c r="I79" s="176"/>
      <c r="J79" s="173">
        <f t="shared" si="4"/>
        <v>0</v>
      </c>
      <c r="K79" s="340"/>
      <c r="L79" s="375"/>
    </row>
    <row r="80" spans="1:12">
      <c r="A80" s="374"/>
      <c r="B80" s="336"/>
      <c r="C80" s="337"/>
      <c r="D80" s="171"/>
      <c r="E80" s="176"/>
      <c r="F80" s="176"/>
      <c r="G80" s="176"/>
      <c r="H80" s="176"/>
      <c r="I80" s="176"/>
      <c r="J80" s="173">
        <f t="shared" si="4"/>
        <v>0</v>
      </c>
      <c r="K80" s="340"/>
      <c r="L80" s="375"/>
    </row>
    <row r="81" spans="1:12">
      <c r="A81" s="374"/>
      <c r="B81" s="336"/>
      <c r="C81" s="337"/>
      <c r="D81" s="171"/>
      <c r="E81" s="176"/>
      <c r="F81" s="176"/>
      <c r="G81" s="176"/>
      <c r="H81" s="176"/>
      <c r="I81" s="176"/>
      <c r="J81" s="173">
        <f t="shared" si="4"/>
        <v>0</v>
      </c>
      <c r="K81" s="340"/>
      <c r="L81" s="375"/>
    </row>
    <row r="82" spans="1:12">
      <c r="A82" s="374"/>
      <c r="B82" s="336"/>
      <c r="C82" s="337"/>
      <c r="D82" s="171"/>
      <c r="E82" s="176"/>
      <c r="F82" s="176"/>
      <c r="G82" s="176"/>
      <c r="H82" s="176"/>
      <c r="I82" s="176"/>
      <c r="J82" s="173">
        <f t="shared" si="4"/>
        <v>0</v>
      </c>
      <c r="K82" s="340"/>
      <c r="L82" s="375"/>
    </row>
    <row r="83" spans="1:12">
      <c r="A83" s="374"/>
      <c r="B83" s="336"/>
      <c r="C83" s="337"/>
      <c r="D83" s="171"/>
      <c r="E83" s="176"/>
      <c r="F83" s="176"/>
      <c r="G83" s="176"/>
      <c r="H83" s="176"/>
      <c r="I83" s="176"/>
      <c r="J83" s="173">
        <f t="shared" si="4"/>
        <v>0</v>
      </c>
      <c r="K83" s="340"/>
      <c r="L83" s="375"/>
    </row>
    <row r="84" spans="1:12">
      <c r="A84" s="374"/>
      <c r="B84" s="338"/>
      <c r="C84" s="339"/>
      <c r="D84" s="171"/>
      <c r="E84" s="176"/>
      <c r="F84" s="176"/>
      <c r="G84" s="176"/>
      <c r="H84" s="176"/>
      <c r="I84" s="176"/>
      <c r="J84" s="173">
        <f t="shared" si="4"/>
        <v>0</v>
      </c>
      <c r="K84" s="340"/>
      <c r="L84" s="375"/>
    </row>
    <row r="85" spans="1:12">
      <c r="A85" s="216"/>
      <c r="B85" s="10"/>
      <c r="C85" s="11"/>
      <c r="D85" s="12"/>
      <c r="E85" s="13"/>
      <c r="F85" s="14"/>
      <c r="G85" s="14"/>
      <c r="H85" s="14"/>
      <c r="I85" s="14"/>
      <c r="J85" s="15"/>
      <c r="K85" s="15"/>
      <c r="L85" s="163"/>
    </row>
    <row r="86" spans="1:12">
      <c r="A86" s="250">
        <v>2.7</v>
      </c>
      <c r="B86" s="341" t="s">
        <v>634</v>
      </c>
      <c r="C86" s="342"/>
      <c r="D86" s="171" t="s">
        <v>635</v>
      </c>
      <c r="E86" s="252"/>
      <c r="F86" s="172"/>
      <c r="G86" s="172"/>
      <c r="H86" s="172"/>
      <c r="I86" s="172"/>
      <c r="J86" s="177">
        <f>K58+K56+K19+(K106*0.1)</f>
        <v>26.371924999999997</v>
      </c>
      <c r="K86" s="247">
        <f>J86</f>
        <v>26.371924999999997</v>
      </c>
      <c r="L86" s="251" t="s">
        <v>38</v>
      </c>
    </row>
    <row r="87" spans="1:12">
      <c r="A87" s="216"/>
      <c r="B87" s="10"/>
      <c r="C87" s="11"/>
      <c r="D87" s="12"/>
      <c r="E87" s="13"/>
      <c r="F87" s="14"/>
      <c r="G87" s="14"/>
      <c r="H87" s="14"/>
      <c r="I87" s="14"/>
      <c r="J87" s="15"/>
      <c r="K87" s="15"/>
      <c r="L87" s="163"/>
    </row>
    <row r="88" spans="1:12">
      <c r="A88" s="250">
        <v>2.8</v>
      </c>
      <c r="B88" s="341" t="s">
        <v>636</v>
      </c>
      <c r="C88" s="342"/>
      <c r="D88" s="171" t="s">
        <v>635</v>
      </c>
      <c r="E88" s="252"/>
      <c r="F88" s="172"/>
      <c r="G88" s="172"/>
      <c r="H88" s="172"/>
      <c r="I88" s="172"/>
      <c r="J88" s="177">
        <f>J86</f>
        <v>26.371924999999997</v>
      </c>
      <c r="K88" s="247">
        <f>J88</f>
        <v>26.371924999999997</v>
      </c>
      <c r="L88" s="251" t="s">
        <v>38</v>
      </c>
    </row>
    <row r="89" spans="1:12">
      <c r="A89" s="216"/>
      <c r="B89" s="10"/>
      <c r="C89" s="11"/>
      <c r="D89" s="12"/>
      <c r="E89" s="13"/>
      <c r="F89" s="14"/>
      <c r="G89" s="14"/>
      <c r="H89" s="14"/>
      <c r="I89" s="14"/>
      <c r="J89" s="15"/>
      <c r="K89" s="15"/>
      <c r="L89" s="163"/>
    </row>
    <row r="90" spans="1:12" ht="33" customHeight="1">
      <c r="A90" s="250">
        <v>2.9</v>
      </c>
      <c r="B90" s="341" t="s">
        <v>637</v>
      </c>
      <c r="C90" s="342"/>
      <c r="D90" s="171" t="s">
        <v>638</v>
      </c>
      <c r="E90" s="252"/>
      <c r="F90" s="172"/>
      <c r="G90" s="172"/>
      <c r="H90" s="172"/>
      <c r="I90" s="172"/>
      <c r="J90" s="177">
        <v>69.84</v>
      </c>
      <c r="K90" s="247">
        <f>J90</f>
        <v>69.84</v>
      </c>
      <c r="L90" s="251" t="s">
        <v>500</v>
      </c>
    </row>
    <row r="91" spans="1:12">
      <c r="A91" s="216"/>
      <c r="B91" s="10"/>
      <c r="C91" s="11"/>
      <c r="D91" s="12"/>
      <c r="E91" s="13"/>
      <c r="F91" s="14"/>
      <c r="G91" s="14"/>
      <c r="H91" s="14"/>
      <c r="I91" s="14"/>
      <c r="J91" s="15"/>
      <c r="K91" s="15"/>
      <c r="L91" s="163"/>
    </row>
    <row r="92" spans="1:12">
      <c r="A92" s="346">
        <v>2.1</v>
      </c>
      <c r="B92" s="334" t="s">
        <v>639</v>
      </c>
      <c r="C92" s="335"/>
      <c r="D92" s="171" t="s">
        <v>640</v>
      </c>
      <c r="E92" s="176"/>
      <c r="F92" s="176">
        <v>2.1</v>
      </c>
      <c r="G92" s="176">
        <v>0.7</v>
      </c>
      <c r="H92" s="176">
        <v>4</v>
      </c>
      <c r="I92" s="176"/>
      <c r="J92" s="173">
        <f>F92*G92*H92</f>
        <v>5.88</v>
      </c>
      <c r="K92" s="340">
        <f>SUM(J92:J97)</f>
        <v>18.16</v>
      </c>
      <c r="L92" s="345" t="s">
        <v>500</v>
      </c>
    </row>
    <row r="93" spans="1:12">
      <c r="A93" s="346"/>
      <c r="B93" s="336"/>
      <c r="C93" s="337"/>
      <c r="D93" s="171" t="s">
        <v>641</v>
      </c>
      <c r="E93" s="176"/>
      <c r="F93" s="176">
        <v>2.1</v>
      </c>
      <c r="G93" s="176">
        <v>0.8</v>
      </c>
      <c r="H93" s="176">
        <v>2</v>
      </c>
      <c r="I93" s="176"/>
      <c r="J93" s="173">
        <f>F93*G93*H93</f>
        <v>3.3600000000000003</v>
      </c>
      <c r="K93" s="340"/>
      <c r="L93" s="345"/>
    </row>
    <row r="94" spans="1:12">
      <c r="A94" s="346"/>
      <c r="B94" s="336"/>
      <c r="C94" s="337"/>
      <c r="D94" s="171" t="s">
        <v>642</v>
      </c>
      <c r="E94" s="176"/>
      <c r="F94" s="176">
        <v>2.1</v>
      </c>
      <c r="G94" s="176">
        <v>0.7</v>
      </c>
      <c r="H94" s="176">
        <v>4</v>
      </c>
      <c r="I94" s="176"/>
      <c r="J94" s="173">
        <f>F94*G94*H94</f>
        <v>5.88</v>
      </c>
      <c r="K94" s="340"/>
      <c r="L94" s="345"/>
    </row>
    <row r="95" spans="1:12">
      <c r="A95" s="346"/>
      <c r="B95" s="336"/>
      <c r="C95" s="337"/>
      <c r="D95" s="171" t="s">
        <v>643</v>
      </c>
      <c r="E95" s="176"/>
      <c r="F95" s="176">
        <v>2.1</v>
      </c>
      <c r="G95" s="176">
        <v>0.8</v>
      </c>
      <c r="H95" s="176">
        <v>1</v>
      </c>
      <c r="I95" s="176"/>
      <c r="J95" s="173">
        <f>F95*G95*H95</f>
        <v>1.6800000000000002</v>
      </c>
      <c r="K95" s="340"/>
      <c r="L95" s="345"/>
    </row>
    <row r="96" spans="1:12">
      <c r="A96" s="346"/>
      <c r="B96" s="336"/>
      <c r="C96" s="337"/>
      <c r="D96" s="171" t="s">
        <v>644</v>
      </c>
      <c r="E96" s="176"/>
      <c r="F96" s="176">
        <v>1.7</v>
      </c>
      <c r="G96" s="176">
        <v>0.8</v>
      </c>
      <c r="H96" s="176">
        <v>1</v>
      </c>
      <c r="I96" s="176"/>
      <c r="J96" s="173">
        <f>F96*G96*H96</f>
        <v>1.36</v>
      </c>
      <c r="K96" s="340"/>
      <c r="L96" s="345"/>
    </row>
    <row r="97" spans="1:12">
      <c r="A97" s="346"/>
      <c r="B97" s="338"/>
      <c r="C97" s="339"/>
      <c r="D97" s="171"/>
      <c r="E97" s="176"/>
      <c r="F97" s="176"/>
      <c r="G97" s="176"/>
      <c r="H97" s="176"/>
      <c r="I97" s="176"/>
      <c r="J97" s="173">
        <f>G97*E97*F97</f>
        <v>0</v>
      </c>
      <c r="K97" s="340"/>
      <c r="L97" s="345"/>
    </row>
    <row r="98" spans="1:12">
      <c r="A98" s="216"/>
      <c r="B98" s="10"/>
      <c r="C98" s="11"/>
      <c r="D98" s="12"/>
      <c r="E98" s="13"/>
      <c r="F98" s="14"/>
      <c r="G98" s="14"/>
      <c r="H98" s="14"/>
      <c r="I98" s="14"/>
      <c r="J98" s="15"/>
      <c r="K98" s="15"/>
      <c r="L98" s="163"/>
    </row>
    <row r="99" spans="1:12">
      <c r="A99" s="346">
        <v>2.11</v>
      </c>
      <c r="B99" s="334" t="s">
        <v>645</v>
      </c>
      <c r="C99" s="335"/>
      <c r="D99" s="171" t="s">
        <v>640</v>
      </c>
      <c r="E99" s="176"/>
      <c r="F99" s="176"/>
      <c r="G99" s="176"/>
      <c r="H99" s="176"/>
      <c r="I99" s="176"/>
      <c r="J99" s="173">
        <v>4</v>
      </c>
      <c r="K99" s="340">
        <f>SUM(J99:J102)</f>
        <v>11</v>
      </c>
      <c r="L99" s="345" t="s">
        <v>500</v>
      </c>
    </row>
    <row r="100" spans="1:12">
      <c r="A100" s="346"/>
      <c r="B100" s="336"/>
      <c r="C100" s="337"/>
      <c r="D100" s="171" t="s">
        <v>641</v>
      </c>
      <c r="E100" s="176"/>
      <c r="F100" s="176"/>
      <c r="G100" s="176"/>
      <c r="H100" s="176"/>
      <c r="I100" s="176"/>
      <c r="J100" s="173">
        <v>2</v>
      </c>
      <c r="K100" s="340"/>
      <c r="L100" s="345"/>
    </row>
    <row r="101" spans="1:12">
      <c r="A101" s="346"/>
      <c r="B101" s="336"/>
      <c r="C101" s="337"/>
      <c r="D101" s="171" t="s">
        <v>642</v>
      </c>
      <c r="E101" s="176"/>
      <c r="F101" s="176"/>
      <c r="G101" s="176"/>
      <c r="H101" s="176"/>
      <c r="I101" s="176"/>
      <c r="J101" s="173">
        <v>4</v>
      </c>
      <c r="K101" s="340"/>
      <c r="L101" s="345"/>
    </row>
    <row r="102" spans="1:12">
      <c r="A102" s="346"/>
      <c r="B102" s="338"/>
      <c r="C102" s="339"/>
      <c r="D102" s="171" t="s">
        <v>643</v>
      </c>
      <c r="E102" s="176"/>
      <c r="F102" s="176"/>
      <c r="G102" s="176"/>
      <c r="H102" s="176"/>
      <c r="I102" s="176"/>
      <c r="J102" s="173">
        <v>1</v>
      </c>
      <c r="K102" s="340"/>
      <c r="L102" s="345"/>
    </row>
    <row r="103" spans="1:12">
      <c r="A103" s="216"/>
      <c r="B103" s="10"/>
      <c r="C103" s="11"/>
      <c r="D103" s="12"/>
      <c r="E103" s="13"/>
      <c r="F103" s="14"/>
      <c r="G103" s="14"/>
      <c r="H103" s="14"/>
      <c r="I103" s="14"/>
      <c r="J103" s="15"/>
      <c r="K103" s="15"/>
      <c r="L103" s="163"/>
    </row>
    <row r="104" spans="1:12" ht="30" customHeight="1">
      <c r="A104" s="250">
        <v>2.12</v>
      </c>
      <c r="B104" s="359" t="s">
        <v>646</v>
      </c>
      <c r="C104" s="360"/>
      <c r="D104" s="171" t="s">
        <v>647</v>
      </c>
      <c r="E104" s="252"/>
      <c r="F104" s="172"/>
      <c r="G104" s="172"/>
      <c r="H104" s="172"/>
      <c r="I104" s="172"/>
      <c r="J104" s="177">
        <v>215.92</v>
      </c>
      <c r="K104" s="247">
        <f>J104</f>
        <v>215.92</v>
      </c>
      <c r="L104" s="251" t="s">
        <v>500</v>
      </c>
    </row>
    <row r="105" spans="1:12">
      <c r="A105" s="216"/>
      <c r="B105" s="10"/>
      <c r="C105" s="11"/>
      <c r="D105" s="12"/>
      <c r="E105" s="13"/>
      <c r="F105" s="14"/>
      <c r="G105" s="14"/>
      <c r="H105" s="14"/>
      <c r="I105" s="14"/>
      <c r="J105" s="15"/>
      <c r="K105" s="15"/>
      <c r="L105" s="163"/>
    </row>
    <row r="106" spans="1:12" ht="30" customHeight="1">
      <c r="A106" s="250">
        <v>2.13</v>
      </c>
      <c r="B106" s="359" t="s">
        <v>648</v>
      </c>
      <c r="C106" s="360"/>
      <c r="D106" s="171" t="s">
        <v>649</v>
      </c>
      <c r="E106" s="252"/>
      <c r="F106" s="172"/>
      <c r="G106" s="172"/>
      <c r="H106" s="172"/>
      <c r="I106" s="172"/>
      <c r="J106" s="177">
        <v>80.3</v>
      </c>
      <c r="K106" s="247">
        <f>J106</f>
        <v>80.3</v>
      </c>
      <c r="L106" s="251" t="s">
        <v>500</v>
      </c>
    </row>
    <row r="107" spans="1:12" ht="15" thickBot="1">
      <c r="A107" s="216"/>
      <c r="B107" s="10"/>
      <c r="C107" s="11"/>
      <c r="D107" s="12"/>
      <c r="E107" s="13"/>
      <c r="F107" s="14"/>
      <c r="G107" s="14"/>
      <c r="H107" s="14"/>
      <c r="I107" s="14"/>
      <c r="J107" s="15"/>
      <c r="K107" s="15"/>
      <c r="L107" s="163"/>
    </row>
    <row r="108" spans="1:12" ht="16.2" thickBot="1">
      <c r="A108" s="179">
        <v>3</v>
      </c>
      <c r="B108" s="343" t="s">
        <v>650</v>
      </c>
      <c r="C108" s="343"/>
      <c r="D108" s="343"/>
      <c r="E108" s="343"/>
      <c r="F108" s="343"/>
      <c r="G108" s="343"/>
      <c r="H108" s="343"/>
      <c r="I108" s="343"/>
      <c r="J108" s="343"/>
      <c r="K108" s="343"/>
      <c r="L108" s="344"/>
    </row>
    <row r="109" spans="1:12">
      <c r="A109" s="216"/>
      <c r="B109" s="10"/>
      <c r="C109" s="11"/>
      <c r="D109" s="12"/>
      <c r="E109" s="13"/>
      <c r="F109" s="14"/>
      <c r="G109" s="14"/>
      <c r="H109" s="14"/>
      <c r="I109" s="14"/>
      <c r="J109" s="15"/>
      <c r="K109" s="15"/>
      <c r="L109" s="163"/>
    </row>
    <row r="110" spans="1:12">
      <c r="A110" s="374">
        <v>3.1</v>
      </c>
      <c r="B110" s="334" t="s">
        <v>651</v>
      </c>
      <c r="C110" s="335"/>
      <c r="D110" s="171" t="s">
        <v>652</v>
      </c>
      <c r="E110" s="176">
        <v>3.25</v>
      </c>
      <c r="F110" s="176">
        <v>2.95</v>
      </c>
      <c r="G110" s="176"/>
      <c r="H110" s="176"/>
      <c r="I110" s="176">
        <f>1.2*1.2</f>
        <v>1.44</v>
      </c>
      <c r="J110" s="173">
        <f>(E110*F110)-I110</f>
        <v>8.1475000000000009</v>
      </c>
      <c r="K110" s="340">
        <f>SUM(J110:J124)</f>
        <v>202.32249999999999</v>
      </c>
      <c r="L110" s="345" t="s">
        <v>500</v>
      </c>
    </row>
    <row r="111" spans="1:12">
      <c r="A111" s="374"/>
      <c r="B111" s="336"/>
      <c r="C111" s="337"/>
      <c r="D111" s="171" t="s">
        <v>652</v>
      </c>
      <c r="E111" s="176">
        <v>3.1</v>
      </c>
      <c r="F111" s="176">
        <v>2.95</v>
      </c>
      <c r="G111" s="176"/>
      <c r="H111" s="176"/>
      <c r="I111" s="176">
        <f>0.8*2.1</f>
        <v>1.6800000000000002</v>
      </c>
      <c r="J111" s="173">
        <f>(E111*F111)-I111</f>
        <v>7.4650000000000016</v>
      </c>
      <c r="K111" s="340"/>
      <c r="L111" s="345"/>
    </row>
    <row r="112" spans="1:12">
      <c r="A112" s="374"/>
      <c r="B112" s="336"/>
      <c r="C112" s="337"/>
      <c r="D112" s="171" t="s">
        <v>653</v>
      </c>
      <c r="E112" s="176">
        <v>3.1</v>
      </c>
      <c r="F112" s="176">
        <v>2.95</v>
      </c>
      <c r="G112" s="176"/>
      <c r="H112" s="176"/>
      <c r="I112" s="176">
        <f>0.8*2.1</f>
        <v>1.6800000000000002</v>
      </c>
      <c r="J112" s="173">
        <f t="shared" ref="J112:J124" si="5">(E112*F112)-I112</f>
        <v>7.4650000000000016</v>
      </c>
      <c r="K112" s="340"/>
      <c r="L112" s="375"/>
    </row>
    <row r="113" spans="1:12">
      <c r="A113" s="374"/>
      <c r="B113" s="336"/>
      <c r="C113" s="337"/>
      <c r="D113" s="171" t="s">
        <v>654</v>
      </c>
      <c r="E113" s="176">
        <v>5.6</v>
      </c>
      <c r="F113" s="176">
        <v>2.95</v>
      </c>
      <c r="G113" s="176"/>
      <c r="H113" s="176"/>
      <c r="I113" s="176">
        <f>(2.1*0.8)+(1.2*1.2)+(1.5*1.2)</f>
        <v>4.92</v>
      </c>
      <c r="J113" s="173">
        <f t="shared" si="5"/>
        <v>11.6</v>
      </c>
      <c r="K113" s="340"/>
      <c r="L113" s="375"/>
    </row>
    <row r="114" spans="1:12">
      <c r="A114" s="374"/>
      <c r="B114" s="336"/>
      <c r="C114" s="337"/>
      <c r="D114" s="171" t="s">
        <v>655</v>
      </c>
      <c r="E114" s="176">
        <v>0.8</v>
      </c>
      <c r="F114" s="176">
        <v>2.1</v>
      </c>
      <c r="G114" s="176"/>
      <c r="H114" s="176"/>
      <c r="I114" s="176"/>
      <c r="J114" s="173">
        <f t="shared" si="5"/>
        <v>1.6800000000000002</v>
      </c>
      <c r="K114" s="340"/>
      <c r="L114" s="375"/>
    </row>
    <row r="115" spans="1:12">
      <c r="A115" s="374"/>
      <c r="B115" s="336"/>
      <c r="C115" s="337"/>
      <c r="D115" s="171" t="s">
        <v>656</v>
      </c>
      <c r="E115" s="176">
        <v>0.6</v>
      </c>
      <c r="F115" s="176">
        <v>2.1</v>
      </c>
      <c r="G115" s="176"/>
      <c r="H115" s="176"/>
      <c r="I115" s="176"/>
      <c r="J115" s="173">
        <f t="shared" si="5"/>
        <v>1.26</v>
      </c>
      <c r="K115" s="340"/>
      <c r="L115" s="375"/>
    </row>
    <row r="116" spans="1:12">
      <c r="A116" s="374"/>
      <c r="B116" s="336"/>
      <c r="C116" s="337"/>
      <c r="D116" s="171" t="s">
        <v>657</v>
      </c>
      <c r="E116" s="176">
        <v>0.8</v>
      </c>
      <c r="F116" s="176">
        <v>2.1</v>
      </c>
      <c r="G116" s="176"/>
      <c r="H116" s="176"/>
      <c r="I116" s="176"/>
      <c r="J116" s="173">
        <f t="shared" si="5"/>
        <v>1.6800000000000002</v>
      </c>
      <c r="K116" s="340"/>
      <c r="L116" s="375"/>
    </row>
    <row r="117" spans="1:12">
      <c r="A117" s="374"/>
      <c r="B117" s="336"/>
      <c r="C117" s="337"/>
      <c r="D117" s="171" t="s">
        <v>658</v>
      </c>
      <c r="E117" s="176">
        <v>0.6</v>
      </c>
      <c r="F117" s="176">
        <v>2.1</v>
      </c>
      <c r="G117" s="176"/>
      <c r="H117" s="176"/>
      <c r="I117" s="176"/>
      <c r="J117" s="173">
        <f t="shared" si="5"/>
        <v>1.26</v>
      </c>
      <c r="K117" s="340"/>
      <c r="L117" s="375"/>
    </row>
    <row r="118" spans="1:12">
      <c r="A118" s="374"/>
      <c r="B118" s="336"/>
      <c r="C118" s="337"/>
      <c r="D118" s="171" t="s">
        <v>659</v>
      </c>
      <c r="E118" s="176">
        <f>(1.95+1.95+1.95)-0.6</f>
        <v>5.25</v>
      </c>
      <c r="F118" s="176">
        <v>10.28</v>
      </c>
      <c r="G118" s="176"/>
      <c r="H118" s="176"/>
      <c r="I118" s="176"/>
      <c r="J118" s="173">
        <f t="shared" si="5"/>
        <v>53.97</v>
      </c>
      <c r="K118" s="340"/>
      <c r="L118" s="375"/>
    </row>
    <row r="119" spans="1:12">
      <c r="A119" s="374"/>
      <c r="B119" s="336"/>
      <c r="C119" s="337"/>
      <c r="D119" s="171" t="s">
        <v>660</v>
      </c>
      <c r="E119" s="176">
        <f>3.62+17.74</f>
        <v>21.36</v>
      </c>
      <c r="F119" s="176">
        <v>3.1</v>
      </c>
      <c r="G119" s="180"/>
      <c r="H119" s="180"/>
      <c r="I119" s="180">
        <f>((0.9*2.1)+(0.7*2.1)+((2.5*1.2)*3)+(0.3*19.07)+((0.3*2.8)*4))+(21.36*1.5)</f>
        <v>53.480999999999995</v>
      </c>
      <c r="J119" s="173">
        <f t="shared" si="5"/>
        <v>12.734999999999999</v>
      </c>
      <c r="K119" s="340"/>
      <c r="L119" s="375"/>
    </row>
    <row r="120" spans="1:12">
      <c r="A120" s="374"/>
      <c r="B120" s="336"/>
      <c r="C120" s="337"/>
      <c r="D120" s="171" t="s">
        <v>660</v>
      </c>
      <c r="E120" s="176">
        <f>9.1+6.2</f>
        <v>15.3</v>
      </c>
      <c r="F120" s="176">
        <v>3.8</v>
      </c>
      <c r="G120" s="180"/>
      <c r="H120" s="180"/>
      <c r="I120" s="180">
        <f>((2.3*1.3)*2)+(2.5*1.2)+(1.35*1.2)+((0.3*3.5)*4)+(5.9*1.5)</f>
        <v>23.650000000000002</v>
      </c>
      <c r="J120" s="173">
        <f t="shared" si="5"/>
        <v>34.489999999999995</v>
      </c>
      <c r="K120" s="340"/>
      <c r="L120" s="375"/>
    </row>
    <row r="121" spans="1:12">
      <c r="A121" s="374"/>
      <c r="B121" s="336"/>
      <c r="C121" s="337"/>
      <c r="D121" s="171" t="s">
        <v>661</v>
      </c>
      <c r="E121" s="176">
        <f>5.8+5.8+2</f>
        <v>13.6</v>
      </c>
      <c r="F121" s="176">
        <v>3.8</v>
      </c>
      <c r="G121" s="176"/>
      <c r="H121" s="176"/>
      <c r="I121" s="176">
        <f>(5.8*0.7)+(0.8*1.8)+(1.1*2.1)</f>
        <v>7.8100000000000005</v>
      </c>
      <c r="J121" s="173">
        <f t="shared" si="5"/>
        <v>43.87</v>
      </c>
      <c r="K121" s="340"/>
      <c r="L121" s="375"/>
    </row>
    <row r="122" spans="1:12">
      <c r="A122" s="374"/>
      <c r="B122" s="336"/>
      <c r="C122" s="337"/>
      <c r="D122" s="171" t="s">
        <v>662</v>
      </c>
      <c r="E122" s="176">
        <f>3.15+3.15+2.75+2.75</f>
        <v>11.8</v>
      </c>
      <c r="F122" s="176">
        <v>1.5</v>
      </c>
      <c r="G122" s="176"/>
      <c r="H122" s="176"/>
      <c r="I122" s="176">
        <v>1</v>
      </c>
      <c r="J122" s="173">
        <f t="shared" si="5"/>
        <v>16.700000000000003</v>
      </c>
      <c r="K122" s="340"/>
      <c r="L122" s="375"/>
    </row>
    <row r="123" spans="1:12">
      <c r="A123" s="374"/>
      <c r="B123" s="336"/>
      <c r="C123" s="337"/>
      <c r="D123" s="171"/>
      <c r="E123" s="176"/>
      <c r="F123" s="176"/>
      <c r="G123" s="176"/>
      <c r="H123" s="176"/>
      <c r="I123" s="176"/>
      <c r="J123" s="173">
        <f t="shared" si="5"/>
        <v>0</v>
      </c>
      <c r="K123" s="340"/>
      <c r="L123" s="375"/>
    </row>
    <row r="124" spans="1:12">
      <c r="A124" s="374"/>
      <c r="B124" s="338"/>
      <c r="C124" s="339"/>
      <c r="D124" s="171"/>
      <c r="E124" s="176"/>
      <c r="F124" s="176"/>
      <c r="G124" s="176"/>
      <c r="H124" s="176"/>
      <c r="I124" s="176"/>
      <c r="J124" s="173">
        <f t="shared" si="5"/>
        <v>0</v>
      </c>
      <c r="K124" s="340"/>
      <c r="L124" s="375"/>
    </row>
    <row r="125" spans="1:12">
      <c r="A125" s="216"/>
      <c r="B125" s="10"/>
      <c r="C125" s="11"/>
      <c r="D125" s="12"/>
      <c r="E125" s="13"/>
      <c r="F125" s="14"/>
      <c r="G125" s="14"/>
      <c r="H125" s="14"/>
      <c r="I125" s="14"/>
      <c r="J125" s="15"/>
      <c r="K125" s="15"/>
      <c r="L125" s="163"/>
    </row>
    <row r="126" spans="1:12">
      <c r="A126" s="333">
        <v>3.2</v>
      </c>
      <c r="B126" s="368" t="s">
        <v>663</v>
      </c>
      <c r="C126" s="369"/>
      <c r="D126" s="171" t="s">
        <v>664</v>
      </c>
      <c r="E126" s="176">
        <v>3.25</v>
      </c>
      <c r="F126" s="176"/>
      <c r="G126" s="176"/>
      <c r="H126" s="176"/>
      <c r="I126" s="176"/>
      <c r="J126" s="173">
        <f>E126</f>
        <v>3.25</v>
      </c>
      <c r="K126" s="340">
        <f>SUM(J126:J129)</f>
        <v>15.049999999999999</v>
      </c>
      <c r="L126" s="345" t="s">
        <v>665</v>
      </c>
    </row>
    <row r="127" spans="1:12">
      <c r="A127" s="333"/>
      <c r="B127" s="370"/>
      <c r="C127" s="371"/>
      <c r="D127" s="171" t="s">
        <v>664</v>
      </c>
      <c r="E127" s="176">
        <v>3.1</v>
      </c>
      <c r="F127" s="176"/>
      <c r="G127" s="176"/>
      <c r="H127" s="176"/>
      <c r="I127" s="176"/>
      <c r="J127" s="173">
        <f>E127</f>
        <v>3.1</v>
      </c>
      <c r="K127" s="340"/>
      <c r="L127" s="345"/>
    </row>
    <row r="128" spans="1:12">
      <c r="A128" s="333"/>
      <c r="B128" s="370"/>
      <c r="C128" s="371"/>
      <c r="D128" s="171" t="s">
        <v>664</v>
      </c>
      <c r="E128" s="176">
        <v>3.1</v>
      </c>
      <c r="F128" s="176"/>
      <c r="G128" s="176"/>
      <c r="H128" s="176"/>
      <c r="I128" s="176"/>
      <c r="J128" s="173">
        <f>E128</f>
        <v>3.1</v>
      </c>
      <c r="K128" s="340"/>
      <c r="L128" s="345"/>
    </row>
    <row r="129" spans="1:14">
      <c r="A129" s="333"/>
      <c r="B129" s="372"/>
      <c r="C129" s="373"/>
      <c r="D129" s="171" t="s">
        <v>664</v>
      </c>
      <c r="E129" s="176">
        <v>5.6</v>
      </c>
      <c r="F129" s="176"/>
      <c r="G129" s="176"/>
      <c r="H129" s="176"/>
      <c r="I129" s="176"/>
      <c r="J129" s="173">
        <f>E129</f>
        <v>5.6</v>
      </c>
      <c r="K129" s="340"/>
      <c r="L129" s="345"/>
    </row>
    <row r="130" spans="1:14">
      <c r="A130" s="216"/>
      <c r="B130" s="10"/>
      <c r="C130" s="11"/>
      <c r="D130" s="12"/>
      <c r="E130" s="13"/>
      <c r="F130" s="14"/>
      <c r="G130" s="14"/>
      <c r="H130" s="14"/>
      <c r="I130" s="14"/>
      <c r="J130" s="15"/>
      <c r="K130" s="15"/>
      <c r="L130" s="163"/>
    </row>
    <row r="131" spans="1:14">
      <c r="A131" s="333">
        <v>3.3</v>
      </c>
      <c r="B131" s="368" t="s">
        <v>666</v>
      </c>
      <c r="C131" s="369"/>
      <c r="D131" s="171" t="s">
        <v>667</v>
      </c>
      <c r="E131" s="176">
        <f>(2*6)+(2.3*2)+((1.3*3))</f>
        <v>20.5</v>
      </c>
      <c r="F131" s="176">
        <v>0.2</v>
      </c>
      <c r="G131" s="176">
        <v>0.14000000000000001</v>
      </c>
      <c r="H131" s="176"/>
      <c r="I131" s="176"/>
      <c r="J131" s="173">
        <f>G131*F131*E131</f>
        <v>0.57400000000000007</v>
      </c>
      <c r="K131" s="340">
        <f>SUM(J131:J134)</f>
        <v>2.2204000000000002</v>
      </c>
      <c r="L131" s="345" t="s">
        <v>668</v>
      </c>
      <c r="N131">
        <v>15.8</v>
      </c>
    </row>
    <row r="132" spans="1:14">
      <c r="A132" s="333"/>
      <c r="B132" s="370"/>
      <c r="C132" s="371"/>
      <c r="D132" s="171" t="s">
        <v>669</v>
      </c>
      <c r="E132" s="176">
        <f>((3.3*8)+(3.1*4)+(2.15*2)+(1.2)+(1.3*5)+(2*4))</f>
        <v>58.8</v>
      </c>
      <c r="F132" s="176">
        <v>0.2</v>
      </c>
      <c r="G132" s="176">
        <v>0.14000000000000001</v>
      </c>
      <c r="H132" s="176"/>
      <c r="I132" s="176"/>
      <c r="J132" s="173">
        <f>G132*F132*E132</f>
        <v>1.6464000000000001</v>
      </c>
      <c r="K132" s="340"/>
      <c r="L132" s="345"/>
    </row>
    <row r="133" spans="1:14">
      <c r="A133" s="333"/>
      <c r="B133" s="370"/>
      <c r="C133" s="371"/>
      <c r="D133" s="171"/>
      <c r="E133" s="176"/>
      <c r="F133" s="176"/>
      <c r="G133" s="176"/>
      <c r="H133" s="176"/>
      <c r="I133" s="176"/>
      <c r="J133" s="173">
        <f>G133*F133*E133</f>
        <v>0</v>
      </c>
      <c r="K133" s="340"/>
      <c r="L133" s="345"/>
    </row>
    <row r="134" spans="1:14">
      <c r="A134" s="333"/>
      <c r="B134" s="372"/>
      <c r="C134" s="373"/>
      <c r="D134" s="171"/>
      <c r="E134" s="176"/>
      <c r="F134" s="176"/>
      <c r="G134" s="176"/>
      <c r="H134" s="176"/>
      <c r="I134" s="176"/>
      <c r="J134" s="173">
        <f>G134*F134*E134</f>
        <v>0</v>
      </c>
      <c r="K134" s="340"/>
      <c r="L134" s="345"/>
    </row>
    <row r="135" spans="1:14">
      <c r="A135" s="216"/>
      <c r="B135" s="10"/>
      <c r="C135" s="11"/>
      <c r="D135" s="12"/>
      <c r="E135" s="13"/>
      <c r="F135" s="14"/>
      <c r="G135" s="14"/>
      <c r="H135" s="14"/>
      <c r="I135" s="14"/>
      <c r="J135" s="15"/>
      <c r="K135" s="15"/>
      <c r="L135" s="163"/>
    </row>
    <row r="136" spans="1:14">
      <c r="A136" s="333">
        <v>3.4</v>
      </c>
      <c r="B136" s="361" t="s">
        <v>518</v>
      </c>
      <c r="C136" s="361"/>
      <c r="D136" s="355" t="s">
        <v>670</v>
      </c>
      <c r="E136" s="176">
        <v>5.58</v>
      </c>
      <c r="F136" s="176">
        <v>2.7</v>
      </c>
      <c r="G136" s="176"/>
      <c r="H136" s="176"/>
      <c r="I136" s="176"/>
      <c r="J136" s="173">
        <f>(E136*F136)</f>
        <v>15.066000000000001</v>
      </c>
      <c r="K136" s="365">
        <f>SUM(J136:J142)</f>
        <v>83.664000000000016</v>
      </c>
      <c r="L136" s="345" t="s">
        <v>500</v>
      </c>
    </row>
    <row r="137" spans="1:14">
      <c r="A137" s="333"/>
      <c r="B137" s="361"/>
      <c r="C137" s="361"/>
      <c r="D137" s="356"/>
      <c r="E137" s="176">
        <v>5.58</v>
      </c>
      <c r="F137" s="176">
        <v>2.7</v>
      </c>
      <c r="G137" s="176"/>
      <c r="H137" s="176"/>
      <c r="I137" s="176"/>
      <c r="J137" s="173">
        <f>(E137*F137)</f>
        <v>15.066000000000001</v>
      </c>
      <c r="K137" s="366"/>
      <c r="L137" s="345"/>
    </row>
    <row r="138" spans="1:14">
      <c r="A138" s="333"/>
      <c r="B138" s="361"/>
      <c r="C138" s="361"/>
      <c r="D138" s="356"/>
      <c r="E138" s="176">
        <v>5.58</v>
      </c>
      <c r="F138" s="176">
        <v>2.7</v>
      </c>
      <c r="G138" s="176"/>
      <c r="H138" s="176"/>
      <c r="I138" s="176"/>
      <c r="J138" s="173">
        <f>(E138*F138)</f>
        <v>15.066000000000001</v>
      </c>
      <c r="K138" s="366"/>
      <c r="L138" s="345"/>
    </row>
    <row r="139" spans="1:14">
      <c r="A139" s="333"/>
      <c r="B139" s="361"/>
      <c r="C139" s="361"/>
      <c r="D139" s="356"/>
      <c r="E139" s="176">
        <v>5.43</v>
      </c>
      <c r="F139" s="176">
        <v>2.7</v>
      </c>
      <c r="G139" s="176"/>
      <c r="H139" s="176"/>
      <c r="I139" s="176">
        <f>(0.9*2.1)*2</f>
        <v>3.7800000000000002</v>
      </c>
      <c r="J139" s="173">
        <f>(E139*F139)-I139</f>
        <v>10.881</v>
      </c>
      <c r="K139" s="366"/>
      <c r="L139" s="345"/>
    </row>
    <row r="140" spans="1:14">
      <c r="A140" s="333"/>
      <c r="B140" s="361"/>
      <c r="C140" s="361"/>
      <c r="D140" s="356"/>
      <c r="E140" s="176">
        <v>5.43</v>
      </c>
      <c r="F140" s="176">
        <v>2.7</v>
      </c>
      <c r="G140" s="176"/>
      <c r="H140" s="176"/>
      <c r="I140" s="176">
        <f>(0.9*2.1)*2</f>
        <v>3.7800000000000002</v>
      </c>
      <c r="J140" s="173">
        <f>(E140*F140)-I140</f>
        <v>10.881</v>
      </c>
      <c r="K140" s="366"/>
      <c r="L140" s="345"/>
    </row>
    <row r="141" spans="1:14">
      <c r="A141" s="333"/>
      <c r="B141" s="361"/>
      <c r="C141" s="361"/>
      <c r="D141" s="356"/>
      <c r="E141" s="176">
        <v>5.43</v>
      </c>
      <c r="F141" s="176">
        <v>2.7</v>
      </c>
      <c r="G141" s="176"/>
      <c r="H141" s="176"/>
      <c r="I141" s="176">
        <f>(1.2*0.6)*2</f>
        <v>1.44</v>
      </c>
      <c r="J141" s="173">
        <f>(E141*F141)-I141</f>
        <v>13.221</v>
      </c>
      <c r="K141" s="366"/>
      <c r="L141" s="345"/>
    </row>
    <row r="142" spans="1:14">
      <c r="A142" s="333"/>
      <c r="B142" s="361"/>
      <c r="C142" s="361"/>
      <c r="D142" s="357"/>
      <c r="E142" s="176">
        <v>1.29</v>
      </c>
      <c r="F142" s="176">
        <v>2.7</v>
      </c>
      <c r="G142" s="176"/>
      <c r="H142" s="176"/>
      <c r="I142" s="176"/>
      <c r="J142" s="173">
        <f>(E142*F142)</f>
        <v>3.4830000000000005</v>
      </c>
      <c r="K142" s="367"/>
      <c r="L142" s="345"/>
    </row>
    <row r="143" spans="1:14">
      <c r="A143" s="216"/>
      <c r="B143" s="10"/>
      <c r="C143" s="11"/>
      <c r="D143" s="12"/>
      <c r="E143" s="13"/>
      <c r="F143" s="14"/>
      <c r="G143" s="14"/>
      <c r="H143" s="14"/>
      <c r="I143" s="14"/>
      <c r="J143" s="15"/>
      <c r="K143" s="15"/>
      <c r="L143" s="163"/>
    </row>
    <row r="144" spans="1:14">
      <c r="A144" s="333">
        <v>3.5</v>
      </c>
      <c r="B144" s="363" t="s">
        <v>671</v>
      </c>
      <c r="C144" s="363"/>
      <c r="D144" s="364" t="s">
        <v>672</v>
      </c>
      <c r="E144" s="176">
        <v>1.95</v>
      </c>
      <c r="F144" s="176">
        <v>0.6</v>
      </c>
      <c r="G144" s="176"/>
      <c r="H144" s="176"/>
      <c r="I144" s="176">
        <f>(0.3*2)</f>
        <v>0.6</v>
      </c>
      <c r="J144" s="173">
        <f>(E144*F144)-I144</f>
        <v>0.56999999999999995</v>
      </c>
      <c r="K144" s="340">
        <f>SUM(J144:J147)</f>
        <v>2.88</v>
      </c>
      <c r="L144" s="345" t="s">
        <v>500</v>
      </c>
    </row>
    <row r="145" spans="1:12">
      <c r="A145" s="333"/>
      <c r="B145" s="363"/>
      <c r="C145" s="363"/>
      <c r="D145" s="364"/>
      <c r="E145" s="176">
        <v>1.95</v>
      </c>
      <c r="F145" s="176">
        <v>0.6</v>
      </c>
      <c r="G145" s="176"/>
      <c r="H145" s="176"/>
      <c r="I145" s="176">
        <f>(0.3*2)</f>
        <v>0.6</v>
      </c>
      <c r="J145" s="173">
        <f>(E145*F145)-I145</f>
        <v>0.56999999999999995</v>
      </c>
      <c r="K145" s="340"/>
      <c r="L145" s="345"/>
    </row>
    <row r="146" spans="1:12">
      <c r="A146" s="333"/>
      <c r="B146" s="363"/>
      <c r="C146" s="363"/>
      <c r="D146" s="364"/>
      <c r="E146" s="176">
        <v>1.95</v>
      </c>
      <c r="F146" s="176">
        <v>0.6</v>
      </c>
      <c r="G146" s="176"/>
      <c r="H146" s="176"/>
      <c r="I146" s="176">
        <f>0.15*2</f>
        <v>0.3</v>
      </c>
      <c r="J146" s="173">
        <f>(E146*F146)-I146</f>
        <v>0.86999999999999988</v>
      </c>
      <c r="K146" s="340"/>
      <c r="L146" s="345"/>
    </row>
    <row r="147" spans="1:12">
      <c r="A147" s="333"/>
      <c r="B147" s="363"/>
      <c r="C147" s="363"/>
      <c r="D147" s="364"/>
      <c r="E147" s="176">
        <v>1.95</v>
      </c>
      <c r="F147" s="176">
        <v>0.6</v>
      </c>
      <c r="G147" s="176"/>
      <c r="H147" s="176"/>
      <c r="I147" s="176">
        <f>0.15*2</f>
        <v>0.3</v>
      </c>
      <c r="J147" s="173">
        <f>(E147*F147)-I147</f>
        <v>0.86999999999999988</v>
      </c>
      <c r="K147" s="340"/>
      <c r="L147" s="345"/>
    </row>
    <row r="148" spans="1:12" ht="15" thickBot="1">
      <c r="A148" s="216"/>
      <c r="B148" s="10"/>
      <c r="C148" s="11"/>
      <c r="D148" s="12"/>
      <c r="E148" s="13"/>
      <c r="F148" s="14"/>
      <c r="G148" s="14"/>
      <c r="H148" s="14"/>
      <c r="I148" s="14"/>
      <c r="J148" s="15"/>
      <c r="K148" s="15"/>
      <c r="L148" s="163"/>
    </row>
    <row r="149" spans="1:12" ht="16.2" thickBot="1">
      <c r="A149" s="179">
        <v>4</v>
      </c>
      <c r="B149" s="343" t="s">
        <v>97</v>
      </c>
      <c r="C149" s="343"/>
      <c r="D149" s="343"/>
      <c r="E149" s="343"/>
      <c r="F149" s="343"/>
      <c r="G149" s="343"/>
      <c r="H149" s="343"/>
      <c r="I149" s="343"/>
      <c r="J149" s="343"/>
      <c r="K149" s="343"/>
      <c r="L149" s="344"/>
    </row>
    <row r="150" spans="1:12">
      <c r="A150" s="216"/>
      <c r="B150" s="10"/>
      <c r="C150" s="11"/>
      <c r="D150" s="12"/>
      <c r="E150" s="13"/>
      <c r="F150" s="14"/>
      <c r="G150" s="14"/>
      <c r="H150" s="14"/>
      <c r="I150" s="14"/>
      <c r="J150" s="15"/>
      <c r="K150" s="15"/>
      <c r="L150" s="163"/>
    </row>
    <row r="151" spans="1:12">
      <c r="A151" s="333">
        <v>4.0999999999999996</v>
      </c>
      <c r="B151" s="334" t="s">
        <v>673</v>
      </c>
      <c r="C151" s="335"/>
      <c r="D151" s="355" t="s">
        <v>664</v>
      </c>
      <c r="E151" s="176">
        <v>4.4000000000000004</v>
      </c>
      <c r="F151" s="176">
        <v>2.95</v>
      </c>
      <c r="G151" s="176"/>
      <c r="H151" s="176"/>
      <c r="I151" s="176"/>
      <c r="J151" s="173">
        <f t="shared" ref="J151:J156" si="6">(E151*F151)</f>
        <v>12.980000000000002</v>
      </c>
      <c r="K151" s="365">
        <f>SUM(J151:J157)</f>
        <v>54.811000000000014</v>
      </c>
      <c r="L151" s="345" t="s">
        <v>500</v>
      </c>
    </row>
    <row r="152" spans="1:12">
      <c r="A152" s="333"/>
      <c r="B152" s="336"/>
      <c r="C152" s="337"/>
      <c r="D152" s="356"/>
      <c r="E152" s="176">
        <v>4.16</v>
      </c>
      <c r="F152" s="176">
        <v>2.95</v>
      </c>
      <c r="G152" s="176"/>
      <c r="H152" s="176"/>
      <c r="I152" s="176"/>
      <c r="J152" s="173">
        <f t="shared" si="6"/>
        <v>12.272000000000002</v>
      </c>
      <c r="K152" s="366"/>
      <c r="L152" s="345"/>
    </row>
    <row r="153" spans="1:12">
      <c r="A153" s="333"/>
      <c r="B153" s="336"/>
      <c r="C153" s="337"/>
      <c r="D153" s="357"/>
      <c r="E153" s="176">
        <v>0.73</v>
      </c>
      <c r="F153" s="176">
        <v>2.95</v>
      </c>
      <c r="G153" s="176"/>
      <c r="H153" s="176"/>
      <c r="I153" s="176"/>
      <c r="J153" s="173">
        <f t="shared" si="6"/>
        <v>2.1535000000000002</v>
      </c>
      <c r="K153" s="366"/>
      <c r="L153" s="345"/>
    </row>
    <row r="154" spans="1:12">
      <c r="A154" s="333"/>
      <c r="B154" s="336"/>
      <c r="C154" s="337"/>
      <c r="D154" s="355" t="s">
        <v>674</v>
      </c>
      <c r="E154" s="176">
        <v>4.16</v>
      </c>
      <c r="F154" s="176">
        <v>2.95</v>
      </c>
      <c r="G154" s="176"/>
      <c r="H154" s="176"/>
      <c r="I154" s="176"/>
      <c r="J154" s="173">
        <f t="shared" si="6"/>
        <v>12.272000000000002</v>
      </c>
      <c r="K154" s="366"/>
      <c r="L154" s="345"/>
    </row>
    <row r="155" spans="1:12">
      <c r="A155" s="333"/>
      <c r="B155" s="336"/>
      <c r="C155" s="337"/>
      <c r="D155" s="356"/>
      <c r="E155" s="176">
        <v>0.73</v>
      </c>
      <c r="F155" s="176">
        <v>2.95</v>
      </c>
      <c r="G155" s="176"/>
      <c r="H155" s="176"/>
      <c r="I155" s="176"/>
      <c r="J155" s="173">
        <f t="shared" si="6"/>
        <v>2.1535000000000002</v>
      </c>
      <c r="K155" s="366"/>
      <c r="L155" s="345"/>
    </row>
    <row r="156" spans="1:12">
      <c r="A156" s="333"/>
      <c r="B156" s="336"/>
      <c r="C156" s="337"/>
      <c r="D156" s="356"/>
      <c r="E156" s="176">
        <v>4.4000000000000004</v>
      </c>
      <c r="F156" s="176">
        <v>2.95</v>
      </c>
      <c r="G156" s="176"/>
      <c r="H156" s="176"/>
      <c r="I156" s="176"/>
      <c r="J156" s="173">
        <f t="shared" si="6"/>
        <v>12.980000000000002</v>
      </c>
      <c r="K156" s="366"/>
      <c r="L156" s="345"/>
    </row>
    <row r="157" spans="1:12">
      <c r="A157" s="333"/>
      <c r="B157" s="338"/>
      <c r="C157" s="339"/>
      <c r="D157" s="357"/>
      <c r="E157" s="176"/>
      <c r="F157" s="176"/>
      <c r="G157" s="176"/>
      <c r="H157" s="176"/>
      <c r="I157" s="176"/>
      <c r="J157" s="173"/>
      <c r="K157" s="367"/>
      <c r="L157" s="345"/>
    </row>
    <row r="158" spans="1:12">
      <c r="A158" s="216"/>
      <c r="B158" s="10"/>
      <c r="C158" s="11"/>
      <c r="D158" s="12"/>
      <c r="E158" s="13"/>
      <c r="F158" s="14"/>
      <c r="G158" s="14"/>
      <c r="H158" s="14"/>
      <c r="I158" s="14"/>
      <c r="J158" s="15"/>
      <c r="K158" s="15"/>
      <c r="L158" s="163"/>
    </row>
    <row r="159" spans="1:12">
      <c r="A159" s="333">
        <v>4.2</v>
      </c>
      <c r="B159" s="361" t="s">
        <v>522</v>
      </c>
      <c r="C159" s="361"/>
      <c r="D159" s="355" t="s">
        <v>675</v>
      </c>
      <c r="E159" s="176">
        <v>1.1399999999999999</v>
      </c>
      <c r="F159" s="176">
        <v>1.8</v>
      </c>
      <c r="G159" s="176"/>
      <c r="H159" s="176"/>
      <c r="I159" s="176"/>
      <c r="J159" s="173">
        <f t="shared" ref="J159:J166" si="7">(E159*F159)-G159</f>
        <v>2.052</v>
      </c>
      <c r="K159" s="340">
        <f>SUM(J159:J166)</f>
        <v>9.1260000000000012</v>
      </c>
      <c r="L159" s="345" t="s">
        <v>500</v>
      </c>
    </row>
    <row r="160" spans="1:12">
      <c r="A160" s="333"/>
      <c r="B160" s="361"/>
      <c r="C160" s="361"/>
      <c r="D160" s="356"/>
      <c r="E160" s="176">
        <v>0.57999999999999996</v>
      </c>
      <c r="F160" s="176">
        <v>1.8</v>
      </c>
      <c r="G160" s="176"/>
      <c r="H160" s="176"/>
      <c r="I160" s="176"/>
      <c r="J160" s="173">
        <f t="shared" si="7"/>
        <v>1.044</v>
      </c>
      <c r="K160" s="340"/>
      <c r="L160" s="345"/>
    </row>
    <row r="161" spans="1:12">
      <c r="A161" s="333"/>
      <c r="B161" s="361"/>
      <c r="C161" s="361"/>
      <c r="D161" s="356"/>
      <c r="E161" s="176">
        <v>0.65</v>
      </c>
      <c r="F161" s="176">
        <v>1.8</v>
      </c>
      <c r="G161" s="176"/>
      <c r="H161" s="176"/>
      <c r="I161" s="176"/>
      <c r="J161" s="173">
        <f t="shared" si="7"/>
        <v>1.1700000000000002</v>
      </c>
      <c r="K161" s="340"/>
      <c r="L161" s="345"/>
    </row>
    <row r="162" spans="1:12">
      <c r="A162" s="333"/>
      <c r="B162" s="361"/>
      <c r="C162" s="361"/>
      <c r="D162" s="356"/>
      <c r="E162" s="176">
        <v>0.15</v>
      </c>
      <c r="F162" s="176">
        <v>1.8</v>
      </c>
      <c r="G162" s="176"/>
      <c r="H162" s="176"/>
      <c r="I162" s="176"/>
      <c r="J162" s="173">
        <f t="shared" si="7"/>
        <v>0.27</v>
      </c>
      <c r="K162" s="340"/>
      <c r="L162" s="345"/>
    </row>
    <row r="163" spans="1:12">
      <c r="A163" s="333"/>
      <c r="B163" s="361"/>
      <c r="C163" s="361"/>
      <c r="D163" s="356"/>
      <c r="E163" s="176">
        <v>0.55000000000000004</v>
      </c>
      <c r="F163" s="176">
        <v>1.8</v>
      </c>
      <c r="G163" s="176"/>
      <c r="H163" s="176"/>
      <c r="I163" s="176"/>
      <c r="J163" s="173">
        <f t="shared" si="7"/>
        <v>0.9900000000000001</v>
      </c>
      <c r="K163" s="340"/>
      <c r="L163" s="345"/>
    </row>
    <row r="164" spans="1:12">
      <c r="A164" s="333"/>
      <c r="B164" s="361"/>
      <c r="C164" s="361"/>
      <c r="D164" s="356"/>
      <c r="E164" s="176">
        <v>0.55000000000000004</v>
      </c>
      <c r="F164" s="176">
        <v>1.8</v>
      </c>
      <c r="G164" s="176"/>
      <c r="H164" s="176"/>
      <c r="I164" s="176"/>
      <c r="J164" s="173">
        <f t="shared" si="7"/>
        <v>0.9900000000000001</v>
      </c>
      <c r="K164" s="340"/>
      <c r="L164" s="345"/>
    </row>
    <row r="165" spans="1:12">
      <c r="A165" s="333"/>
      <c r="B165" s="361"/>
      <c r="C165" s="361"/>
      <c r="D165" s="356"/>
      <c r="E165" s="176">
        <v>1.1499999999999999</v>
      </c>
      <c r="F165" s="176">
        <v>1.8</v>
      </c>
      <c r="G165" s="176"/>
      <c r="H165" s="176"/>
      <c r="I165" s="176"/>
      <c r="J165" s="173">
        <f t="shared" si="7"/>
        <v>2.0699999999999998</v>
      </c>
      <c r="K165" s="340"/>
      <c r="L165" s="345"/>
    </row>
    <row r="166" spans="1:12">
      <c r="A166" s="333"/>
      <c r="B166" s="361"/>
      <c r="C166" s="361"/>
      <c r="D166" s="357"/>
      <c r="E166" s="176">
        <v>0.3</v>
      </c>
      <c r="F166" s="176">
        <v>1.8</v>
      </c>
      <c r="G166" s="176"/>
      <c r="H166" s="176"/>
      <c r="I166" s="176"/>
      <c r="J166" s="173">
        <f t="shared" si="7"/>
        <v>0.54</v>
      </c>
      <c r="K166" s="340"/>
      <c r="L166" s="345"/>
    </row>
    <row r="167" spans="1:12">
      <c r="A167" s="216"/>
      <c r="B167" s="10"/>
      <c r="C167" s="11"/>
      <c r="D167" s="12"/>
      <c r="E167" s="13"/>
      <c r="F167" s="14"/>
      <c r="G167" s="14"/>
      <c r="H167" s="14"/>
      <c r="I167" s="14"/>
      <c r="J167" s="15"/>
      <c r="K167" s="15"/>
      <c r="L167" s="163"/>
    </row>
    <row r="168" spans="1:12">
      <c r="A168" s="250">
        <v>4.3</v>
      </c>
      <c r="B168" s="361" t="s">
        <v>676</v>
      </c>
      <c r="C168" s="361"/>
      <c r="D168" s="171" t="s">
        <v>677</v>
      </c>
      <c r="E168" s="252"/>
      <c r="F168" s="172"/>
      <c r="G168" s="172"/>
      <c r="H168" s="172"/>
      <c r="I168" s="172"/>
      <c r="J168" s="177">
        <f>(K136+K110)*2</f>
        <v>571.97299999999996</v>
      </c>
      <c r="K168" s="247">
        <f>J168</f>
        <v>571.97299999999996</v>
      </c>
      <c r="L168" s="251" t="s">
        <v>500</v>
      </c>
    </row>
    <row r="169" spans="1:12">
      <c r="A169" s="216"/>
      <c r="B169" s="10"/>
      <c r="C169" s="11"/>
      <c r="D169" s="12"/>
      <c r="E169" s="13"/>
      <c r="F169" s="14"/>
      <c r="G169" s="14"/>
      <c r="H169" s="14"/>
      <c r="I169" s="14"/>
      <c r="J169" s="15"/>
      <c r="K169" s="15"/>
      <c r="L169" s="163"/>
    </row>
    <row r="170" spans="1:12">
      <c r="A170" s="250">
        <v>4.4000000000000004</v>
      </c>
      <c r="B170" s="361" t="s">
        <v>678</v>
      </c>
      <c r="C170" s="361"/>
      <c r="D170" s="171" t="s">
        <v>677</v>
      </c>
      <c r="E170" s="252"/>
      <c r="F170" s="172"/>
      <c r="G170" s="172"/>
      <c r="H170" s="172"/>
      <c r="I170" s="172"/>
      <c r="J170" s="177">
        <f>J168</f>
        <v>571.97299999999996</v>
      </c>
      <c r="K170" s="247">
        <f>J170</f>
        <v>571.97299999999996</v>
      </c>
      <c r="L170" s="251" t="s">
        <v>500</v>
      </c>
    </row>
    <row r="171" spans="1:12">
      <c r="A171" s="216"/>
      <c r="B171" s="10"/>
      <c r="C171" s="11"/>
      <c r="D171" s="12"/>
      <c r="E171" s="13"/>
      <c r="F171" s="14"/>
      <c r="G171" s="14"/>
      <c r="H171" s="14"/>
      <c r="I171" s="14"/>
      <c r="J171" s="15"/>
      <c r="K171" s="15"/>
      <c r="L171" s="163"/>
    </row>
    <row r="172" spans="1:12">
      <c r="A172" s="362">
        <v>4.5</v>
      </c>
      <c r="B172" s="334" t="s">
        <v>524</v>
      </c>
      <c r="C172" s="335"/>
      <c r="D172" s="171" t="s">
        <v>679</v>
      </c>
      <c r="E172" s="176">
        <v>9.6999999999999993</v>
      </c>
      <c r="F172" s="176">
        <v>2.7</v>
      </c>
      <c r="G172" s="176"/>
      <c r="H172" s="176"/>
      <c r="I172" s="176">
        <f>(2.1*0.9)+(0.4*0.4)</f>
        <v>2.0500000000000003</v>
      </c>
      <c r="J172" s="173">
        <f t="shared" ref="J172:J177" si="8">(E172*F172)-I172</f>
        <v>24.14</v>
      </c>
      <c r="K172" s="340">
        <f>SUM(J172:J178)</f>
        <v>191.12300000000002</v>
      </c>
      <c r="L172" s="345" t="s">
        <v>500</v>
      </c>
    </row>
    <row r="173" spans="1:12">
      <c r="A173" s="362"/>
      <c r="B173" s="336"/>
      <c r="C173" s="337"/>
      <c r="D173" s="171" t="s">
        <v>613</v>
      </c>
      <c r="E173" s="176">
        <v>9.5</v>
      </c>
      <c r="F173" s="176">
        <v>2.7</v>
      </c>
      <c r="G173" s="176"/>
      <c r="H173" s="176"/>
      <c r="I173" s="176">
        <f>(0.6*2.1)+(0.4*0.4)</f>
        <v>1.42</v>
      </c>
      <c r="J173" s="173">
        <f t="shared" si="8"/>
        <v>24.230000000000004</v>
      </c>
      <c r="K173" s="340"/>
      <c r="L173" s="345"/>
    </row>
    <row r="174" spans="1:12">
      <c r="A174" s="362"/>
      <c r="B174" s="336"/>
      <c r="C174" s="337"/>
      <c r="D174" s="171" t="s">
        <v>680</v>
      </c>
      <c r="E174" s="176">
        <v>9.6999999999999993</v>
      </c>
      <c r="F174" s="176">
        <v>2.7</v>
      </c>
      <c r="G174" s="176"/>
      <c r="H174" s="176"/>
      <c r="I174" s="176">
        <f>(2.1*0.9)+(0.4*0.4)</f>
        <v>2.0500000000000003</v>
      </c>
      <c r="J174" s="173">
        <f t="shared" si="8"/>
        <v>24.14</v>
      </c>
      <c r="K174" s="340"/>
      <c r="L174" s="345"/>
    </row>
    <row r="175" spans="1:12">
      <c r="A175" s="362"/>
      <c r="B175" s="336"/>
      <c r="C175" s="337"/>
      <c r="D175" s="171" t="s">
        <v>615</v>
      </c>
      <c r="E175" s="176">
        <v>9.5</v>
      </c>
      <c r="F175" s="176">
        <v>2.7</v>
      </c>
      <c r="G175" s="176"/>
      <c r="H175" s="176"/>
      <c r="I175" s="176">
        <f>(0.6*2.1)+(0.4*0.4)</f>
        <v>1.42</v>
      </c>
      <c r="J175" s="173">
        <f t="shared" si="8"/>
        <v>24.230000000000004</v>
      </c>
      <c r="K175" s="340"/>
      <c r="L175" s="345"/>
    </row>
    <row r="176" spans="1:12">
      <c r="A176" s="362"/>
      <c r="B176" s="336"/>
      <c r="C176" s="337"/>
      <c r="D176" s="171" t="s">
        <v>681</v>
      </c>
      <c r="E176" s="176">
        <v>20.74</v>
      </c>
      <c r="F176" s="176">
        <v>2.7</v>
      </c>
      <c r="G176" s="176"/>
      <c r="H176" s="176"/>
      <c r="I176" s="176">
        <f>(1.2*0.6)+(2.1*0.9)+(2.1*0.9)+(2.1*0.9)</f>
        <v>6.3900000000000006</v>
      </c>
      <c r="J176" s="173">
        <f t="shared" si="8"/>
        <v>49.607999999999997</v>
      </c>
      <c r="K176" s="340"/>
      <c r="L176" s="345"/>
    </row>
    <row r="177" spans="1:12">
      <c r="A177" s="362"/>
      <c r="B177" s="336"/>
      <c r="C177" s="337"/>
      <c r="D177" s="171" t="s">
        <v>681</v>
      </c>
      <c r="E177" s="176">
        <v>18.95</v>
      </c>
      <c r="F177" s="176">
        <v>2.7</v>
      </c>
      <c r="G177" s="176"/>
      <c r="H177" s="176"/>
      <c r="I177" s="176">
        <f>(1.2*0.6)+(2.1*0.9)+(2.1*0.9)+(2.1*0.9)</f>
        <v>6.3900000000000006</v>
      </c>
      <c r="J177" s="173">
        <f t="shared" si="8"/>
        <v>44.774999999999999</v>
      </c>
      <c r="K177" s="340"/>
      <c r="L177" s="345"/>
    </row>
    <row r="178" spans="1:12">
      <c r="A178" s="362"/>
      <c r="B178" s="338"/>
      <c r="C178" s="339"/>
      <c r="D178" s="171"/>
      <c r="E178" s="176"/>
      <c r="F178" s="176"/>
      <c r="G178" s="176"/>
      <c r="H178" s="176"/>
      <c r="I178" s="176"/>
      <c r="J178" s="173">
        <f>(E178*F178)-G178</f>
        <v>0</v>
      </c>
      <c r="K178" s="340"/>
      <c r="L178" s="345"/>
    </row>
    <row r="179" spans="1:12">
      <c r="A179" s="216"/>
      <c r="B179" s="10"/>
      <c r="C179" s="11"/>
      <c r="D179" s="12"/>
      <c r="E179" s="13"/>
      <c r="F179" s="14"/>
      <c r="G179" s="14"/>
      <c r="H179" s="14"/>
      <c r="I179" s="14"/>
      <c r="J179" s="15"/>
      <c r="K179" s="15"/>
      <c r="L179" s="163"/>
    </row>
    <row r="180" spans="1:12">
      <c r="A180" s="333">
        <v>4.5999999999999996</v>
      </c>
      <c r="B180" s="347" t="s">
        <v>526</v>
      </c>
      <c r="C180" s="348"/>
      <c r="D180" s="171" t="s">
        <v>682</v>
      </c>
      <c r="E180" s="176"/>
      <c r="F180" s="176"/>
      <c r="G180" s="176"/>
      <c r="H180" s="176"/>
      <c r="I180" s="176"/>
      <c r="J180" s="173">
        <v>8.26</v>
      </c>
      <c r="K180" s="340">
        <f>SUM(J180:J192)</f>
        <v>259.89999999999998</v>
      </c>
      <c r="L180" s="345" t="s">
        <v>500</v>
      </c>
    </row>
    <row r="181" spans="1:12">
      <c r="A181" s="333"/>
      <c r="B181" s="349"/>
      <c r="C181" s="350"/>
      <c r="D181" s="171" t="s">
        <v>682</v>
      </c>
      <c r="E181" s="176"/>
      <c r="F181" s="176"/>
      <c r="G181" s="176"/>
      <c r="H181" s="176"/>
      <c r="I181" s="176"/>
      <c r="J181" s="173">
        <v>7.99</v>
      </c>
      <c r="K181" s="340"/>
      <c r="L181" s="345"/>
    </row>
    <row r="182" spans="1:12">
      <c r="A182" s="333"/>
      <c r="B182" s="349"/>
      <c r="C182" s="350"/>
      <c r="D182" s="171" t="s">
        <v>682</v>
      </c>
      <c r="E182" s="176"/>
      <c r="F182" s="176"/>
      <c r="G182" s="176"/>
      <c r="H182" s="176"/>
      <c r="I182" s="176"/>
      <c r="J182" s="173">
        <v>16.64</v>
      </c>
      <c r="K182" s="340"/>
      <c r="L182" s="345"/>
    </row>
    <row r="183" spans="1:12">
      <c r="A183" s="333"/>
      <c r="B183" s="349"/>
      <c r="C183" s="350"/>
      <c r="D183" s="171" t="s">
        <v>683</v>
      </c>
      <c r="E183" s="176"/>
      <c r="F183" s="176"/>
      <c r="G183" s="176"/>
      <c r="H183" s="176"/>
      <c r="I183" s="176"/>
      <c r="J183" s="173">
        <v>14.35</v>
      </c>
      <c r="K183" s="340"/>
      <c r="L183" s="345"/>
    </row>
    <row r="184" spans="1:12">
      <c r="A184" s="333"/>
      <c r="B184" s="349"/>
      <c r="C184" s="350"/>
      <c r="D184" s="171" t="s">
        <v>684</v>
      </c>
      <c r="E184" s="176"/>
      <c r="F184" s="176"/>
      <c r="G184" s="176"/>
      <c r="H184" s="176"/>
      <c r="I184" s="176"/>
      <c r="J184" s="173">
        <v>5.1100000000000003</v>
      </c>
      <c r="K184" s="340"/>
      <c r="L184" s="345"/>
    </row>
    <row r="185" spans="1:12">
      <c r="A185" s="333"/>
      <c r="B185" s="349"/>
      <c r="C185" s="350"/>
      <c r="D185" s="171" t="s">
        <v>685</v>
      </c>
      <c r="E185" s="176"/>
      <c r="F185" s="176"/>
      <c r="G185" s="176"/>
      <c r="H185" s="176"/>
      <c r="I185" s="176"/>
      <c r="J185" s="173">
        <v>4.83</v>
      </c>
      <c r="K185" s="340"/>
      <c r="L185" s="345"/>
    </row>
    <row r="186" spans="1:12">
      <c r="A186" s="333"/>
      <c r="B186" s="349"/>
      <c r="C186" s="350"/>
      <c r="D186" s="171" t="s">
        <v>686</v>
      </c>
      <c r="E186" s="176"/>
      <c r="F186" s="176"/>
      <c r="G186" s="176"/>
      <c r="H186" s="176"/>
      <c r="I186" s="176"/>
      <c r="J186" s="173">
        <v>5.1100000000000003</v>
      </c>
      <c r="K186" s="340"/>
      <c r="L186" s="345"/>
    </row>
    <row r="187" spans="1:12">
      <c r="A187" s="333"/>
      <c r="B187" s="349"/>
      <c r="C187" s="350"/>
      <c r="D187" s="171" t="s">
        <v>687</v>
      </c>
      <c r="E187" s="176"/>
      <c r="F187" s="176"/>
      <c r="G187" s="176"/>
      <c r="H187" s="176"/>
      <c r="I187" s="176"/>
      <c r="J187" s="173">
        <v>4.83</v>
      </c>
      <c r="K187" s="340"/>
      <c r="L187" s="345"/>
    </row>
    <row r="188" spans="1:12">
      <c r="A188" s="333"/>
      <c r="B188" s="349"/>
      <c r="C188" s="350"/>
      <c r="D188" s="171" t="s">
        <v>688</v>
      </c>
      <c r="E188" s="176"/>
      <c r="F188" s="176"/>
      <c r="G188" s="176"/>
      <c r="H188" s="176"/>
      <c r="I188" s="176"/>
      <c r="J188" s="173">
        <v>25.13</v>
      </c>
      <c r="K188" s="340"/>
      <c r="L188" s="345"/>
    </row>
    <row r="189" spans="1:12">
      <c r="A189" s="333"/>
      <c r="B189" s="349"/>
      <c r="C189" s="350"/>
      <c r="D189" s="171" t="s">
        <v>689</v>
      </c>
      <c r="E189" s="176"/>
      <c r="F189" s="176"/>
      <c r="G189" s="176"/>
      <c r="H189" s="176"/>
      <c r="I189" s="176"/>
      <c r="J189" s="173">
        <v>13.66</v>
      </c>
      <c r="K189" s="340"/>
      <c r="L189" s="345"/>
    </row>
    <row r="190" spans="1:12">
      <c r="A190" s="333"/>
      <c r="B190" s="349"/>
      <c r="C190" s="350"/>
      <c r="D190" s="171" t="s">
        <v>689</v>
      </c>
      <c r="E190" s="176"/>
      <c r="F190" s="176"/>
      <c r="G190" s="176"/>
      <c r="H190" s="176"/>
      <c r="I190" s="176"/>
      <c r="J190" s="173">
        <v>13.5</v>
      </c>
      <c r="K190" s="340"/>
      <c r="L190" s="345"/>
    </row>
    <row r="191" spans="1:12">
      <c r="A191" s="333"/>
      <c r="B191" s="349"/>
      <c r="C191" s="350"/>
      <c r="D191" s="171" t="s">
        <v>690</v>
      </c>
      <c r="E191" s="176"/>
      <c r="F191" s="176"/>
      <c r="G191" s="176"/>
      <c r="H191" s="176"/>
      <c r="I191" s="176"/>
      <c r="J191" s="173">
        <v>122.85</v>
      </c>
      <c r="K191" s="340"/>
      <c r="L191" s="345"/>
    </row>
    <row r="192" spans="1:12">
      <c r="A192" s="333"/>
      <c r="B192" s="351"/>
      <c r="C192" s="352"/>
      <c r="D192" s="171" t="s">
        <v>691</v>
      </c>
      <c r="E192" s="252"/>
      <c r="F192" s="172"/>
      <c r="G192" s="172"/>
      <c r="H192" s="172"/>
      <c r="I192" s="172"/>
      <c r="J192" s="173">
        <v>17.64</v>
      </c>
      <c r="K192" s="340"/>
      <c r="L192" s="345"/>
    </row>
    <row r="193" spans="1:12">
      <c r="A193" s="216"/>
      <c r="B193" s="10"/>
      <c r="C193" s="11"/>
      <c r="D193" s="12"/>
      <c r="E193" s="13"/>
      <c r="F193" s="14"/>
      <c r="G193" s="14"/>
      <c r="H193" s="14"/>
      <c r="I193" s="14"/>
      <c r="J193" s="15"/>
      <c r="K193" s="15"/>
      <c r="L193" s="163"/>
    </row>
    <row r="194" spans="1:12">
      <c r="A194" s="333">
        <v>4.7</v>
      </c>
      <c r="B194" s="334" t="s">
        <v>692</v>
      </c>
      <c r="C194" s="335"/>
      <c r="D194" s="171" t="s">
        <v>693</v>
      </c>
      <c r="E194" s="176">
        <v>9.1</v>
      </c>
      <c r="F194" s="176">
        <v>0.7</v>
      </c>
      <c r="G194" s="176"/>
      <c r="H194" s="176"/>
      <c r="I194" s="176"/>
      <c r="J194" s="173">
        <f>E194*F194</f>
        <v>6.3699999999999992</v>
      </c>
      <c r="K194" s="340">
        <f>SUM(J194:J197)</f>
        <v>49.66</v>
      </c>
      <c r="L194" s="345" t="s">
        <v>500</v>
      </c>
    </row>
    <row r="195" spans="1:12">
      <c r="A195" s="333"/>
      <c r="B195" s="336"/>
      <c r="C195" s="337"/>
      <c r="D195" s="171" t="s">
        <v>693</v>
      </c>
      <c r="E195" s="176">
        <v>1.95</v>
      </c>
      <c r="F195" s="176">
        <v>11.7</v>
      </c>
      <c r="G195" s="176"/>
      <c r="H195" s="176"/>
      <c r="I195" s="176"/>
      <c r="J195" s="173">
        <f>E195*F195</f>
        <v>22.814999999999998</v>
      </c>
      <c r="K195" s="340"/>
      <c r="L195" s="345"/>
    </row>
    <row r="196" spans="1:12">
      <c r="A196" s="333"/>
      <c r="B196" s="336"/>
      <c r="C196" s="337"/>
      <c r="D196" s="171" t="s">
        <v>693</v>
      </c>
      <c r="E196" s="176">
        <v>1.75</v>
      </c>
      <c r="F196" s="176">
        <v>11.7</v>
      </c>
      <c r="G196" s="176"/>
      <c r="H196" s="176"/>
      <c r="I196" s="176"/>
      <c r="J196" s="173">
        <f>E196*F196</f>
        <v>20.474999999999998</v>
      </c>
      <c r="K196" s="340"/>
      <c r="L196" s="345"/>
    </row>
    <row r="197" spans="1:12">
      <c r="A197" s="333"/>
      <c r="B197" s="338"/>
      <c r="C197" s="339"/>
      <c r="D197" s="171"/>
      <c r="E197" s="176"/>
      <c r="F197" s="176"/>
      <c r="G197" s="176"/>
      <c r="H197" s="176"/>
      <c r="I197" s="176"/>
      <c r="J197" s="173">
        <f>G197*F197*E197</f>
        <v>0</v>
      </c>
      <c r="K197" s="340"/>
      <c r="L197" s="345"/>
    </row>
    <row r="198" spans="1:12">
      <c r="A198" s="216"/>
      <c r="B198" s="10"/>
      <c r="C198" s="11"/>
      <c r="D198" s="12"/>
      <c r="E198" s="13"/>
      <c r="F198" s="14"/>
      <c r="G198" s="14"/>
      <c r="H198" s="14"/>
      <c r="I198" s="14"/>
      <c r="J198" s="15"/>
      <c r="K198" s="15"/>
      <c r="L198" s="163"/>
    </row>
    <row r="199" spans="1:12">
      <c r="A199" s="333">
        <v>4.8</v>
      </c>
      <c r="B199" s="361" t="s">
        <v>694</v>
      </c>
      <c r="C199" s="361"/>
      <c r="D199" s="171" t="s">
        <v>688</v>
      </c>
      <c r="E199" s="176"/>
      <c r="F199" s="176"/>
      <c r="G199" s="176"/>
      <c r="H199" s="176"/>
      <c r="I199" s="176"/>
      <c r="J199" s="173">
        <v>25.13</v>
      </c>
      <c r="K199" s="340">
        <f>SUM(J199:J206)</f>
        <v>216.39</v>
      </c>
      <c r="L199" s="345" t="s">
        <v>500</v>
      </c>
    </row>
    <row r="200" spans="1:12">
      <c r="A200" s="333"/>
      <c r="B200" s="361"/>
      <c r="C200" s="361"/>
      <c r="D200" s="171" t="s">
        <v>689</v>
      </c>
      <c r="E200" s="176"/>
      <c r="F200" s="176"/>
      <c r="G200" s="176"/>
      <c r="H200" s="176"/>
      <c r="I200" s="176"/>
      <c r="J200" s="173">
        <v>13.66</v>
      </c>
      <c r="K200" s="340"/>
      <c r="L200" s="345"/>
    </row>
    <row r="201" spans="1:12">
      <c r="A201" s="333"/>
      <c r="B201" s="361"/>
      <c r="C201" s="361"/>
      <c r="D201" s="171" t="s">
        <v>690</v>
      </c>
      <c r="E201" s="176"/>
      <c r="F201" s="176"/>
      <c r="G201" s="176"/>
      <c r="H201" s="176"/>
      <c r="I201" s="176"/>
      <c r="J201" s="173">
        <v>122.85</v>
      </c>
      <c r="K201" s="340"/>
      <c r="L201" s="345"/>
    </row>
    <row r="202" spans="1:12" ht="28.8">
      <c r="A202" s="333"/>
      <c r="B202" s="361"/>
      <c r="C202" s="361"/>
      <c r="D202" s="171" t="s">
        <v>695</v>
      </c>
      <c r="E202" s="176"/>
      <c r="F202" s="176"/>
      <c r="G202" s="176"/>
      <c r="H202" s="176"/>
      <c r="I202" s="176"/>
      <c r="J202" s="173">
        <v>8.4</v>
      </c>
      <c r="K202" s="340"/>
      <c r="L202" s="345"/>
    </row>
    <row r="203" spans="1:12">
      <c r="A203" s="333"/>
      <c r="B203" s="361"/>
      <c r="C203" s="361"/>
      <c r="D203" s="171" t="s">
        <v>682</v>
      </c>
      <c r="E203" s="176"/>
      <c r="F203" s="176"/>
      <c r="G203" s="176"/>
      <c r="H203" s="176"/>
      <c r="I203" s="176"/>
      <c r="J203" s="173">
        <v>8.26</v>
      </c>
      <c r="K203" s="340"/>
      <c r="L203" s="345"/>
    </row>
    <row r="204" spans="1:12">
      <c r="A204" s="333"/>
      <c r="B204" s="361"/>
      <c r="C204" s="361"/>
      <c r="D204" s="171" t="s">
        <v>682</v>
      </c>
      <c r="E204" s="176"/>
      <c r="F204" s="176"/>
      <c r="G204" s="176"/>
      <c r="H204" s="176"/>
      <c r="I204" s="176"/>
      <c r="J204" s="173">
        <v>7.99</v>
      </c>
      <c r="K204" s="340"/>
      <c r="L204" s="345"/>
    </row>
    <row r="205" spans="1:12">
      <c r="A205" s="333"/>
      <c r="B205" s="361"/>
      <c r="C205" s="361"/>
      <c r="D205" s="171" t="s">
        <v>682</v>
      </c>
      <c r="E205" s="176"/>
      <c r="F205" s="176"/>
      <c r="G205" s="176"/>
      <c r="H205" s="176"/>
      <c r="I205" s="176"/>
      <c r="J205" s="173">
        <v>16.600000000000001</v>
      </c>
      <c r="K205" s="340"/>
      <c r="L205" s="345"/>
    </row>
    <row r="206" spans="1:12">
      <c r="A206" s="333"/>
      <c r="B206" s="361"/>
      <c r="C206" s="361"/>
      <c r="D206" s="171" t="s">
        <v>689</v>
      </c>
      <c r="E206" s="176"/>
      <c r="F206" s="176"/>
      <c r="G206" s="176"/>
      <c r="H206" s="176"/>
      <c r="I206" s="176"/>
      <c r="J206" s="173">
        <v>13.5</v>
      </c>
      <c r="K206" s="340"/>
      <c r="L206" s="345"/>
    </row>
    <row r="207" spans="1:12">
      <c r="A207" s="216"/>
      <c r="B207" s="10"/>
      <c r="C207" s="11"/>
      <c r="D207" s="12"/>
      <c r="E207" s="13"/>
      <c r="F207" s="14"/>
      <c r="G207" s="14"/>
      <c r="H207" s="14"/>
      <c r="I207" s="14"/>
      <c r="J207" s="15"/>
      <c r="K207" s="15"/>
      <c r="L207" s="163"/>
    </row>
    <row r="208" spans="1:12">
      <c r="A208" s="333">
        <v>4.9000000000000004</v>
      </c>
      <c r="B208" s="361" t="s">
        <v>696</v>
      </c>
      <c r="C208" s="361"/>
      <c r="D208" s="171" t="s">
        <v>682</v>
      </c>
      <c r="E208" s="176"/>
      <c r="F208" s="176"/>
      <c r="G208" s="176"/>
      <c r="H208" s="176"/>
      <c r="I208" s="176"/>
      <c r="J208" s="173">
        <v>10.7</v>
      </c>
      <c r="K208" s="340">
        <f>SUM(J208:J215)</f>
        <v>142.26999999999998</v>
      </c>
      <c r="L208" s="345" t="s">
        <v>500</v>
      </c>
    </row>
    <row r="209" spans="1:12">
      <c r="A209" s="333"/>
      <c r="B209" s="361"/>
      <c r="C209" s="361"/>
      <c r="D209" s="171" t="s">
        <v>682</v>
      </c>
      <c r="E209" s="176"/>
      <c r="F209" s="176"/>
      <c r="G209" s="176"/>
      <c r="H209" s="176"/>
      <c r="I209" s="176"/>
      <c r="J209" s="173">
        <v>10.5</v>
      </c>
      <c r="K209" s="340"/>
      <c r="L209" s="345"/>
    </row>
    <row r="210" spans="1:12">
      <c r="A210" s="333"/>
      <c r="B210" s="361"/>
      <c r="C210" s="361"/>
      <c r="D210" s="171" t="s">
        <v>697</v>
      </c>
      <c r="E210" s="176"/>
      <c r="F210" s="176"/>
      <c r="G210" s="176"/>
      <c r="H210" s="176"/>
      <c r="I210" s="176"/>
      <c r="J210" s="173">
        <v>16.37</v>
      </c>
      <c r="K210" s="340"/>
      <c r="L210" s="345"/>
    </row>
    <row r="211" spans="1:12">
      <c r="A211" s="333"/>
      <c r="B211" s="361"/>
      <c r="C211" s="361"/>
      <c r="D211" s="171" t="s">
        <v>683</v>
      </c>
      <c r="E211" s="176"/>
      <c r="F211" s="176"/>
      <c r="G211" s="176"/>
      <c r="H211" s="176"/>
      <c r="I211" s="176"/>
      <c r="J211" s="173">
        <v>15.7</v>
      </c>
      <c r="K211" s="340"/>
      <c r="L211" s="345"/>
    </row>
    <row r="212" spans="1:12">
      <c r="A212" s="333"/>
      <c r="B212" s="361"/>
      <c r="C212" s="361"/>
      <c r="D212" s="171" t="s">
        <v>698</v>
      </c>
      <c r="E212" s="176"/>
      <c r="F212" s="176"/>
      <c r="G212" s="176"/>
      <c r="H212" s="176"/>
      <c r="I212" s="176"/>
      <c r="J212" s="173">
        <v>47.5</v>
      </c>
      <c r="K212" s="340"/>
      <c r="L212" s="345"/>
    </row>
    <row r="213" spans="1:12">
      <c r="A213" s="333"/>
      <c r="B213" s="361"/>
      <c r="C213" s="361"/>
      <c r="D213" s="171" t="s">
        <v>699</v>
      </c>
      <c r="E213" s="176"/>
      <c r="F213" s="176"/>
      <c r="G213" s="176"/>
      <c r="H213" s="176"/>
      <c r="I213" s="176"/>
      <c r="J213" s="173">
        <v>12.5</v>
      </c>
      <c r="K213" s="340"/>
      <c r="L213" s="345"/>
    </row>
    <row r="214" spans="1:12">
      <c r="A214" s="333"/>
      <c r="B214" s="361"/>
      <c r="C214" s="361"/>
      <c r="D214" s="171" t="s">
        <v>688</v>
      </c>
      <c r="E214" s="176"/>
      <c r="F214" s="176"/>
      <c r="G214" s="176"/>
      <c r="H214" s="176"/>
      <c r="I214" s="176"/>
      <c r="J214" s="173">
        <v>29</v>
      </c>
      <c r="K214" s="340"/>
      <c r="L214" s="345"/>
    </row>
    <row r="215" spans="1:12">
      <c r="A215" s="333"/>
      <c r="B215" s="361"/>
      <c r="C215" s="361"/>
      <c r="D215" s="171"/>
      <c r="E215" s="176"/>
      <c r="F215" s="176"/>
      <c r="G215" s="176"/>
      <c r="H215" s="176"/>
      <c r="I215" s="176"/>
      <c r="J215" s="173"/>
      <c r="K215" s="340"/>
      <c r="L215" s="345"/>
    </row>
    <row r="216" spans="1:12">
      <c r="A216" s="216"/>
      <c r="B216" s="10"/>
      <c r="C216" s="11"/>
      <c r="D216" s="12"/>
      <c r="E216" s="13"/>
      <c r="F216" s="14"/>
      <c r="G216" s="14"/>
      <c r="H216" s="14"/>
      <c r="I216" s="14"/>
      <c r="J216" s="15"/>
      <c r="K216" s="15"/>
      <c r="L216" s="163"/>
    </row>
    <row r="217" spans="1:12">
      <c r="A217" s="216"/>
      <c r="B217" s="10"/>
      <c r="C217" s="11"/>
      <c r="D217" s="12"/>
      <c r="E217" s="13"/>
      <c r="F217" s="14"/>
      <c r="G217" s="14"/>
      <c r="H217" s="14"/>
      <c r="I217" s="14"/>
      <c r="J217" s="15"/>
      <c r="K217" s="15"/>
      <c r="L217" s="163"/>
    </row>
    <row r="218" spans="1:12" ht="33.75" customHeight="1">
      <c r="A218" s="248">
        <v>4.0999999999999996</v>
      </c>
      <c r="B218" s="341" t="s">
        <v>700</v>
      </c>
      <c r="C218" s="342"/>
      <c r="D218" s="171" t="s">
        <v>701</v>
      </c>
      <c r="E218" s="252"/>
      <c r="F218" s="172"/>
      <c r="G218" s="172"/>
      <c r="H218" s="172"/>
      <c r="I218" s="172"/>
      <c r="J218" s="177">
        <v>80.3</v>
      </c>
      <c r="K218" s="247">
        <f>J218</f>
        <v>80.3</v>
      </c>
      <c r="L218" s="251" t="s">
        <v>500</v>
      </c>
    </row>
    <row r="219" spans="1:12" ht="15" thickBot="1">
      <c r="A219" s="216"/>
      <c r="B219" s="10"/>
      <c r="C219" s="11"/>
      <c r="D219" s="12"/>
      <c r="E219" s="13"/>
      <c r="F219" s="14"/>
      <c r="G219" s="14"/>
      <c r="H219" s="14"/>
      <c r="I219" s="14"/>
      <c r="J219" s="15"/>
      <c r="K219" s="15"/>
      <c r="L219" s="163"/>
    </row>
    <row r="220" spans="1:12" ht="16.2" thickBot="1">
      <c r="A220" s="179">
        <v>5</v>
      </c>
      <c r="B220" s="343" t="s">
        <v>702</v>
      </c>
      <c r="C220" s="343"/>
      <c r="D220" s="343"/>
      <c r="E220" s="343"/>
      <c r="F220" s="343"/>
      <c r="G220" s="343"/>
      <c r="H220" s="343"/>
      <c r="I220" s="343"/>
      <c r="J220" s="343"/>
      <c r="K220" s="343"/>
      <c r="L220" s="344"/>
    </row>
    <row r="221" spans="1:12">
      <c r="A221" s="216"/>
      <c r="B221" s="10"/>
      <c r="C221" s="11"/>
      <c r="D221" s="12"/>
      <c r="E221" s="13"/>
      <c r="F221" s="14"/>
      <c r="G221" s="14"/>
      <c r="H221" s="14"/>
      <c r="I221" s="14"/>
      <c r="J221" s="15"/>
      <c r="K221" s="15"/>
      <c r="L221" s="163"/>
    </row>
    <row r="222" spans="1:12">
      <c r="A222" s="333">
        <v>5.0999999999999996</v>
      </c>
      <c r="B222" s="347" t="s">
        <v>703</v>
      </c>
      <c r="C222" s="348"/>
      <c r="D222" s="171" t="s">
        <v>704</v>
      </c>
      <c r="E222" s="176"/>
      <c r="F222" s="176"/>
      <c r="G222" s="176"/>
      <c r="H222" s="176"/>
      <c r="I222" s="176"/>
      <c r="J222" s="173">
        <f>(2.5*1.2)*4</f>
        <v>12</v>
      </c>
      <c r="K222" s="340">
        <f>SUM(J222:J229)</f>
        <v>25.284000000000006</v>
      </c>
      <c r="L222" s="345" t="s">
        <v>500</v>
      </c>
    </row>
    <row r="223" spans="1:12">
      <c r="A223" s="333"/>
      <c r="B223" s="349"/>
      <c r="C223" s="350"/>
      <c r="D223" s="171" t="s">
        <v>704</v>
      </c>
      <c r="E223" s="176"/>
      <c r="F223" s="176"/>
      <c r="G223" s="176"/>
      <c r="H223" s="176"/>
      <c r="I223" s="176"/>
      <c r="J223" s="177">
        <f>(2.31*1.2)*2</f>
        <v>5.5439999999999996</v>
      </c>
      <c r="K223" s="340"/>
      <c r="L223" s="345"/>
    </row>
    <row r="224" spans="1:12">
      <c r="A224" s="333"/>
      <c r="B224" s="349"/>
      <c r="C224" s="350"/>
      <c r="D224" s="171" t="s">
        <v>704</v>
      </c>
      <c r="E224" s="176"/>
      <c r="F224" s="176"/>
      <c r="G224" s="176"/>
      <c r="H224" s="176"/>
      <c r="I224" s="176"/>
      <c r="J224" s="173">
        <f>1.35*1.2</f>
        <v>1.62</v>
      </c>
      <c r="K224" s="340"/>
      <c r="L224" s="345"/>
    </row>
    <row r="225" spans="1:12">
      <c r="A225" s="333"/>
      <c r="B225" s="349"/>
      <c r="C225" s="350"/>
      <c r="D225" s="171" t="s">
        <v>705</v>
      </c>
      <c r="E225" s="176"/>
      <c r="F225" s="176"/>
      <c r="G225" s="176"/>
      <c r="H225" s="176"/>
      <c r="I225" s="176"/>
      <c r="J225" s="173">
        <f>(1.2*0.6)*2</f>
        <v>1.44</v>
      </c>
      <c r="K225" s="340"/>
      <c r="L225" s="345"/>
    </row>
    <row r="226" spans="1:12">
      <c r="A226" s="333"/>
      <c r="B226" s="349"/>
      <c r="C226" s="350"/>
      <c r="D226" s="171" t="s">
        <v>706</v>
      </c>
      <c r="E226" s="176"/>
      <c r="F226" s="176"/>
      <c r="G226" s="176"/>
      <c r="H226" s="176"/>
      <c r="I226" s="176"/>
      <c r="J226" s="173">
        <f>1.2*1.2</f>
        <v>1.44</v>
      </c>
      <c r="K226" s="340"/>
      <c r="L226" s="345"/>
    </row>
    <row r="227" spans="1:12">
      <c r="A227" s="333"/>
      <c r="B227" s="349"/>
      <c r="C227" s="350"/>
      <c r="D227" s="171" t="s">
        <v>706</v>
      </c>
      <c r="E227" s="176"/>
      <c r="F227" s="176"/>
      <c r="G227" s="176"/>
      <c r="H227" s="176"/>
      <c r="I227" s="176"/>
      <c r="J227" s="173">
        <f>1.2*1.2</f>
        <v>1.44</v>
      </c>
      <c r="K227" s="340"/>
      <c r="L227" s="345"/>
    </row>
    <row r="228" spans="1:12">
      <c r="A228" s="333"/>
      <c r="B228" s="349"/>
      <c r="C228" s="350"/>
      <c r="D228" s="171" t="s">
        <v>706</v>
      </c>
      <c r="E228" s="176"/>
      <c r="F228" s="176"/>
      <c r="G228" s="176"/>
      <c r="H228" s="176"/>
      <c r="I228" s="176"/>
      <c r="J228" s="173">
        <f>1.2*1.5</f>
        <v>1.7999999999999998</v>
      </c>
      <c r="K228" s="340"/>
      <c r="L228" s="345"/>
    </row>
    <row r="229" spans="1:12">
      <c r="A229" s="333"/>
      <c r="B229" s="351"/>
      <c r="C229" s="352"/>
      <c r="D229" s="171"/>
      <c r="E229" s="176"/>
      <c r="F229" s="176"/>
      <c r="G229" s="176"/>
      <c r="H229" s="176"/>
      <c r="I229" s="176"/>
      <c r="J229" s="173"/>
      <c r="K229" s="340"/>
      <c r="L229" s="345"/>
    </row>
    <row r="230" spans="1:12">
      <c r="A230" s="216"/>
      <c r="B230" s="10"/>
      <c r="C230" s="11"/>
      <c r="D230" s="12"/>
      <c r="E230" s="13"/>
      <c r="F230" s="14"/>
      <c r="G230" s="14"/>
      <c r="H230" s="14"/>
      <c r="I230" s="14"/>
      <c r="J230" s="15"/>
      <c r="K230" s="15"/>
      <c r="L230" s="163"/>
    </row>
    <row r="231" spans="1:12" ht="33.75" customHeight="1">
      <c r="A231" s="250">
        <v>5.2</v>
      </c>
      <c r="B231" s="341" t="s">
        <v>707</v>
      </c>
      <c r="C231" s="342"/>
      <c r="D231" s="171" t="s">
        <v>708</v>
      </c>
      <c r="E231" s="252"/>
      <c r="F231" s="172"/>
      <c r="G231" s="172"/>
      <c r="H231" s="172"/>
      <c r="I231" s="172"/>
      <c r="J231" s="177">
        <f>0.8*1.7</f>
        <v>1.36</v>
      </c>
      <c r="K231" s="249">
        <f>J231</f>
        <v>1.36</v>
      </c>
      <c r="L231" s="251" t="s">
        <v>500</v>
      </c>
    </row>
    <row r="232" spans="1:12">
      <c r="A232" s="216"/>
      <c r="B232" s="10"/>
      <c r="C232" s="11"/>
      <c r="D232" s="12"/>
      <c r="E232" s="13"/>
      <c r="F232" s="14"/>
      <c r="G232" s="14"/>
      <c r="H232" s="14"/>
      <c r="I232" s="14"/>
      <c r="J232" s="15"/>
      <c r="K232" s="15"/>
      <c r="L232" s="163"/>
    </row>
    <row r="233" spans="1:12">
      <c r="A233" s="333">
        <v>5.3</v>
      </c>
      <c r="B233" s="334" t="s">
        <v>709</v>
      </c>
      <c r="C233" s="335"/>
      <c r="D233" s="171" t="s">
        <v>710</v>
      </c>
      <c r="E233" s="176">
        <v>1.18</v>
      </c>
      <c r="F233" s="176">
        <v>2.8</v>
      </c>
      <c r="G233" s="176"/>
      <c r="H233" s="176"/>
      <c r="I233" s="176"/>
      <c r="J233" s="173">
        <f>E233*F233</f>
        <v>3.3039999999999998</v>
      </c>
      <c r="K233" s="340">
        <f>SUM(J233:J236)</f>
        <v>14.308</v>
      </c>
      <c r="L233" s="345" t="s">
        <v>500</v>
      </c>
    </row>
    <row r="234" spans="1:12">
      <c r="A234" s="333"/>
      <c r="B234" s="336"/>
      <c r="C234" s="337"/>
      <c r="D234" s="171" t="s">
        <v>710</v>
      </c>
      <c r="E234" s="176">
        <v>1.18</v>
      </c>
      <c r="F234" s="176">
        <v>2.8</v>
      </c>
      <c r="G234" s="176"/>
      <c r="H234" s="176"/>
      <c r="I234" s="176"/>
      <c r="J234" s="173">
        <f>E234*F234</f>
        <v>3.3039999999999998</v>
      </c>
      <c r="K234" s="340"/>
      <c r="L234" s="345"/>
    </row>
    <row r="235" spans="1:12">
      <c r="A235" s="333"/>
      <c r="B235" s="336"/>
      <c r="C235" s="337"/>
      <c r="D235" s="171" t="s">
        <v>711</v>
      </c>
      <c r="E235" s="176">
        <v>3.5</v>
      </c>
      <c r="F235" s="176">
        <v>2.2000000000000002</v>
      </c>
      <c r="G235" s="176"/>
      <c r="H235" s="176"/>
      <c r="I235" s="176"/>
      <c r="J235" s="173">
        <f>E235*F235</f>
        <v>7.7000000000000011</v>
      </c>
      <c r="K235" s="340"/>
      <c r="L235" s="345"/>
    </row>
    <row r="236" spans="1:12">
      <c r="A236" s="333"/>
      <c r="B236" s="338"/>
      <c r="C236" s="339"/>
      <c r="D236" s="171"/>
      <c r="E236" s="176"/>
      <c r="F236" s="176"/>
      <c r="G236" s="176"/>
      <c r="H236" s="176"/>
      <c r="I236" s="176"/>
      <c r="J236" s="173">
        <f>G236*F236*E236</f>
        <v>0</v>
      </c>
      <c r="K236" s="340"/>
      <c r="L236" s="345"/>
    </row>
    <row r="237" spans="1:12">
      <c r="A237" s="216"/>
      <c r="B237" s="10"/>
      <c r="C237" s="11"/>
      <c r="D237" s="12"/>
      <c r="E237" s="13"/>
      <c r="F237" s="14"/>
      <c r="G237" s="14"/>
      <c r="H237" s="14"/>
      <c r="I237" s="14"/>
      <c r="J237" s="15"/>
      <c r="K237" s="15"/>
      <c r="L237" s="163"/>
    </row>
    <row r="238" spans="1:12">
      <c r="A238" s="333">
        <v>5.4</v>
      </c>
      <c r="B238" s="334" t="s">
        <v>712</v>
      </c>
      <c r="C238" s="335"/>
      <c r="D238" s="171" t="s">
        <v>667</v>
      </c>
      <c r="E238" s="176"/>
      <c r="F238" s="176"/>
      <c r="G238" s="176"/>
      <c r="H238" s="176"/>
      <c r="I238" s="176"/>
      <c r="J238" s="173">
        <v>3</v>
      </c>
      <c r="K238" s="340">
        <f>SUM(J238:J241)</f>
        <v>9</v>
      </c>
      <c r="L238" s="345" t="s">
        <v>713</v>
      </c>
    </row>
    <row r="239" spans="1:12">
      <c r="A239" s="333"/>
      <c r="B239" s="336"/>
      <c r="C239" s="337"/>
      <c r="D239" s="171" t="s">
        <v>714</v>
      </c>
      <c r="E239" s="176"/>
      <c r="F239" s="176"/>
      <c r="G239" s="176"/>
      <c r="H239" s="176"/>
      <c r="I239" s="176"/>
      <c r="J239" s="173">
        <v>2</v>
      </c>
      <c r="K239" s="340"/>
      <c r="L239" s="345"/>
    </row>
    <row r="240" spans="1:12">
      <c r="A240" s="333"/>
      <c r="B240" s="336"/>
      <c r="C240" s="337"/>
      <c r="D240" s="171" t="s">
        <v>669</v>
      </c>
      <c r="E240" s="176"/>
      <c r="F240" s="176"/>
      <c r="G240" s="176"/>
      <c r="H240" s="176"/>
      <c r="I240" s="176"/>
      <c r="J240" s="173">
        <v>4</v>
      </c>
      <c r="K240" s="340"/>
      <c r="L240" s="345"/>
    </row>
    <row r="241" spans="1:12">
      <c r="A241" s="333"/>
      <c r="B241" s="338"/>
      <c r="C241" s="339"/>
      <c r="D241" s="171"/>
      <c r="E241" s="176"/>
      <c r="F241" s="176"/>
      <c r="G241" s="176"/>
      <c r="H241" s="176"/>
      <c r="I241" s="176"/>
      <c r="J241" s="173"/>
      <c r="K241" s="340"/>
      <c r="L241" s="345"/>
    </row>
    <row r="242" spans="1:12">
      <c r="A242" s="216"/>
      <c r="B242" s="10"/>
      <c r="C242" s="11"/>
      <c r="D242" s="12"/>
      <c r="E242" s="13"/>
      <c r="F242" s="14"/>
      <c r="G242" s="14"/>
      <c r="H242" s="14"/>
      <c r="I242" s="14"/>
      <c r="J242" s="15"/>
      <c r="K242" s="15"/>
      <c r="L242" s="163"/>
    </row>
    <row r="243" spans="1:12">
      <c r="A243" s="333">
        <v>5.5</v>
      </c>
      <c r="B243" s="334" t="s">
        <v>715</v>
      </c>
      <c r="C243" s="335"/>
      <c r="D243" s="171" t="s">
        <v>667</v>
      </c>
      <c r="E243" s="176"/>
      <c r="F243" s="176"/>
      <c r="G243" s="176"/>
      <c r="H243" s="176"/>
      <c r="I243" s="176"/>
      <c r="J243" s="173">
        <v>6</v>
      </c>
      <c r="K243" s="340">
        <f>SUM(J243:J246)</f>
        <v>10</v>
      </c>
      <c r="L243" s="345" t="s">
        <v>713</v>
      </c>
    </row>
    <row r="244" spans="1:12">
      <c r="A244" s="333"/>
      <c r="B244" s="336"/>
      <c r="C244" s="337"/>
      <c r="D244" s="171" t="s">
        <v>714</v>
      </c>
      <c r="E244" s="176"/>
      <c r="F244" s="176"/>
      <c r="G244" s="176"/>
      <c r="H244" s="176"/>
      <c r="I244" s="176"/>
      <c r="J244" s="173">
        <v>4</v>
      </c>
      <c r="K244" s="340"/>
      <c r="L244" s="345"/>
    </row>
    <row r="245" spans="1:12">
      <c r="A245" s="333"/>
      <c r="B245" s="336"/>
      <c r="C245" s="337"/>
      <c r="D245" s="171" t="s">
        <v>669</v>
      </c>
      <c r="E245" s="176"/>
      <c r="F245" s="176"/>
      <c r="G245" s="176"/>
      <c r="H245" s="176"/>
      <c r="I245" s="176"/>
      <c r="J245" s="173"/>
      <c r="K245" s="340"/>
      <c r="L245" s="345"/>
    </row>
    <row r="246" spans="1:12">
      <c r="A246" s="333"/>
      <c r="B246" s="338"/>
      <c r="C246" s="339"/>
      <c r="D246" s="171"/>
      <c r="E246" s="176"/>
      <c r="F246" s="176"/>
      <c r="G246" s="176"/>
      <c r="H246" s="176"/>
      <c r="I246" s="176"/>
      <c r="J246" s="173"/>
      <c r="K246" s="340"/>
      <c r="L246" s="345"/>
    </row>
    <row r="247" spans="1:12">
      <c r="A247" s="216"/>
      <c r="B247" s="10"/>
      <c r="C247" s="11"/>
      <c r="D247" s="12"/>
      <c r="E247" s="13"/>
      <c r="F247" s="14"/>
      <c r="G247" s="14"/>
      <c r="H247" s="14"/>
      <c r="I247" s="14"/>
      <c r="J247" s="15"/>
      <c r="K247" s="15"/>
      <c r="L247" s="163"/>
    </row>
    <row r="248" spans="1:12">
      <c r="A248" s="250">
        <v>5.6</v>
      </c>
      <c r="B248" s="341" t="s">
        <v>716</v>
      </c>
      <c r="C248" s="342"/>
      <c r="D248" s="171" t="s">
        <v>698</v>
      </c>
      <c r="E248" s="252"/>
      <c r="F248" s="172"/>
      <c r="G248" s="172"/>
      <c r="H248" s="172"/>
      <c r="I248" s="172"/>
      <c r="J248" s="177">
        <v>1</v>
      </c>
      <c r="K248" s="249">
        <f>J248</f>
        <v>1</v>
      </c>
      <c r="L248" s="251" t="s">
        <v>713</v>
      </c>
    </row>
    <row r="249" spans="1:12">
      <c r="A249" s="216"/>
      <c r="B249" s="10"/>
      <c r="C249" s="11"/>
      <c r="D249" s="12"/>
      <c r="E249" s="13"/>
      <c r="F249" s="14"/>
      <c r="G249" s="14"/>
      <c r="H249" s="14"/>
      <c r="I249" s="14"/>
      <c r="J249" s="15"/>
      <c r="K249" s="15"/>
      <c r="L249" s="163"/>
    </row>
    <row r="250" spans="1:12">
      <c r="A250" s="250">
        <v>5.7</v>
      </c>
      <c r="B250" s="341" t="s">
        <v>717</v>
      </c>
      <c r="C250" s="342"/>
      <c r="D250" s="171" t="s">
        <v>718</v>
      </c>
      <c r="E250" s="252"/>
      <c r="F250" s="172"/>
      <c r="G250" s="172"/>
      <c r="H250" s="172"/>
      <c r="I250" s="172"/>
      <c r="J250" s="177">
        <v>3</v>
      </c>
      <c r="K250" s="249">
        <f>J250</f>
        <v>3</v>
      </c>
      <c r="L250" s="251" t="s">
        <v>713</v>
      </c>
    </row>
    <row r="251" spans="1:12">
      <c r="A251" s="216"/>
      <c r="B251" s="10"/>
      <c r="C251" s="11"/>
      <c r="D251" s="12"/>
      <c r="E251" s="13"/>
      <c r="F251" s="14"/>
      <c r="G251" s="14"/>
      <c r="H251" s="14"/>
      <c r="I251" s="14"/>
      <c r="J251" s="15"/>
      <c r="K251" s="15"/>
      <c r="L251" s="163"/>
    </row>
    <row r="252" spans="1:12">
      <c r="A252" s="250">
        <v>5.8</v>
      </c>
      <c r="B252" s="353" t="s">
        <v>719</v>
      </c>
      <c r="C252" s="354"/>
      <c r="D252" s="171" t="s">
        <v>698</v>
      </c>
      <c r="E252" s="252"/>
      <c r="F252" s="172">
        <v>0.7</v>
      </c>
      <c r="G252" s="172">
        <v>2.1</v>
      </c>
      <c r="H252" s="172"/>
      <c r="I252" s="172"/>
      <c r="J252" s="177">
        <f>G252*F252</f>
        <v>1.47</v>
      </c>
      <c r="K252" s="249">
        <f>J252</f>
        <v>1.47</v>
      </c>
      <c r="L252" s="251" t="s">
        <v>500</v>
      </c>
    </row>
    <row r="253" spans="1:12">
      <c r="A253" s="216"/>
      <c r="B253" s="10"/>
      <c r="C253" s="11"/>
      <c r="D253" s="12"/>
      <c r="E253" s="13"/>
      <c r="F253" s="14"/>
      <c r="G253" s="14"/>
      <c r="H253" s="14"/>
      <c r="I253" s="14"/>
      <c r="J253" s="15"/>
      <c r="K253" s="15"/>
      <c r="L253" s="163"/>
    </row>
    <row r="254" spans="1:12">
      <c r="A254" s="333">
        <v>5.9</v>
      </c>
      <c r="B254" s="334" t="s">
        <v>720</v>
      </c>
      <c r="C254" s="335"/>
      <c r="D254" s="355" t="s">
        <v>721</v>
      </c>
      <c r="E254" s="176"/>
      <c r="F254" s="176">
        <v>1.2</v>
      </c>
      <c r="G254" s="176">
        <v>1.2</v>
      </c>
      <c r="H254" s="176">
        <v>2</v>
      </c>
      <c r="I254" s="176"/>
      <c r="J254" s="173">
        <f>(F254*G254)*H254</f>
        <v>2.88</v>
      </c>
      <c r="K254" s="358">
        <f>SUM(J254:J272)</f>
        <v>51.754999999999988</v>
      </c>
      <c r="L254" s="345" t="s">
        <v>500</v>
      </c>
    </row>
    <row r="255" spans="1:12">
      <c r="A255" s="333"/>
      <c r="B255" s="336"/>
      <c r="C255" s="337"/>
      <c r="D255" s="356"/>
      <c r="E255" s="176"/>
      <c r="F255" s="176">
        <v>1.2</v>
      </c>
      <c r="G255" s="176">
        <v>2.5</v>
      </c>
      <c r="H255" s="176">
        <v>1</v>
      </c>
      <c r="I255" s="176"/>
      <c r="J255" s="173">
        <f t="shared" ref="J255:J268" si="9">(F255*G255)*H255</f>
        <v>3</v>
      </c>
      <c r="K255" s="358"/>
      <c r="L255" s="345"/>
    </row>
    <row r="256" spans="1:12">
      <c r="A256" s="333"/>
      <c r="B256" s="336"/>
      <c r="C256" s="337"/>
      <c r="D256" s="356"/>
      <c r="E256" s="176"/>
      <c r="F256" s="176">
        <v>1.2</v>
      </c>
      <c r="G256" s="176">
        <v>1.5</v>
      </c>
      <c r="H256" s="176">
        <v>3</v>
      </c>
      <c r="I256" s="176"/>
      <c r="J256" s="173">
        <f t="shared" si="9"/>
        <v>5.3999999999999995</v>
      </c>
      <c r="K256" s="358"/>
      <c r="L256" s="345"/>
    </row>
    <row r="257" spans="1:12">
      <c r="A257" s="333"/>
      <c r="B257" s="336"/>
      <c r="C257" s="337"/>
      <c r="D257" s="356"/>
      <c r="E257" s="176"/>
      <c r="F257" s="176">
        <v>2.1</v>
      </c>
      <c r="G257" s="176">
        <v>0.9</v>
      </c>
      <c r="H257" s="176">
        <v>2</v>
      </c>
      <c r="I257" s="176"/>
      <c r="J257" s="173">
        <f t="shared" si="9"/>
        <v>3.7800000000000002</v>
      </c>
      <c r="K257" s="358"/>
      <c r="L257" s="345"/>
    </row>
    <row r="258" spans="1:12">
      <c r="A258" s="333"/>
      <c r="B258" s="336"/>
      <c r="C258" s="337"/>
      <c r="D258" s="357"/>
      <c r="E258" s="176"/>
      <c r="F258" s="176"/>
      <c r="G258" s="176"/>
      <c r="H258" s="176"/>
      <c r="I258" s="176"/>
      <c r="J258" s="173"/>
      <c r="K258" s="358"/>
      <c r="L258" s="345"/>
    </row>
    <row r="259" spans="1:12">
      <c r="A259" s="333"/>
      <c r="B259" s="336"/>
      <c r="C259" s="337"/>
      <c r="D259" s="355" t="s">
        <v>722</v>
      </c>
      <c r="E259" s="176"/>
      <c r="F259" s="176">
        <v>1.3</v>
      </c>
      <c r="G259" s="176">
        <v>1.55</v>
      </c>
      <c r="H259" s="176">
        <v>1</v>
      </c>
      <c r="I259" s="176"/>
      <c r="J259" s="173">
        <f t="shared" si="9"/>
        <v>2.0150000000000001</v>
      </c>
      <c r="K259" s="358"/>
      <c r="L259" s="345"/>
    </row>
    <row r="260" spans="1:12">
      <c r="A260" s="333"/>
      <c r="B260" s="336"/>
      <c r="C260" s="337"/>
      <c r="D260" s="356"/>
      <c r="E260" s="176"/>
      <c r="F260" s="176">
        <v>1</v>
      </c>
      <c r="G260" s="176">
        <v>2</v>
      </c>
      <c r="H260" s="176">
        <v>1</v>
      </c>
      <c r="I260" s="176"/>
      <c r="J260" s="173">
        <f t="shared" si="9"/>
        <v>2</v>
      </c>
      <c r="K260" s="358"/>
      <c r="L260" s="345"/>
    </row>
    <row r="261" spans="1:12">
      <c r="A261" s="333"/>
      <c r="B261" s="336"/>
      <c r="C261" s="337"/>
      <c r="D261" s="356"/>
      <c r="E261" s="176"/>
      <c r="F261" s="176">
        <v>1.2</v>
      </c>
      <c r="G261" s="176">
        <v>2.5</v>
      </c>
      <c r="H261" s="176">
        <v>1</v>
      </c>
      <c r="I261" s="176"/>
      <c r="J261" s="173">
        <f t="shared" si="9"/>
        <v>3</v>
      </c>
      <c r="K261" s="358"/>
      <c r="L261" s="345"/>
    </row>
    <row r="262" spans="1:12">
      <c r="A262" s="333"/>
      <c r="B262" s="336"/>
      <c r="C262" s="337"/>
      <c r="D262" s="356"/>
      <c r="E262" s="176"/>
      <c r="F262" s="176">
        <v>1.2</v>
      </c>
      <c r="G262" s="176">
        <v>1.5</v>
      </c>
      <c r="H262" s="176">
        <v>3</v>
      </c>
      <c r="I262" s="176"/>
      <c r="J262" s="173">
        <f t="shared" si="9"/>
        <v>5.3999999999999995</v>
      </c>
      <c r="K262" s="358"/>
      <c r="L262" s="345"/>
    </row>
    <row r="263" spans="1:12">
      <c r="A263" s="333"/>
      <c r="B263" s="336"/>
      <c r="C263" s="337"/>
      <c r="D263" s="356"/>
      <c r="E263" s="176"/>
      <c r="F263" s="176">
        <v>1.25</v>
      </c>
      <c r="G263" s="176">
        <v>1.3</v>
      </c>
      <c r="H263" s="176">
        <v>2</v>
      </c>
      <c r="I263" s="176"/>
      <c r="J263" s="173">
        <f t="shared" si="9"/>
        <v>3.25</v>
      </c>
      <c r="K263" s="358"/>
      <c r="L263" s="345"/>
    </row>
    <row r="264" spans="1:12">
      <c r="A264" s="333"/>
      <c r="B264" s="336"/>
      <c r="C264" s="337"/>
      <c r="D264" s="356"/>
      <c r="E264" s="176"/>
      <c r="F264" s="176">
        <v>2.1</v>
      </c>
      <c r="G264" s="176">
        <v>0.9</v>
      </c>
      <c r="H264" s="176">
        <v>1</v>
      </c>
      <c r="I264" s="176"/>
      <c r="J264" s="173">
        <f t="shared" si="9"/>
        <v>1.8900000000000001</v>
      </c>
      <c r="K264" s="358"/>
      <c r="L264" s="345"/>
    </row>
    <row r="265" spans="1:12">
      <c r="A265" s="333"/>
      <c r="B265" s="336"/>
      <c r="C265" s="337"/>
      <c r="D265" s="357"/>
      <c r="E265" s="176"/>
      <c r="F265" s="176"/>
      <c r="G265" s="176"/>
      <c r="H265" s="176"/>
      <c r="I265" s="176"/>
      <c r="J265" s="173">
        <f t="shared" si="9"/>
        <v>0</v>
      </c>
      <c r="K265" s="358"/>
      <c r="L265" s="345"/>
    </row>
    <row r="266" spans="1:12">
      <c r="A266" s="333"/>
      <c r="B266" s="336"/>
      <c r="C266" s="337"/>
      <c r="D266" s="355" t="s">
        <v>723</v>
      </c>
      <c r="E266" s="176"/>
      <c r="F266" s="176">
        <v>1.2</v>
      </c>
      <c r="G266" s="176">
        <v>2.2999999999999998</v>
      </c>
      <c r="H266" s="176">
        <v>2</v>
      </c>
      <c r="I266" s="176"/>
      <c r="J266" s="173">
        <f t="shared" si="9"/>
        <v>5.52</v>
      </c>
      <c r="K266" s="358"/>
      <c r="L266" s="345"/>
    </row>
    <row r="267" spans="1:12">
      <c r="A267" s="333"/>
      <c r="B267" s="336"/>
      <c r="C267" s="337"/>
      <c r="D267" s="356"/>
      <c r="E267" s="176"/>
      <c r="F267" s="176">
        <v>1.2</v>
      </c>
      <c r="G267" s="176">
        <v>2.5</v>
      </c>
      <c r="H267" s="176">
        <v>4</v>
      </c>
      <c r="I267" s="176"/>
      <c r="J267" s="173">
        <f t="shared" si="9"/>
        <v>12</v>
      </c>
      <c r="K267" s="358"/>
      <c r="L267" s="345"/>
    </row>
    <row r="268" spans="1:12">
      <c r="A268" s="333"/>
      <c r="B268" s="336"/>
      <c r="C268" s="337"/>
      <c r="D268" s="356"/>
      <c r="E268" s="176"/>
      <c r="F268" s="176">
        <v>1.2</v>
      </c>
      <c r="G268" s="176">
        <v>1.35</v>
      </c>
      <c r="H268" s="176">
        <v>1</v>
      </c>
      <c r="I268" s="176"/>
      <c r="J268" s="173">
        <f t="shared" si="9"/>
        <v>1.62</v>
      </c>
      <c r="K268" s="358"/>
      <c r="L268" s="345"/>
    </row>
    <row r="269" spans="1:12">
      <c r="A269" s="333"/>
      <c r="B269" s="336"/>
      <c r="C269" s="337"/>
      <c r="D269" s="356"/>
      <c r="E269" s="176"/>
      <c r="F269" s="176"/>
      <c r="G269" s="176"/>
      <c r="H269" s="176"/>
      <c r="I269" s="176"/>
      <c r="J269" s="173"/>
      <c r="K269" s="358"/>
      <c r="L269" s="345"/>
    </row>
    <row r="270" spans="1:12">
      <c r="A270" s="333"/>
      <c r="B270" s="336"/>
      <c r="C270" s="337"/>
      <c r="D270" s="356"/>
      <c r="E270" s="176"/>
      <c r="F270" s="176"/>
      <c r="G270" s="176"/>
      <c r="H270" s="176"/>
      <c r="I270" s="176"/>
      <c r="J270" s="173"/>
      <c r="K270" s="358"/>
      <c r="L270" s="345"/>
    </row>
    <row r="271" spans="1:12">
      <c r="A271" s="333"/>
      <c r="B271" s="336"/>
      <c r="C271" s="337"/>
      <c r="D271" s="356"/>
      <c r="E271" s="176"/>
      <c r="F271" s="176"/>
      <c r="G271" s="176"/>
      <c r="H271" s="176"/>
      <c r="I271" s="176"/>
      <c r="J271" s="173"/>
      <c r="K271" s="358"/>
      <c r="L271" s="345"/>
    </row>
    <row r="272" spans="1:12">
      <c r="A272" s="333"/>
      <c r="B272" s="338"/>
      <c r="C272" s="339"/>
      <c r="D272" s="357"/>
      <c r="E272" s="176"/>
      <c r="F272" s="176"/>
      <c r="G272" s="176"/>
      <c r="H272" s="176"/>
      <c r="I272" s="176"/>
      <c r="J272" s="173"/>
      <c r="K272" s="358"/>
      <c r="L272" s="345"/>
    </row>
    <row r="273" spans="1:12">
      <c r="A273" s="216"/>
      <c r="B273" s="10"/>
      <c r="C273" s="11"/>
      <c r="D273" s="12"/>
      <c r="E273" s="13"/>
      <c r="F273" s="14"/>
      <c r="G273" s="14"/>
      <c r="H273" s="14"/>
      <c r="I273" s="14"/>
      <c r="J273" s="15"/>
      <c r="K273" s="15"/>
      <c r="L273" s="163"/>
    </row>
    <row r="274" spans="1:12">
      <c r="A274" s="346">
        <v>5.0999999999999996</v>
      </c>
      <c r="B274" s="347" t="s">
        <v>724</v>
      </c>
      <c r="C274" s="348"/>
      <c r="D274" s="171" t="s">
        <v>725</v>
      </c>
      <c r="E274" s="176"/>
      <c r="F274" s="176">
        <v>1.2</v>
      </c>
      <c r="G274" s="176">
        <v>1.2</v>
      </c>
      <c r="H274" s="176"/>
      <c r="I274" s="176"/>
      <c r="J274" s="173">
        <f>G274*F274</f>
        <v>1.44</v>
      </c>
      <c r="K274" s="340">
        <f>SUM(J274:J281)</f>
        <v>27.983999999999998</v>
      </c>
      <c r="L274" s="345" t="s">
        <v>500</v>
      </c>
    </row>
    <row r="275" spans="1:12">
      <c r="A275" s="346"/>
      <c r="B275" s="349"/>
      <c r="C275" s="350"/>
      <c r="D275" s="171" t="s">
        <v>725</v>
      </c>
      <c r="E275" s="176"/>
      <c r="F275" s="176">
        <v>1.2</v>
      </c>
      <c r="G275" s="176">
        <v>1.2</v>
      </c>
      <c r="H275" s="176"/>
      <c r="I275" s="176"/>
      <c r="J275" s="173">
        <f>G275*F275</f>
        <v>1.44</v>
      </c>
      <c r="K275" s="340"/>
      <c r="L275" s="345"/>
    </row>
    <row r="276" spans="1:12">
      <c r="A276" s="346"/>
      <c r="B276" s="349"/>
      <c r="C276" s="350"/>
      <c r="D276" s="171" t="s">
        <v>725</v>
      </c>
      <c r="E276" s="176"/>
      <c r="F276" s="176">
        <v>1.2</v>
      </c>
      <c r="G276" s="176">
        <v>1.5</v>
      </c>
      <c r="H276" s="176"/>
      <c r="I276" s="176"/>
      <c r="J276" s="173">
        <f>G276*F276</f>
        <v>1.7999999999999998</v>
      </c>
      <c r="K276" s="340"/>
      <c r="L276" s="345"/>
    </row>
    <row r="277" spans="1:12">
      <c r="A277" s="346"/>
      <c r="B277" s="349"/>
      <c r="C277" s="350"/>
      <c r="D277" s="171" t="s">
        <v>725</v>
      </c>
      <c r="E277" s="176"/>
      <c r="F277" s="176">
        <v>1.2</v>
      </c>
      <c r="G277" s="176">
        <v>1.2</v>
      </c>
      <c r="H277" s="176"/>
      <c r="I277" s="176"/>
      <c r="J277" s="173">
        <f>G277*F277</f>
        <v>1.44</v>
      </c>
      <c r="K277" s="340"/>
      <c r="L277" s="345"/>
    </row>
    <row r="278" spans="1:12">
      <c r="A278" s="346"/>
      <c r="B278" s="349"/>
      <c r="C278" s="350"/>
      <c r="D278" s="171" t="s">
        <v>537</v>
      </c>
      <c r="E278" s="176"/>
      <c r="F278" s="176">
        <v>1.2</v>
      </c>
      <c r="G278" s="176">
        <v>2.5</v>
      </c>
      <c r="H278" s="176"/>
      <c r="I278" s="176">
        <v>4</v>
      </c>
      <c r="J278" s="173">
        <f>G278*F278*I278</f>
        <v>12</v>
      </c>
      <c r="K278" s="340"/>
      <c r="L278" s="345"/>
    </row>
    <row r="279" spans="1:12">
      <c r="A279" s="346"/>
      <c r="B279" s="349"/>
      <c r="C279" s="350"/>
      <c r="D279" s="171" t="s">
        <v>537</v>
      </c>
      <c r="E279" s="176"/>
      <c r="F279" s="176">
        <v>1.2</v>
      </c>
      <c r="G279" s="176">
        <v>2.31</v>
      </c>
      <c r="H279" s="176"/>
      <c r="I279" s="176">
        <v>2</v>
      </c>
      <c r="J279" s="173">
        <f>G279*F279*I279</f>
        <v>5.5439999999999996</v>
      </c>
      <c r="K279" s="340"/>
      <c r="L279" s="345"/>
    </row>
    <row r="280" spans="1:12">
      <c r="A280" s="346"/>
      <c r="B280" s="349"/>
      <c r="C280" s="350"/>
      <c r="D280" s="171" t="s">
        <v>537</v>
      </c>
      <c r="E280" s="176"/>
      <c r="F280" s="176">
        <v>1.2</v>
      </c>
      <c r="G280" s="176">
        <v>1.35</v>
      </c>
      <c r="H280" s="176"/>
      <c r="I280" s="176"/>
      <c r="J280" s="173">
        <f>G280*F280</f>
        <v>1.62</v>
      </c>
      <c r="K280" s="340"/>
      <c r="L280" s="345"/>
    </row>
    <row r="281" spans="1:12">
      <c r="A281" s="346"/>
      <c r="B281" s="351"/>
      <c r="C281" s="352"/>
      <c r="D281" s="171" t="s">
        <v>726</v>
      </c>
      <c r="E281" s="176"/>
      <c r="F281" s="176">
        <v>0.9</v>
      </c>
      <c r="G281" s="176">
        <v>1.5</v>
      </c>
      <c r="H281" s="176"/>
      <c r="I281" s="176">
        <v>2</v>
      </c>
      <c r="J281" s="173">
        <f>G281*F281*I281</f>
        <v>2.7</v>
      </c>
      <c r="K281" s="340"/>
      <c r="L281" s="345"/>
    </row>
    <row r="282" spans="1:12" ht="15" thickBot="1">
      <c r="A282" s="216"/>
      <c r="B282" s="10"/>
      <c r="C282" s="11"/>
      <c r="D282" s="12"/>
      <c r="E282" s="13"/>
      <c r="F282" s="14"/>
      <c r="G282" s="14"/>
      <c r="H282" s="14"/>
      <c r="I282" s="14"/>
      <c r="J282" s="15"/>
      <c r="K282" s="15"/>
      <c r="L282" s="163"/>
    </row>
    <row r="283" spans="1:12" ht="16.2" thickBot="1">
      <c r="A283" s="179">
        <v>6</v>
      </c>
      <c r="B283" s="343" t="s">
        <v>162</v>
      </c>
      <c r="C283" s="343"/>
      <c r="D283" s="343"/>
      <c r="E283" s="343"/>
      <c r="F283" s="343"/>
      <c r="G283" s="343"/>
      <c r="H283" s="343"/>
      <c r="I283" s="343"/>
      <c r="J283" s="343"/>
      <c r="K283" s="343"/>
      <c r="L283" s="344"/>
    </row>
    <row r="284" spans="1:12">
      <c r="A284" s="216"/>
      <c r="B284" s="10"/>
      <c r="C284" s="11"/>
      <c r="D284" s="12"/>
      <c r="E284" s="13"/>
      <c r="F284" s="14"/>
      <c r="G284" s="14"/>
      <c r="H284" s="14"/>
      <c r="I284" s="14"/>
      <c r="J284" s="15"/>
      <c r="K284" s="15"/>
      <c r="L284" s="163"/>
    </row>
    <row r="285" spans="1:12">
      <c r="A285" s="250">
        <v>6.1</v>
      </c>
      <c r="B285" s="341" t="s">
        <v>727</v>
      </c>
      <c r="C285" s="342"/>
      <c r="D285" s="171" t="s">
        <v>728</v>
      </c>
      <c r="E285" s="252"/>
      <c r="F285" s="172"/>
      <c r="G285" s="172"/>
      <c r="H285" s="172"/>
      <c r="I285" s="172"/>
      <c r="J285" s="177">
        <v>1242.2</v>
      </c>
      <c r="K285" s="249">
        <f>J285</f>
        <v>1242.2</v>
      </c>
      <c r="L285" s="251" t="s">
        <v>729</v>
      </c>
    </row>
    <row r="286" spans="1:12">
      <c r="A286" s="216"/>
      <c r="B286" s="10"/>
      <c r="C286" s="11"/>
      <c r="D286" s="12"/>
      <c r="E286" s="13"/>
      <c r="F286" s="14"/>
      <c r="G286" s="14"/>
      <c r="H286" s="14"/>
      <c r="I286" s="14"/>
      <c r="J286" s="15"/>
      <c r="K286" s="15"/>
      <c r="L286" s="163"/>
    </row>
    <row r="287" spans="1:12">
      <c r="A287" s="250">
        <v>6.2</v>
      </c>
      <c r="B287" s="341" t="s">
        <v>730</v>
      </c>
      <c r="C287" s="342"/>
      <c r="D287" s="171" t="s">
        <v>728</v>
      </c>
      <c r="E287" s="252"/>
      <c r="F287" s="172"/>
      <c r="G287" s="172"/>
      <c r="H287" s="172"/>
      <c r="I287" s="172"/>
      <c r="J287" s="177">
        <v>235.57</v>
      </c>
      <c r="K287" s="249">
        <f>J287</f>
        <v>235.57</v>
      </c>
      <c r="L287" s="251" t="s">
        <v>729</v>
      </c>
    </row>
    <row r="288" spans="1:12" ht="15" thickBot="1">
      <c r="A288" s="216"/>
      <c r="B288" s="10"/>
      <c r="C288" s="11"/>
      <c r="D288" s="12"/>
      <c r="E288" s="13"/>
      <c r="F288" s="14"/>
      <c r="G288" s="14"/>
      <c r="H288" s="14"/>
      <c r="I288" s="14"/>
      <c r="J288" s="15"/>
      <c r="K288" s="15"/>
      <c r="L288" s="163"/>
    </row>
    <row r="289" spans="1:12" ht="16.2" thickBot="1">
      <c r="A289" s="179">
        <v>7</v>
      </c>
      <c r="B289" s="343" t="s">
        <v>171</v>
      </c>
      <c r="C289" s="343"/>
      <c r="D289" s="343"/>
      <c r="E289" s="343"/>
      <c r="F289" s="343"/>
      <c r="G289" s="343"/>
      <c r="H289" s="343"/>
      <c r="I289" s="343"/>
      <c r="J289" s="343"/>
      <c r="K289" s="343"/>
      <c r="L289" s="344"/>
    </row>
    <row r="290" spans="1:12">
      <c r="A290" s="216"/>
      <c r="B290" s="10"/>
      <c r="C290" s="11"/>
      <c r="D290" s="12"/>
      <c r="E290" s="13"/>
      <c r="F290" s="14"/>
      <c r="G290" s="14"/>
      <c r="H290" s="14"/>
      <c r="I290" s="14"/>
      <c r="J290" s="15"/>
      <c r="K290" s="15"/>
      <c r="L290" s="163"/>
    </row>
    <row r="291" spans="1:12">
      <c r="A291" s="333">
        <v>7.1</v>
      </c>
      <c r="B291" s="334" t="s">
        <v>731</v>
      </c>
      <c r="C291" s="335"/>
      <c r="D291" s="171" t="s">
        <v>732</v>
      </c>
      <c r="E291" s="176"/>
      <c r="F291" s="176">
        <v>0.3</v>
      </c>
      <c r="G291" s="176">
        <v>2.2000000000000002</v>
      </c>
      <c r="H291" s="176">
        <v>2</v>
      </c>
      <c r="I291" s="176"/>
      <c r="J291" s="173">
        <f>G291*F291*H291</f>
        <v>1.32</v>
      </c>
      <c r="K291" s="340">
        <f>SUM(J291:J299)</f>
        <v>157.392</v>
      </c>
      <c r="L291" s="345" t="s">
        <v>500</v>
      </c>
    </row>
    <row r="292" spans="1:12">
      <c r="A292" s="333"/>
      <c r="B292" s="336"/>
      <c r="C292" s="337"/>
      <c r="D292" s="171" t="s">
        <v>733</v>
      </c>
      <c r="E292" s="176"/>
      <c r="F292" s="176">
        <v>0.4</v>
      </c>
      <c r="G292" s="176">
        <v>1.9</v>
      </c>
      <c r="H292" s="176">
        <v>8</v>
      </c>
      <c r="I292" s="176"/>
      <c r="J292" s="173">
        <f t="shared" ref="J292:J298" si="10">G292*F292*H292</f>
        <v>6.08</v>
      </c>
      <c r="K292" s="340"/>
      <c r="L292" s="345"/>
    </row>
    <row r="293" spans="1:12">
      <c r="A293" s="333"/>
      <c r="B293" s="336"/>
      <c r="C293" s="337"/>
      <c r="D293" s="171" t="s">
        <v>733</v>
      </c>
      <c r="E293" s="176"/>
      <c r="F293" s="176">
        <v>0.4</v>
      </c>
      <c r="G293" s="176">
        <v>1.95</v>
      </c>
      <c r="H293" s="176">
        <v>32</v>
      </c>
      <c r="I293" s="176"/>
      <c r="J293" s="173">
        <f t="shared" si="10"/>
        <v>24.96</v>
      </c>
      <c r="K293" s="340"/>
      <c r="L293" s="345"/>
    </row>
    <row r="294" spans="1:12">
      <c r="A294" s="333"/>
      <c r="B294" s="336"/>
      <c r="C294" s="337"/>
      <c r="D294" s="171" t="s">
        <v>734</v>
      </c>
      <c r="E294" s="176"/>
      <c r="F294" s="176">
        <v>12.7</v>
      </c>
      <c r="G294" s="176">
        <v>0.3</v>
      </c>
      <c r="H294" s="176">
        <v>8</v>
      </c>
      <c r="I294" s="176"/>
      <c r="J294" s="173">
        <f t="shared" si="10"/>
        <v>30.479999999999997</v>
      </c>
      <c r="K294" s="340"/>
      <c r="L294" s="345"/>
    </row>
    <row r="295" spans="1:12">
      <c r="A295" s="333"/>
      <c r="B295" s="336"/>
      <c r="C295" s="337"/>
      <c r="D295" s="171" t="s">
        <v>734</v>
      </c>
      <c r="E295" s="176"/>
      <c r="F295" s="176">
        <v>12.7</v>
      </c>
      <c r="G295" s="176">
        <v>0.15</v>
      </c>
      <c r="H295" s="176">
        <v>4</v>
      </c>
      <c r="I295" s="176"/>
      <c r="J295" s="173">
        <f t="shared" si="10"/>
        <v>7.6199999999999992</v>
      </c>
      <c r="K295" s="340"/>
      <c r="L295" s="345"/>
    </row>
    <row r="296" spans="1:12">
      <c r="A296" s="333"/>
      <c r="B296" s="336"/>
      <c r="C296" s="337"/>
      <c r="D296" s="171" t="s">
        <v>735</v>
      </c>
      <c r="E296" s="176"/>
      <c r="F296" s="176">
        <v>0.3</v>
      </c>
      <c r="G296" s="176">
        <f>7.98+5.58+1.52+2.35+9.1+15.46+2.28+5.13+1.29+5.13+11.48+5.96+5.96</f>
        <v>79.22</v>
      </c>
      <c r="H296" s="176">
        <v>2</v>
      </c>
      <c r="I296" s="176"/>
      <c r="J296" s="173">
        <f t="shared" si="10"/>
        <v>47.531999999999996</v>
      </c>
      <c r="K296" s="340"/>
      <c r="L296" s="345"/>
    </row>
    <row r="297" spans="1:12">
      <c r="A297" s="333"/>
      <c r="B297" s="336"/>
      <c r="C297" s="337"/>
      <c r="D297" s="171" t="s">
        <v>736</v>
      </c>
      <c r="E297" s="176"/>
      <c r="F297" s="176">
        <v>0.3</v>
      </c>
      <c r="G297" s="176">
        <v>3</v>
      </c>
      <c r="H297" s="176">
        <v>10</v>
      </c>
      <c r="I297" s="176"/>
      <c r="J297" s="173">
        <f t="shared" si="10"/>
        <v>9</v>
      </c>
      <c r="K297" s="340"/>
      <c r="L297" s="345"/>
    </row>
    <row r="298" spans="1:12">
      <c r="A298" s="333"/>
      <c r="B298" s="336"/>
      <c r="C298" s="337"/>
      <c r="D298" s="171" t="s">
        <v>736</v>
      </c>
      <c r="E298" s="176"/>
      <c r="F298" s="176">
        <v>0.3</v>
      </c>
      <c r="G298" s="176">
        <v>3.8</v>
      </c>
      <c r="H298" s="176">
        <v>14</v>
      </c>
      <c r="I298" s="176"/>
      <c r="J298" s="173">
        <f t="shared" si="10"/>
        <v>15.959999999999999</v>
      </c>
      <c r="K298" s="340"/>
      <c r="L298" s="345"/>
    </row>
    <row r="299" spans="1:12">
      <c r="A299" s="333"/>
      <c r="B299" s="338"/>
      <c r="C299" s="339"/>
      <c r="D299" s="171" t="s">
        <v>737</v>
      </c>
      <c r="E299" s="176"/>
      <c r="F299" s="176"/>
      <c r="G299" s="176"/>
      <c r="H299" s="176"/>
      <c r="I299" s="176"/>
      <c r="J299" s="173">
        <f>8.44+((0.15*2)*20)</f>
        <v>14.44</v>
      </c>
      <c r="K299" s="340"/>
      <c r="L299" s="345"/>
    </row>
    <row r="300" spans="1:12">
      <c r="A300" s="216"/>
      <c r="B300" s="10"/>
      <c r="C300" s="11"/>
      <c r="D300" s="12"/>
      <c r="E300" s="13"/>
      <c r="F300" s="14"/>
      <c r="G300" s="14"/>
      <c r="H300" s="14"/>
      <c r="I300" s="14"/>
      <c r="J300" s="15"/>
      <c r="K300" s="15"/>
      <c r="L300" s="163"/>
    </row>
    <row r="301" spans="1:12">
      <c r="A301" s="333">
        <v>7.2</v>
      </c>
      <c r="B301" s="334" t="s">
        <v>738</v>
      </c>
      <c r="C301" s="335"/>
      <c r="D301" s="171" t="s">
        <v>732</v>
      </c>
      <c r="E301" s="176">
        <v>0.2</v>
      </c>
      <c r="F301" s="176">
        <v>0.3</v>
      </c>
      <c r="G301" s="176">
        <v>11.95</v>
      </c>
      <c r="H301" s="176"/>
      <c r="I301" s="176"/>
      <c r="J301" s="173">
        <f>G301*F301*E301</f>
        <v>0.71699999999999997</v>
      </c>
      <c r="K301" s="340">
        <f>SUM(J301:J311)</f>
        <v>21.438274999999997</v>
      </c>
      <c r="L301" s="345" t="s">
        <v>668</v>
      </c>
    </row>
    <row r="302" spans="1:12">
      <c r="A302" s="333"/>
      <c r="B302" s="336"/>
      <c r="C302" s="337"/>
      <c r="D302" s="171" t="s">
        <v>733</v>
      </c>
      <c r="E302" s="176">
        <v>0.15</v>
      </c>
      <c r="F302" s="176">
        <v>0.4</v>
      </c>
      <c r="G302" s="176">
        <f>1.9*4</f>
        <v>7.6</v>
      </c>
      <c r="H302" s="176"/>
      <c r="I302" s="176"/>
      <c r="J302" s="173">
        <f>G302*F302*E302</f>
        <v>0.45599999999999996</v>
      </c>
      <c r="K302" s="340"/>
      <c r="L302" s="345"/>
    </row>
    <row r="303" spans="1:12">
      <c r="A303" s="333"/>
      <c r="B303" s="336"/>
      <c r="C303" s="337"/>
      <c r="D303" s="171" t="s">
        <v>733</v>
      </c>
      <c r="E303" s="176">
        <v>0.15</v>
      </c>
      <c r="F303" s="176">
        <v>0.4</v>
      </c>
      <c r="G303" s="176">
        <f>1.95*16</f>
        <v>31.2</v>
      </c>
      <c r="H303" s="176"/>
      <c r="I303" s="176"/>
      <c r="J303" s="173">
        <f>G303*F303*E303</f>
        <v>1.8719999999999999</v>
      </c>
      <c r="K303" s="340"/>
      <c r="L303" s="345"/>
    </row>
    <row r="304" spans="1:12">
      <c r="A304" s="333"/>
      <c r="B304" s="336"/>
      <c r="C304" s="337"/>
      <c r="D304" s="171" t="s">
        <v>734</v>
      </c>
      <c r="E304" s="176">
        <v>0.15</v>
      </c>
      <c r="F304" s="176">
        <f>12.7*4</f>
        <v>50.8</v>
      </c>
      <c r="G304" s="176">
        <v>0.3</v>
      </c>
      <c r="H304" s="176"/>
      <c r="I304" s="176"/>
      <c r="J304" s="173">
        <f>G304*F304*E304</f>
        <v>2.2859999999999996</v>
      </c>
      <c r="K304" s="340"/>
      <c r="L304" s="345"/>
    </row>
    <row r="305" spans="1:12">
      <c r="A305" s="333"/>
      <c r="B305" s="336"/>
      <c r="C305" s="337"/>
      <c r="D305" s="171"/>
      <c r="E305" s="176"/>
      <c r="F305" s="176"/>
      <c r="G305" s="176"/>
      <c r="H305" s="176"/>
      <c r="I305" s="176"/>
      <c r="J305" s="173"/>
      <c r="K305" s="340"/>
      <c r="L305" s="345"/>
    </row>
    <row r="306" spans="1:12">
      <c r="A306" s="333"/>
      <c r="B306" s="336"/>
      <c r="C306" s="337"/>
      <c r="D306" s="171" t="s">
        <v>735</v>
      </c>
      <c r="E306" s="176">
        <v>0.15</v>
      </c>
      <c r="F306" s="176">
        <v>0.3</v>
      </c>
      <c r="G306" s="176">
        <f>7.98+5.58+1.52+2.35+9.1+15.46+2.28+5.13+1.29+5.13+11.48+5.96+5.96</f>
        <v>79.22</v>
      </c>
      <c r="H306" s="176"/>
      <c r="I306" s="176"/>
      <c r="J306" s="173">
        <f>G306*F306*E306</f>
        <v>3.5648999999999997</v>
      </c>
      <c r="K306" s="340"/>
      <c r="L306" s="345"/>
    </row>
    <row r="307" spans="1:12">
      <c r="A307" s="333"/>
      <c r="B307" s="336"/>
      <c r="C307" s="337"/>
      <c r="D307" s="171" t="s">
        <v>736</v>
      </c>
      <c r="E307" s="176">
        <v>0.15</v>
      </c>
      <c r="F307" s="176">
        <v>0.3</v>
      </c>
      <c r="G307" s="176">
        <f>3*5</f>
        <v>15</v>
      </c>
      <c r="H307" s="176"/>
      <c r="I307" s="176"/>
      <c r="J307" s="173">
        <f>G307*F307*E307</f>
        <v>0.67499999999999993</v>
      </c>
      <c r="K307" s="340"/>
      <c r="L307" s="345"/>
    </row>
    <row r="308" spans="1:12">
      <c r="A308" s="333"/>
      <c r="B308" s="336"/>
      <c r="C308" s="337"/>
      <c r="D308" s="171" t="s">
        <v>736</v>
      </c>
      <c r="E308" s="176">
        <v>0.15</v>
      </c>
      <c r="F308" s="176">
        <v>0.3</v>
      </c>
      <c r="G308" s="176">
        <f>3.8*7</f>
        <v>26.599999999999998</v>
      </c>
      <c r="H308" s="176"/>
      <c r="I308" s="176"/>
      <c r="J308" s="173">
        <f>G308*F308*E308</f>
        <v>1.1969999999999998</v>
      </c>
      <c r="K308" s="340"/>
      <c r="L308" s="345"/>
    </row>
    <row r="309" spans="1:12">
      <c r="A309" s="333"/>
      <c r="B309" s="336"/>
      <c r="C309" s="337"/>
      <c r="D309" s="171" t="s">
        <v>739</v>
      </c>
      <c r="E309" s="176"/>
      <c r="F309" s="176"/>
      <c r="G309" s="176"/>
      <c r="H309" s="176"/>
      <c r="I309" s="176"/>
      <c r="J309" s="173">
        <f>4*0.424</f>
        <v>1.696</v>
      </c>
      <c r="K309" s="340"/>
      <c r="L309" s="345"/>
    </row>
    <row r="310" spans="1:12">
      <c r="A310" s="333"/>
      <c r="B310" s="336"/>
      <c r="C310" s="337"/>
      <c r="D310" s="171" t="s">
        <v>740</v>
      </c>
      <c r="E310" s="176">
        <v>1.95</v>
      </c>
      <c r="F310" s="176">
        <v>0.15</v>
      </c>
      <c r="G310" s="176">
        <v>1.95</v>
      </c>
      <c r="H310" s="176"/>
      <c r="I310" s="176"/>
      <c r="J310" s="173">
        <f>G310*F310*E310</f>
        <v>0.57037499999999997</v>
      </c>
      <c r="K310" s="340"/>
      <c r="L310" s="345"/>
    </row>
    <row r="311" spans="1:12">
      <c r="A311" s="333"/>
      <c r="B311" s="338"/>
      <c r="C311" s="339"/>
      <c r="D311" s="171" t="s">
        <v>737</v>
      </c>
      <c r="E311" s="176"/>
      <c r="F311" s="176"/>
      <c r="G311" s="176"/>
      <c r="H311" s="176"/>
      <c r="I311" s="176"/>
      <c r="J311" s="173">
        <f>(8.44*0.1)+7.56</f>
        <v>8.4039999999999999</v>
      </c>
      <c r="K311" s="340"/>
      <c r="L311" s="345"/>
    </row>
    <row r="312" spans="1:12" ht="15" thickBot="1">
      <c r="A312" s="216"/>
      <c r="B312" s="10"/>
      <c r="C312" s="11"/>
      <c r="D312" s="12"/>
      <c r="E312" s="13"/>
      <c r="F312" s="14"/>
      <c r="G312" s="14"/>
      <c r="H312" s="14"/>
      <c r="I312" s="14"/>
      <c r="J312" s="15"/>
      <c r="K312" s="15"/>
      <c r="L312" s="163"/>
    </row>
    <row r="313" spans="1:12" ht="16.2" thickBot="1">
      <c r="A313" s="179">
        <v>9</v>
      </c>
      <c r="B313" s="343" t="s">
        <v>187</v>
      </c>
      <c r="C313" s="343"/>
      <c r="D313" s="343"/>
      <c r="E313" s="343"/>
      <c r="F313" s="343"/>
      <c r="G313" s="343"/>
      <c r="H313" s="343"/>
      <c r="I313" s="343"/>
      <c r="J313" s="343"/>
      <c r="K313" s="343"/>
      <c r="L313" s="344"/>
    </row>
    <row r="314" spans="1:12">
      <c r="A314" s="216"/>
      <c r="B314" s="10"/>
      <c r="C314" s="11"/>
      <c r="D314" s="12"/>
      <c r="E314" s="13"/>
      <c r="F314" s="14"/>
      <c r="G314" s="14"/>
      <c r="H314" s="14"/>
      <c r="I314" s="14"/>
      <c r="J314" s="15"/>
      <c r="K314" s="15"/>
      <c r="L314" s="163"/>
    </row>
    <row r="315" spans="1:12">
      <c r="A315" s="333">
        <v>9.1</v>
      </c>
      <c r="B315" s="334" t="s">
        <v>741</v>
      </c>
      <c r="C315" s="335"/>
      <c r="D315" s="171" t="s">
        <v>742</v>
      </c>
      <c r="E315" s="176"/>
      <c r="F315" s="176"/>
      <c r="G315" s="176"/>
      <c r="H315" s="176"/>
      <c r="I315" s="176"/>
      <c r="J315" s="173">
        <v>14.19</v>
      </c>
      <c r="K315" s="340">
        <f>SUM(J315:J323)</f>
        <v>127.13999999999999</v>
      </c>
      <c r="L315" s="345" t="s">
        <v>500</v>
      </c>
    </row>
    <row r="316" spans="1:12">
      <c r="A316" s="333"/>
      <c r="B316" s="336"/>
      <c r="C316" s="337"/>
      <c r="D316" s="171" t="s">
        <v>742</v>
      </c>
      <c r="E316" s="176"/>
      <c r="F316" s="176"/>
      <c r="G316" s="176"/>
      <c r="H316" s="176"/>
      <c r="I316" s="176"/>
      <c r="J316" s="173">
        <v>13.35</v>
      </c>
      <c r="K316" s="340"/>
      <c r="L316" s="345"/>
    </row>
    <row r="317" spans="1:12">
      <c r="A317" s="333"/>
      <c r="B317" s="336"/>
      <c r="C317" s="337"/>
      <c r="D317" s="171" t="s">
        <v>742</v>
      </c>
      <c r="E317" s="176"/>
      <c r="F317" s="176"/>
      <c r="G317" s="176"/>
      <c r="H317" s="176"/>
      <c r="I317" s="176"/>
      <c r="J317" s="173">
        <v>9.9</v>
      </c>
      <c r="K317" s="340"/>
      <c r="L317" s="345"/>
    </row>
    <row r="318" spans="1:12">
      <c r="A318" s="333"/>
      <c r="B318" s="336"/>
      <c r="C318" s="337"/>
      <c r="D318" s="171" t="s">
        <v>743</v>
      </c>
      <c r="E318" s="176"/>
      <c r="F318" s="176"/>
      <c r="G318" s="176"/>
      <c r="H318" s="176"/>
      <c r="I318" s="176"/>
      <c r="J318" s="173">
        <v>13.44</v>
      </c>
      <c r="K318" s="340"/>
      <c r="L318" s="345"/>
    </row>
    <row r="319" spans="1:12">
      <c r="A319" s="333"/>
      <c r="B319" s="336"/>
      <c r="C319" s="337"/>
      <c r="D319" s="171" t="s">
        <v>743</v>
      </c>
      <c r="E319" s="176"/>
      <c r="F319" s="176"/>
      <c r="G319" s="176"/>
      <c r="H319" s="176"/>
      <c r="I319" s="176"/>
      <c r="J319" s="173">
        <v>14.19</v>
      </c>
      <c r="K319" s="340"/>
      <c r="L319" s="345"/>
    </row>
    <row r="320" spans="1:12">
      <c r="A320" s="333"/>
      <c r="B320" s="336"/>
      <c r="C320" s="337"/>
      <c r="D320" s="171" t="s">
        <v>743</v>
      </c>
      <c r="E320" s="176"/>
      <c r="F320" s="176"/>
      <c r="G320" s="176"/>
      <c r="H320" s="176"/>
      <c r="I320" s="176"/>
      <c r="J320" s="173">
        <v>9.9</v>
      </c>
      <c r="K320" s="340"/>
      <c r="L320" s="345"/>
    </row>
    <row r="321" spans="1:12">
      <c r="A321" s="333"/>
      <c r="B321" s="336"/>
      <c r="C321" s="337"/>
      <c r="D321" s="171" t="s">
        <v>743</v>
      </c>
      <c r="E321" s="176"/>
      <c r="F321" s="176"/>
      <c r="G321" s="176"/>
      <c r="H321" s="176"/>
      <c r="I321" s="176"/>
      <c r="J321" s="173">
        <v>13.35</v>
      </c>
      <c r="K321" s="340"/>
      <c r="L321" s="345"/>
    </row>
    <row r="322" spans="1:12">
      <c r="A322" s="333"/>
      <c r="B322" s="336"/>
      <c r="C322" s="337"/>
      <c r="D322" s="171"/>
      <c r="E322" s="176"/>
      <c r="F322" s="176"/>
      <c r="G322" s="176"/>
      <c r="H322" s="176"/>
      <c r="I322" s="176"/>
      <c r="J322" s="173">
        <v>38.82</v>
      </c>
      <c r="K322" s="340"/>
      <c r="L322" s="345"/>
    </row>
    <row r="323" spans="1:12">
      <c r="A323" s="333"/>
      <c r="B323" s="338"/>
      <c r="C323" s="339"/>
      <c r="D323" s="171"/>
      <c r="E323" s="176"/>
      <c r="F323" s="176"/>
      <c r="G323" s="176"/>
      <c r="H323" s="176"/>
      <c r="I323" s="176"/>
      <c r="J323" s="173"/>
      <c r="K323" s="340"/>
      <c r="L323" s="345"/>
    </row>
    <row r="324" spans="1:12">
      <c r="A324" s="216"/>
      <c r="B324" s="10"/>
      <c r="C324" s="11"/>
      <c r="D324" s="12"/>
      <c r="E324" s="13"/>
      <c r="F324" s="14"/>
      <c r="G324" s="14"/>
      <c r="H324" s="14"/>
      <c r="I324" s="14"/>
      <c r="J324" s="15"/>
      <c r="K324" s="15"/>
      <c r="L324" s="163"/>
    </row>
    <row r="325" spans="1:12">
      <c r="A325" s="333">
        <v>9.1999999999999993</v>
      </c>
      <c r="B325" s="334" t="s">
        <v>744</v>
      </c>
      <c r="C325" s="335"/>
      <c r="D325" s="171" t="s">
        <v>742</v>
      </c>
      <c r="E325" s="176"/>
      <c r="F325" s="176">
        <v>2.9</v>
      </c>
      <c r="G325" s="176">
        <v>3.3</v>
      </c>
      <c r="H325" s="176"/>
      <c r="I325" s="176"/>
      <c r="J325" s="173">
        <f>G325*F325</f>
        <v>9.5699999999999985</v>
      </c>
      <c r="K325" s="358">
        <f>SUM(J325:J329)</f>
        <v>31.464999999999996</v>
      </c>
      <c r="L325" s="345" t="s">
        <v>500</v>
      </c>
    </row>
    <row r="326" spans="1:12">
      <c r="A326" s="333"/>
      <c r="B326" s="336"/>
      <c r="C326" s="337"/>
      <c r="D326" s="171" t="s">
        <v>742</v>
      </c>
      <c r="E326" s="176"/>
      <c r="F326" s="176">
        <v>2.9</v>
      </c>
      <c r="G326" s="176">
        <v>3.3</v>
      </c>
      <c r="H326" s="176"/>
      <c r="I326" s="176"/>
      <c r="J326" s="173">
        <f>G326*F326</f>
        <v>9.5699999999999985</v>
      </c>
      <c r="K326" s="358"/>
      <c r="L326" s="345"/>
    </row>
    <row r="327" spans="1:12">
      <c r="A327" s="333"/>
      <c r="B327" s="336"/>
      <c r="C327" s="337"/>
      <c r="D327" s="171" t="s">
        <v>743</v>
      </c>
      <c r="E327" s="176"/>
      <c r="F327" s="176">
        <v>2.9</v>
      </c>
      <c r="G327" s="176">
        <v>2.2999999999999998</v>
      </c>
      <c r="H327" s="176"/>
      <c r="I327" s="176"/>
      <c r="J327" s="173">
        <f>G327*F327</f>
        <v>6.669999999999999</v>
      </c>
      <c r="K327" s="358"/>
      <c r="L327" s="345"/>
    </row>
    <row r="328" spans="1:12">
      <c r="A328" s="333"/>
      <c r="B328" s="336"/>
      <c r="C328" s="337"/>
      <c r="D328" s="171" t="s">
        <v>743</v>
      </c>
      <c r="E328" s="176"/>
      <c r="F328" s="176">
        <v>2.9</v>
      </c>
      <c r="G328" s="176">
        <v>1.95</v>
      </c>
      <c r="H328" s="176"/>
      <c r="I328" s="176"/>
      <c r="J328" s="173">
        <f>G328*F328</f>
        <v>5.6549999999999994</v>
      </c>
      <c r="K328" s="358"/>
      <c r="L328" s="345"/>
    </row>
    <row r="329" spans="1:12">
      <c r="A329" s="333"/>
      <c r="B329" s="338"/>
      <c r="C329" s="339"/>
      <c r="D329" s="171"/>
      <c r="E329" s="176"/>
      <c r="F329" s="176"/>
      <c r="G329" s="176"/>
      <c r="H329" s="176"/>
      <c r="I329" s="176"/>
      <c r="J329" s="173"/>
      <c r="K329" s="358"/>
      <c r="L329" s="345"/>
    </row>
    <row r="330" spans="1:12">
      <c r="A330" s="216"/>
      <c r="B330" s="10"/>
      <c r="C330" s="11"/>
      <c r="D330" s="12"/>
      <c r="E330" s="13"/>
      <c r="F330" s="14"/>
      <c r="G330" s="14"/>
      <c r="H330" s="14"/>
      <c r="I330" s="14"/>
      <c r="J330" s="15"/>
      <c r="K330" s="15"/>
      <c r="L330" s="163"/>
    </row>
    <row r="331" spans="1:12" ht="15" customHeight="1">
      <c r="A331" s="401">
        <v>9.3000000000000007</v>
      </c>
      <c r="B331" s="363" t="s">
        <v>745</v>
      </c>
      <c r="C331" s="363"/>
      <c r="D331" s="171" t="s">
        <v>664</v>
      </c>
      <c r="E331" s="176">
        <f>2.8+2.8+2.95+2.95</f>
        <v>11.5</v>
      </c>
      <c r="F331" s="176">
        <v>2.95</v>
      </c>
      <c r="G331" s="176"/>
      <c r="H331" s="176"/>
      <c r="I331" s="176">
        <f>(1.2*1.2)+(0.8*2.1)</f>
        <v>3.12</v>
      </c>
      <c r="J331" s="173">
        <f>(E331*F331)-I331</f>
        <v>30.805000000000003</v>
      </c>
      <c r="K331" s="400">
        <f>SUM(J331:J363)</f>
        <v>1524.682</v>
      </c>
      <c r="L331" s="345" t="s">
        <v>500</v>
      </c>
    </row>
    <row r="332" spans="1:12">
      <c r="A332" s="402"/>
      <c r="B332" s="363"/>
      <c r="C332" s="363"/>
      <c r="D332" s="171" t="s">
        <v>664</v>
      </c>
      <c r="E332" s="176">
        <f>2.7+2.7+2.95+2.95</f>
        <v>11.3</v>
      </c>
      <c r="F332" s="176">
        <v>2.95</v>
      </c>
      <c r="G332" s="176"/>
      <c r="H332" s="176"/>
      <c r="I332" s="176">
        <f>(1.2*1.2)+(0.8*2.1)</f>
        <v>3.12</v>
      </c>
      <c r="J332" s="173">
        <f t="shared" ref="J332:J344" si="11">(E332*F332)-I332</f>
        <v>30.215</v>
      </c>
      <c r="K332" s="400"/>
      <c r="L332" s="345"/>
    </row>
    <row r="333" spans="1:12">
      <c r="A333" s="402"/>
      <c r="B333" s="363"/>
      <c r="C333" s="363"/>
      <c r="D333" s="171" t="s">
        <v>664</v>
      </c>
      <c r="E333" s="176">
        <f>5.7+5.6+2.95+2.95</f>
        <v>17.2</v>
      </c>
      <c r="F333" s="176">
        <v>2.95</v>
      </c>
      <c r="G333" s="176"/>
      <c r="H333" s="176"/>
      <c r="I333" s="176">
        <f>(0.8*2.1)+(1.2*1.2)+(1.2*1.5)</f>
        <v>4.92</v>
      </c>
      <c r="J333" s="173">
        <f t="shared" si="11"/>
        <v>45.82</v>
      </c>
      <c r="K333" s="400"/>
      <c r="L333" s="345"/>
    </row>
    <row r="334" spans="1:12">
      <c r="A334" s="402"/>
      <c r="B334" s="363"/>
      <c r="C334" s="363"/>
      <c r="D334" s="171" t="s">
        <v>619</v>
      </c>
      <c r="E334" s="176">
        <f>11.55+1.6+0.42+9.5</f>
        <v>23.07</v>
      </c>
      <c r="F334" s="176">
        <v>2.95</v>
      </c>
      <c r="G334" s="176"/>
      <c r="H334" s="176"/>
      <c r="I334" s="176">
        <f>((0.8*2.1)*3)+(0.9*2.1)+((1.2*1.2)*2)+(1.2*1.5)</f>
        <v>11.610000000000003</v>
      </c>
      <c r="J334" s="173">
        <f t="shared" si="11"/>
        <v>56.4465</v>
      </c>
      <c r="K334" s="400"/>
      <c r="L334" s="345"/>
    </row>
    <row r="335" spans="1:12">
      <c r="A335" s="402"/>
      <c r="B335" s="363"/>
      <c r="C335" s="363"/>
      <c r="D335" s="171" t="s">
        <v>664</v>
      </c>
      <c r="E335" s="176">
        <f>6+6+5.65+5.65</f>
        <v>23.299999999999997</v>
      </c>
      <c r="F335" s="176">
        <v>2.95</v>
      </c>
      <c r="G335" s="176"/>
      <c r="H335" s="176"/>
      <c r="I335" s="176">
        <f>(2.5*1.2)+((0.9*2.1)*2)+(0.6*2.1)+((0.8*2.1)*2)</f>
        <v>11.400000000000002</v>
      </c>
      <c r="J335" s="173">
        <f t="shared" si="11"/>
        <v>57.334999999999994</v>
      </c>
      <c r="K335" s="400"/>
      <c r="L335" s="345"/>
    </row>
    <row r="336" spans="1:12">
      <c r="A336" s="402"/>
      <c r="B336" s="363"/>
      <c r="C336" s="363"/>
      <c r="D336" s="171" t="s">
        <v>746</v>
      </c>
      <c r="E336" s="176">
        <f>3.3+3.3</f>
        <v>6.6</v>
      </c>
      <c r="F336" s="176">
        <v>2.95</v>
      </c>
      <c r="G336" s="176"/>
      <c r="H336" s="176"/>
      <c r="I336" s="176">
        <f>0.8*2.1</f>
        <v>1.6800000000000002</v>
      </c>
      <c r="J336" s="173">
        <f t="shared" si="11"/>
        <v>17.79</v>
      </c>
      <c r="K336" s="400"/>
      <c r="L336" s="345"/>
    </row>
    <row r="337" spans="1:12">
      <c r="A337" s="402"/>
      <c r="B337" s="363"/>
      <c r="C337" s="363"/>
      <c r="D337" s="171" t="s">
        <v>664</v>
      </c>
      <c r="E337" s="176">
        <f>4.45+4.45+3.3+3.3</f>
        <v>15.5</v>
      </c>
      <c r="F337" s="176">
        <v>2.95</v>
      </c>
      <c r="G337" s="176"/>
      <c r="H337" s="176"/>
      <c r="I337" s="176">
        <f>(3.3*2.9)+(1.5*1.2)+(0.8*2.1)</f>
        <v>13.049999999999997</v>
      </c>
      <c r="J337" s="173">
        <f t="shared" si="11"/>
        <v>32.675000000000004</v>
      </c>
      <c r="K337" s="400"/>
      <c r="L337" s="345"/>
    </row>
    <row r="338" spans="1:12">
      <c r="A338" s="402"/>
      <c r="B338" s="363"/>
      <c r="C338" s="363"/>
      <c r="D338" s="171" t="s">
        <v>664</v>
      </c>
      <c r="E338" s="176">
        <f>3+3+4.45+4.45</f>
        <v>14.899999999999999</v>
      </c>
      <c r="F338" s="176">
        <v>2.95</v>
      </c>
      <c r="G338" s="176"/>
      <c r="H338" s="176"/>
      <c r="I338" s="176">
        <f>(1.2*1.5)+(0.8*2.1)</f>
        <v>3.48</v>
      </c>
      <c r="J338" s="173">
        <f t="shared" si="11"/>
        <v>40.475000000000001</v>
      </c>
      <c r="K338" s="400"/>
      <c r="L338" s="345"/>
    </row>
    <row r="339" spans="1:12">
      <c r="A339" s="402"/>
      <c r="B339" s="363"/>
      <c r="C339" s="363"/>
      <c r="D339" s="171" t="s">
        <v>664</v>
      </c>
      <c r="E339" s="176">
        <f>3+3+3.3+3.3</f>
        <v>12.600000000000001</v>
      </c>
      <c r="F339" s="176">
        <v>2.95</v>
      </c>
      <c r="G339" s="176"/>
      <c r="H339" s="176"/>
      <c r="I339" s="176">
        <f>(2.1*0.8)+(1.5*1.2)</f>
        <v>3.48</v>
      </c>
      <c r="J339" s="173">
        <f t="shared" si="11"/>
        <v>33.690000000000012</v>
      </c>
      <c r="K339" s="400"/>
      <c r="L339" s="345"/>
    </row>
    <row r="340" spans="1:12">
      <c r="A340" s="402"/>
      <c r="B340" s="363"/>
      <c r="C340" s="363"/>
      <c r="D340" s="171" t="s">
        <v>664</v>
      </c>
      <c r="E340" s="176">
        <f>8.5+8.5+4.16+4.16</f>
        <v>25.32</v>
      </c>
      <c r="F340" s="176">
        <v>2.95</v>
      </c>
      <c r="G340" s="176"/>
      <c r="H340" s="176"/>
      <c r="I340" s="176">
        <f>((1.3*1.25)*2)+(0.9*2.1)+(1.05*2.95)</f>
        <v>8.2375000000000007</v>
      </c>
      <c r="J340" s="173">
        <f t="shared" si="11"/>
        <v>66.456500000000005</v>
      </c>
      <c r="K340" s="400"/>
      <c r="L340" s="345"/>
    </row>
    <row r="341" spans="1:12">
      <c r="A341" s="402"/>
      <c r="B341" s="363"/>
      <c r="C341" s="363"/>
      <c r="D341" s="171" t="s">
        <v>747</v>
      </c>
      <c r="E341" s="176">
        <f>8.5+8.5+1.4+1.4</f>
        <v>19.799999999999997</v>
      </c>
      <c r="F341" s="176">
        <v>2.95</v>
      </c>
      <c r="G341" s="176"/>
      <c r="H341" s="176"/>
      <c r="I341" s="176">
        <f>((0.9*2.1)*2)+((1.3*1.25)*2)+((2.31*2)*2.15)+(2.15*1.55)</f>
        <v>20.295500000000001</v>
      </c>
      <c r="J341" s="173">
        <f t="shared" si="11"/>
        <v>38.114499999999992</v>
      </c>
      <c r="K341" s="400"/>
      <c r="L341" s="345"/>
    </row>
    <row r="342" spans="1:12">
      <c r="A342" s="402"/>
      <c r="B342" s="363"/>
      <c r="C342" s="363"/>
      <c r="D342" s="171" t="s">
        <v>748</v>
      </c>
      <c r="E342" s="176">
        <f>5.76+5.76+2+2</f>
        <v>15.52</v>
      </c>
      <c r="F342" s="176">
        <v>10</v>
      </c>
      <c r="G342" s="176"/>
      <c r="H342" s="176"/>
      <c r="I342" s="176">
        <f>((1.6*2.2)*3)+(0.8*1.7)+((0.9*2.1)*2)+(1.1*2.1)</f>
        <v>18.010000000000005</v>
      </c>
      <c r="J342" s="173">
        <f t="shared" si="11"/>
        <v>137.19</v>
      </c>
      <c r="K342" s="400"/>
      <c r="L342" s="345"/>
    </row>
    <row r="343" spans="1:12">
      <c r="A343" s="402"/>
      <c r="B343" s="363"/>
      <c r="C343" s="363"/>
      <c r="D343" s="171"/>
      <c r="E343" s="176"/>
      <c r="F343" s="176"/>
      <c r="G343" s="176"/>
      <c r="H343" s="176"/>
      <c r="I343" s="176"/>
      <c r="J343" s="173">
        <f t="shared" si="11"/>
        <v>0</v>
      </c>
      <c r="K343" s="400"/>
      <c r="L343" s="345"/>
    </row>
    <row r="344" spans="1:12">
      <c r="A344" s="402"/>
      <c r="B344" s="363"/>
      <c r="C344" s="363"/>
      <c r="D344" s="171" t="s">
        <v>674</v>
      </c>
      <c r="E344" s="176">
        <f>4.61+4.5+2.95+2.95</f>
        <v>15.009999999999998</v>
      </c>
      <c r="F344" s="176">
        <v>2.95</v>
      </c>
      <c r="G344" s="176"/>
      <c r="H344" s="176"/>
      <c r="I344" s="176">
        <f>(0.8*2.1)+(1.55*1.3)</f>
        <v>3.6950000000000003</v>
      </c>
      <c r="J344" s="173">
        <f t="shared" si="11"/>
        <v>40.584499999999998</v>
      </c>
      <c r="K344" s="400"/>
      <c r="L344" s="345"/>
    </row>
    <row r="345" spans="1:12">
      <c r="A345" s="402"/>
      <c r="B345" s="363"/>
      <c r="C345" s="363"/>
      <c r="D345" s="171" t="s">
        <v>749</v>
      </c>
      <c r="E345" s="252">
        <v>4.8</v>
      </c>
      <c r="F345" s="172">
        <v>2.95</v>
      </c>
      <c r="G345" s="172"/>
      <c r="H345" s="172"/>
      <c r="I345" s="176">
        <f>0.9*2.1</f>
        <v>1.8900000000000001</v>
      </c>
      <c r="J345" s="173">
        <f>(E345*F345)-I345</f>
        <v>12.27</v>
      </c>
      <c r="K345" s="400"/>
      <c r="L345" s="345"/>
    </row>
    <row r="346" spans="1:12">
      <c r="A346" s="402"/>
      <c r="B346" s="363"/>
      <c r="C346" s="363"/>
      <c r="D346" s="171" t="s">
        <v>664</v>
      </c>
      <c r="E346" s="176">
        <f>6+6+5.65+5.65</f>
        <v>23.299999999999997</v>
      </c>
      <c r="F346" s="176">
        <v>2.95</v>
      </c>
      <c r="G346" s="176"/>
      <c r="H346" s="176"/>
      <c r="I346" s="176">
        <f>(2.5*1.2)+((0.9*2.1)*2)+(0.6*2.1)+((0.8*2.1)*2)</f>
        <v>11.400000000000002</v>
      </c>
      <c r="J346" s="173">
        <f t="shared" ref="J346:J352" si="12">(E346*F346)-I346</f>
        <v>57.334999999999994</v>
      </c>
      <c r="K346" s="400"/>
      <c r="L346" s="345"/>
    </row>
    <row r="347" spans="1:12">
      <c r="A347" s="402"/>
      <c r="B347" s="363"/>
      <c r="C347" s="363"/>
      <c r="D347" s="171" t="s">
        <v>746</v>
      </c>
      <c r="E347" s="176">
        <f>3.3+3.3</f>
        <v>6.6</v>
      </c>
      <c r="F347" s="176">
        <v>2.95</v>
      </c>
      <c r="G347" s="176"/>
      <c r="H347" s="176"/>
      <c r="I347" s="176">
        <f>0.8*2.1</f>
        <v>1.6800000000000002</v>
      </c>
      <c r="J347" s="173">
        <f t="shared" si="12"/>
        <v>17.79</v>
      </c>
      <c r="K347" s="400"/>
      <c r="L347" s="345"/>
    </row>
    <row r="348" spans="1:12">
      <c r="A348" s="402"/>
      <c r="B348" s="363"/>
      <c r="C348" s="363"/>
      <c r="D348" s="171" t="s">
        <v>664</v>
      </c>
      <c r="E348" s="176">
        <f>4.45+4.45+3.3+3.3</f>
        <v>15.5</v>
      </c>
      <c r="F348" s="176">
        <v>2.95</v>
      </c>
      <c r="G348" s="176"/>
      <c r="H348" s="176"/>
      <c r="I348" s="176">
        <f>(3.3*2.9)+(1.5*1.2)+(0.8*2.1)</f>
        <v>13.049999999999997</v>
      </c>
      <c r="J348" s="173">
        <f t="shared" si="12"/>
        <v>32.675000000000004</v>
      </c>
      <c r="K348" s="400"/>
      <c r="L348" s="345"/>
    </row>
    <row r="349" spans="1:12">
      <c r="A349" s="402"/>
      <c r="B349" s="363"/>
      <c r="C349" s="363"/>
      <c r="D349" s="171" t="s">
        <v>664</v>
      </c>
      <c r="E349" s="176">
        <f>3+3+4.45+4.45</f>
        <v>14.899999999999999</v>
      </c>
      <c r="F349" s="176">
        <v>2.95</v>
      </c>
      <c r="G349" s="176"/>
      <c r="H349" s="176"/>
      <c r="I349" s="176">
        <f>(1.2*1.5)+(0.8*2.1)+(2.9*1.95)</f>
        <v>9.1349999999999998</v>
      </c>
      <c r="J349" s="173">
        <f t="shared" si="12"/>
        <v>34.82</v>
      </c>
      <c r="K349" s="400"/>
      <c r="L349" s="345"/>
    </row>
    <row r="350" spans="1:12">
      <c r="A350" s="402"/>
      <c r="B350" s="363"/>
      <c r="C350" s="363"/>
      <c r="D350" s="171" t="s">
        <v>664</v>
      </c>
      <c r="E350" s="176">
        <f>3+3+3.3+3.3</f>
        <v>12.600000000000001</v>
      </c>
      <c r="F350" s="176">
        <v>2.95</v>
      </c>
      <c r="G350" s="176"/>
      <c r="H350" s="176"/>
      <c r="I350" s="176">
        <f>(2.1*0.8)+(1.5*1.2)+(1.95*2.9)</f>
        <v>9.1349999999999998</v>
      </c>
      <c r="J350" s="173">
        <f t="shared" si="12"/>
        <v>28.035000000000011</v>
      </c>
      <c r="K350" s="400"/>
      <c r="L350" s="345"/>
    </row>
    <row r="351" spans="1:12">
      <c r="A351" s="402"/>
      <c r="B351" s="363"/>
      <c r="C351" s="363"/>
      <c r="D351" s="171" t="s">
        <v>664</v>
      </c>
      <c r="E351" s="176">
        <f>8.5+8.5+4.16+4.16</f>
        <v>25.32</v>
      </c>
      <c r="F351" s="176">
        <v>2.95</v>
      </c>
      <c r="G351" s="176"/>
      <c r="H351" s="176"/>
      <c r="I351" s="176">
        <f>((1.3*1.25)*2)+(0.9*2.1)+(1.05*2.95)</f>
        <v>8.2375000000000007</v>
      </c>
      <c r="J351" s="173">
        <f t="shared" si="12"/>
        <v>66.456500000000005</v>
      </c>
      <c r="K351" s="400"/>
      <c r="L351" s="345"/>
    </row>
    <row r="352" spans="1:12">
      <c r="A352" s="402"/>
      <c r="B352" s="363"/>
      <c r="C352" s="363"/>
      <c r="D352" s="171" t="s">
        <v>747</v>
      </c>
      <c r="E352" s="176">
        <f>8.5+8.5+1.4+1.4</f>
        <v>19.799999999999997</v>
      </c>
      <c r="F352" s="176">
        <v>2.95</v>
      </c>
      <c r="G352" s="176"/>
      <c r="H352" s="176"/>
      <c r="I352" s="176">
        <f>((0.9*2.1)*2)+((1.3*1.25)*2)+((2.31*2)*2.15)+(2.15*1.55)</f>
        <v>20.295500000000001</v>
      </c>
      <c r="J352" s="173">
        <f t="shared" si="12"/>
        <v>38.114499999999992</v>
      </c>
      <c r="K352" s="400"/>
      <c r="L352" s="345"/>
    </row>
    <row r="353" spans="1:12">
      <c r="A353" s="402"/>
      <c r="B353" s="363"/>
      <c r="C353" s="363"/>
      <c r="D353" s="171"/>
      <c r="E353" s="252"/>
      <c r="F353" s="172"/>
      <c r="G353" s="172"/>
      <c r="H353" s="172"/>
      <c r="I353" s="172"/>
      <c r="J353" s="173"/>
      <c r="K353" s="400"/>
      <c r="L353" s="345"/>
    </row>
    <row r="354" spans="1:12">
      <c r="A354" s="402"/>
      <c r="B354" s="363"/>
      <c r="C354" s="363"/>
      <c r="D354" s="171" t="s">
        <v>750</v>
      </c>
      <c r="E354" s="176">
        <f>17.45+17.45+9.2+9.2</f>
        <v>53.3</v>
      </c>
      <c r="F354" s="176">
        <v>2.8</v>
      </c>
      <c r="G354" s="176"/>
      <c r="H354" s="176"/>
      <c r="I354" s="176">
        <f>((2.5*1.2)*4)+((2.3*1.2)*2)+(1.35*1.2)+(1.1*2.1)+((0.9*2.1)*3)+(0.7*2.1)</f>
        <v>28.590000000000003</v>
      </c>
      <c r="J354" s="173">
        <f t="shared" ref="J354:J363" si="13">(E354*F354)-I354</f>
        <v>120.64999999999998</v>
      </c>
      <c r="K354" s="400"/>
      <c r="L354" s="345"/>
    </row>
    <row r="355" spans="1:12">
      <c r="A355" s="402"/>
      <c r="B355" s="363"/>
      <c r="C355" s="363"/>
      <c r="D355" s="171"/>
      <c r="E355" s="252"/>
      <c r="F355" s="172"/>
      <c r="G355" s="172"/>
      <c r="H355" s="172"/>
      <c r="I355" s="172"/>
      <c r="J355" s="173"/>
      <c r="K355" s="400"/>
      <c r="L355" s="345"/>
    </row>
    <row r="356" spans="1:12">
      <c r="A356" s="402"/>
      <c r="B356" s="363"/>
      <c r="C356" s="363"/>
      <c r="D356" s="171" t="s">
        <v>751</v>
      </c>
      <c r="E356" s="252">
        <v>9.1</v>
      </c>
      <c r="F356" s="172">
        <v>10</v>
      </c>
      <c r="G356" s="172"/>
      <c r="H356" s="172"/>
      <c r="I356" s="172">
        <f>((2.3*2.15)*4)+((1.55*2.15)*2)+((2.3*1.2)*2)+(0.7*9.1)</f>
        <v>38.334999999999994</v>
      </c>
      <c r="J356" s="173">
        <f t="shared" si="13"/>
        <v>52.665000000000006</v>
      </c>
      <c r="K356" s="400"/>
      <c r="L356" s="345"/>
    </row>
    <row r="357" spans="1:12">
      <c r="A357" s="402"/>
      <c r="B357" s="363"/>
      <c r="C357" s="363"/>
      <c r="D357" s="171" t="s">
        <v>752</v>
      </c>
      <c r="E357" s="252">
        <v>19.899999999999999</v>
      </c>
      <c r="F357" s="172">
        <v>9.3000000000000007</v>
      </c>
      <c r="G357" s="172"/>
      <c r="H357" s="172"/>
      <c r="I357" s="172">
        <f>((2.5*1.2)*5)+((1.5*1.2)*2)+((1.18*2.95))+((0.8*0.8)*2)</f>
        <v>23.361000000000004</v>
      </c>
      <c r="J357" s="173">
        <f t="shared" si="13"/>
        <v>161.709</v>
      </c>
      <c r="K357" s="400"/>
      <c r="L357" s="345"/>
    </row>
    <row r="358" spans="1:12">
      <c r="A358" s="402"/>
      <c r="B358" s="363"/>
      <c r="C358" s="363"/>
      <c r="D358" s="171" t="s">
        <v>753</v>
      </c>
      <c r="E358" s="252">
        <f>2.15+8.9+1.55</f>
        <v>12.600000000000001</v>
      </c>
      <c r="F358" s="172">
        <v>10</v>
      </c>
      <c r="G358" s="172"/>
      <c r="H358" s="172"/>
      <c r="I358" s="172">
        <f>(2.5*1.2)+(1.35*1.2)+((0.9*1.5)*2)+((1.5*1.2)*4)+(0.8*1.7)+(2*1.45)+(1.75*2.6)</f>
        <v>23.33</v>
      </c>
      <c r="J358" s="173">
        <f t="shared" si="13"/>
        <v>102.67000000000002</v>
      </c>
      <c r="K358" s="400"/>
      <c r="L358" s="345"/>
    </row>
    <row r="359" spans="1:12">
      <c r="A359" s="402"/>
      <c r="B359" s="363"/>
      <c r="C359" s="363"/>
      <c r="D359" s="171" t="s">
        <v>754</v>
      </c>
      <c r="E359" s="252">
        <f>2+10+2+4.5</f>
        <v>18.5</v>
      </c>
      <c r="F359" s="172">
        <v>1.5</v>
      </c>
      <c r="G359" s="172"/>
      <c r="H359" s="172"/>
      <c r="I359" s="172"/>
      <c r="J359" s="173">
        <f t="shared" si="13"/>
        <v>27.75</v>
      </c>
      <c r="K359" s="400"/>
      <c r="L359" s="345"/>
    </row>
    <row r="360" spans="1:12">
      <c r="A360" s="402"/>
      <c r="B360" s="363"/>
      <c r="C360" s="363"/>
      <c r="D360" s="171" t="s">
        <v>754</v>
      </c>
      <c r="E360" s="252">
        <f>8+2.7</f>
        <v>10.7</v>
      </c>
      <c r="F360" s="172">
        <v>3.5</v>
      </c>
      <c r="G360" s="172"/>
      <c r="H360" s="172"/>
      <c r="I360" s="172">
        <f>0.9*2.1</f>
        <v>1.8900000000000001</v>
      </c>
      <c r="J360" s="173">
        <f t="shared" si="13"/>
        <v>35.559999999999995</v>
      </c>
      <c r="K360" s="400"/>
      <c r="L360" s="345"/>
    </row>
    <row r="361" spans="1:12">
      <c r="A361" s="402"/>
      <c r="B361" s="363"/>
      <c r="C361" s="363"/>
      <c r="D361" s="171" t="s">
        <v>755</v>
      </c>
      <c r="E361" s="252">
        <f>1.85+1.85+4.2+4.2</f>
        <v>12.100000000000001</v>
      </c>
      <c r="F361" s="172">
        <v>2.95</v>
      </c>
      <c r="G361" s="172"/>
      <c r="H361" s="172"/>
      <c r="I361" s="172">
        <f>(2*1)+0.9*2.1</f>
        <v>3.89</v>
      </c>
      <c r="J361" s="173">
        <f t="shared" si="13"/>
        <v>31.805000000000007</v>
      </c>
      <c r="K361" s="400"/>
      <c r="L361" s="345"/>
    </row>
    <row r="362" spans="1:12">
      <c r="A362" s="402"/>
      <c r="B362" s="363"/>
      <c r="C362" s="363"/>
      <c r="D362" s="171"/>
      <c r="E362" s="252"/>
      <c r="F362" s="172"/>
      <c r="G362" s="172"/>
      <c r="H362" s="172"/>
      <c r="I362" s="172"/>
      <c r="J362" s="173"/>
      <c r="K362" s="400"/>
      <c r="L362" s="345"/>
    </row>
    <row r="363" spans="1:12">
      <c r="A363" s="403"/>
      <c r="B363" s="363"/>
      <c r="C363" s="363"/>
      <c r="D363" s="171" t="s">
        <v>756</v>
      </c>
      <c r="E363" s="252">
        <f>3.42+22.58+8.9</f>
        <v>34.9</v>
      </c>
      <c r="F363" s="172">
        <v>2.2000000000000002</v>
      </c>
      <c r="G363" s="172"/>
      <c r="H363" s="172"/>
      <c r="I363" s="172"/>
      <c r="J363" s="173">
        <f t="shared" si="13"/>
        <v>76.78</v>
      </c>
      <c r="K363" s="400"/>
      <c r="L363" s="345"/>
    </row>
    <row r="364" spans="1:12">
      <c r="A364" s="216"/>
      <c r="B364" s="10"/>
      <c r="C364" s="11"/>
      <c r="D364" s="12"/>
      <c r="E364" s="13"/>
      <c r="F364" s="14"/>
      <c r="G364" s="14"/>
      <c r="H364" s="14"/>
      <c r="I364" s="14"/>
      <c r="J364" s="15"/>
      <c r="K364" s="15"/>
      <c r="L364" s="163"/>
    </row>
    <row r="365" spans="1:12" ht="30" customHeight="1">
      <c r="A365" s="250">
        <v>9.4</v>
      </c>
      <c r="B365" s="341" t="s">
        <v>757</v>
      </c>
      <c r="C365" s="342"/>
      <c r="D365" s="171" t="s">
        <v>758</v>
      </c>
      <c r="E365" s="252"/>
      <c r="F365" s="172"/>
      <c r="G365" s="172"/>
      <c r="H365" s="172"/>
      <c r="I365" s="172"/>
      <c r="J365" s="187">
        <f>K222+K231+K233+K252+K254</f>
        <v>94.176999999999992</v>
      </c>
      <c r="K365" s="249">
        <f>J365</f>
        <v>94.176999999999992</v>
      </c>
      <c r="L365" s="251" t="s">
        <v>500</v>
      </c>
    </row>
    <row r="366" spans="1:12" ht="30" customHeight="1" thickBot="1">
      <c r="A366" s="250">
        <v>9.5</v>
      </c>
      <c r="B366" s="341" t="s">
        <v>759</v>
      </c>
      <c r="C366" s="342"/>
      <c r="D366" s="171" t="s">
        <v>760</v>
      </c>
      <c r="E366" s="252"/>
      <c r="F366" s="172"/>
      <c r="G366" s="172"/>
      <c r="H366" s="172"/>
      <c r="I366" s="172"/>
      <c r="J366" s="187">
        <v>267.52</v>
      </c>
      <c r="K366" s="249">
        <f>J366</f>
        <v>267.52</v>
      </c>
      <c r="L366" s="251" t="s">
        <v>500</v>
      </c>
    </row>
    <row r="367" spans="1:12" ht="16.2" thickBot="1">
      <c r="A367" s="179">
        <v>10</v>
      </c>
      <c r="B367" s="343" t="s">
        <v>204</v>
      </c>
      <c r="C367" s="343"/>
      <c r="D367" s="343"/>
      <c r="E367" s="343"/>
      <c r="F367" s="343"/>
      <c r="G367" s="343"/>
      <c r="H367" s="343"/>
      <c r="I367" s="343"/>
      <c r="J367" s="343"/>
      <c r="K367" s="343"/>
      <c r="L367" s="344"/>
    </row>
    <row r="368" spans="1:12">
      <c r="A368" s="216"/>
      <c r="B368" s="10"/>
      <c r="C368" s="11"/>
      <c r="D368" s="12"/>
      <c r="E368" s="13"/>
      <c r="F368" s="14"/>
      <c r="G368" s="14"/>
      <c r="H368" s="14"/>
      <c r="I368" s="14"/>
      <c r="J368" s="15"/>
      <c r="K368" s="15"/>
      <c r="L368" s="163"/>
    </row>
    <row r="369" spans="1:12" ht="30" customHeight="1">
      <c r="A369" s="250">
        <v>10.1</v>
      </c>
      <c r="B369" s="341" t="s">
        <v>761</v>
      </c>
      <c r="C369" s="342"/>
      <c r="D369" s="171" t="s">
        <v>762</v>
      </c>
      <c r="E369" s="252"/>
      <c r="F369" s="172"/>
      <c r="G369" s="172"/>
      <c r="H369" s="172"/>
      <c r="I369" s="172"/>
      <c r="J369" s="177">
        <f>167.84+7.8</f>
        <v>175.64000000000001</v>
      </c>
      <c r="K369" s="247">
        <f>J369</f>
        <v>175.64000000000001</v>
      </c>
      <c r="L369" s="251" t="s">
        <v>500</v>
      </c>
    </row>
    <row r="370" spans="1:12">
      <c r="A370" s="216"/>
      <c r="B370" s="10"/>
      <c r="C370" s="11"/>
      <c r="D370" s="12"/>
      <c r="E370" s="13"/>
      <c r="F370" s="14"/>
      <c r="G370" s="14"/>
      <c r="H370" s="14"/>
      <c r="I370" s="14"/>
      <c r="J370" s="15"/>
      <c r="K370" s="15"/>
      <c r="L370" s="163"/>
    </row>
    <row r="371" spans="1:12" ht="30" customHeight="1">
      <c r="A371" s="217">
        <v>10.199999999999999</v>
      </c>
      <c r="B371" s="404" t="s">
        <v>763</v>
      </c>
      <c r="C371" s="405"/>
      <c r="D371" s="209" t="s">
        <v>762</v>
      </c>
      <c r="E371" s="208"/>
      <c r="F371" s="210"/>
      <c r="G371" s="210"/>
      <c r="H371" s="210"/>
      <c r="I371" s="210"/>
      <c r="J371" s="211">
        <v>1500</v>
      </c>
      <c r="K371" s="212">
        <f>J371</f>
        <v>1500</v>
      </c>
      <c r="L371" s="218" t="s">
        <v>729</v>
      </c>
    </row>
    <row r="372" spans="1:12">
      <c r="A372" s="219"/>
      <c r="B372" s="220"/>
      <c r="C372" s="221"/>
      <c r="D372" s="222"/>
      <c r="E372" s="223"/>
      <c r="F372" s="224"/>
      <c r="G372" s="224"/>
      <c r="H372" s="224"/>
      <c r="I372" s="224"/>
      <c r="J372" s="225"/>
      <c r="K372" s="225"/>
      <c r="L372" s="226"/>
    </row>
    <row r="373" spans="1:12" ht="30" customHeight="1">
      <c r="A373" s="217">
        <v>10.3</v>
      </c>
      <c r="B373" s="404" t="s">
        <v>764</v>
      </c>
      <c r="C373" s="405"/>
      <c r="D373" s="209" t="s">
        <v>765</v>
      </c>
      <c r="E373" s="208"/>
      <c r="F373" s="210"/>
      <c r="G373" s="210"/>
      <c r="H373" s="210"/>
      <c r="I373" s="210"/>
      <c r="J373" s="211">
        <f>122.85+11.62+13.66+13.5</f>
        <v>161.63</v>
      </c>
      <c r="K373" s="212">
        <f>J373</f>
        <v>161.63</v>
      </c>
      <c r="L373" s="218" t="s">
        <v>500</v>
      </c>
    </row>
    <row r="374" spans="1:12">
      <c r="A374" s="219"/>
      <c r="B374" s="220"/>
      <c r="C374" s="221"/>
      <c r="D374" s="222"/>
      <c r="E374" s="223"/>
      <c r="F374" s="224"/>
      <c r="G374" s="224"/>
      <c r="H374" s="224"/>
      <c r="I374" s="224"/>
      <c r="J374" s="225"/>
      <c r="K374" s="225"/>
      <c r="L374" s="226"/>
    </row>
    <row r="375" spans="1:12" ht="30" customHeight="1">
      <c r="A375" s="217">
        <v>10.4</v>
      </c>
      <c r="B375" s="404" t="s">
        <v>766</v>
      </c>
      <c r="C375" s="405"/>
      <c r="D375" s="209" t="s">
        <v>767</v>
      </c>
      <c r="E375" s="208"/>
      <c r="F375" s="210"/>
      <c r="G375" s="210"/>
      <c r="H375" s="210"/>
      <c r="I375" s="210"/>
      <c r="J375" s="211">
        <v>71.27</v>
      </c>
      <c r="K375" s="212">
        <f>J375</f>
        <v>71.27</v>
      </c>
      <c r="L375" s="218" t="s">
        <v>500</v>
      </c>
    </row>
    <row r="376" spans="1:12">
      <c r="A376" s="219"/>
      <c r="B376" s="220"/>
      <c r="C376" s="221"/>
      <c r="D376" s="222"/>
      <c r="E376" s="223"/>
      <c r="F376" s="224"/>
      <c r="G376" s="224"/>
      <c r="H376" s="224"/>
      <c r="I376" s="224"/>
      <c r="J376" s="225"/>
      <c r="K376" s="225"/>
      <c r="L376" s="226"/>
    </row>
    <row r="377" spans="1:12" ht="30" customHeight="1">
      <c r="A377" s="217">
        <v>10.5</v>
      </c>
      <c r="B377" s="404" t="s">
        <v>768</v>
      </c>
      <c r="C377" s="405"/>
      <c r="D377" s="209" t="s">
        <v>769</v>
      </c>
      <c r="E377" s="208"/>
      <c r="F377" s="210"/>
      <c r="G377" s="210"/>
      <c r="H377" s="210"/>
      <c r="I377" s="210"/>
      <c r="J377" s="211">
        <v>94.76</v>
      </c>
      <c r="K377" s="212">
        <f>J377</f>
        <v>94.76</v>
      </c>
      <c r="L377" s="218" t="s">
        <v>665</v>
      </c>
    </row>
    <row r="378" spans="1:12">
      <c r="A378" s="216"/>
      <c r="B378" s="10"/>
      <c r="C378" s="11"/>
      <c r="D378" s="12"/>
      <c r="E378" s="13"/>
      <c r="F378" s="14"/>
      <c r="G378" s="14"/>
      <c r="H378" s="14"/>
      <c r="I378" s="14"/>
      <c r="J378" s="15"/>
      <c r="K378" s="15"/>
      <c r="L378" s="163"/>
    </row>
    <row r="379" spans="1:12" ht="30" customHeight="1">
      <c r="A379" s="250">
        <v>10.6</v>
      </c>
      <c r="B379" s="341" t="s">
        <v>770</v>
      </c>
      <c r="C379" s="342"/>
      <c r="D379" s="171" t="s">
        <v>771</v>
      </c>
      <c r="E379" s="252">
        <f>17.6+2.75</f>
        <v>20.350000000000001</v>
      </c>
      <c r="F379" s="172"/>
      <c r="G379" s="172"/>
      <c r="H379" s="172"/>
      <c r="I379" s="172"/>
      <c r="J379" s="177">
        <f>E379</f>
        <v>20.350000000000001</v>
      </c>
      <c r="K379" s="247">
        <f>J379</f>
        <v>20.350000000000001</v>
      </c>
      <c r="L379" s="251" t="s">
        <v>665</v>
      </c>
    </row>
    <row r="380" spans="1:12">
      <c r="A380" s="216"/>
      <c r="B380" s="10"/>
      <c r="C380" s="11"/>
      <c r="D380" s="12"/>
      <c r="E380" s="13"/>
      <c r="F380" s="14"/>
      <c r="G380" s="14"/>
      <c r="H380" s="14"/>
      <c r="I380" s="14"/>
      <c r="J380" s="15"/>
      <c r="K380" s="15"/>
      <c r="L380" s="163"/>
    </row>
    <row r="381" spans="1:12" ht="30" customHeight="1">
      <c r="A381" s="250">
        <v>10.7</v>
      </c>
      <c r="B381" s="341" t="s">
        <v>772</v>
      </c>
      <c r="C381" s="342"/>
      <c r="D381" s="171" t="s">
        <v>771</v>
      </c>
      <c r="E381" s="252">
        <f>17.55+3+1.55</f>
        <v>22.1</v>
      </c>
      <c r="F381" s="172"/>
      <c r="G381" s="172"/>
      <c r="H381" s="172"/>
      <c r="I381" s="172"/>
      <c r="J381" s="177">
        <f>E381</f>
        <v>22.1</v>
      </c>
      <c r="K381" s="247">
        <f>J381</f>
        <v>22.1</v>
      </c>
      <c r="L381" s="251" t="s">
        <v>665</v>
      </c>
    </row>
    <row r="382" spans="1:12" ht="58.5" customHeight="1" thickBot="1">
      <c r="A382" s="250">
        <v>10.8</v>
      </c>
      <c r="B382" s="341" t="s">
        <v>773</v>
      </c>
      <c r="C382" s="342"/>
      <c r="D382" s="171" t="s">
        <v>771</v>
      </c>
      <c r="E382" s="252">
        <v>20.5</v>
      </c>
      <c r="F382" s="172"/>
      <c r="G382" s="172"/>
      <c r="H382" s="172"/>
      <c r="I382" s="172"/>
      <c r="J382" s="177">
        <v>20.5</v>
      </c>
      <c r="K382" s="247">
        <f>J382</f>
        <v>20.5</v>
      </c>
      <c r="L382" s="251" t="s">
        <v>665</v>
      </c>
    </row>
    <row r="383" spans="1:12" ht="16.2" thickBot="1">
      <c r="A383" s="179">
        <v>11</v>
      </c>
      <c r="B383" s="343" t="s">
        <v>230</v>
      </c>
      <c r="C383" s="343"/>
      <c r="D383" s="343"/>
      <c r="E383" s="343"/>
      <c r="F383" s="343"/>
      <c r="G383" s="343"/>
      <c r="H383" s="343"/>
      <c r="I383" s="343"/>
      <c r="J383" s="343"/>
      <c r="K383" s="343"/>
      <c r="L383" s="344"/>
    </row>
    <row r="384" spans="1:12">
      <c r="A384" s="216"/>
      <c r="B384" s="10"/>
      <c r="C384" s="11"/>
      <c r="D384" s="12"/>
      <c r="E384" s="13"/>
      <c r="F384" s="14"/>
      <c r="G384" s="14"/>
      <c r="H384" s="14"/>
      <c r="I384" s="14"/>
      <c r="J384" s="15"/>
      <c r="K384" s="15"/>
      <c r="L384" s="163"/>
    </row>
    <row r="385" spans="1:12" ht="162.75" customHeight="1">
      <c r="A385" s="239">
        <v>11.1</v>
      </c>
      <c r="B385" s="341" t="s">
        <v>774</v>
      </c>
      <c r="C385" s="342"/>
      <c r="D385" s="171" t="s">
        <v>728</v>
      </c>
      <c r="E385" s="252"/>
      <c r="F385" s="172"/>
      <c r="G385" s="172"/>
      <c r="H385" s="172"/>
      <c r="I385" s="172"/>
      <c r="J385" s="177">
        <v>1</v>
      </c>
      <c r="K385" s="247">
        <f>J385</f>
        <v>1</v>
      </c>
      <c r="L385" s="251" t="s">
        <v>713</v>
      </c>
    </row>
    <row r="386" spans="1:12">
      <c r="A386" s="216"/>
      <c r="B386" s="10"/>
      <c r="C386" s="11"/>
      <c r="D386" s="12"/>
      <c r="E386" s="13"/>
      <c r="F386" s="14"/>
      <c r="G386" s="14"/>
      <c r="H386" s="14"/>
      <c r="I386" s="14"/>
      <c r="J386" s="15"/>
      <c r="K386" s="15"/>
      <c r="L386" s="163"/>
    </row>
    <row r="387" spans="1:12" ht="71.25" customHeight="1">
      <c r="A387" s="239">
        <v>11.2</v>
      </c>
      <c r="B387" s="341" t="s">
        <v>775</v>
      </c>
      <c r="C387" s="342"/>
      <c r="D387" s="171" t="s">
        <v>728</v>
      </c>
      <c r="E387" s="252"/>
      <c r="F387" s="172"/>
      <c r="G387" s="172"/>
      <c r="H387" s="172"/>
      <c r="I387" s="172"/>
      <c r="J387" s="194">
        <v>13</v>
      </c>
      <c r="K387" s="247">
        <f>J387</f>
        <v>13</v>
      </c>
      <c r="L387" s="251" t="s">
        <v>713</v>
      </c>
    </row>
    <row r="388" spans="1:12">
      <c r="A388" s="216"/>
      <c r="B388" s="10"/>
      <c r="C388" s="11"/>
      <c r="D388" s="12"/>
      <c r="E388" s="13"/>
      <c r="F388" s="14"/>
      <c r="G388" s="14"/>
      <c r="H388" s="14"/>
      <c r="I388" s="14"/>
      <c r="J388" s="15"/>
      <c r="K388" s="15"/>
      <c r="L388" s="163"/>
    </row>
    <row r="389" spans="1:12" ht="71.25" customHeight="1">
      <c r="A389" s="250">
        <v>11.3</v>
      </c>
      <c r="B389" s="341" t="s">
        <v>776</v>
      </c>
      <c r="C389" s="342"/>
      <c r="D389" s="171" t="s">
        <v>728</v>
      </c>
      <c r="E389" s="252"/>
      <c r="F389" s="172"/>
      <c r="G389" s="172"/>
      <c r="H389" s="172"/>
      <c r="I389" s="172"/>
      <c r="J389" s="194">
        <v>10</v>
      </c>
      <c r="K389" s="247">
        <f>J389</f>
        <v>10</v>
      </c>
      <c r="L389" s="251" t="s">
        <v>713</v>
      </c>
    </row>
    <row r="390" spans="1:12">
      <c r="A390" s="216"/>
      <c r="B390" s="10"/>
      <c r="C390" s="11"/>
      <c r="D390" s="12"/>
      <c r="E390" s="13"/>
      <c r="F390" s="14"/>
      <c r="G390" s="14"/>
      <c r="H390" s="14"/>
      <c r="I390" s="14"/>
      <c r="J390" s="15"/>
      <c r="K390" s="15"/>
      <c r="L390" s="163"/>
    </row>
    <row r="391" spans="1:12" ht="71.25" customHeight="1">
      <c r="A391" s="250">
        <v>11.4</v>
      </c>
      <c r="B391" s="341" t="s">
        <v>777</v>
      </c>
      <c r="C391" s="342"/>
      <c r="D391" s="171" t="s">
        <v>728</v>
      </c>
      <c r="E391" s="252"/>
      <c r="F391" s="172"/>
      <c r="G391" s="172"/>
      <c r="H391" s="172"/>
      <c r="I391" s="172"/>
      <c r="J391" s="194">
        <v>2</v>
      </c>
      <c r="K391" s="247">
        <f>J391</f>
        <v>2</v>
      </c>
      <c r="L391" s="251" t="s">
        <v>713</v>
      </c>
    </row>
    <row r="392" spans="1:12">
      <c r="A392" s="216"/>
      <c r="B392" s="10"/>
      <c r="C392" s="11"/>
      <c r="D392" s="12"/>
      <c r="E392" s="13"/>
      <c r="F392" s="14"/>
      <c r="G392" s="14"/>
      <c r="H392" s="14"/>
      <c r="I392" s="14"/>
      <c r="J392" s="15"/>
      <c r="K392" s="15"/>
      <c r="L392" s="163"/>
    </row>
    <row r="393" spans="1:12" ht="71.25" customHeight="1">
      <c r="A393" s="250">
        <v>11.5</v>
      </c>
      <c r="B393" s="341" t="s">
        <v>778</v>
      </c>
      <c r="C393" s="342"/>
      <c r="D393" s="171" t="s">
        <v>728</v>
      </c>
      <c r="E393" s="252"/>
      <c r="F393" s="172"/>
      <c r="G393" s="172"/>
      <c r="H393" s="172"/>
      <c r="I393" s="172"/>
      <c r="J393" s="194">
        <v>13</v>
      </c>
      <c r="K393" s="247">
        <f>J393</f>
        <v>13</v>
      </c>
      <c r="L393" s="251" t="s">
        <v>713</v>
      </c>
    </row>
    <row r="394" spans="1:12">
      <c r="A394" s="216"/>
      <c r="B394" s="10"/>
      <c r="C394" s="11"/>
      <c r="D394" s="12"/>
      <c r="E394" s="13"/>
      <c r="F394" s="14"/>
      <c r="G394" s="14"/>
      <c r="H394" s="14"/>
      <c r="I394" s="14"/>
      <c r="J394" s="15"/>
      <c r="K394" s="15"/>
      <c r="L394" s="163"/>
    </row>
    <row r="395" spans="1:12" ht="71.25" customHeight="1">
      <c r="A395" s="250">
        <v>11.6</v>
      </c>
      <c r="B395" s="341" t="s">
        <v>779</v>
      </c>
      <c r="C395" s="342"/>
      <c r="D395" s="171" t="s">
        <v>728</v>
      </c>
      <c r="E395" s="252"/>
      <c r="F395" s="172"/>
      <c r="G395" s="172"/>
      <c r="H395" s="172"/>
      <c r="I395" s="172"/>
      <c r="J395" s="194">
        <v>10</v>
      </c>
      <c r="K395" s="247">
        <f>J395</f>
        <v>10</v>
      </c>
      <c r="L395" s="251" t="s">
        <v>713</v>
      </c>
    </row>
    <row r="396" spans="1:12">
      <c r="A396" s="216"/>
      <c r="B396" s="10"/>
      <c r="C396" s="11"/>
      <c r="D396" s="12"/>
      <c r="E396" s="13"/>
      <c r="F396" s="14"/>
      <c r="G396" s="14"/>
      <c r="H396" s="14"/>
      <c r="I396" s="14"/>
      <c r="J396" s="15"/>
      <c r="K396" s="15"/>
      <c r="L396" s="163"/>
    </row>
    <row r="397" spans="1:12" ht="71.25" customHeight="1">
      <c r="A397" s="250">
        <v>11.7</v>
      </c>
      <c r="B397" s="341" t="s">
        <v>780</v>
      </c>
      <c r="C397" s="342"/>
      <c r="D397" s="171" t="s">
        <v>728</v>
      </c>
      <c r="E397" s="252"/>
      <c r="F397" s="172"/>
      <c r="G397" s="172"/>
      <c r="H397" s="172"/>
      <c r="I397" s="172"/>
      <c r="J397" s="194">
        <v>2</v>
      </c>
      <c r="K397" s="247">
        <f>J397</f>
        <v>2</v>
      </c>
      <c r="L397" s="251" t="s">
        <v>713</v>
      </c>
    </row>
    <row r="398" spans="1:12">
      <c r="A398" s="216"/>
      <c r="B398" s="10"/>
      <c r="C398" s="11"/>
      <c r="D398" s="12"/>
      <c r="E398" s="13"/>
      <c r="F398" s="14"/>
      <c r="G398" s="14"/>
      <c r="H398" s="14"/>
      <c r="I398" s="14"/>
      <c r="J398" s="15"/>
      <c r="K398" s="15"/>
      <c r="L398" s="163"/>
    </row>
    <row r="399" spans="1:12" ht="71.25" customHeight="1">
      <c r="A399" s="250">
        <v>11.8</v>
      </c>
      <c r="B399" s="341" t="s">
        <v>781</v>
      </c>
      <c r="C399" s="342"/>
      <c r="D399" s="171" t="s">
        <v>728</v>
      </c>
      <c r="E399" s="252"/>
      <c r="F399" s="172"/>
      <c r="G399" s="172"/>
      <c r="H399" s="172"/>
      <c r="I399" s="172"/>
      <c r="J399" s="194">
        <v>7</v>
      </c>
      <c r="K399" s="247">
        <f>J399</f>
        <v>7</v>
      </c>
      <c r="L399" s="251" t="s">
        <v>713</v>
      </c>
    </row>
    <row r="400" spans="1:12">
      <c r="A400" s="216"/>
      <c r="B400" s="10"/>
      <c r="C400" s="11"/>
      <c r="D400" s="12"/>
      <c r="E400" s="13"/>
      <c r="F400" s="14"/>
      <c r="G400" s="14"/>
      <c r="H400" s="14"/>
      <c r="I400" s="14"/>
      <c r="J400" s="15"/>
      <c r="K400" s="15"/>
      <c r="L400" s="163"/>
    </row>
    <row r="401" spans="1:12" ht="71.25" customHeight="1">
      <c r="A401" s="250">
        <v>11.9</v>
      </c>
      <c r="B401" s="341" t="s">
        <v>782</v>
      </c>
      <c r="C401" s="342"/>
      <c r="D401" s="171" t="s">
        <v>728</v>
      </c>
      <c r="E401" s="252"/>
      <c r="F401" s="172"/>
      <c r="G401" s="172"/>
      <c r="H401" s="172"/>
      <c r="I401" s="172"/>
      <c r="J401" s="194">
        <v>2</v>
      </c>
      <c r="K401" s="247">
        <f>J401</f>
        <v>2</v>
      </c>
      <c r="L401" s="251" t="s">
        <v>713</v>
      </c>
    </row>
    <row r="402" spans="1:12">
      <c r="A402" s="216"/>
      <c r="B402" s="10"/>
      <c r="C402" s="11"/>
      <c r="D402" s="12"/>
      <c r="E402" s="13"/>
      <c r="F402" s="14"/>
      <c r="G402" s="14"/>
      <c r="H402" s="14"/>
      <c r="I402" s="14"/>
      <c r="J402" s="15"/>
      <c r="K402" s="15"/>
      <c r="L402" s="163"/>
    </row>
    <row r="403" spans="1:12" ht="71.25" customHeight="1">
      <c r="A403" s="248">
        <v>11.1</v>
      </c>
      <c r="B403" s="341" t="s">
        <v>783</v>
      </c>
      <c r="C403" s="342"/>
      <c r="D403" s="171" t="s">
        <v>728</v>
      </c>
      <c r="E403" s="252"/>
      <c r="F403" s="172"/>
      <c r="G403" s="172"/>
      <c r="H403" s="172"/>
      <c r="I403" s="172"/>
      <c r="J403" s="194">
        <v>1</v>
      </c>
      <c r="K403" s="247">
        <f>J403</f>
        <v>1</v>
      </c>
      <c r="L403" s="251" t="s">
        <v>713</v>
      </c>
    </row>
    <row r="404" spans="1:12">
      <c r="A404" s="216"/>
      <c r="B404" s="10"/>
      <c r="C404" s="11"/>
      <c r="D404" s="12"/>
      <c r="E404" s="13"/>
      <c r="F404" s="14"/>
      <c r="G404" s="14"/>
      <c r="H404" s="14"/>
      <c r="I404" s="14"/>
      <c r="J404" s="15"/>
      <c r="K404" s="15"/>
      <c r="L404" s="163"/>
    </row>
    <row r="405" spans="1:12" ht="71.25" customHeight="1">
      <c r="A405" s="248">
        <v>11.11</v>
      </c>
      <c r="B405" s="341" t="s">
        <v>784</v>
      </c>
      <c r="C405" s="342"/>
      <c r="D405" s="171" t="s">
        <v>728</v>
      </c>
      <c r="E405" s="252"/>
      <c r="F405" s="172"/>
      <c r="G405" s="172"/>
      <c r="H405" s="172"/>
      <c r="I405" s="172"/>
      <c r="J405" s="194">
        <v>2</v>
      </c>
      <c r="K405" s="247">
        <f>J405</f>
        <v>2</v>
      </c>
      <c r="L405" s="251" t="s">
        <v>713</v>
      </c>
    </row>
    <row r="406" spans="1:12">
      <c r="A406" s="216"/>
      <c r="B406" s="10"/>
      <c r="C406" s="11"/>
      <c r="D406" s="12"/>
      <c r="E406" s="13"/>
      <c r="F406" s="14"/>
      <c r="G406" s="14"/>
      <c r="H406" s="14"/>
      <c r="I406" s="14"/>
      <c r="J406" s="15"/>
      <c r="K406" s="15"/>
      <c r="L406" s="163"/>
    </row>
    <row r="407" spans="1:12" ht="71.25" customHeight="1">
      <c r="A407" s="248">
        <v>11.12</v>
      </c>
      <c r="B407" s="341" t="s">
        <v>785</v>
      </c>
      <c r="C407" s="342"/>
      <c r="D407" s="171" t="s">
        <v>771</v>
      </c>
      <c r="E407" s="252"/>
      <c r="F407" s="172"/>
      <c r="G407" s="172"/>
      <c r="H407" s="172"/>
      <c r="I407" s="172"/>
      <c r="J407" s="194">
        <v>200</v>
      </c>
      <c r="K407" s="247">
        <f>J407</f>
        <v>200</v>
      </c>
      <c r="L407" s="251" t="s">
        <v>665</v>
      </c>
    </row>
    <row r="408" spans="1:12">
      <c r="A408" s="216"/>
      <c r="B408" s="10"/>
      <c r="C408" s="11"/>
      <c r="D408" s="12"/>
      <c r="E408" s="13"/>
      <c r="F408" s="14"/>
      <c r="G408" s="14"/>
      <c r="H408" s="14"/>
      <c r="I408" s="14"/>
      <c r="J408" s="15"/>
      <c r="K408" s="15"/>
      <c r="L408" s="163"/>
    </row>
    <row r="409" spans="1:12" ht="71.25" customHeight="1">
      <c r="A409" s="248">
        <v>11.13</v>
      </c>
      <c r="B409" s="341" t="s">
        <v>786</v>
      </c>
      <c r="C409" s="342"/>
      <c r="D409" s="171" t="s">
        <v>771</v>
      </c>
      <c r="E409" s="252"/>
      <c r="F409" s="172"/>
      <c r="G409" s="172"/>
      <c r="H409" s="172"/>
      <c r="I409" s="172"/>
      <c r="J409" s="194">
        <v>200</v>
      </c>
      <c r="K409" s="247">
        <f>J409</f>
        <v>200</v>
      </c>
      <c r="L409" s="251" t="s">
        <v>665</v>
      </c>
    </row>
    <row r="410" spans="1:12">
      <c r="A410" s="216"/>
      <c r="B410" s="10"/>
      <c r="C410" s="11"/>
      <c r="D410" s="12"/>
      <c r="E410" s="13"/>
      <c r="F410" s="14"/>
      <c r="G410" s="14"/>
      <c r="H410" s="14"/>
      <c r="I410" s="14"/>
      <c r="J410" s="15"/>
      <c r="K410" s="15"/>
      <c r="L410" s="163"/>
    </row>
    <row r="411" spans="1:12" ht="39.75" customHeight="1">
      <c r="A411" s="248">
        <v>11.14</v>
      </c>
      <c r="B411" s="341" t="s">
        <v>787</v>
      </c>
      <c r="C411" s="342"/>
      <c r="D411" s="171" t="s">
        <v>771</v>
      </c>
      <c r="E411" s="252"/>
      <c r="F411" s="172"/>
      <c r="G411" s="172"/>
      <c r="H411" s="172"/>
      <c r="I411" s="172"/>
      <c r="J411" s="194">
        <v>200</v>
      </c>
      <c r="K411" s="247">
        <f>J411</f>
        <v>200</v>
      </c>
      <c r="L411" s="251" t="s">
        <v>665</v>
      </c>
    </row>
    <row r="412" spans="1:12">
      <c r="A412" s="216"/>
      <c r="B412" s="10"/>
      <c r="C412" s="11"/>
      <c r="D412" s="12"/>
      <c r="E412" s="13"/>
      <c r="F412" s="14"/>
      <c r="G412" s="14"/>
      <c r="H412" s="14"/>
      <c r="I412" s="14"/>
      <c r="J412" s="15"/>
      <c r="K412" s="15"/>
      <c r="L412" s="163"/>
    </row>
    <row r="413" spans="1:12" ht="34.5" customHeight="1">
      <c r="A413" s="248">
        <v>11.15</v>
      </c>
      <c r="B413" s="341" t="s">
        <v>788</v>
      </c>
      <c r="C413" s="342"/>
      <c r="D413" s="171" t="s">
        <v>771</v>
      </c>
      <c r="E413" s="252"/>
      <c r="F413" s="172"/>
      <c r="G413" s="172"/>
      <c r="H413" s="172"/>
      <c r="I413" s="172"/>
      <c r="J413" s="194">
        <v>200</v>
      </c>
      <c r="K413" s="247">
        <f>J413</f>
        <v>200</v>
      </c>
      <c r="L413" s="251" t="s">
        <v>665</v>
      </c>
    </row>
    <row r="414" spans="1:12">
      <c r="A414" s="216"/>
      <c r="B414" s="10"/>
      <c r="C414" s="11"/>
      <c r="D414" s="12"/>
      <c r="E414" s="13"/>
      <c r="F414" s="14"/>
      <c r="G414" s="14"/>
      <c r="H414" s="14"/>
      <c r="I414" s="14"/>
      <c r="J414" s="15"/>
      <c r="K414" s="15"/>
      <c r="L414" s="163"/>
    </row>
    <row r="415" spans="1:12" ht="36.75" customHeight="1">
      <c r="A415" s="248">
        <v>11.16</v>
      </c>
      <c r="B415" s="341" t="s">
        <v>789</v>
      </c>
      <c r="C415" s="342"/>
      <c r="D415" s="171" t="s">
        <v>771</v>
      </c>
      <c r="E415" s="252"/>
      <c r="F415" s="172"/>
      <c r="G415" s="172"/>
      <c r="H415" s="172"/>
      <c r="I415" s="172"/>
      <c r="J415" s="194">
        <v>200</v>
      </c>
      <c r="K415" s="247">
        <f>J415</f>
        <v>200</v>
      </c>
      <c r="L415" s="251" t="s">
        <v>665</v>
      </c>
    </row>
    <row r="416" spans="1:12">
      <c r="A416" s="216"/>
      <c r="B416" s="10"/>
      <c r="C416" s="11"/>
      <c r="D416" s="12"/>
      <c r="E416" s="13"/>
      <c r="F416" s="14"/>
      <c r="G416" s="14"/>
      <c r="H416" s="14"/>
      <c r="I416" s="14"/>
      <c r="J416" s="15"/>
      <c r="K416" s="15"/>
      <c r="L416" s="163"/>
    </row>
    <row r="417" spans="1:12" ht="34.5" customHeight="1">
      <c r="A417" s="248">
        <v>11.17</v>
      </c>
      <c r="B417" s="341" t="s">
        <v>790</v>
      </c>
      <c r="C417" s="342"/>
      <c r="D417" s="171" t="s">
        <v>771</v>
      </c>
      <c r="E417" s="252"/>
      <c r="F417" s="172"/>
      <c r="G417" s="172"/>
      <c r="H417" s="172"/>
      <c r="I417" s="172"/>
      <c r="J417" s="194">
        <v>800</v>
      </c>
      <c r="K417" s="247">
        <f>J417</f>
        <v>800</v>
      </c>
      <c r="L417" s="251" t="s">
        <v>665</v>
      </c>
    </row>
    <row r="418" spans="1:12">
      <c r="A418" s="216"/>
      <c r="B418" s="10"/>
      <c r="C418" s="11"/>
      <c r="D418" s="12"/>
      <c r="E418" s="13"/>
      <c r="F418" s="14"/>
      <c r="G418" s="14"/>
      <c r="H418" s="14"/>
      <c r="I418" s="14"/>
      <c r="J418" s="15"/>
      <c r="K418" s="15"/>
      <c r="L418" s="163"/>
    </row>
    <row r="419" spans="1:12" ht="36" customHeight="1">
      <c r="A419" s="248">
        <v>11.18</v>
      </c>
      <c r="B419" s="341" t="s">
        <v>791</v>
      </c>
      <c r="C419" s="342"/>
      <c r="D419" s="171" t="s">
        <v>771</v>
      </c>
      <c r="E419" s="252"/>
      <c r="F419" s="172"/>
      <c r="G419" s="172"/>
      <c r="H419" s="172"/>
      <c r="I419" s="172"/>
      <c r="J419" s="194">
        <v>800</v>
      </c>
      <c r="K419" s="247">
        <f>J419</f>
        <v>800</v>
      </c>
      <c r="L419" s="251" t="s">
        <v>665</v>
      </c>
    </row>
    <row r="420" spans="1:12">
      <c r="A420" s="216"/>
      <c r="B420" s="10"/>
      <c r="C420" s="11"/>
      <c r="D420" s="12"/>
      <c r="E420" s="13"/>
      <c r="F420" s="14"/>
      <c r="G420" s="14"/>
      <c r="H420" s="14"/>
      <c r="I420" s="14"/>
      <c r="J420" s="15"/>
      <c r="K420" s="15"/>
      <c r="L420" s="163"/>
    </row>
    <row r="421" spans="1:12" ht="36.75" customHeight="1">
      <c r="A421" s="248">
        <v>11.19</v>
      </c>
      <c r="B421" s="341" t="s">
        <v>792</v>
      </c>
      <c r="C421" s="342"/>
      <c r="D421" s="171" t="s">
        <v>771</v>
      </c>
      <c r="E421" s="252"/>
      <c r="F421" s="172"/>
      <c r="G421" s="172"/>
      <c r="H421" s="172"/>
      <c r="I421" s="172"/>
      <c r="J421" s="194">
        <v>800</v>
      </c>
      <c r="K421" s="247">
        <f>J421</f>
        <v>800</v>
      </c>
      <c r="L421" s="251" t="s">
        <v>665</v>
      </c>
    </row>
    <row r="422" spans="1:12">
      <c r="A422" s="216"/>
      <c r="B422" s="10"/>
      <c r="C422" s="11"/>
      <c r="D422" s="12"/>
      <c r="E422" s="13"/>
      <c r="F422" s="14"/>
      <c r="G422" s="14"/>
      <c r="H422" s="14"/>
      <c r="I422" s="14"/>
      <c r="J422" s="15"/>
      <c r="K422" s="15"/>
      <c r="L422" s="163"/>
    </row>
    <row r="423" spans="1:12" ht="43.5" customHeight="1">
      <c r="A423" s="248">
        <v>11.2</v>
      </c>
      <c r="B423" s="341" t="s">
        <v>793</v>
      </c>
      <c r="C423" s="342"/>
      <c r="D423" s="171" t="s">
        <v>771</v>
      </c>
      <c r="E423" s="252"/>
      <c r="F423" s="172"/>
      <c r="G423" s="172"/>
      <c r="H423" s="172"/>
      <c r="I423" s="172"/>
      <c r="J423" s="194">
        <v>800</v>
      </c>
      <c r="K423" s="247">
        <f>J423</f>
        <v>800</v>
      </c>
      <c r="L423" s="251" t="s">
        <v>665</v>
      </c>
    </row>
    <row r="424" spans="1:12">
      <c r="A424" s="216"/>
      <c r="B424" s="10"/>
      <c r="C424" s="11"/>
      <c r="D424" s="12"/>
      <c r="E424" s="13"/>
      <c r="F424" s="14"/>
      <c r="G424" s="14"/>
      <c r="H424" s="14"/>
      <c r="I424" s="14"/>
      <c r="J424" s="15"/>
      <c r="K424" s="15"/>
      <c r="L424" s="163"/>
    </row>
    <row r="425" spans="1:12" ht="33" customHeight="1">
      <c r="A425" s="248">
        <v>11.21</v>
      </c>
      <c r="B425" s="341" t="s">
        <v>794</v>
      </c>
      <c r="C425" s="342"/>
      <c r="D425" s="171" t="s">
        <v>771</v>
      </c>
      <c r="E425" s="252"/>
      <c r="F425" s="172"/>
      <c r="G425" s="172"/>
      <c r="H425" s="172"/>
      <c r="I425" s="172"/>
      <c r="J425" s="194">
        <v>800</v>
      </c>
      <c r="K425" s="247">
        <f>J425</f>
        <v>800</v>
      </c>
      <c r="L425" s="251" t="s">
        <v>665</v>
      </c>
    </row>
    <row r="426" spans="1:12">
      <c r="A426" s="216"/>
      <c r="B426" s="10"/>
      <c r="C426" s="11"/>
      <c r="D426" s="12"/>
      <c r="E426" s="13"/>
      <c r="F426" s="14"/>
      <c r="G426" s="14"/>
      <c r="H426" s="14"/>
      <c r="I426" s="14"/>
      <c r="J426" s="15"/>
      <c r="K426" s="15"/>
      <c r="L426" s="163"/>
    </row>
    <row r="427" spans="1:12" ht="33.75" customHeight="1">
      <c r="A427" s="248">
        <v>11.22</v>
      </c>
      <c r="B427" s="341" t="s">
        <v>795</v>
      </c>
      <c r="C427" s="342"/>
      <c r="D427" s="171" t="s">
        <v>771</v>
      </c>
      <c r="E427" s="252"/>
      <c r="F427" s="172"/>
      <c r="G427" s="172"/>
      <c r="H427" s="172"/>
      <c r="I427" s="172"/>
      <c r="J427" s="194">
        <v>800</v>
      </c>
      <c r="K427" s="247">
        <f>J427</f>
        <v>800</v>
      </c>
      <c r="L427" s="251" t="s">
        <v>665</v>
      </c>
    </row>
    <row r="428" spans="1:12">
      <c r="A428" s="216"/>
      <c r="B428" s="10"/>
      <c r="C428" s="11"/>
      <c r="D428" s="12"/>
      <c r="E428" s="13"/>
      <c r="F428" s="14"/>
      <c r="G428" s="14"/>
      <c r="H428" s="14"/>
      <c r="I428" s="14"/>
      <c r="J428" s="15"/>
      <c r="K428" s="15"/>
      <c r="L428" s="163"/>
    </row>
    <row r="429" spans="1:12" ht="36" customHeight="1">
      <c r="A429" s="248">
        <v>11.23</v>
      </c>
      <c r="B429" s="341" t="s">
        <v>796</v>
      </c>
      <c r="C429" s="342"/>
      <c r="D429" s="171" t="s">
        <v>771</v>
      </c>
      <c r="E429" s="252"/>
      <c r="F429" s="172"/>
      <c r="G429" s="172"/>
      <c r="H429" s="172"/>
      <c r="I429" s="172"/>
      <c r="J429" s="194">
        <v>170</v>
      </c>
      <c r="K429" s="247">
        <f>J429</f>
        <v>170</v>
      </c>
      <c r="L429" s="251" t="s">
        <v>665</v>
      </c>
    </row>
    <row r="430" spans="1:12">
      <c r="A430" s="216"/>
      <c r="B430" s="10"/>
      <c r="C430" s="11"/>
      <c r="D430" s="12"/>
      <c r="E430" s="13"/>
      <c r="F430" s="14"/>
      <c r="G430" s="14"/>
      <c r="H430" s="14"/>
      <c r="I430" s="14"/>
      <c r="J430" s="15"/>
      <c r="K430" s="15"/>
      <c r="L430" s="163"/>
    </row>
    <row r="431" spans="1:12" ht="45" customHeight="1">
      <c r="A431" s="248">
        <v>11.24</v>
      </c>
      <c r="B431" s="341" t="s">
        <v>797</v>
      </c>
      <c r="C431" s="342"/>
      <c r="D431" s="171" t="s">
        <v>771</v>
      </c>
      <c r="E431" s="252"/>
      <c r="F431" s="172"/>
      <c r="G431" s="172"/>
      <c r="H431" s="172"/>
      <c r="I431" s="172"/>
      <c r="J431" s="194">
        <v>60</v>
      </c>
      <c r="K431" s="247">
        <f>J431</f>
        <v>60</v>
      </c>
      <c r="L431" s="251" t="s">
        <v>665</v>
      </c>
    </row>
    <row r="432" spans="1:12">
      <c r="A432" s="216"/>
      <c r="B432" s="10"/>
      <c r="C432" s="11"/>
      <c r="D432" s="12"/>
      <c r="E432" s="13"/>
      <c r="F432" s="14"/>
      <c r="G432" s="14"/>
      <c r="H432" s="14"/>
      <c r="I432" s="14"/>
      <c r="J432" s="15"/>
      <c r="K432" s="15"/>
      <c r="L432" s="163"/>
    </row>
    <row r="433" spans="1:12" ht="37.5" customHeight="1">
      <c r="A433" s="248">
        <v>11.25</v>
      </c>
      <c r="B433" s="341" t="s">
        <v>798</v>
      </c>
      <c r="C433" s="342"/>
      <c r="D433" s="171" t="s">
        <v>771</v>
      </c>
      <c r="E433" s="252"/>
      <c r="F433" s="172"/>
      <c r="G433" s="172"/>
      <c r="H433" s="172"/>
      <c r="I433" s="172"/>
      <c r="J433" s="194">
        <v>60</v>
      </c>
      <c r="K433" s="247">
        <f>J433</f>
        <v>60</v>
      </c>
      <c r="L433" s="251" t="s">
        <v>665</v>
      </c>
    </row>
    <row r="434" spans="1:12">
      <c r="A434" s="216"/>
      <c r="B434" s="10"/>
      <c r="C434" s="11"/>
      <c r="D434" s="12"/>
      <c r="E434" s="13"/>
      <c r="F434" s="14"/>
      <c r="G434" s="14"/>
      <c r="H434" s="14"/>
      <c r="I434" s="14"/>
      <c r="J434" s="15"/>
      <c r="K434" s="15"/>
      <c r="L434" s="163"/>
    </row>
    <row r="435" spans="1:12" ht="33.75" customHeight="1">
      <c r="A435" s="248">
        <v>11.26</v>
      </c>
      <c r="B435" s="341" t="s">
        <v>799</v>
      </c>
      <c r="C435" s="342"/>
      <c r="D435" s="171" t="s">
        <v>771</v>
      </c>
      <c r="E435" s="252"/>
      <c r="F435" s="172"/>
      <c r="G435" s="172"/>
      <c r="H435" s="172"/>
      <c r="I435" s="172"/>
      <c r="J435" s="194">
        <v>150</v>
      </c>
      <c r="K435" s="247">
        <f>J435</f>
        <v>150</v>
      </c>
      <c r="L435" s="251" t="s">
        <v>665</v>
      </c>
    </row>
    <row r="436" spans="1:12">
      <c r="A436" s="216"/>
      <c r="B436" s="10"/>
      <c r="C436" s="11"/>
      <c r="D436" s="12"/>
      <c r="E436" s="13"/>
      <c r="F436" s="14"/>
      <c r="G436" s="14"/>
      <c r="H436" s="14"/>
      <c r="I436" s="14"/>
      <c r="J436" s="15"/>
      <c r="K436" s="15"/>
      <c r="L436" s="163"/>
    </row>
    <row r="437" spans="1:12" ht="42.75" customHeight="1">
      <c r="A437" s="248">
        <v>11.27</v>
      </c>
      <c r="B437" s="341" t="s">
        <v>800</v>
      </c>
      <c r="C437" s="342"/>
      <c r="D437" s="171" t="s">
        <v>771</v>
      </c>
      <c r="E437" s="252"/>
      <c r="F437" s="172"/>
      <c r="G437" s="172"/>
      <c r="H437" s="172"/>
      <c r="I437" s="172"/>
      <c r="J437" s="194">
        <v>50</v>
      </c>
      <c r="K437" s="247">
        <f>J437</f>
        <v>50</v>
      </c>
      <c r="L437" s="251" t="s">
        <v>665</v>
      </c>
    </row>
    <row r="438" spans="1:12">
      <c r="A438" s="216"/>
      <c r="B438" s="10"/>
      <c r="C438" s="11"/>
      <c r="D438" s="12"/>
      <c r="E438" s="13"/>
      <c r="F438" s="14"/>
      <c r="G438" s="14"/>
      <c r="H438" s="14"/>
      <c r="I438" s="14"/>
      <c r="J438" s="15"/>
      <c r="K438" s="15"/>
      <c r="L438" s="163"/>
    </row>
    <row r="439" spans="1:12" ht="32.25" customHeight="1">
      <c r="A439" s="248">
        <v>11.28</v>
      </c>
      <c r="B439" s="341" t="s">
        <v>801</v>
      </c>
      <c r="C439" s="342"/>
      <c r="D439" s="171" t="s">
        <v>771</v>
      </c>
      <c r="E439" s="252"/>
      <c r="F439" s="172"/>
      <c r="G439" s="172"/>
      <c r="H439" s="172"/>
      <c r="I439" s="172"/>
      <c r="J439" s="194">
        <v>50</v>
      </c>
      <c r="K439" s="247">
        <f>J439</f>
        <v>50</v>
      </c>
      <c r="L439" s="251" t="s">
        <v>665</v>
      </c>
    </row>
    <row r="440" spans="1:12">
      <c r="A440" s="216"/>
      <c r="B440" s="10"/>
      <c r="C440" s="11"/>
      <c r="D440" s="12"/>
      <c r="E440" s="13"/>
      <c r="F440" s="14"/>
      <c r="G440" s="14"/>
      <c r="H440" s="14"/>
      <c r="I440" s="14"/>
      <c r="J440" s="15"/>
      <c r="K440" s="15"/>
      <c r="L440" s="163"/>
    </row>
    <row r="441" spans="1:12" ht="71.25" customHeight="1">
      <c r="A441" s="248">
        <v>11.29</v>
      </c>
      <c r="B441" s="341" t="s">
        <v>802</v>
      </c>
      <c r="C441" s="342"/>
      <c r="D441" s="171" t="s">
        <v>771</v>
      </c>
      <c r="E441" s="252"/>
      <c r="F441" s="172"/>
      <c r="G441" s="172"/>
      <c r="H441" s="172"/>
      <c r="I441" s="172"/>
      <c r="J441" s="194">
        <v>39</v>
      </c>
      <c r="K441" s="247">
        <f>J441</f>
        <v>39</v>
      </c>
      <c r="L441" s="251" t="s">
        <v>713</v>
      </c>
    </row>
    <row r="442" spans="1:12">
      <c r="A442" s="216"/>
      <c r="B442" s="10"/>
      <c r="C442" s="11"/>
      <c r="D442" s="12"/>
      <c r="E442" s="13"/>
      <c r="F442" s="14"/>
      <c r="G442" s="14"/>
      <c r="H442" s="14"/>
      <c r="I442" s="14"/>
      <c r="J442" s="15"/>
      <c r="K442" s="15"/>
      <c r="L442" s="163"/>
    </row>
    <row r="443" spans="1:12" ht="71.25" customHeight="1">
      <c r="A443" s="248">
        <v>11.3</v>
      </c>
      <c r="B443" s="341" t="s">
        <v>803</v>
      </c>
      <c r="C443" s="342"/>
      <c r="D443" s="171" t="s">
        <v>771</v>
      </c>
      <c r="E443" s="252"/>
      <c r="F443" s="172"/>
      <c r="G443" s="172"/>
      <c r="H443" s="172"/>
      <c r="I443" s="172"/>
      <c r="J443" s="194">
        <v>115</v>
      </c>
      <c r="K443" s="247">
        <f>J443</f>
        <v>115</v>
      </c>
      <c r="L443" s="251" t="s">
        <v>713</v>
      </c>
    </row>
    <row r="444" spans="1:12">
      <c r="A444" s="216"/>
      <c r="B444" s="10"/>
      <c r="C444" s="11"/>
      <c r="D444" s="12"/>
      <c r="E444" s="13"/>
      <c r="F444" s="14"/>
      <c r="G444" s="14"/>
      <c r="H444" s="14"/>
      <c r="I444" s="14"/>
      <c r="J444" s="15"/>
      <c r="K444" s="15"/>
      <c r="L444" s="163"/>
    </row>
    <row r="445" spans="1:12" ht="49.5" customHeight="1">
      <c r="A445" s="248">
        <v>11.31</v>
      </c>
      <c r="B445" s="341" t="s">
        <v>804</v>
      </c>
      <c r="C445" s="342"/>
      <c r="D445" s="171" t="s">
        <v>771</v>
      </c>
      <c r="E445" s="252"/>
      <c r="F445" s="172"/>
      <c r="G445" s="172"/>
      <c r="H445" s="172"/>
      <c r="I445" s="172"/>
      <c r="J445" s="194">
        <v>10</v>
      </c>
      <c r="K445" s="247">
        <f>J445</f>
        <v>10</v>
      </c>
      <c r="L445" s="251" t="s">
        <v>713</v>
      </c>
    </row>
    <row r="446" spans="1:12">
      <c r="A446" s="216"/>
      <c r="B446" s="10"/>
      <c r="C446" s="11"/>
      <c r="D446" s="12"/>
      <c r="E446" s="13"/>
      <c r="F446" s="14"/>
      <c r="G446" s="14"/>
      <c r="H446" s="14"/>
      <c r="I446" s="14"/>
      <c r="J446" s="15"/>
      <c r="K446" s="15"/>
      <c r="L446" s="163"/>
    </row>
    <row r="447" spans="1:12" ht="102.75" customHeight="1">
      <c r="A447" s="248">
        <v>11.32</v>
      </c>
      <c r="B447" s="341" t="s">
        <v>805</v>
      </c>
      <c r="C447" s="342"/>
      <c r="D447" s="171" t="s">
        <v>771</v>
      </c>
      <c r="E447" s="252"/>
      <c r="F447" s="172"/>
      <c r="G447" s="172"/>
      <c r="H447" s="172"/>
      <c r="I447" s="172"/>
      <c r="J447" s="194">
        <v>3</v>
      </c>
      <c r="K447" s="247">
        <f>J447</f>
        <v>3</v>
      </c>
      <c r="L447" s="251" t="s">
        <v>713</v>
      </c>
    </row>
    <row r="448" spans="1:12">
      <c r="A448" s="216"/>
      <c r="B448" s="10"/>
      <c r="C448" s="11"/>
      <c r="D448" s="12"/>
      <c r="E448" s="13"/>
      <c r="F448" s="14"/>
      <c r="G448" s="14"/>
      <c r="H448" s="14"/>
      <c r="I448" s="14"/>
      <c r="J448" s="15"/>
      <c r="K448" s="15"/>
      <c r="L448" s="163"/>
    </row>
    <row r="449" spans="1:12" ht="71.25" customHeight="1">
      <c r="A449" s="248">
        <v>11.33</v>
      </c>
      <c r="B449" s="341" t="s">
        <v>806</v>
      </c>
      <c r="C449" s="342"/>
      <c r="D449" s="171" t="s">
        <v>771</v>
      </c>
      <c r="E449" s="252"/>
      <c r="F449" s="172"/>
      <c r="G449" s="172"/>
      <c r="H449" s="172"/>
      <c r="I449" s="172"/>
      <c r="J449" s="194">
        <v>23</v>
      </c>
      <c r="K449" s="247">
        <f>J449</f>
        <v>23</v>
      </c>
      <c r="L449" s="251" t="s">
        <v>713</v>
      </c>
    </row>
    <row r="450" spans="1:12">
      <c r="A450" s="216"/>
      <c r="B450" s="10"/>
      <c r="C450" s="11"/>
      <c r="D450" s="12"/>
      <c r="E450" s="13"/>
      <c r="F450" s="14"/>
      <c r="G450" s="14"/>
      <c r="H450" s="14"/>
      <c r="I450" s="14"/>
      <c r="J450" s="15"/>
      <c r="K450" s="15"/>
      <c r="L450" s="163"/>
    </row>
    <row r="451" spans="1:12" ht="71.25" customHeight="1">
      <c r="A451" s="248">
        <v>11.34</v>
      </c>
      <c r="B451" s="341" t="s">
        <v>807</v>
      </c>
      <c r="C451" s="342"/>
      <c r="D451" s="171" t="s">
        <v>771</v>
      </c>
      <c r="E451" s="252"/>
      <c r="F451" s="172"/>
      <c r="G451" s="172"/>
      <c r="H451" s="172"/>
      <c r="I451" s="172"/>
      <c r="J451" s="194">
        <v>56</v>
      </c>
      <c r="K451" s="247">
        <f>J451</f>
        <v>56</v>
      </c>
      <c r="L451" s="251" t="s">
        <v>713</v>
      </c>
    </row>
    <row r="452" spans="1:12">
      <c r="A452" s="216"/>
      <c r="B452" s="10"/>
      <c r="C452" s="11"/>
      <c r="D452" s="12"/>
      <c r="E452" s="13"/>
      <c r="F452" s="14"/>
      <c r="G452" s="14"/>
      <c r="H452" s="14"/>
      <c r="I452" s="14"/>
      <c r="J452" s="15"/>
      <c r="K452" s="15"/>
      <c r="L452" s="163"/>
    </row>
    <row r="453" spans="1:12" ht="71.25" customHeight="1">
      <c r="A453" s="248">
        <v>11.35</v>
      </c>
      <c r="B453" s="341" t="s">
        <v>808</v>
      </c>
      <c r="C453" s="342"/>
      <c r="D453" s="171" t="s">
        <v>771</v>
      </c>
      <c r="E453" s="252"/>
      <c r="F453" s="172"/>
      <c r="G453" s="172"/>
      <c r="H453" s="172"/>
      <c r="I453" s="172"/>
      <c r="J453" s="194">
        <v>112</v>
      </c>
      <c r="K453" s="247">
        <f>J453</f>
        <v>112</v>
      </c>
      <c r="L453" s="251" t="s">
        <v>713</v>
      </c>
    </row>
    <row r="454" spans="1:12">
      <c r="A454" s="216"/>
      <c r="B454" s="10"/>
      <c r="C454" s="11"/>
      <c r="D454" s="12"/>
      <c r="E454" s="13"/>
      <c r="F454" s="14"/>
      <c r="G454" s="14"/>
      <c r="H454" s="14"/>
      <c r="I454" s="14"/>
      <c r="J454" s="15"/>
      <c r="K454" s="15"/>
      <c r="L454" s="163"/>
    </row>
    <row r="455" spans="1:12" ht="71.25" customHeight="1">
      <c r="A455" s="248">
        <v>11.36</v>
      </c>
      <c r="B455" s="341" t="s">
        <v>809</v>
      </c>
      <c r="C455" s="342"/>
      <c r="D455" s="171" t="s">
        <v>771</v>
      </c>
      <c r="E455" s="252"/>
      <c r="F455" s="172"/>
      <c r="G455" s="172"/>
      <c r="H455" s="172"/>
      <c r="I455" s="172"/>
      <c r="J455" s="194">
        <v>46</v>
      </c>
      <c r="K455" s="247">
        <f>J455</f>
        <v>46</v>
      </c>
      <c r="L455" s="251" t="s">
        <v>713</v>
      </c>
    </row>
    <row r="456" spans="1:12">
      <c r="A456" s="216"/>
      <c r="B456" s="10"/>
      <c r="C456" s="11"/>
      <c r="D456" s="12"/>
      <c r="E456" s="13"/>
      <c r="F456" s="14"/>
      <c r="G456" s="14"/>
      <c r="H456" s="14"/>
      <c r="I456" s="14"/>
      <c r="J456" s="15"/>
      <c r="K456" s="15"/>
      <c r="L456" s="163"/>
    </row>
    <row r="457" spans="1:12" ht="90.75" customHeight="1">
      <c r="A457" s="248">
        <v>11.37</v>
      </c>
      <c r="B457" s="341" t="s">
        <v>810</v>
      </c>
      <c r="C457" s="342"/>
      <c r="D457" s="171" t="s">
        <v>771</v>
      </c>
      <c r="E457" s="252"/>
      <c r="F457" s="172"/>
      <c r="G457" s="172"/>
      <c r="H457" s="172"/>
      <c r="I457" s="172"/>
      <c r="J457" s="194">
        <v>40</v>
      </c>
      <c r="K457" s="247">
        <f>J457</f>
        <v>40</v>
      </c>
      <c r="L457" s="251" t="s">
        <v>665</v>
      </c>
    </row>
    <row r="458" spans="1:12">
      <c r="A458" s="216"/>
      <c r="B458" s="10"/>
      <c r="C458" s="11"/>
      <c r="D458" s="12"/>
      <c r="E458" s="13"/>
      <c r="F458" s="14"/>
      <c r="G458" s="14"/>
      <c r="H458" s="14"/>
      <c r="I458" s="14"/>
      <c r="J458" s="15"/>
      <c r="K458" s="15"/>
      <c r="L458" s="163"/>
    </row>
    <row r="459" spans="1:12" ht="90.75" customHeight="1">
      <c r="A459" s="248">
        <v>11.38</v>
      </c>
      <c r="B459" s="341" t="s">
        <v>811</v>
      </c>
      <c r="C459" s="342"/>
      <c r="D459" s="171" t="s">
        <v>771</v>
      </c>
      <c r="E459" s="252"/>
      <c r="F459" s="172"/>
      <c r="G459" s="172"/>
      <c r="H459" s="172"/>
      <c r="I459" s="172"/>
      <c r="J459" s="194">
        <v>200</v>
      </c>
      <c r="K459" s="247">
        <f>J459</f>
        <v>200</v>
      </c>
      <c r="L459" s="251" t="s">
        <v>665</v>
      </c>
    </row>
    <row r="460" spans="1:12" ht="15" thickBot="1">
      <c r="A460" s="216"/>
      <c r="B460" s="10"/>
      <c r="C460" s="11"/>
      <c r="D460" s="12"/>
      <c r="E460" s="13"/>
      <c r="F460" s="14"/>
      <c r="G460" s="14"/>
      <c r="H460" s="14"/>
      <c r="I460" s="14"/>
      <c r="J460" s="15"/>
      <c r="K460" s="15"/>
      <c r="L460" s="163"/>
    </row>
    <row r="461" spans="1:12" ht="90.75" hidden="1" customHeight="1">
      <c r="A461" s="248">
        <v>11.39</v>
      </c>
      <c r="B461" s="341" t="s">
        <v>812</v>
      </c>
      <c r="C461" s="342"/>
      <c r="D461" s="171" t="s">
        <v>771</v>
      </c>
      <c r="E461" s="252"/>
      <c r="F461" s="172"/>
      <c r="G461" s="172"/>
      <c r="H461" s="172"/>
      <c r="I461" s="172"/>
      <c r="J461" s="194">
        <v>200</v>
      </c>
      <c r="K461" s="247">
        <f>J461</f>
        <v>200</v>
      </c>
      <c r="L461" s="251" t="s">
        <v>665</v>
      </c>
    </row>
    <row r="462" spans="1:12" ht="15" hidden="1" thickBot="1">
      <c r="A462" s="216"/>
      <c r="B462" s="10"/>
      <c r="C462" s="11"/>
      <c r="D462" s="12"/>
      <c r="E462" s="13"/>
      <c r="F462" s="14"/>
      <c r="G462" s="14"/>
      <c r="H462" s="14"/>
      <c r="I462" s="14"/>
      <c r="J462" s="15"/>
      <c r="K462" s="15"/>
      <c r="L462" s="163"/>
    </row>
    <row r="463" spans="1:12" ht="16.2" thickBot="1">
      <c r="A463" s="179">
        <v>12</v>
      </c>
      <c r="B463" s="343" t="s">
        <v>813</v>
      </c>
      <c r="C463" s="343"/>
      <c r="D463" s="343"/>
      <c r="E463" s="343"/>
      <c r="F463" s="343"/>
      <c r="G463" s="343"/>
      <c r="H463" s="343"/>
      <c r="I463" s="343"/>
      <c r="J463" s="343"/>
      <c r="K463" s="343"/>
      <c r="L463" s="344"/>
    </row>
    <row r="464" spans="1:12">
      <c r="A464" s="216"/>
      <c r="B464" s="10"/>
      <c r="C464" s="11"/>
      <c r="D464" s="12"/>
      <c r="E464" s="13"/>
      <c r="F464" s="14"/>
      <c r="G464" s="14"/>
      <c r="H464" s="14"/>
      <c r="I464" s="14"/>
      <c r="J464" s="15"/>
      <c r="K464" s="15"/>
      <c r="L464" s="163"/>
    </row>
    <row r="465" spans="1:12" ht="63.75" customHeight="1">
      <c r="A465" s="248">
        <v>12.01</v>
      </c>
      <c r="B465" s="341" t="s">
        <v>814</v>
      </c>
      <c r="C465" s="342"/>
      <c r="D465" s="171" t="s">
        <v>771</v>
      </c>
      <c r="E465" s="252"/>
      <c r="F465" s="172"/>
      <c r="G465" s="172"/>
      <c r="H465" s="172"/>
      <c r="I465" s="172"/>
      <c r="J465" s="194">
        <v>1360</v>
      </c>
      <c r="K465" s="247">
        <f>J465</f>
        <v>1360</v>
      </c>
      <c r="L465" s="251" t="s">
        <v>665</v>
      </c>
    </row>
    <row r="466" spans="1:12">
      <c r="A466" s="216"/>
      <c r="B466" s="10"/>
      <c r="C466" s="11"/>
      <c r="D466" s="12"/>
      <c r="E466" s="13"/>
      <c r="F466" s="14"/>
      <c r="G466" s="14"/>
      <c r="H466" s="14"/>
      <c r="I466" s="14"/>
      <c r="J466" s="15"/>
      <c r="K466" s="15"/>
      <c r="L466" s="163"/>
    </row>
    <row r="467" spans="1:12" ht="63.75" customHeight="1">
      <c r="A467" s="248">
        <v>12.02</v>
      </c>
      <c r="B467" s="341" t="s">
        <v>815</v>
      </c>
      <c r="C467" s="342"/>
      <c r="D467" s="171" t="s">
        <v>771</v>
      </c>
      <c r="E467" s="252"/>
      <c r="F467" s="172"/>
      <c r="G467" s="172"/>
      <c r="H467" s="172"/>
      <c r="I467" s="172"/>
      <c r="J467" s="194">
        <v>80</v>
      </c>
      <c r="K467" s="247">
        <f>J467</f>
        <v>80</v>
      </c>
      <c r="L467" s="251" t="s">
        <v>665</v>
      </c>
    </row>
    <row r="468" spans="1:12">
      <c r="A468" s="216"/>
      <c r="B468" s="10"/>
      <c r="C468" s="11"/>
      <c r="D468" s="12"/>
      <c r="E468" s="13"/>
      <c r="F468" s="14"/>
      <c r="G468" s="14"/>
      <c r="H468" s="14"/>
      <c r="I468" s="14"/>
      <c r="J468" s="15"/>
      <c r="K468" s="15"/>
      <c r="L468" s="163"/>
    </row>
    <row r="469" spans="1:12" ht="75.75" customHeight="1">
      <c r="A469" s="248">
        <v>12.03</v>
      </c>
      <c r="B469" s="341" t="s">
        <v>811</v>
      </c>
      <c r="C469" s="342"/>
      <c r="D469" s="171" t="s">
        <v>771</v>
      </c>
      <c r="E469" s="252"/>
      <c r="F469" s="172"/>
      <c r="G469" s="172"/>
      <c r="H469" s="172"/>
      <c r="I469" s="172"/>
      <c r="J469" s="194">
        <v>80</v>
      </c>
      <c r="K469" s="247">
        <f>J469</f>
        <v>80</v>
      </c>
      <c r="L469" s="251" t="s">
        <v>665</v>
      </c>
    </row>
    <row r="470" spans="1:12">
      <c r="A470" s="216"/>
      <c r="B470" s="10"/>
      <c r="C470" s="11"/>
      <c r="D470" s="12"/>
      <c r="E470" s="13"/>
      <c r="F470" s="14"/>
      <c r="G470" s="14"/>
      <c r="H470" s="14"/>
      <c r="I470" s="14"/>
      <c r="J470" s="15"/>
      <c r="K470" s="15"/>
      <c r="L470" s="163"/>
    </row>
    <row r="471" spans="1:12" ht="89.25" customHeight="1">
      <c r="A471" s="248">
        <v>12.04</v>
      </c>
      <c r="B471" s="341" t="s">
        <v>816</v>
      </c>
      <c r="C471" s="342"/>
      <c r="D471" s="171" t="s">
        <v>771</v>
      </c>
      <c r="E471" s="252"/>
      <c r="F471" s="172"/>
      <c r="G471" s="172"/>
      <c r="H471" s="172"/>
      <c r="I471" s="172"/>
      <c r="J471" s="194">
        <v>27</v>
      </c>
      <c r="K471" s="247">
        <f>J471</f>
        <v>27</v>
      </c>
      <c r="L471" s="251" t="s">
        <v>713</v>
      </c>
    </row>
    <row r="472" spans="1:12">
      <c r="A472" s="216"/>
      <c r="B472" s="10"/>
      <c r="C472" s="11"/>
      <c r="D472" s="12"/>
      <c r="E472" s="13"/>
      <c r="F472" s="14"/>
      <c r="G472" s="14"/>
      <c r="H472" s="14"/>
      <c r="I472" s="14"/>
      <c r="J472" s="15"/>
      <c r="K472" s="15"/>
      <c r="L472" s="163"/>
    </row>
    <row r="473" spans="1:12">
      <c r="A473" s="248">
        <v>12.05</v>
      </c>
      <c r="B473" s="341" t="s">
        <v>817</v>
      </c>
      <c r="C473" s="342"/>
      <c r="D473" s="171" t="s">
        <v>771</v>
      </c>
      <c r="E473" s="252"/>
      <c r="F473" s="172"/>
      <c r="G473" s="172"/>
      <c r="H473" s="172"/>
      <c r="I473" s="172"/>
      <c r="J473" s="194">
        <v>1</v>
      </c>
      <c r="K473" s="247">
        <f>J473</f>
        <v>1</v>
      </c>
      <c r="L473" s="251" t="s">
        <v>713</v>
      </c>
    </row>
    <row r="474" spans="1:12" ht="15" thickBot="1">
      <c r="A474" s="248">
        <v>12.06</v>
      </c>
      <c r="B474" s="341" t="s">
        <v>818</v>
      </c>
      <c r="C474" s="342"/>
      <c r="D474" s="171" t="s">
        <v>771</v>
      </c>
      <c r="E474" s="252"/>
      <c r="F474" s="172"/>
      <c r="G474" s="172"/>
      <c r="H474" s="172"/>
      <c r="I474" s="172"/>
      <c r="J474" s="194">
        <v>3</v>
      </c>
      <c r="K474" s="247">
        <f>J474</f>
        <v>3</v>
      </c>
      <c r="L474" s="251" t="s">
        <v>713</v>
      </c>
    </row>
    <row r="475" spans="1:12" ht="16.2" thickBot="1">
      <c r="A475" s="179">
        <v>13</v>
      </c>
      <c r="B475" s="343" t="s">
        <v>819</v>
      </c>
      <c r="C475" s="343"/>
      <c r="D475" s="343"/>
      <c r="E475" s="343"/>
      <c r="F475" s="343"/>
      <c r="G475" s="343"/>
      <c r="H475" s="343"/>
      <c r="I475" s="343"/>
      <c r="J475" s="343"/>
      <c r="K475" s="343"/>
      <c r="L475" s="344"/>
    </row>
    <row r="476" spans="1:12">
      <c r="A476" s="216"/>
      <c r="B476" s="10"/>
      <c r="C476" s="11"/>
      <c r="D476" s="12"/>
      <c r="E476" s="13"/>
      <c r="F476" s="14"/>
      <c r="G476" s="14"/>
      <c r="H476" s="14"/>
      <c r="I476" s="14"/>
      <c r="J476" s="15"/>
      <c r="K476" s="15"/>
      <c r="L476" s="163"/>
    </row>
    <row r="477" spans="1:12" ht="90.75" customHeight="1">
      <c r="A477" s="248">
        <v>13.01</v>
      </c>
      <c r="B477" s="341" t="s">
        <v>359</v>
      </c>
      <c r="C477" s="342"/>
      <c r="D477" s="171" t="s">
        <v>820</v>
      </c>
      <c r="E477" s="252"/>
      <c r="F477" s="172"/>
      <c r="G477" s="172"/>
      <c r="H477" s="172"/>
      <c r="I477" s="172"/>
      <c r="J477" s="194">
        <v>20</v>
      </c>
      <c r="K477" s="247">
        <f>J477</f>
        <v>20</v>
      </c>
      <c r="L477" s="251" t="s">
        <v>665</v>
      </c>
    </row>
    <row r="478" spans="1:12">
      <c r="A478" s="216"/>
      <c r="B478" s="10"/>
      <c r="C478" s="11"/>
      <c r="D478" s="12"/>
      <c r="E478" s="13"/>
      <c r="F478" s="14"/>
      <c r="G478" s="14"/>
      <c r="H478" s="14"/>
      <c r="I478" s="14"/>
      <c r="J478" s="15"/>
      <c r="K478" s="15"/>
      <c r="L478" s="163"/>
    </row>
    <row r="479" spans="1:12" ht="90.75" customHeight="1">
      <c r="A479" s="248">
        <v>13.02</v>
      </c>
      <c r="B479" s="341" t="s">
        <v>821</v>
      </c>
      <c r="C479" s="342"/>
      <c r="D479" s="171" t="s">
        <v>820</v>
      </c>
      <c r="E479" s="252"/>
      <c r="F479" s="172"/>
      <c r="G479" s="172"/>
      <c r="H479" s="172"/>
      <c r="I479" s="172"/>
      <c r="J479" s="194">
        <v>10</v>
      </c>
      <c r="K479" s="247">
        <f>J479</f>
        <v>10</v>
      </c>
      <c r="L479" s="251" t="s">
        <v>713</v>
      </c>
    </row>
    <row r="480" spans="1:12">
      <c r="A480" s="216"/>
      <c r="B480" s="10"/>
      <c r="C480" s="11"/>
      <c r="D480" s="12"/>
      <c r="E480" s="13"/>
      <c r="F480" s="14"/>
      <c r="G480" s="14"/>
      <c r="H480" s="14"/>
      <c r="I480" s="14"/>
      <c r="J480" s="15"/>
      <c r="K480" s="15"/>
      <c r="L480" s="163"/>
    </row>
    <row r="481" spans="1:12" ht="90.75" customHeight="1">
      <c r="A481" s="248">
        <v>13.03</v>
      </c>
      <c r="B481" s="341" t="s">
        <v>822</v>
      </c>
      <c r="C481" s="342"/>
      <c r="D481" s="171" t="s">
        <v>820</v>
      </c>
      <c r="E481" s="252"/>
      <c r="F481" s="172"/>
      <c r="G481" s="172"/>
      <c r="H481" s="172"/>
      <c r="I481" s="172"/>
      <c r="J481" s="194">
        <v>9</v>
      </c>
      <c r="K481" s="247">
        <f>J481</f>
        <v>9</v>
      </c>
      <c r="L481" s="251" t="s">
        <v>713</v>
      </c>
    </row>
    <row r="482" spans="1:12">
      <c r="A482" s="216"/>
      <c r="B482" s="10"/>
      <c r="C482" s="11"/>
      <c r="D482" s="12"/>
      <c r="E482" s="13"/>
      <c r="F482" s="14"/>
      <c r="G482" s="14"/>
      <c r="H482" s="14"/>
      <c r="I482" s="14"/>
      <c r="J482" s="15"/>
      <c r="K482" s="15"/>
      <c r="L482" s="163"/>
    </row>
    <row r="483" spans="1:12" ht="67.5" customHeight="1">
      <c r="A483" s="248">
        <v>13.04</v>
      </c>
      <c r="B483" s="341" t="s">
        <v>823</v>
      </c>
      <c r="C483" s="342"/>
      <c r="D483" s="171" t="s">
        <v>820</v>
      </c>
      <c r="E483" s="252"/>
      <c r="F483" s="172"/>
      <c r="G483" s="172"/>
      <c r="H483" s="172"/>
      <c r="I483" s="172"/>
      <c r="J483" s="194">
        <v>1</v>
      </c>
      <c r="K483" s="247">
        <f>J483</f>
        <v>1</v>
      </c>
      <c r="L483" s="251" t="s">
        <v>713</v>
      </c>
    </row>
    <row r="484" spans="1:12">
      <c r="A484" s="216"/>
      <c r="B484" s="10"/>
      <c r="C484" s="11"/>
      <c r="D484" s="12"/>
      <c r="E484" s="13"/>
      <c r="F484" s="14"/>
      <c r="G484" s="14"/>
      <c r="H484" s="14"/>
      <c r="I484" s="14"/>
      <c r="J484" s="15"/>
      <c r="K484" s="15"/>
      <c r="L484" s="163"/>
    </row>
    <row r="485" spans="1:12" ht="66" customHeight="1">
      <c r="A485" s="248">
        <v>13.05</v>
      </c>
      <c r="B485" s="341" t="s">
        <v>824</v>
      </c>
      <c r="C485" s="342"/>
      <c r="D485" s="171" t="s">
        <v>820</v>
      </c>
      <c r="E485" s="252"/>
      <c r="F485" s="172"/>
      <c r="G485" s="172"/>
      <c r="H485" s="172"/>
      <c r="I485" s="172"/>
      <c r="J485" s="194">
        <v>21</v>
      </c>
      <c r="K485" s="247">
        <f>J485</f>
        <v>21</v>
      </c>
      <c r="L485" s="251" t="s">
        <v>713</v>
      </c>
    </row>
    <row r="486" spans="1:12">
      <c r="A486" s="216"/>
      <c r="B486" s="10"/>
      <c r="C486" s="11"/>
      <c r="D486" s="12"/>
      <c r="E486" s="13"/>
      <c r="F486" s="14"/>
      <c r="G486" s="14"/>
      <c r="H486" s="14"/>
      <c r="I486" s="14"/>
      <c r="J486" s="15"/>
      <c r="K486" s="15"/>
      <c r="L486" s="163"/>
    </row>
    <row r="487" spans="1:12" ht="67.5" customHeight="1">
      <c r="A487" s="248">
        <v>13.06</v>
      </c>
      <c r="B487" s="341" t="s">
        <v>374</v>
      </c>
      <c r="C487" s="342"/>
      <c r="D487" s="171" t="s">
        <v>820</v>
      </c>
      <c r="E487" s="252"/>
      <c r="F487" s="172"/>
      <c r="G487" s="172"/>
      <c r="H487" s="172"/>
      <c r="I487" s="172"/>
      <c r="J487" s="194">
        <v>1</v>
      </c>
      <c r="K487" s="247">
        <f>J487</f>
        <v>1</v>
      </c>
      <c r="L487" s="251" t="s">
        <v>713</v>
      </c>
    </row>
    <row r="488" spans="1:12">
      <c r="A488" s="216"/>
      <c r="B488" s="10"/>
      <c r="C488" s="11"/>
      <c r="D488" s="12"/>
      <c r="E488" s="13"/>
      <c r="F488" s="14"/>
      <c r="G488" s="14"/>
      <c r="H488" s="14"/>
      <c r="I488" s="14"/>
      <c r="J488" s="15"/>
      <c r="K488" s="15"/>
      <c r="L488" s="163"/>
    </row>
    <row r="489" spans="1:12" ht="58.5" customHeight="1">
      <c r="A489" s="248">
        <v>13.07</v>
      </c>
      <c r="B489" s="341" t="s">
        <v>825</v>
      </c>
      <c r="C489" s="342"/>
      <c r="D489" s="171" t="s">
        <v>820</v>
      </c>
      <c r="E489" s="252"/>
      <c r="F489" s="172"/>
      <c r="G489" s="172"/>
      <c r="H489" s="172"/>
      <c r="I489" s="172"/>
      <c r="J489" s="194">
        <v>40</v>
      </c>
      <c r="K489" s="247">
        <f>J489</f>
        <v>40</v>
      </c>
      <c r="L489" s="251" t="s">
        <v>665</v>
      </c>
    </row>
    <row r="490" spans="1:12">
      <c r="A490" s="216"/>
      <c r="B490" s="10"/>
      <c r="C490" s="11"/>
      <c r="D490" s="12"/>
      <c r="E490" s="13"/>
      <c r="F490" s="14"/>
      <c r="G490" s="14"/>
      <c r="H490" s="14"/>
      <c r="I490" s="14"/>
      <c r="J490" s="15"/>
      <c r="K490" s="15"/>
      <c r="L490" s="163"/>
    </row>
    <row r="491" spans="1:12" ht="90.75" customHeight="1">
      <c r="A491" s="248">
        <v>13.08</v>
      </c>
      <c r="B491" s="341" t="s">
        <v>826</v>
      </c>
      <c r="C491" s="342"/>
      <c r="D491" s="171" t="s">
        <v>820</v>
      </c>
      <c r="E491" s="252"/>
      <c r="F491" s="172"/>
      <c r="G491" s="172"/>
      <c r="H491" s="172"/>
      <c r="I491" s="172"/>
      <c r="J491" s="194">
        <v>20</v>
      </c>
      <c r="K491" s="247">
        <f>J491</f>
        <v>20</v>
      </c>
      <c r="L491" s="251" t="s">
        <v>665</v>
      </c>
    </row>
    <row r="492" spans="1:12">
      <c r="A492" s="216"/>
      <c r="B492" s="10"/>
      <c r="C492" s="11"/>
      <c r="D492" s="12"/>
      <c r="E492" s="13"/>
      <c r="F492" s="14"/>
      <c r="G492" s="14"/>
      <c r="H492" s="14"/>
      <c r="I492" s="14"/>
      <c r="J492" s="15"/>
      <c r="K492" s="15"/>
      <c r="L492" s="163"/>
    </row>
    <row r="493" spans="1:12" ht="90.75" customHeight="1">
      <c r="A493" s="248">
        <v>13.09</v>
      </c>
      <c r="B493" s="341" t="s">
        <v>383</v>
      </c>
      <c r="C493" s="342"/>
      <c r="D493" s="171" t="s">
        <v>820</v>
      </c>
      <c r="E493" s="252"/>
      <c r="F493" s="172"/>
      <c r="G493" s="172"/>
      <c r="H493" s="172"/>
      <c r="I493" s="172"/>
      <c r="J493" s="194">
        <v>40</v>
      </c>
      <c r="K493" s="247">
        <f>J493</f>
        <v>40</v>
      </c>
      <c r="L493" s="251" t="s">
        <v>665</v>
      </c>
    </row>
    <row r="494" spans="1:12">
      <c r="A494" s="216"/>
      <c r="B494" s="10"/>
      <c r="C494" s="11"/>
      <c r="D494" s="12"/>
      <c r="E494" s="13"/>
      <c r="F494" s="14"/>
      <c r="G494" s="14"/>
      <c r="H494" s="14"/>
      <c r="I494" s="14"/>
      <c r="J494" s="15"/>
      <c r="K494" s="15"/>
      <c r="L494" s="163"/>
    </row>
    <row r="495" spans="1:12" ht="69.75" customHeight="1">
      <c r="A495" s="248">
        <v>13.1</v>
      </c>
      <c r="B495" s="341" t="s">
        <v>827</v>
      </c>
      <c r="C495" s="342"/>
      <c r="D495" s="171" t="s">
        <v>820</v>
      </c>
      <c r="E495" s="252"/>
      <c r="F495" s="172"/>
      <c r="G495" s="172"/>
      <c r="H495" s="172"/>
      <c r="I495" s="172"/>
      <c r="J495" s="194">
        <v>1</v>
      </c>
      <c r="K495" s="247">
        <f>J495</f>
        <v>1</v>
      </c>
      <c r="L495" s="251" t="s">
        <v>713</v>
      </c>
    </row>
    <row r="496" spans="1:12">
      <c r="A496" s="216"/>
      <c r="B496" s="10"/>
      <c r="C496" s="11"/>
      <c r="D496" s="12"/>
      <c r="E496" s="13"/>
      <c r="F496" s="14"/>
      <c r="G496" s="14"/>
      <c r="H496" s="14"/>
      <c r="I496" s="14"/>
      <c r="J496" s="15"/>
      <c r="K496" s="15"/>
      <c r="L496" s="163"/>
    </row>
    <row r="497" spans="1:12" ht="90.75" customHeight="1">
      <c r="A497" s="248">
        <v>13.11</v>
      </c>
      <c r="B497" s="341" t="s">
        <v>828</v>
      </c>
      <c r="C497" s="342"/>
      <c r="D497" s="171" t="s">
        <v>820</v>
      </c>
      <c r="E497" s="252"/>
      <c r="F497" s="172"/>
      <c r="G497" s="172"/>
      <c r="H497" s="172"/>
      <c r="I497" s="172"/>
      <c r="J497" s="194">
        <v>7</v>
      </c>
      <c r="K497" s="247">
        <f>J497</f>
        <v>7</v>
      </c>
      <c r="L497" s="251" t="s">
        <v>713</v>
      </c>
    </row>
    <row r="498" spans="1:12">
      <c r="A498" s="216"/>
      <c r="B498" s="10"/>
      <c r="C498" s="11"/>
      <c r="D498" s="12"/>
      <c r="E498" s="13"/>
      <c r="F498" s="14"/>
      <c r="G498" s="14"/>
      <c r="H498" s="14"/>
      <c r="I498" s="14"/>
      <c r="J498" s="15"/>
      <c r="K498" s="15"/>
      <c r="L498" s="163"/>
    </row>
    <row r="499" spans="1:12" ht="67.5" customHeight="1">
      <c r="A499" s="248">
        <v>13.12</v>
      </c>
      <c r="B499" s="341" t="s">
        <v>392</v>
      </c>
      <c r="C499" s="342"/>
      <c r="D499" s="171" t="s">
        <v>820</v>
      </c>
      <c r="E499" s="252"/>
      <c r="F499" s="172"/>
      <c r="G499" s="172"/>
      <c r="H499" s="172"/>
      <c r="I499" s="172"/>
      <c r="J499" s="194">
        <v>2</v>
      </c>
      <c r="K499" s="247">
        <f>J499</f>
        <v>2</v>
      </c>
      <c r="L499" s="251" t="s">
        <v>713</v>
      </c>
    </row>
    <row r="500" spans="1:12">
      <c r="A500" s="216"/>
      <c r="B500" s="10"/>
      <c r="C500" s="11"/>
      <c r="D500" s="12"/>
      <c r="E500" s="13"/>
      <c r="F500" s="14"/>
      <c r="G500" s="14"/>
      <c r="H500" s="14"/>
      <c r="I500" s="14"/>
      <c r="J500" s="15"/>
      <c r="K500" s="15"/>
      <c r="L500" s="163"/>
    </row>
    <row r="501" spans="1:12" ht="64.5" customHeight="1">
      <c r="A501" s="248">
        <v>13.13</v>
      </c>
      <c r="B501" s="341" t="s">
        <v>829</v>
      </c>
      <c r="C501" s="342"/>
      <c r="D501" s="171" t="s">
        <v>820</v>
      </c>
      <c r="E501" s="252"/>
      <c r="F501" s="172"/>
      <c r="G501" s="172"/>
      <c r="H501" s="172"/>
      <c r="I501" s="172"/>
      <c r="J501" s="194">
        <v>1</v>
      </c>
      <c r="K501" s="247">
        <f>J501</f>
        <v>1</v>
      </c>
      <c r="L501" s="251" t="s">
        <v>713</v>
      </c>
    </row>
    <row r="502" spans="1:12">
      <c r="A502" s="216"/>
      <c r="B502" s="10"/>
      <c r="C502" s="11"/>
      <c r="D502" s="12"/>
      <c r="E502" s="13"/>
      <c r="F502" s="14"/>
      <c r="G502" s="14"/>
      <c r="H502" s="14"/>
      <c r="I502" s="14"/>
      <c r="J502" s="15"/>
      <c r="K502" s="15"/>
      <c r="L502" s="163"/>
    </row>
    <row r="503" spans="1:12" ht="57.75" customHeight="1">
      <c r="A503" s="248">
        <v>13.14</v>
      </c>
      <c r="B503" s="341" t="s">
        <v>830</v>
      </c>
      <c r="C503" s="342"/>
      <c r="D503" s="171" t="s">
        <v>820</v>
      </c>
      <c r="E503" s="252"/>
      <c r="F503" s="172"/>
      <c r="G503" s="172"/>
      <c r="H503" s="172"/>
      <c r="I503" s="172"/>
      <c r="J503" s="194">
        <v>9</v>
      </c>
      <c r="K503" s="247">
        <f>J503</f>
        <v>9</v>
      </c>
      <c r="L503" s="251" t="s">
        <v>713</v>
      </c>
    </row>
    <row r="504" spans="1:12">
      <c r="A504" s="216"/>
      <c r="B504" s="10"/>
      <c r="C504" s="11"/>
      <c r="D504" s="12"/>
      <c r="E504" s="13"/>
      <c r="F504" s="14"/>
      <c r="G504" s="14"/>
      <c r="H504" s="14"/>
      <c r="I504" s="14"/>
      <c r="J504" s="15"/>
      <c r="K504" s="15"/>
      <c r="L504" s="163"/>
    </row>
    <row r="505" spans="1:12" ht="90.75" customHeight="1">
      <c r="A505" s="248">
        <v>13.15</v>
      </c>
      <c r="B505" s="341" t="s">
        <v>831</v>
      </c>
      <c r="C505" s="342"/>
      <c r="D505" s="171" t="s">
        <v>820</v>
      </c>
      <c r="E505" s="252"/>
      <c r="F505" s="172"/>
      <c r="G505" s="172"/>
      <c r="H505" s="172"/>
      <c r="I505" s="172"/>
      <c r="J505" s="194">
        <v>4</v>
      </c>
      <c r="K505" s="247">
        <f>J505</f>
        <v>4</v>
      </c>
      <c r="L505" s="251" t="s">
        <v>713</v>
      </c>
    </row>
    <row r="506" spans="1:12">
      <c r="A506" s="216"/>
      <c r="B506" s="10"/>
      <c r="C506" s="11"/>
      <c r="D506" s="12"/>
      <c r="E506" s="13"/>
      <c r="F506" s="14"/>
      <c r="G506" s="14"/>
      <c r="H506" s="14"/>
      <c r="I506" s="14"/>
      <c r="J506" s="15"/>
      <c r="K506" s="15"/>
      <c r="L506" s="163"/>
    </row>
    <row r="507" spans="1:12" ht="90.75" customHeight="1">
      <c r="A507" s="248">
        <v>13.16</v>
      </c>
      <c r="B507" s="341" t="s">
        <v>832</v>
      </c>
      <c r="C507" s="342"/>
      <c r="D507" s="171" t="s">
        <v>820</v>
      </c>
      <c r="E507" s="252"/>
      <c r="F507" s="172"/>
      <c r="G507" s="172"/>
      <c r="H507" s="172"/>
      <c r="I507" s="172"/>
      <c r="J507" s="194">
        <v>4</v>
      </c>
      <c r="K507" s="247">
        <f>J507</f>
        <v>4</v>
      </c>
      <c r="L507" s="251" t="s">
        <v>713</v>
      </c>
    </row>
    <row r="508" spans="1:12">
      <c r="A508" s="216"/>
      <c r="B508" s="10"/>
      <c r="C508" s="11"/>
      <c r="D508" s="12"/>
      <c r="E508" s="13"/>
      <c r="F508" s="14"/>
      <c r="G508" s="14"/>
      <c r="H508" s="14"/>
      <c r="I508" s="14"/>
      <c r="J508" s="15"/>
      <c r="K508" s="15"/>
      <c r="L508" s="163"/>
    </row>
    <row r="509" spans="1:12" ht="90.75" customHeight="1">
      <c r="A509" s="248">
        <v>13.17</v>
      </c>
      <c r="B509" s="341" t="s">
        <v>833</v>
      </c>
      <c r="C509" s="342"/>
      <c r="D509" s="171" t="s">
        <v>820</v>
      </c>
      <c r="E509" s="252"/>
      <c r="F509" s="172"/>
      <c r="G509" s="172"/>
      <c r="H509" s="172"/>
      <c r="I509" s="172"/>
      <c r="J509" s="194">
        <v>8</v>
      </c>
      <c r="K509" s="247">
        <f>J509</f>
        <v>8</v>
      </c>
      <c r="L509" s="251" t="s">
        <v>713</v>
      </c>
    </row>
    <row r="510" spans="1:12">
      <c r="A510" s="216"/>
      <c r="B510" s="10"/>
      <c r="C510" s="11"/>
      <c r="D510" s="12"/>
      <c r="E510" s="13"/>
      <c r="F510" s="14"/>
      <c r="G510" s="14"/>
      <c r="H510" s="14"/>
      <c r="I510" s="14"/>
      <c r="J510" s="15"/>
      <c r="K510" s="15"/>
      <c r="L510" s="163"/>
    </row>
    <row r="511" spans="1:12" ht="90.75" customHeight="1">
      <c r="A511" s="248">
        <v>13.18</v>
      </c>
      <c r="B511" s="341" t="s">
        <v>834</v>
      </c>
      <c r="C511" s="342"/>
      <c r="D511" s="171" t="s">
        <v>820</v>
      </c>
      <c r="E511" s="252"/>
      <c r="F511" s="172"/>
      <c r="G511" s="172"/>
      <c r="H511" s="172"/>
      <c r="I511" s="172"/>
      <c r="J511" s="194">
        <v>4</v>
      </c>
      <c r="K511" s="247">
        <f>J511</f>
        <v>4</v>
      </c>
      <c r="L511" s="251" t="s">
        <v>713</v>
      </c>
    </row>
    <row r="512" spans="1:12">
      <c r="A512" s="216"/>
      <c r="B512" s="10"/>
      <c r="C512" s="11"/>
      <c r="D512" s="12"/>
      <c r="E512" s="13"/>
      <c r="F512" s="14"/>
      <c r="G512" s="14"/>
      <c r="H512" s="14"/>
      <c r="I512" s="14"/>
      <c r="J512" s="15"/>
      <c r="K512" s="15"/>
      <c r="L512" s="163"/>
    </row>
    <row r="513" spans="1:12" ht="65.25" customHeight="1">
      <c r="A513" s="248">
        <v>13.19</v>
      </c>
      <c r="B513" s="341" t="s">
        <v>835</v>
      </c>
      <c r="C513" s="342"/>
      <c r="D513" s="171" t="s">
        <v>820</v>
      </c>
      <c r="E513" s="252"/>
      <c r="F513" s="172"/>
      <c r="G513" s="172"/>
      <c r="H513" s="172"/>
      <c r="I513" s="172"/>
      <c r="J513" s="194">
        <v>6</v>
      </c>
      <c r="K513" s="247">
        <f>J513</f>
        <v>6</v>
      </c>
      <c r="L513" s="251" t="s">
        <v>713</v>
      </c>
    </row>
    <row r="514" spans="1:12">
      <c r="A514" s="216"/>
      <c r="B514" s="10"/>
      <c r="C514" s="11"/>
      <c r="D514" s="12"/>
      <c r="E514" s="13"/>
      <c r="F514" s="14"/>
      <c r="G514" s="14"/>
      <c r="H514" s="14"/>
      <c r="I514" s="14"/>
      <c r="J514" s="15"/>
      <c r="K514" s="15"/>
      <c r="L514" s="163"/>
    </row>
    <row r="515" spans="1:12" ht="67.5" customHeight="1">
      <c r="A515" s="248">
        <v>13.2</v>
      </c>
      <c r="B515" s="341" t="s">
        <v>836</v>
      </c>
      <c r="C515" s="342"/>
      <c r="D515" s="171" t="s">
        <v>820</v>
      </c>
      <c r="E515" s="252"/>
      <c r="F515" s="172"/>
      <c r="G515" s="172"/>
      <c r="H515" s="172"/>
      <c r="I515" s="172"/>
      <c r="J515" s="194">
        <v>4</v>
      </c>
      <c r="K515" s="247">
        <f>J515</f>
        <v>4</v>
      </c>
      <c r="L515" s="251" t="s">
        <v>713</v>
      </c>
    </row>
    <row r="516" spans="1:12">
      <c r="A516" s="216"/>
      <c r="B516" s="10"/>
      <c r="C516" s="11"/>
      <c r="D516" s="12"/>
      <c r="E516" s="13"/>
      <c r="F516" s="14"/>
      <c r="G516" s="14"/>
      <c r="H516" s="14"/>
      <c r="I516" s="14"/>
      <c r="J516" s="15"/>
      <c r="K516" s="15"/>
      <c r="L516" s="163"/>
    </row>
    <row r="517" spans="1:12" ht="56.25" customHeight="1">
      <c r="A517" s="248">
        <v>13.21</v>
      </c>
      <c r="B517" s="341" t="s">
        <v>837</v>
      </c>
      <c r="C517" s="342"/>
      <c r="D517" s="171" t="s">
        <v>820</v>
      </c>
      <c r="E517" s="252"/>
      <c r="F517" s="172"/>
      <c r="G517" s="172"/>
      <c r="H517" s="172"/>
      <c r="I517" s="172"/>
      <c r="J517" s="194">
        <v>4</v>
      </c>
      <c r="K517" s="247">
        <f>J517</f>
        <v>4</v>
      </c>
      <c r="L517" s="251" t="s">
        <v>713</v>
      </c>
    </row>
    <row r="518" spans="1:12">
      <c r="A518" s="216"/>
      <c r="B518" s="10"/>
      <c r="C518" s="11"/>
      <c r="D518" s="12"/>
      <c r="E518" s="13"/>
      <c r="F518" s="14"/>
      <c r="G518" s="14"/>
      <c r="H518" s="14"/>
      <c r="I518" s="14"/>
      <c r="J518" s="15"/>
      <c r="K518" s="15"/>
      <c r="L518" s="163"/>
    </row>
    <row r="519" spans="1:12" ht="60" customHeight="1">
      <c r="A519" s="248">
        <v>13.22</v>
      </c>
      <c r="B519" s="341" t="s">
        <v>838</v>
      </c>
      <c r="C519" s="342"/>
      <c r="D519" s="171" t="s">
        <v>820</v>
      </c>
      <c r="E519" s="252"/>
      <c r="F519" s="172"/>
      <c r="G519" s="172"/>
      <c r="H519" s="172"/>
      <c r="I519" s="172"/>
      <c r="J519" s="177">
        <v>1.2</v>
      </c>
      <c r="K519" s="247">
        <f>J519</f>
        <v>1.2</v>
      </c>
      <c r="L519" s="251" t="s">
        <v>500</v>
      </c>
    </row>
    <row r="520" spans="1:12">
      <c r="A520" s="216"/>
      <c r="B520" s="10"/>
      <c r="C520" s="11"/>
      <c r="D520" s="12"/>
      <c r="E520" s="13"/>
      <c r="F520" s="14"/>
      <c r="G520" s="14"/>
      <c r="H520" s="14"/>
      <c r="I520" s="14"/>
      <c r="J520" s="15"/>
      <c r="K520" s="15"/>
      <c r="L520" s="163"/>
    </row>
    <row r="521" spans="1:12" ht="90.75" customHeight="1">
      <c r="A521" s="248">
        <v>13.23</v>
      </c>
      <c r="B521" s="341" t="s">
        <v>839</v>
      </c>
      <c r="C521" s="342"/>
      <c r="D521" s="171" t="s">
        <v>820</v>
      </c>
      <c r="E521" s="252"/>
      <c r="F521" s="172"/>
      <c r="G521" s="172"/>
      <c r="H521" s="172"/>
      <c r="I521" s="172"/>
      <c r="J521" s="194">
        <v>4</v>
      </c>
      <c r="K521" s="247">
        <f>J521</f>
        <v>4</v>
      </c>
      <c r="L521" s="251" t="s">
        <v>713</v>
      </c>
    </row>
    <row r="522" spans="1:12">
      <c r="A522" s="216"/>
      <c r="B522" s="10"/>
      <c r="C522" s="11"/>
      <c r="D522" s="12"/>
      <c r="E522" s="13"/>
      <c r="F522" s="14"/>
      <c r="G522" s="14"/>
      <c r="H522" s="14"/>
      <c r="I522" s="14"/>
      <c r="J522" s="15"/>
      <c r="K522" s="15"/>
      <c r="L522" s="163"/>
    </row>
    <row r="523" spans="1:12" ht="63.75" customHeight="1">
      <c r="A523" s="248">
        <v>13.24</v>
      </c>
      <c r="B523" s="341" t="s">
        <v>840</v>
      </c>
      <c r="C523" s="342"/>
      <c r="D523" s="171" t="s">
        <v>820</v>
      </c>
      <c r="E523" s="252"/>
      <c r="F523" s="172"/>
      <c r="G523" s="172"/>
      <c r="H523" s="172"/>
      <c r="I523" s="172"/>
      <c r="J523" s="194">
        <v>7</v>
      </c>
      <c r="K523" s="247">
        <f>J523</f>
        <v>7</v>
      </c>
      <c r="L523" s="251" t="s">
        <v>665</v>
      </c>
    </row>
    <row r="524" spans="1:12">
      <c r="A524" s="216"/>
      <c r="B524" s="10"/>
      <c r="C524" s="11"/>
      <c r="D524" s="12"/>
      <c r="E524" s="13"/>
      <c r="F524" s="14"/>
      <c r="G524" s="14"/>
      <c r="H524" s="14"/>
      <c r="I524" s="14"/>
      <c r="J524" s="15"/>
      <c r="K524" s="15"/>
      <c r="L524" s="163"/>
    </row>
    <row r="525" spans="1:12" ht="63" customHeight="1">
      <c r="A525" s="248">
        <v>13.25</v>
      </c>
      <c r="B525" s="341" t="s">
        <v>841</v>
      </c>
      <c r="C525" s="342"/>
      <c r="D525" s="171" t="s">
        <v>820</v>
      </c>
      <c r="E525" s="252"/>
      <c r="F525" s="172"/>
      <c r="G525" s="172"/>
      <c r="H525" s="172"/>
      <c r="I525" s="172"/>
      <c r="J525" s="194">
        <v>2</v>
      </c>
      <c r="K525" s="247">
        <f>J525</f>
        <v>2</v>
      </c>
      <c r="L525" s="251" t="s">
        <v>713</v>
      </c>
    </row>
    <row r="526" spans="1:12">
      <c r="A526" s="216"/>
      <c r="B526" s="10"/>
      <c r="C526" s="11"/>
      <c r="D526" s="12"/>
      <c r="E526" s="13"/>
      <c r="F526" s="14"/>
      <c r="G526" s="14"/>
      <c r="H526" s="14"/>
      <c r="I526" s="14"/>
      <c r="J526" s="15"/>
      <c r="K526" s="15"/>
      <c r="L526" s="163"/>
    </row>
    <row r="527" spans="1:12" ht="52.5" customHeight="1">
      <c r="A527" s="248">
        <v>13.26</v>
      </c>
      <c r="B527" s="341" t="s">
        <v>842</v>
      </c>
      <c r="C527" s="342"/>
      <c r="D527" s="171" t="s">
        <v>820</v>
      </c>
      <c r="E527" s="252"/>
      <c r="F527" s="172"/>
      <c r="G527" s="172"/>
      <c r="H527" s="172"/>
      <c r="I527" s="172"/>
      <c r="J527" s="194">
        <v>9</v>
      </c>
      <c r="K527" s="247">
        <f>J527</f>
        <v>9</v>
      </c>
      <c r="L527" s="251" t="s">
        <v>713</v>
      </c>
    </row>
    <row r="528" spans="1:12">
      <c r="A528" s="216"/>
      <c r="B528" s="10"/>
      <c r="C528" s="11"/>
      <c r="D528" s="12"/>
      <c r="E528" s="13"/>
      <c r="F528" s="14"/>
      <c r="G528" s="14"/>
      <c r="H528" s="14"/>
      <c r="I528" s="14"/>
      <c r="J528" s="15"/>
      <c r="K528" s="15"/>
      <c r="L528" s="163"/>
    </row>
    <row r="529" spans="1:12" ht="71.25" customHeight="1">
      <c r="A529" s="248">
        <v>13.27</v>
      </c>
      <c r="B529" s="341" t="s">
        <v>843</v>
      </c>
      <c r="C529" s="342"/>
      <c r="D529" s="171" t="s">
        <v>820</v>
      </c>
      <c r="E529" s="252"/>
      <c r="F529" s="172"/>
      <c r="G529" s="172"/>
      <c r="H529" s="172"/>
      <c r="I529" s="172"/>
      <c r="J529" s="194">
        <v>8</v>
      </c>
      <c r="K529" s="247">
        <f>J529</f>
        <v>8</v>
      </c>
      <c r="L529" s="251" t="s">
        <v>713</v>
      </c>
    </row>
    <row r="530" spans="1:12">
      <c r="A530" s="216"/>
      <c r="B530" s="10"/>
      <c r="C530" s="11"/>
      <c r="D530" s="12"/>
      <c r="E530" s="13"/>
      <c r="F530" s="14"/>
      <c r="G530" s="14"/>
      <c r="H530" s="14"/>
      <c r="I530" s="14"/>
      <c r="J530" s="15"/>
      <c r="K530" s="15"/>
      <c r="L530" s="163"/>
    </row>
    <row r="531" spans="1:12" ht="63.75" customHeight="1">
      <c r="A531" s="248">
        <v>13.28</v>
      </c>
      <c r="B531" s="341" t="s">
        <v>844</v>
      </c>
      <c r="C531" s="342"/>
      <c r="D531" s="171" t="s">
        <v>820</v>
      </c>
      <c r="E531" s="252"/>
      <c r="F531" s="172"/>
      <c r="G531" s="172"/>
      <c r="H531" s="172"/>
      <c r="I531" s="172"/>
      <c r="J531" s="194">
        <v>6</v>
      </c>
      <c r="K531" s="247">
        <f>J531</f>
        <v>6</v>
      </c>
      <c r="L531" s="251" t="s">
        <v>713</v>
      </c>
    </row>
    <row r="532" spans="1:12" ht="15" thickBot="1">
      <c r="A532" s="216"/>
      <c r="B532" s="10"/>
      <c r="C532" s="11"/>
      <c r="D532" s="12"/>
      <c r="E532" s="13"/>
      <c r="F532" s="14"/>
      <c r="G532" s="14"/>
      <c r="H532" s="14"/>
      <c r="I532" s="14"/>
      <c r="J532" s="15"/>
      <c r="K532" s="15"/>
      <c r="L532" s="163"/>
    </row>
    <row r="533" spans="1:12" ht="16.2" thickBot="1">
      <c r="A533" s="179">
        <v>14</v>
      </c>
      <c r="B533" s="343" t="s">
        <v>442</v>
      </c>
      <c r="C533" s="343"/>
      <c r="D533" s="343"/>
      <c r="E533" s="343"/>
      <c r="F533" s="343"/>
      <c r="G533" s="343"/>
      <c r="H533" s="343"/>
      <c r="I533" s="343"/>
      <c r="J533" s="343"/>
      <c r="K533" s="343"/>
      <c r="L533" s="344"/>
    </row>
    <row r="534" spans="1:12">
      <c r="A534" s="216"/>
      <c r="B534" s="10"/>
      <c r="C534" s="11"/>
      <c r="D534" s="12"/>
      <c r="E534" s="13"/>
      <c r="F534" s="14"/>
      <c r="G534" s="14"/>
      <c r="H534" s="14"/>
      <c r="I534" s="14"/>
      <c r="J534" s="15"/>
      <c r="K534" s="15"/>
      <c r="L534" s="163"/>
    </row>
    <row r="535" spans="1:12" ht="65.25" customHeight="1">
      <c r="A535" s="248">
        <v>14.01</v>
      </c>
      <c r="B535" s="341" t="s">
        <v>845</v>
      </c>
      <c r="C535" s="342"/>
      <c r="D535" s="171" t="s">
        <v>771</v>
      </c>
      <c r="E535" s="252">
        <v>11.5</v>
      </c>
      <c r="F535" s="172"/>
      <c r="G535" s="172"/>
      <c r="H535" s="172"/>
      <c r="I535" s="172"/>
      <c r="J535" s="177">
        <v>11.5</v>
      </c>
      <c r="K535" s="247">
        <f>J535</f>
        <v>11.5</v>
      </c>
      <c r="L535" s="251" t="s">
        <v>665</v>
      </c>
    </row>
    <row r="536" spans="1:12">
      <c r="A536" s="216"/>
      <c r="B536" s="10"/>
      <c r="C536" s="11"/>
      <c r="D536" s="12"/>
      <c r="E536" s="13"/>
      <c r="F536" s="14"/>
      <c r="G536" s="14"/>
      <c r="H536" s="14"/>
      <c r="I536" s="14"/>
      <c r="J536" s="15"/>
      <c r="K536" s="15"/>
      <c r="L536" s="163"/>
    </row>
    <row r="537" spans="1:12" ht="59.25" customHeight="1">
      <c r="A537" s="248">
        <v>14.02</v>
      </c>
      <c r="B537" s="341" t="s">
        <v>846</v>
      </c>
      <c r="C537" s="342"/>
      <c r="D537" s="171" t="s">
        <v>771</v>
      </c>
      <c r="E537" s="252">
        <v>20.399999999999999</v>
      </c>
      <c r="F537" s="172"/>
      <c r="G537" s="172"/>
      <c r="H537" s="172"/>
      <c r="I537" s="172"/>
      <c r="J537" s="177">
        <v>20.399999999999999</v>
      </c>
      <c r="K537" s="247">
        <f>J537</f>
        <v>20.399999999999999</v>
      </c>
      <c r="L537" s="251" t="s">
        <v>665</v>
      </c>
    </row>
    <row r="538" spans="1:12">
      <c r="A538" s="216"/>
      <c r="B538" s="10"/>
      <c r="C538" s="11"/>
      <c r="D538" s="12"/>
      <c r="E538" s="13"/>
      <c r="F538" s="14"/>
      <c r="G538" s="14"/>
      <c r="H538" s="14"/>
      <c r="I538" s="14"/>
      <c r="J538" s="15"/>
      <c r="K538" s="15"/>
      <c r="L538" s="163"/>
    </row>
    <row r="539" spans="1:12">
      <c r="A539" s="248">
        <v>14.03</v>
      </c>
      <c r="B539" s="341" t="s">
        <v>513</v>
      </c>
      <c r="C539" s="342"/>
      <c r="D539" s="171" t="s">
        <v>771</v>
      </c>
      <c r="E539" s="252"/>
      <c r="F539" s="172"/>
      <c r="G539" s="172"/>
      <c r="H539" s="172"/>
      <c r="I539" s="172"/>
      <c r="J539" s="177">
        <v>1</v>
      </c>
      <c r="K539" s="247">
        <f>J539</f>
        <v>1</v>
      </c>
      <c r="L539" s="251" t="s">
        <v>713</v>
      </c>
    </row>
    <row r="540" spans="1:12">
      <c r="A540" s="216"/>
      <c r="B540" s="10"/>
      <c r="C540" s="11"/>
      <c r="D540" s="12"/>
      <c r="E540" s="13"/>
      <c r="F540" s="14"/>
      <c r="G540" s="14"/>
      <c r="H540" s="14"/>
      <c r="I540" s="14"/>
      <c r="J540" s="15"/>
      <c r="K540" s="15"/>
      <c r="L540" s="163"/>
    </row>
    <row r="541" spans="1:12" ht="60.75" customHeight="1">
      <c r="A541" s="248">
        <v>14.04</v>
      </c>
      <c r="B541" s="341" t="s">
        <v>847</v>
      </c>
      <c r="C541" s="342"/>
      <c r="D541" s="171" t="s">
        <v>848</v>
      </c>
      <c r="E541" s="252">
        <v>5.88</v>
      </c>
      <c r="F541" s="172"/>
      <c r="G541" s="172">
        <v>5.43</v>
      </c>
      <c r="H541" s="172"/>
      <c r="I541" s="172"/>
      <c r="J541" s="187">
        <f>G541*E541</f>
        <v>31.928399999999996</v>
      </c>
      <c r="K541" s="249">
        <f>J541</f>
        <v>31.928399999999996</v>
      </c>
      <c r="L541" s="251" t="s">
        <v>500</v>
      </c>
    </row>
    <row r="542" spans="1:12">
      <c r="A542" s="216"/>
      <c r="B542" s="10"/>
      <c r="C542" s="11"/>
      <c r="D542" s="12"/>
      <c r="E542" s="13"/>
      <c r="F542" s="14"/>
      <c r="G542" s="14"/>
      <c r="H542" s="14"/>
      <c r="I542" s="14"/>
      <c r="J542" s="15"/>
      <c r="K542" s="15"/>
      <c r="L542" s="163"/>
    </row>
    <row r="543" spans="1:12" ht="42.75" customHeight="1">
      <c r="A543" s="248">
        <v>14.05</v>
      </c>
      <c r="B543" s="341" t="s">
        <v>459</v>
      </c>
      <c r="C543" s="342"/>
      <c r="D543" s="171" t="s">
        <v>771</v>
      </c>
      <c r="E543" s="252"/>
      <c r="F543" s="172"/>
      <c r="G543" s="172"/>
      <c r="H543" s="172"/>
      <c r="I543" s="172"/>
      <c r="J543" s="177">
        <v>7</v>
      </c>
      <c r="K543" s="247">
        <f>J543</f>
        <v>7</v>
      </c>
      <c r="L543" s="251" t="s">
        <v>713</v>
      </c>
    </row>
    <row r="544" spans="1:12">
      <c r="A544" s="216"/>
      <c r="B544" s="10"/>
      <c r="C544" s="11"/>
      <c r="D544" s="12"/>
      <c r="E544" s="13"/>
      <c r="F544" s="14"/>
      <c r="G544" s="14"/>
      <c r="H544" s="14"/>
      <c r="I544" s="14"/>
      <c r="J544" s="15"/>
      <c r="K544" s="15"/>
      <c r="L544" s="163"/>
    </row>
    <row r="545" spans="1:12" ht="63.75" customHeight="1">
      <c r="A545" s="248">
        <v>14.06</v>
      </c>
      <c r="B545" s="341" t="s">
        <v>849</v>
      </c>
      <c r="C545" s="342"/>
      <c r="D545" s="171" t="s">
        <v>771</v>
      </c>
      <c r="E545" s="252"/>
      <c r="F545" s="172"/>
      <c r="G545" s="172"/>
      <c r="H545" s="172"/>
      <c r="I545" s="172"/>
      <c r="J545" s="177">
        <v>2</v>
      </c>
      <c r="K545" s="247">
        <f>J545</f>
        <v>2</v>
      </c>
      <c r="L545" s="251" t="s">
        <v>713</v>
      </c>
    </row>
    <row r="546" spans="1:12">
      <c r="A546" s="216"/>
      <c r="B546" s="10"/>
      <c r="C546" s="11"/>
      <c r="D546" s="12"/>
      <c r="E546" s="13"/>
      <c r="F546" s="14"/>
      <c r="G546" s="14"/>
      <c r="H546" s="14"/>
      <c r="I546" s="14"/>
      <c r="J546" s="15"/>
      <c r="K546" s="15"/>
      <c r="L546" s="163"/>
    </row>
    <row r="547" spans="1:12" ht="63.75" customHeight="1">
      <c r="A547" s="248">
        <v>14.07</v>
      </c>
      <c r="B547" s="341" t="s">
        <v>850</v>
      </c>
      <c r="C547" s="342"/>
      <c r="D547" s="171" t="s">
        <v>771</v>
      </c>
      <c r="E547" s="252"/>
      <c r="F547" s="172"/>
      <c r="G547" s="172"/>
      <c r="H547" s="172"/>
      <c r="I547" s="172"/>
      <c r="J547" s="177">
        <v>2</v>
      </c>
      <c r="K547" s="247">
        <f>J547</f>
        <v>2</v>
      </c>
      <c r="L547" s="251" t="s">
        <v>713</v>
      </c>
    </row>
    <row r="548" spans="1:12">
      <c r="A548" s="216"/>
      <c r="B548" s="10"/>
      <c r="C548" s="11"/>
      <c r="D548" s="12"/>
      <c r="E548" s="13"/>
      <c r="F548" s="14"/>
      <c r="G548" s="14"/>
      <c r="H548" s="14"/>
      <c r="I548" s="14"/>
      <c r="J548" s="15"/>
      <c r="K548" s="15"/>
      <c r="L548" s="163"/>
    </row>
    <row r="549" spans="1:12" ht="63.75" customHeight="1">
      <c r="A549" s="248">
        <v>14.08</v>
      </c>
      <c r="B549" s="341" t="s">
        <v>851</v>
      </c>
      <c r="C549" s="342"/>
      <c r="D549" s="171" t="s">
        <v>771</v>
      </c>
      <c r="E549" s="252"/>
      <c r="F549" s="172"/>
      <c r="G549" s="172"/>
      <c r="H549" s="172"/>
      <c r="I549" s="172"/>
      <c r="J549" s="177">
        <v>3</v>
      </c>
      <c r="K549" s="247">
        <f>J549</f>
        <v>3</v>
      </c>
      <c r="L549" s="251" t="s">
        <v>713</v>
      </c>
    </row>
    <row r="550" spans="1:12">
      <c r="A550" s="216"/>
      <c r="B550" s="10"/>
      <c r="C550" s="11"/>
      <c r="D550" s="12"/>
      <c r="E550" s="13"/>
      <c r="F550" s="14"/>
      <c r="G550" s="14"/>
      <c r="H550" s="14"/>
      <c r="I550" s="14"/>
      <c r="J550" s="15"/>
      <c r="K550" s="15"/>
      <c r="L550" s="163"/>
    </row>
    <row r="551" spans="1:12" ht="82.5" customHeight="1">
      <c r="A551" s="248">
        <v>14.09</v>
      </c>
      <c r="B551" s="341" t="s">
        <v>852</v>
      </c>
      <c r="C551" s="342"/>
      <c r="D551" s="171" t="s">
        <v>771</v>
      </c>
      <c r="E551" s="252"/>
      <c r="F551" s="172"/>
      <c r="G551" s="172"/>
      <c r="H551" s="172"/>
      <c r="I551" s="172"/>
      <c r="J551" s="177">
        <v>1</v>
      </c>
      <c r="K551" s="247">
        <f>J551</f>
        <v>1</v>
      </c>
      <c r="L551" s="251" t="s">
        <v>713</v>
      </c>
    </row>
    <row r="552" spans="1:12">
      <c r="A552" s="216"/>
      <c r="B552" s="10"/>
      <c r="C552" s="11"/>
      <c r="D552" s="12"/>
      <c r="E552" s="13"/>
      <c r="F552" s="14"/>
      <c r="G552" s="14"/>
      <c r="H552" s="14"/>
      <c r="I552" s="14"/>
      <c r="J552" s="15"/>
      <c r="K552" s="15"/>
      <c r="L552" s="163"/>
    </row>
    <row r="553" spans="1:12" ht="63.75" customHeight="1">
      <c r="A553" s="248">
        <v>14.1</v>
      </c>
      <c r="B553" s="341" t="s">
        <v>853</v>
      </c>
      <c r="C553" s="342"/>
      <c r="D553" s="171" t="s">
        <v>771</v>
      </c>
      <c r="E553" s="252"/>
      <c r="F553" s="172"/>
      <c r="G553" s="172"/>
      <c r="H553" s="172"/>
      <c r="I553" s="172"/>
      <c r="J553" s="177">
        <v>2</v>
      </c>
      <c r="K553" s="247">
        <f>J553</f>
        <v>2</v>
      </c>
      <c r="L553" s="251" t="s">
        <v>713</v>
      </c>
    </row>
    <row r="554" spans="1:12">
      <c r="A554" s="216"/>
      <c r="B554" s="10"/>
      <c r="C554" s="11"/>
      <c r="D554" s="12"/>
      <c r="E554" s="13"/>
      <c r="F554" s="14"/>
      <c r="G554" s="14"/>
      <c r="H554" s="14"/>
      <c r="I554" s="14"/>
      <c r="J554" s="15"/>
      <c r="K554" s="15"/>
      <c r="L554" s="163"/>
    </row>
    <row r="555" spans="1:12" ht="63.75" customHeight="1">
      <c r="A555" s="248">
        <v>14.11</v>
      </c>
      <c r="B555" s="341" t="s">
        <v>854</v>
      </c>
      <c r="C555" s="342"/>
      <c r="D555" s="171" t="s">
        <v>771</v>
      </c>
      <c r="E555" s="252"/>
      <c r="F555" s="172"/>
      <c r="G555" s="172"/>
      <c r="H555" s="172"/>
      <c r="I555" s="172"/>
      <c r="J555" s="177">
        <v>9</v>
      </c>
      <c r="K555" s="247">
        <f>J555</f>
        <v>9</v>
      </c>
      <c r="L555" s="251" t="s">
        <v>713</v>
      </c>
    </row>
    <row r="556" spans="1:12">
      <c r="A556" s="216"/>
      <c r="B556" s="10"/>
      <c r="C556" s="11"/>
      <c r="D556" s="12"/>
      <c r="E556" s="13"/>
      <c r="F556" s="14"/>
      <c r="G556" s="14"/>
      <c r="H556" s="14"/>
      <c r="I556" s="14"/>
      <c r="J556" s="15"/>
      <c r="K556" s="15"/>
      <c r="L556" s="163"/>
    </row>
    <row r="557" spans="1:12" ht="63.75" customHeight="1">
      <c r="A557" s="248">
        <v>14.12</v>
      </c>
      <c r="B557" s="341" t="s">
        <v>855</v>
      </c>
      <c r="C557" s="342"/>
      <c r="D557" s="171" t="s">
        <v>771</v>
      </c>
      <c r="E557" s="252"/>
      <c r="F557" s="172"/>
      <c r="G557" s="172"/>
      <c r="H557" s="172"/>
      <c r="I557" s="172"/>
      <c r="J557" s="177">
        <v>15</v>
      </c>
      <c r="K557" s="247">
        <f>J557</f>
        <v>15</v>
      </c>
      <c r="L557" s="251" t="s">
        <v>713</v>
      </c>
    </row>
    <row r="558" spans="1:12">
      <c r="A558" s="216"/>
      <c r="B558" s="10"/>
      <c r="C558" s="11"/>
      <c r="D558" s="12"/>
      <c r="E558" s="13"/>
      <c r="F558" s="14"/>
      <c r="G558" s="14"/>
      <c r="H558" s="14"/>
      <c r="I558" s="14"/>
      <c r="J558" s="15"/>
      <c r="K558" s="15"/>
      <c r="L558" s="163"/>
    </row>
    <row r="559" spans="1:12" ht="63.75" customHeight="1">
      <c r="A559" s="248">
        <v>14.13</v>
      </c>
      <c r="B559" s="341" t="s">
        <v>856</v>
      </c>
      <c r="C559" s="342"/>
      <c r="D559" s="171" t="s">
        <v>771</v>
      </c>
      <c r="E559" s="252"/>
      <c r="F559" s="172"/>
      <c r="G559" s="172"/>
      <c r="H559" s="172"/>
      <c r="I559" s="172"/>
      <c r="J559" s="177">
        <v>7</v>
      </c>
      <c r="K559" s="247">
        <f>J559</f>
        <v>7</v>
      </c>
      <c r="L559" s="251" t="s">
        <v>713</v>
      </c>
    </row>
    <row r="560" spans="1:12">
      <c r="A560" s="216"/>
      <c r="B560" s="10"/>
      <c r="C560" s="11"/>
      <c r="D560" s="12"/>
      <c r="E560" s="13"/>
      <c r="F560" s="14"/>
      <c r="G560" s="14"/>
      <c r="H560" s="14"/>
      <c r="I560" s="14"/>
      <c r="J560" s="15"/>
      <c r="K560" s="15"/>
      <c r="L560" s="163"/>
    </row>
    <row r="561" spans="1:12" ht="63.75" customHeight="1">
      <c r="A561" s="248">
        <v>14.14</v>
      </c>
      <c r="B561" s="341" t="s">
        <v>857</v>
      </c>
      <c r="C561" s="342"/>
      <c r="D561" s="171" t="s">
        <v>771</v>
      </c>
      <c r="E561" s="252"/>
      <c r="F561" s="172"/>
      <c r="G561" s="172"/>
      <c r="H561" s="172"/>
      <c r="I561" s="172"/>
      <c r="J561" s="177">
        <v>1</v>
      </c>
      <c r="K561" s="247">
        <f>J561</f>
        <v>1</v>
      </c>
      <c r="L561" s="251" t="s">
        <v>713</v>
      </c>
    </row>
    <row r="562" spans="1:12">
      <c r="A562" s="216"/>
      <c r="B562" s="10"/>
      <c r="C562" s="11"/>
      <c r="D562" s="12"/>
      <c r="E562" s="13"/>
      <c r="F562" s="14"/>
      <c r="G562" s="14"/>
      <c r="H562" s="14"/>
      <c r="I562" s="14"/>
      <c r="J562" s="15"/>
      <c r="K562" s="15"/>
      <c r="L562" s="163"/>
    </row>
    <row r="563" spans="1:12" ht="63.75" customHeight="1" thickBot="1">
      <c r="A563" s="227">
        <v>14.15</v>
      </c>
      <c r="B563" s="406" t="s">
        <v>489</v>
      </c>
      <c r="C563" s="407"/>
      <c r="D563" s="228" t="s">
        <v>771</v>
      </c>
      <c r="E563" s="229"/>
      <c r="F563" s="230"/>
      <c r="G563" s="230"/>
      <c r="H563" s="230"/>
      <c r="I563" s="230"/>
      <c r="J563" s="231">
        <v>566.95000000000005</v>
      </c>
      <c r="K563" s="232">
        <f>J563</f>
        <v>566.95000000000005</v>
      </c>
      <c r="L563" s="233" t="s">
        <v>500</v>
      </c>
    </row>
    <row r="65536" spans="9:9">
      <c r="I65536" s="176"/>
    </row>
  </sheetData>
  <mergeCells count="279">
    <mergeCell ref="B561:C561"/>
    <mergeCell ref="B563:C563"/>
    <mergeCell ref="B382:C382"/>
    <mergeCell ref="B549:C549"/>
    <mergeCell ref="B551:C551"/>
    <mergeCell ref="B553:C553"/>
    <mergeCell ref="B555:C555"/>
    <mergeCell ref="B557:C557"/>
    <mergeCell ref="B559:C559"/>
    <mergeCell ref="B537:C537"/>
    <mergeCell ref="B539:C539"/>
    <mergeCell ref="B541:C541"/>
    <mergeCell ref="B543:C543"/>
    <mergeCell ref="B545:C545"/>
    <mergeCell ref="B547:C547"/>
    <mergeCell ref="B525:C525"/>
    <mergeCell ref="B527:C527"/>
    <mergeCell ref="B529:C529"/>
    <mergeCell ref="B531:C531"/>
    <mergeCell ref="B533:L533"/>
    <mergeCell ref="B509:C509"/>
    <mergeCell ref="B511:C511"/>
    <mergeCell ref="B535:C535"/>
    <mergeCell ref="B513:C513"/>
    <mergeCell ref="B515:C515"/>
    <mergeCell ref="B517:C517"/>
    <mergeCell ref="B519:C519"/>
    <mergeCell ref="B521:C521"/>
    <mergeCell ref="B523:C523"/>
    <mergeCell ref="B497:C497"/>
    <mergeCell ref="B499:C499"/>
    <mergeCell ref="B501:C501"/>
    <mergeCell ref="B503:C503"/>
    <mergeCell ref="B505:C505"/>
    <mergeCell ref="B507:C507"/>
    <mergeCell ref="B485:C485"/>
    <mergeCell ref="B487:C487"/>
    <mergeCell ref="B489:C489"/>
    <mergeCell ref="B491:C491"/>
    <mergeCell ref="B493:C493"/>
    <mergeCell ref="B495:C495"/>
    <mergeCell ref="B473:C473"/>
    <mergeCell ref="B475:L475"/>
    <mergeCell ref="B477:C477"/>
    <mergeCell ref="B479:C479"/>
    <mergeCell ref="B481:C481"/>
    <mergeCell ref="B483:C483"/>
    <mergeCell ref="B474:C474"/>
    <mergeCell ref="B461:C461"/>
    <mergeCell ref="B463:L463"/>
    <mergeCell ref="B465:C465"/>
    <mergeCell ref="B467:C467"/>
    <mergeCell ref="B469:C469"/>
    <mergeCell ref="B471:C471"/>
    <mergeCell ref="B449:C449"/>
    <mergeCell ref="B451:C451"/>
    <mergeCell ref="B453:C453"/>
    <mergeCell ref="B455:C455"/>
    <mergeCell ref="B457:C457"/>
    <mergeCell ref="B459:C459"/>
    <mergeCell ref="B437:C437"/>
    <mergeCell ref="B439:C439"/>
    <mergeCell ref="B441:C441"/>
    <mergeCell ref="B443:C443"/>
    <mergeCell ref="B445:C445"/>
    <mergeCell ref="B447:C447"/>
    <mergeCell ref="B425:C425"/>
    <mergeCell ref="B427:C427"/>
    <mergeCell ref="B429:C429"/>
    <mergeCell ref="B431:C431"/>
    <mergeCell ref="B433:C433"/>
    <mergeCell ref="B435:C435"/>
    <mergeCell ref="B413:C413"/>
    <mergeCell ref="B415:C415"/>
    <mergeCell ref="B417:C417"/>
    <mergeCell ref="B419:C419"/>
    <mergeCell ref="B421:C421"/>
    <mergeCell ref="B423:C423"/>
    <mergeCell ref="B401:C401"/>
    <mergeCell ref="B403:C403"/>
    <mergeCell ref="B405:C405"/>
    <mergeCell ref="B407:C407"/>
    <mergeCell ref="B409:C409"/>
    <mergeCell ref="B411:C411"/>
    <mergeCell ref="B389:C389"/>
    <mergeCell ref="B391:C391"/>
    <mergeCell ref="B393:C393"/>
    <mergeCell ref="B395:C395"/>
    <mergeCell ref="B397:C397"/>
    <mergeCell ref="B399:C399"/>
    <mergeCell ref="B373:C373"/>
    <mergeCell ref="B375:C375"/>
    <mergeCell ref="B381:C381"/>
    <mergeCell ref="B383:L383"/>
    <mergeCell ref="B385:C385"/>
    <mergeCell ref="B387:C387"/>
    <mergeCell ref="B331:C363"/>
    <mergeCell ref="K331:K363"/>
    <mergeCell ref="L331:L363"/>
    <mergeCell ref="A331:A363"/>
    <mergeCell ref="B377:C377"/>
    <mergeCell ref="B379:C379"/>
    <mergeCell ref="B365:C365"/>
    <mergeCell ref="B367:L367"/>
    <mergeCell ref="B369:C369"/>
    <mergeCell ref="B371:C371"/>
    <mergeCell ref="K325:K329"/>
    <mergeCell ref="L325:L329"/>
    <mergeCell ref="A2:D9"/>
    <mergeCell ref="E2:J7"/>
    <mergeCell ref="K2:K3"/>
    <mergeCell ref="K6:L6"/>
    <mergeCell ref="K7:L7"/>
    <mergeCell ref="E8:J9"/>
    <mergeCell ref="K8:L8"/>
    <mergeCell ref="K9:L9"/>
    <mergeCell ref="A10:A11"/>
    <mergeCell ref="B10:C11"/>
    <mergeCell ref="D10:D11"/>
    <mergeCell ref="E10:E11"/>
    <mergeCell ref="F10:F11"/>
    <mergeCell ref="G10:G11"/>
    <mergeCell ref="J10:J11"/>
    <mergeCell ref="K10:K11"/>
    <mergeCell ref="L10:L11"/>
    <mergeCell ref="K12:L12"/>
    <mergeCell ref="B13:C13"/>
    <mergeCell ref="K13:L13"/>
    <mergeCell ref="H10:H11"/>
    <mergeCell ref="I10:I11"/>
    <mergeCell ref="B14:C14"/>
    <mergeCell ref="K14:L14"/>
    <mergeCell ref="B15:C15"/>
    <mergeCell ref="K15:L15"/>
    <mergeCell ref="B17:L17"/>
    <mergeCell ref="A19:A31"/>
    <mergeCell ref="B19:C31"/>
    <mergeCell ref="K19:K31"/>
    <mergeCell ref="L19:L31"/>
    <mergeCell ref="A33:A40"/>
    <mergeCell ref="B33:C40"/>
    <mergeCell ref="K33:K40"/>
    <mergeCell ref="L33:L40"/>
    <mergeCell ref="A42:A54"/>
    <mergeCell ref="B42:C54"/>
    <mergeCell ref="K42:K54"/>
    <mergeCell ref="L42:L54"/>
    <mergeCell ref="B56:C56"/>
    <mergeCell ref="A58:A70"/>
    <mergeCell ref="B58:C70"/>
    <mergeCell ref="K58:K70"/>
    <mergeCell ref="L58:L70"/>
    <mergeCell ref="A72:A84"/>
    <mergeCell ref="B72:C84"/>
    <mergeCell ref="K72:K84"/>
    <mergeCell ref="L72:L84"/>
    <mergeCell ref="B86:C86"/>
    <mergeCell ref="B88:C88"/>
    <mergeCell ref="B90:C90"/>
    <mergeCell ref="A92:A97"/>
    <mergeCell ref="B92:C97"/>
    <mergeCell ref="K92:K97"/>
    <mergeCell ref="L92:L97"/>
    <mergeCell ref="A99:A102"/>
    <mergeCell ref="B99:C102"/>
    <mergeCell ref="K99:K102"/>
    <mergeCell ref="L99:L102"/>
    <mergeCell ref="B104:C104"/>
    <mergeCell ref="B108:L108"/>
    <mergeCell ref="A110:A124"/>
    <mergeCell ref="B110:C124"/>
    <mergeCell ref="K110:K124"/>
    <mergeCell ref="L110:L124"/>
    <mergeCell ref="A126:A129"/>
    <mergeCell ref="B126:C129"/>
    <mergeCell ref="K126:K129"/>
    <mergeCell ref="L126:L129"/>
    <mergeCell ref="A131:A134"/>
    <mergeCell ref="B131:C134"/>
    <mergeCell ref="K131:K134"/>
    <mergeCell ref="L131:L134"/>
    <mergeCell ref="A136:A142"/>
    <mergeCell ref="B136:C142"/>
    <mergeCell ref="D136:D142"/>
    <mergeCell ref="K136:K142"/>
    <mergeCell ref="L136:L142"/>
    <mergeCell ref="A144:A147"/>
    <mergeCell ref="B144:C147"/>
    <mergeCell ref="D144:D147"/>
    <mergeCell ref="K144:K147"/>
    <mergeCell ref="L144:L147"/>
    <mergeCell ref="A151:A157"/>
    <mergeCell ref="B151:C157"/>
    <mergeCell ref="K151:K157"/>
    <mergeCell ref="L151:L157"/>
    <mergeCell ref="A159:A166"/>
    <mergeCell ref="B159:C166"/>
    <mergeCell ref="D159:D166"/>
    <mergeCell ref="K159:K166"/>
    <mergeCell ref="L159:L166"/>
    <mergeCell ref="B168:C168"/>
    <mergeCell ref="B170:C170"/>
    <mergeCell ref="A172:A178"/>
    <mergeCell ref="B172:C178"/>
    <mergeCell ref="K172:K178"/>
    <mergeCell ref="L172:L178"/>
    <mergeCell ref="A180:A192"/>
    <mergeCell ref="B180:C192"/>
    <mergeCell ref="K180:K192"/>
    <mergeCell ref="L180:L192"/>
    <mergeCell ref="A194:A197"/>
    <mergeCell ref="B194:C197"/>
    <mergeCell ref="K194:K197"/>
    <mergeCell ref="L194:L197"/>
    <mergeCell ref="A199:A206"/>
    <mergeCell ref="B199:C206"/>
    <mergeCell ref="K199:K206"/>
    <mergeCell ref="L199:L206"/>
    <mergeCell ref="B238:C241"/>
    <mergeCell ref="K238:K241"/>
    <mergeCell ref="L238:L241"/>
    <mergeCell ref="A208:A215"/>
    <mergeCell ref="B208:C215"/>
    <mergeCell ref="K208:K215"/>
    <mergeCell ref="L208:L215"/>
    <mergeCell ref="B220:L220"/>
    <mergeCell ref="A222:A229"/>
    <mergeCell ref="B222:C229"/>
    <mergeCell ref="K222:K229"/>
    <mergeCell ref="L222:L229"/>
    <mergeCell ref="B218:C218"/>
    <mergeCell ref="B252:C252"/>
    <mergeCell ref="A254:A272"/>
    <mergeCell ref="B254:C272"/>
    <mergeCell ref="D254:D258"/>
    <mergeCell ref="K254:K272"/>
    <mergeCell ref="L254:L272"/>
    <mergeCell ref="D259:D265"/>
    <mergeCell ref="B106:C106"/>
    <mergeCell ref="D151:D153"/>
    <mergeCell ref="D154:D157"/>
    <mergeCell ref="B149:L149"/>
    <mergeCell ref="D266:D272"/>
    <mergeCell ref="A243:A246"/>
    <mergeCell ref="B243:C246"/>
    <mergeCell ref="K243:K246"/>
    <mergeCell ref="L243:L246"/>
    <mergeCell ref="B248:C248"/>
    <mergeCell ref="B250:C250"/>
    <mergeCell ref="B231:C231"/>
    <mergeCell ref="A233:A236"/>
    <mergeCell ref="B233:C236"/>
    <mergeCell ref="K233:K236"/>
    <mergeCell ref="L233:L236"/>
    <mergeCell ref="A238:A241"/>
    <mergeCell ref="A301:A311"/>
    <mergeCell ref="B301:C311"/>
    <mergeCell ref="K301:K311"/>
    <mergeCell ref="B287:C287"/>
    <mergeCell ref="B289:L289"/>
    <mergeCell ref="A291:A299"/>
    <mergeCell ref="L301:L311"/>
    <mergeCell ref="K274:K281"/>
    <mergeCell ref="B366:C366"/>
    <mergeCell ref="A274:A281"/>
    <mergeCell ref="B274:C281"/>
    <mergeCell ref="B313:L313"/>
    <mergeCell ref="B291:C299"/>
    <mergeCell ref="K291:K299"/>
    <mergeCell ref="L291:L299"/>
    <mergeCell ref="B285:C285"/>
    <mergeCell ref="L274:L281"/>
    <mergeCell ref="B283:L283"/>
    <mergeCell ref="A315:A323"/>
    <mergeCell ref="B315:C323"/>
    <mergeCell ref="K315:K323"/>
    <mergeCell ref="L315:L323"/>
    <mergeCell ref="A325:A329"/>
    <mergeCell ref="B325:C329"/>
  </mergeCells>
  <pageMargins left="0.51181102362204722" right="0.51181102362204722" top="0.78740157480314965" bottom="0.78740157480314965" header="0.31496062992125984" footer="0.31496062992125984"/>
  <pageSetup paperSize="9" scale="60" fitToWidth="0" fitToHeight="0" orientation="portrait" horizontalDpi="0" verticalDpi="0" r:id="rId1"/>
  <rowBreaks count="5" manualBreakCount="5">
    <brk id="85" max="11" man="1"/>
    <brk id="148" max="11" man="1"/>
    <brk id="282" max="11" man="1"/>
    <brk id="528" max="11" man="1"/>
    <brk id="570" max="11" man="1"/>
  </rowBreaks>
  <drawing r:id="rId2"/>
</worksheet>
</file>

<file path=xl/worksheets/sheet9.xml><?xml version="1.0" encoding="utf-8"?>
<worksheet xmlns="http://schemas.openxmlformats.org/spreadsheetml/2006/main" xmlns:r="http://schemas.openxmlformats.org/officeDocument/2006/relationships">
  <dimension ref="B1:O17"/>
  <sheetViews>
    <sheetView workbookViewId="0">
      <selection activeCell="I23" sqref="I23"/>
    </sheetView>
  </sheetViews>
  <sheetFormatPr defaultRowHeight="14.4"/>
  <cols>
    <col min="3" max="3" width="14.33203125" bestFit="1" customWidth="1"/>
    <col min="8" max="8" width="14.33203125" bestFit="1" customWidth="1"/>
    <col min="12" max="12" width="14.33203125" bestFit="1" customWidth="1"/>
  </cols>
  <sheetData>
    <row r="1" spans="2:15" ht="15" thickBot="1"/>
    <row r="2" spans="2:15" ht="18.600000000000001" thickBot="1">
      <c r="B2" s="408" t="s">
        <v>858</v>
      </c>
      <c r="C2" s="409"/>
      <c r="D2" s="409"/>
      <c r="E2" s="409"/>
      <c r="F2" s="409"/>
      <c r="G2" s="409"/>
      <c r="H2" s="409"/>
      <c r="I2" s="409"/>
      <c r="J2" s="409"/>
      <c r="K2" s="409"/>
      <c r="L2" s="409"/>
      <c r="M2" s="409"/>
      <c r="N2" s="409"/>
      <c r="O2" s="410"/>
    </row>
    <row r="4" spans="2:15">
      <c r="B4" s="411" t="s">
        <v>859</v>
      </c>
      <c r="C4" s="411"/>
      <c r="D4" s="411"/>
      <c r="E4" s="411"/>
      <c r="F4" s="411"/>
      <c r="G4" s="411"/>
      <c r="H4" s="411"/>
      <c r="I4" s="411"/>
      <c r="J4" s="411"/>
      <c r="K4" s="411"/>
      <c r="L4" s="411"/>
      <c r="M4" s="411"/>
      <c r="N4" s="411"/>
      <c r="O4" s="411"/>
    </row>
    <row r="5" spans="2:15">
      <c r="B5" s="411"/>
      <c r="C5" s="411"/>
      <c r="D5" s="411"/>
      <c r="E5" s="411"/>
      <c r="F5" s="411"/>
      <c r="G5" s="411"/>
      <c r="H5" s="411"/>
      <c r="I5" s="411"/>
      <c r="J5" s="411"/>
      <c r="K5" s="411"/>
      <c r="L5" s="411"/>
      <c r="M5" s="411"/>
      <c r="N5" s="411"/>
      <c r="O5" s="411"/>
    </row>
    <row r="6" spans="2:15">
      <c r="B6" s="411"/>
      <c r="C6" s="411"/>
      <c r="D6" s="411"/>
      <c r="E6" s="411"/>
      <c r="F6" s="411"/>
      <c r="G6" s="411"/>
      <c r="H6" s="411"/>
      <c r="I6" s="411"/>
      <c r="J6" s="411"/>
      <c r="K6" s="411"/>
      <c r="L6" s="411"/>
      <c r="M6" s="411"/>
      <c r="N6" s="411"/>
      <c r="O6" s="411"/>
    </row>
    <row r="7" spans="2:15" ht="15" thickBot="1"/>
    <row r="8" spans="2:15">
      <c r="B8" s="123"/>
      <c r="C8" s="124"/>
      <c r="D8" s="124"/>
      <c r="E8" s="124"/>
      <c r="F8" s="125"/>
      <c r="G8" s="123"/>
      <c r="H8" s="124"/>
      <c r="I8" s="124"/>
      <c r="J8" s="125"/>
      <c r="K8" s="123"/>
      <c r="L8" s="124"/>
      <c r="M8" s="124"/>
      <c r="N8" s="124"/>
      <c r="O8" s="125"/>
    </row>
    <row r="9" spans="2:15">
      <c r="B9" s="126" t="s">
        <v>860</v>
      </c>
      <c r="C9" s="32"/>
      <c r="D9" s="32"/>
      <c r="E9" s="32"/>
      <c r="F9" s="127"/>
      <c r="G9" s="126" t="s">
        <v>861</v>
      </c>
      <c r="H9" s="32"/>
      <c r="I9" s="32"/>
      <c r="J9" s="127"/>
      <c r="K9" s="126" t="s">
        <v>862</v>
      </c>
      <c r="L9" s="32"/>
      <c r="M9" s="32"/>
      <c r="N9" s="32"/>
      <c r="O9" s="127"/>
    </row>
    <row r="10" spans="2:15">
      <c r="B10" s="126" t="s">
        <v>863</v>
      </c>
      <c r="C10" s="32"/>
      <c r="D10" s="32"/>
      <c r="E10" s="32"/>
      <c r="F10" s="127"/>
      <c r="G10" s="126" t="s">
        <v>864</v>
      </c>
      <c r="H10" s="32"/>
      <c r="I10" s="32"/>
      <c r="J10" s="127"/>
      <c r="K10" s="126" t="s">
        <v>865</v>
      </c>
      <c r="L10" s="32"/>
      <c r="M10" s="32"/>
      <c r="N10" s="32"/>
      <c r="O10" s="127"/>
    </row>
    <row r="11" spans="2:15">
      <c r="B11" s="126" t="s">
        <v>866</v>
      </c>
      <c r="C11" s="32"/>
      <c r="D11" s="32"/>
      <c r="E11" s="32"/>
      <c r="F11" s="127"/>
      <c r="G11" s="126" t="s">
        <v>867</v>
      </c>
      <c r="H11" s="32"/>
      <c r="I11" s="32"/>
      <c r="J11" s="127"/>
      <c r="K11" s="126" t="s">
        <v>868</v>
      </c>
      <c r="L11" s="32"/>
      <c r="M11" s="32"/>
      <c r="N11" s="32"/>
      <c r="O11" s="127"/>
    </row>
    <row r="12" spans="2:15">
      <c r="B12" s="126" t="s">
        <v>869</v>
      </c>
      <c r="C12" s="32"/>
      <c r="D12" s="32"/>
      <c r="E12" s="32"/>
      <c r="F12" s="127"/>
      <c r="G12" s="126" t="s">
        <v>870</v>
      </c>
      <c r="H12" s="32"/>
      <c r="I12" s="32"/>
      <c r="J12" s="127"/>
      <c r="K12" s="126" t="s">
        <v>871</v>
      </c>
      <c r="L12" s="32"/>
      <c r="M12" s="32"/>
      <c r="N12" s="32"/>
      <c r="O12" s="127"/>
    </row>
    <row r="13" spans="2:15">
      <c r="B13" s="126"/>
      <c r="C13" s="32"/>
      <c r="D13" s="32"/>
      <c r="E13" s="32"/>
      <c r="F13" s="127"/>
      <c r="G13" s="126"/>
      <c r="H13" s="32"/>
      <c r="I13" s="32"/>
      <c r="J13" s="127"/>
      <c r="K13" s="126"/>
      <c r="L13" s="32"/>
      <c r="M13" s="32"/>
      <c r="N13" s="32"/>
      <c r="O13" s="127"/>
    </row>
    <row r="14" spans="2:15" ht="15" thickBot="1">
      <c r="B14" s="128" t="s">
        <v>872</v>
      </c>
      <c r="C14" s="129">
        <v>128300</v>
      </c>
      <c r="D14" s="66"/>
      <c r="E14" s="66"/>
      <c r="F14" s="130"/>
      <c r="G14" s="128" t="s">
        <v>872</v>
      </c>
      <c r="H14" s="129">
        <v>155481.39000000001</v>
      </c>
      <c r="I14" s="66"/>
      <c r="J14" s="130"/>
      <c r="K14" s="128" t="s">
        <v>872</v>
      </c>
      <c r="L14" s="129">
        <v>110500</v>
      </c>
      <c r="M14" s="66"/>
      <c r="N14" s="66"/>
      <c r="O14" s="130"/>
    </row>
    <row r="15" spans="2:15" ht="15" thickBot="1"/>
    <row r="16" spans="2:15">
      <c r="B16" s="418" t="s">
        <v>873</v>
      </c>
      <c r="C16" s="419"/>
      <c r="D16" s="412">
        <f>(H14+C14+L14)/3</f>
        <v>131427.13</v>
      </c>
      <c r="E16" s="413"/>
      <c r="F16" s="413"/>
      <c r="G16" s="413"/>
      <c r="H16" s="413"/>
      <c r="I16" s="413"/>
      <c r="J16" s="413"/>
      <c r="K16" s="413"/>
      <c r="L16" s="413"/>
      <c r="M16" s="413"/>
      <c r="N16" s="413"/>
      <c r="O16" s="414"/>
    </row>
    <row r="17" spans="2:15" ht="15" thickBot="1">
      <c r="B17" s="420"/>
      <c r="C17" s="421"/>
      <c r="D17" s="415"/>
      <c r="E17" s="416"/>
      <c r="F17" s="416"/>
      <c r="G17" s="416"/>
      <c r="H17" s="416"/>
      <c r="I17" s="416"/>
      <c r="J17" s="416"/>
      <c r="K17" s="416"/>
      <c r="L17" s="416"/>
      <c r="M17" s="416"/>
      <c r="N17" s="416"/>
      <c r="O17" s="417"/>
    </row>
  </sheetData>
  <mergeCells count="4">
    <mergeCell ref="B2:O2"/>
    <mergeCell ref="B4:O6"/>
    <mergeCell ref="D16:O17"/>
    <mergeCell ref="B16:C17"/>
  </mergeCells>
  <pageMargins left="0.511811024" right="0.511811024" top="0.78740157499999996" bottom="0.78740157499999996" header="0.31496062000000002" footer="0.31496062000000002"/>
</worksheet>
</file>

<file path=xl/worksheets/sheet10.xml><?xml version="1.0" encoding="utf-8"?>
<worksheet xmlns="http://schemas.openxmlformats.org/spreadsheetml/2006/main" xmlns:r="http://schemas.openxmlformats.org/officeDocument/2006/relationships">
  <dimension ref="D3:P16"/>
  <sheetViews>
    <sheetView workbookViewId="0">
      <selection activeCell="G23" sqref="G23"/>
    </sheetView>
  </sheetViews>
  <sheetFormatPr defaultRowHeight="14.4"/>
  <sheetData>
    <row r="3" spans="4:16">
      <c r="D3" s="288" t="s">
        <v>874</v>
      </c>
      <c r="E3" s="288"/>
      <c r="F3" s="288"/>
      <c r="G3" s="288"/>
      <c r="H3" s="288"/>
      <c r="I3" s="288"/>
      <c r="K3" s="288" t="s">
        <v>875</v>
      </c>
      <c r="L3" s="288"/>
      <c r="M3" s="288"/>
      <c r="N3" s="288"/>
      <c r="O3" s="288"/>
      <c r="P3" s="288"/>
    </row>
    <row r="4" spans="4:16" ht="15" thickBot="1">
      <c r="D4" t="s">
        <v>876</v>
      </c>
      <c r="G4" t="s">
        <v>877</v>
      </c>
      <c r="K4" t="s">
        <v>876</v>
      </c>
      <c r="N4" t="s">
        <v>877</v>
      </c>
    </row>
    <row r="5" spans="4:16">
      <c r="E5" t="s">
        <v>878</v>
      </c>
      <c r="G5" s="234"/>
      <c r="I5" s="286">
        <f>G5+G6+G7+G8+G9+G10+G11</f>
        <v>0</v>
      </c>
      <c r="L5" s="234">
        <v>8.26</v>
      </c>
      <c r="O5" s="234">
        <v>13.44</v>
      </c>
      <c r="P5" s="422">
        <f>L5+L6+L7+L8+L9+L10+L11+L12+L13+L14+L15+L16+O5+O6+O7+O8+O9+O10+O11+O12+O13+O14+O15</f>
        <v>267.52000000000004</v>
      </c>
    </row>
    <row r="6" spans="4:16">
      <c r="G6" s="235"/>
      <c r="I6" s="286"/>
      <c r="L6" s="235">
        <v>7.99</v>
      </c>
      <c r="O6" s="235">
        <v>14.87</v>
      </c>
      <c r="P6" s="422"/>
    </row>
    <row r="7" spans="4:16">
      <c r="G7" s="235"/>
      <c r="I7" s="286"/>
      <c r="L7" s="235">
        <v>16.64</v>
      </c>
      <c r="O7" s="235"/>
      <c r="P7" s="422"/>
    </row>
    <row r="8" spans="4:16">
      <c r="G8" s="235"/>
      <c r="I8" s="286"/>
      <c r="L8" s="235">
        <v>14.46</v>
      </c>
      <c r="O8" s="235">
        <v>9.9</v>
      </c>
      <c r="P8" s="422"/>
    </row>
    <row r="9" spans="4:16">
      <c r="G9" s="235"/>
      <c r="I9" s="286"/>
      <c r="L9" s="235">
        <v>14.87</v>
      </c>
      <c r="O9" s="235">
        <v>13.35</v>
      </c>
      <c r="P9" s="422"/>
    </row>
    <row r="10" spans="4:16">
      <c r="G10" s="235"/>
      <c r="I10" s="286"/>
      <c r="L10" s="235">
        <v>16.66</v>
      </c>
      <c r="O10" s="235">
        <v>16.96</v>
      </c>
      <c r="P10" s="422"/>
    </row>
    <row r="11" spans="4:16">
      <c r="G11" s="235"/>
      <c r="I11" s="286"/>
      <c r="L11" s="235">
        <v>14.19</v>
      </c>
      <c r="O11" s="235">
        <v>18.079999999999998</v>
      </c>
      <c r="P11" s="422"/>
    </row>
    <row r="12" spans="4:16">
      <c r="G12" s="235"/>
      <c r="I12" s="286"/>
      <c r="L12" s="235">
        <v>13.35</v>
      </c>
      <c r="O12" s="235">
        <v>11.9</v>
      </c>
      <c r="P12" s="422"/>
    </row>
    <row r="13" spans="4:16">
      <c r="G13" s="235"/>
      <c r="I13" s="286"/>
      <c r="L13" s="235">
        <v>9.9</v>
      </c>
      <c r="O13" s="235">
        <v>5.79</v>
      </c>
      <c r="P13" s="422"/>
    </row>
    <row r="14" spans="4:16">
      <c r="G14" s="235"/>
      <c r="I14" s="286"/>
      <c r="L14" s="235">
        <v>16.96</v>
      </c>
      <c r="O14" s="235"/>
      <c r="P14" s="422"/>
    </row>
    <row r="15" spans="4:16">
      <c r="G15" s="235"/>
      <c r="I15" s="286"/>
      <c r="L15" s="235">
        <v>18.05</v>
      </c>
      <c r="O15" s="235"/>
      <c r="P15" s="422"/>
    </row>
    <row r="16" spans="4:16" ht="15" thickBot="1">
      <c r="G16" s="236"/>
      <c r="I16" s="286"/>
      <c r="L16" s="236">
        <v>11.9</v>
      </c>
      <c r="O16" s="236"/>
      <c r="P16" s="422"/>
    </row>
  </sheetData>
  <mergeCells count="4">
    <mergeCell ref="I5:I16"/>
    <mergeCell ref="D3:I3"/>
    <mergeCell ref="K3:P3"/>
    <mergeCell ref="P5:P16"/>
  </mergeCells>
  <pageMargins left="0.511811024" right="0.511811024" top="0.78740157499999996" bottom="0.78740157499999996" header="0.31496062000000002" footer="0.31496062000000002"/>
</worksheet>
</file>

<file path=xl/worksheets/sheet11.xml><?xml version="1.0" encoding="utf-8"?>
<worksheet xmlns="http://schemas.openxmlformats.org/spreadsheetml/2006/main" xmlns:r="http://schemas.openxmlformats.org/officeDocument/2006/relationships">
  <dimension ref="A1:IV34"/>
  <sheetViews>
    <sheetView topLeftCell="A10" workbookViewId="0">
      <selection activeCell="B32" sqref="B32:AB32"/>
    </sheetView>
  </sheetViews>
  <sheetFormatPr defaultColWidth="9.109375" defaultRowHeight="14.4"/>
  <cols>
    <col min="1" max="1" width="9.109375" style="82"/>
    <col min="2" max="2" width="15.44140625" style="82" customWidth="1"/>
    <col min="3" max="3" width="9.109375" style="82"/>
    <col min="4" max="4" width="3.44140625" style="82" bestFit="1" customWidth="1"/>
    <col min="5" max="5" width="2.44140625" style="82" bestFit="1" customWidth="1"/>
    <col min="6" max="6" width="6.5546875" style="82" bestFit="1" customWidth="1"/>
    <col min="7" max="7" width="2" style="83" bestFit="1" customWidth="1"/>
    <col min="8" max="8" width="8.109375" style="83" customWidth="1"/>
    <col min="9" max="9" width="2" style="83" bestFit="1" customWidth="1"/>
    <col min="10" max="10" width="6.5546875" style="83" bestFit="1" customWidth="1"/>
    <col min="11" max="11" width="2" style="83" bestFit="1" customWidth="1"/>
    <col min="12" max="12" width="6.5546875" style="83" bestFit="1" customWidth="1"/>
    <col min="13" max="13" width="2.6640625" style="83" bestFit="1" customWidth="1"/>
    <col min="14" max="14" width="1.6640625" style="82" bestFit="1" customWidth="1"/>
    <col min="15" max="15" width="6.5546875" style="82" bestFit="1" customWidth="1"/>
    <col min="16" max="16" width="2" style="82" bestFit="1" customWidth="1"/>
    <col min="17" max="17" width="6.5546875" style="82" bestFit="1" customWidth="1"/>
    <col min="18" max="18" width="2.6640625" style="82" bestFit="1" customWidth="1"/>
    <col min="19" max="19" width="1.6640625" style="82" bestFit="1" customWidth="1"/>
    <col min="20" max="20" width="6.5546875" style="82" bestFit="1" customWidth="1"/>
    <col min="21" max="21" width="2" style="82" bestFit="1" customWidth="1"/>
    <col min="22" max="22" width="6.5546875" style="82" bestFit="1" customWidth="1"/>
    <col min="23" max="23" width="2.44140625" style="82" bestFit="1" customWidth="1"/>
    <col min="24" max="24" width="2.44140625" style="82" customWidth="1"/>
    <col min="25" max="25" width="2.6640625" style="82" bestFit="1" customWidth="1"/>
    <col min="26" max="26" width="2" style="82" bestFit="1" customWidth="1"/>
    <col min="27" max="27" width="8.88671875" style="82" bestFit="1" customWidth="1"/>
    <col min="28" max="28" width="7.44140625" style="82" customWidth="1"/>
    <col min="29" max="29" width="2" style="82" hidden="1" customWidth="1"/>
    <col min="30" max="32" width="9.109375" style="82"/>
    <col min="33" max="33" width="96" style="82" hidden="1" customWidth="1"/>
    <col min="34" max="38" width="6.109375" style="82" hidden="1" customWidth="1"/>
    <col min="39" max="39" width="0" style="82" hidden="1" customWidth="1"/>
    <col min="40" max="40" width="96" style="82" hidden="1" customWidth="1"/>
    <col min="41" max="46" width="0" style="82" hidden="1" customWidth="1"/>
    <col min="47" max="47" width="96" style="82" hidden="1" customWidth="1"/>
    <col min="48" max="52" width="0" style="82" hidden="1" customWidth="1"/>
    <col min="53" max="16384" width="9.109375" style="82"/>
  </cols>
  <sheetData>
    <row r="1" spans="2:57" ht="15" thickBot="1"/>
    <row r="2" spans="2:57" ht="21">
      <c r="B2" s="423" t="s">
        <v>1</v>
      </c>
      <c r="C2" s="424"/>
      <c r="D2" s="424"/>
      <c r="E2" s="424"/>
      <c r="F2" s="424"/>
      <c r="G2" s="424"/>
      <c r="H2" s="424"/>
      <c r="I2" s="424"/>
      <c r="J2" s="424"/>
      <c r="K2" s="424"/>
      <c r="L2" s="424"/>
      <c r="M2" s="424"/>
      <c r="N2" s="424"/>
      <c r="O2" s="424"/>
      <c r="P2" s="424"/>
      <c r="Q2" s="424"/>
      <c r="R2" s="424"/>
      <c r="S2" s="424"/>
      <c r="T2" s="424"/>
      <c r="U2" s="424"/>
      <c r="V2" s="424"/>
      <c r="W2" s="424"/>
      <c r="X2" s="424"/>
      <c r="Y2" s="424"/>
      <c r="Z2" s="424"/>
      <c r="AA2" s="424"/>
      <c r="AB2" s="425"/>
      <c r="AC2">
        <v>1</v>
      </c>
      <c r="AG2" s="82" t="s">
        <v>879</v>
      </c>
      <c r="AH2" s="84">
        <v>0.04</v>
      </c>
      <c r="AI2" s="85">
        <v>8.0000000000000002E-3</v>
      </c>
      <c r="AJ2" s="85">
        <v>1.2699999999999999E-2</v>
      </c>
      <c r="AK2" s="85">
        <v>1.23E-2</v>
      </c>
      <c r="AL2" s="85">
        <v>7.3999999999999996E-2</v>
      </c>
      <c r="AM2" s="85"/>
      <c r="AN2" s="82" t="s">
        <v>879</v>
      </c>
      <c r="AO2" s="85">
        <v>0.03</v>
      </c>
      <c r="AP2" s="85">
        <v>8.0000000000000002E-3</v>
      </c>
      <c r="AQ2" s="85">
        <v>9.7000000000000003E-3</v>
      </c>
      <c r="AR2" s="85">
        <v>5.8999999999999999E-3</v>
      </c>
      <c r="AS2" s="85">
        <v>6.1600000000000002E-2</v>
      </c>
      <c r="AT2" s="85"/>
      <c r="AU2" s="82" t="s">
        <v>879</v>
      </c>
      <c r="AV2" s="85">
        <v>5.5E-2</v>
      </c>
      <c r="AW2" s="85">
        <v>0.01</v>
      </c>
      <c r="AX2" s="85">
        <v>1.2699999999999999E-2</v>
      </c>
      <c r="AY2" s="85">
        <v>1.3899999999999999E-2</v>
      </c>
      <c r="AZ2" s="85">
        <v>8.9599999999999999E-2</v>
      </c>
      <c r="BA2" s="85"/>
      <c r="BB2" s="85"/>
      <c r="BC2" s="85"/>
      <c r="BD2" s="85"/>
      <c r="BE2" s="85"/>
    </row>
    <row r="3" spans="2:57">
      <c r="B3" s="86"/>
      <c r="C3" s="87"/>
      <c r="D3" s="87"/>
      <c r="E3" s="87"/>
      <c r="F3" s="87"/>
      <c r="G3" s="87"/>
      <c r="H3" s="87"/>
      <c r="I3" s="87"/>
      <c r="J3" s="87"/>
      <c r="K3" s="87"/>
      <c r="L3" s="87"/>
      <c r="M3" s="87"/>
      <c r="N3" s="87"/>
      <c r="O3" s="87"/>
      <c r="P3" s="87"/>
      <c r="Q3" s="87"/>
      <c r="R3" s="87"/>
      <c r="S3" s="87"/>
      <c r="T3" s="426" t="s">
        <v>880</v>
      </c>
      <c r="U3" s="426"/>
      <c r="V3" s="426"/>
      <c r="W3" s="426"/>
      <c r="X3" s="426"/>
      <c r="Y3" s="426"/>
      <c r="Z3" s="87"/>
      <c r="AA3" s="427" t="s">
        <v>881</v>
      </c>
      <c r="AB3" s="428"/>
      <c r="AC3"/>
      <c r="AG3" s="88" t="s">
        <v>882</v>
      </c>
      <c r="AH3" s="84">
        <v>4.0099999999999997E-2</v>
      </c>
      <c r="AI3" s="85">
        <v>4.0000000000000001E-3</v>
      </c>
      <c r="AJ3" s="85">
        <v>5.5999999999999999E-3</v>
      </c>
      <c r="AK3" s="85">
        <v>1.11E-2</v>
      </c>
      <c r="AL3" s="85">
        <v>7.2999999999999995E-2</v>
      </c>
      <c r="AM3" s="85"/>
      <c r="AN3" s="88" t="s">
        <v>882</v>
      </c>
      <c r="AO3" s="85">
        <v>3.7999999999999999E-2</v>
      </c>
      <c r="AP3" s="85">
        <v>3.2000000000000002E-3</v>
      </c>
      <c r="AQ3" s="85">
        <v>5.0000000000000001E-3</v>
      </c>
      <c r="AR3" s="85">
        <v>1.0200000000000001E-2</v>
      </c>
      <c r="AS3" s="85">
        <v>6.6400000000000001E-2</v>
      </c>
      <c r="AT3" s="85"/>
      <c r="AU3" s="88" t="s">
        <v>882</v>
      </c>
      <c r="AV3" s="85">
        <v>4.6699999999999998E-2</v>
      </c>
      <c r="AW3" s="85">
        <v>7.4000000000000003E-3</v>
      </c>
      <c r="AX3" s="85">
        <v>9.7000000000000003E-3</v>
      </c>
      <c r="AY3" s="85">
        <v>1.21E-2</v>
      </c>
      <c r="AZ3" s="85">
        <v>8.6900000000000005E-2</v>
      </c>
      <c r="BA3" s="85"/>
      <c r="BB3" s="85"/>
      <c r="BC3" s="85"/>
      <c r="BD3" s="85"/>
      <c r="BE3" s="85"/>
    </row>
    <row r="4" spans="2:57">
      <c r="B4" s="86"/>
      <c r="C4" s="429"/>
      <c r="D4" s="429"/>
      <c r="E4" s="429"/>
      <c r="F4" s="429"/>
      <c r="G4" s="429"/>
      <c r="H4" s="429"/>
      <c r="I4" s="429"/>
      <c r="J4" s="429"/>
      <c r="K4" s="87"/>
      <c r="L4" s="87"/>
      <c r="M4" s="87"/>
      <c r="N4" s="87"/>
      <c r="O4" s="87"/>
      <c r="P4" s="87"/>
      <c r="Q4" s="87"/>
      <c r="R4" s="87"/>
      <c r="S4" s="87"/>
      <c r="T4" s="430" t="s">
        <v>883</v>
      </c>
      <c r="U4" s="430"/>
      <c r="V4" s="430"/>
      <c r="W4" s="430"/>
      <c r="X4" s="430"/>
      <c r="Y4" s="430"/>
      <c r="Z4" s="87"/>
      <c r="AA4" s="431" t="s">
        <v>884</v>
      </c>
      <c r="AB4" s="432"/>
      <c r="AC4"/>
      <c r="AG4" s="82" t="s">
        <v>885</v>
      </c>
      <c r="AH4" s="84">
        <v>4.9299999999999997E-2</v>
      </c>
      <c r="AI4" s="85">
        <v>4.8999999999999998E-3</v>
      </c>
      <c r="AJ4" s="85">
        <v>1.3899999999999999E-2</v>
      </c>
      <c r="AK4" s="85">
        <v>9.9000000000000008E-3</v>
      </c>
      <c r="AL4" s="85">
        <v>8.0399999999999999E-2</v>
      </c>
      <c r="AM4" s="85"/>
      <c r="AN4" s="82" t="s">
        <v>885</v>
      </c>
      <c r="AO4" s="85">
        <v>3.4299999999999997E-2</v>
      </c>
      <c r="AP4" s="85">
        <v>2.8E-3</v>
      </c>
      <c r="AQ4" s="85">
        <v>0.01</v>
      </c>
      <c r="AR4" s="85">
        <v>9.4000000000000004E-3</v>
      </c>
      <c r="AS4" s="85">
        <v>6.7400000000000002E-2</v>
      </c>
      <c r="AT4" s="85"/>
      <c r="AU4" s="82" t="s">
        <v>885</v>
      </c>
      <c r="AV4" s="85">
        <v>6.7100000000000007E-2</v>
      </c>
      <c r="AW4" s="85">
        <v>7.4999999999999997E-3</v>
      </c>
      <c r="AX4" s="85">
        <v>1.7399999999999999E-2</v>
      </c>
      <c r="AY4" s="85">
        <v>1.17E-2</v>
      </c>
      <c r="AZ4" s="85">
        <v>9.4E-2</v>
      </c>
      <c r="BA4" s="85"/>
      <c r="BB4" s="85"/>
      <c r="BC4" s="85"/>
      <c r="BD4" s="85"/>
      <c r="BE4" s="85"/>
    </row>
    <row r="5" spans="2:57" ht="15" thickBot="1">
      <c r="B5" s="86" t="s">
        <v>886</v>
      </c>
      <c r="C5" s="87" t="s">
        <v>887</v>
      </c>
      <c r="D5" s="87"/>
      <c r="E5" s="87"/>
      <c r="F5" s="87"/>
      <c r="G5" s="87"/>
      <c r="H5" s="87"/>
      <c r="I5" s="87"/>
      <c r="J5" s="87"/>
      <c r="K5" s="87"/>
      <c r="L5" s="87"/>
      <c r="M5" s="87"/>
      <c r="N5" s="87"/>
      <c r="O5" s="87"/>
      <c r="P5" s="87"/>
      <c r="Q5" s="87"/>
      <c r="R5" s="87"/>
      <c r="S5" s="87"/>
      <c r="T5" s="436" t="s">
        <v>888</v>
      </c>
      <c r="U5" s="436"/>
      <c r="V5" s="436"/>
      <c r="W5" s="436"/>
      <c r="X5" s="436"/>
      <c r="Y5" s="436"/>
      <c r="Z5" s="87"/>
      <c r="AA5" s="437"/>
      <c r="AB5" s="438"/>
      <c r="AC5"/>
      <c r="AG5" s="88" t="s">
        <v>889</v>
      </c>
      <c r="AH5" s="84">
        <v>5.9200000000000003E-2</v>
      </c>
      <c r="AI5" s="85">
        <v>5.1000000000000004E-3</v>
      </c>
      <c r="AJ5" s="85">
        <v>1.4800000000000001E-2</v>
      </c>
      <c r="AK5" s="85">
        <v>1.0699999999999999E-2</v>
      </c>
      <c r="AL5" s="85">
        <v>8.3099999999999993E-2</v>
      </c>
      <c r="AM5" s="85"/>
      <c r="AN5" s="88" t="s">
        <v>889</v>
      </c>
      <c r="AO5" s="85">
        <v>5.2900000000000003E-2</v>
      </c>
      <c r="AP5" s="85">
        <v>2.5000000000000001E-3</v>
      </c>
      <c r="AQ5" s="85">
        <v>0.01</v>
      </c>
      <c r="AR5" s="85">
        <v>1.01E-2</v>
      </c>
      <c r="AS5" s="85">
        <v>0.08</v>
      </c>
      <c r="AT5" s="85"/>
      <c r="AU5" s="88" t="s">
        <v>889</v>
      </c>
      <c r="AV5" s="85">
        <v>7.9299999999999995E-2</v>
      </c>
      <c r="AW5" s="85">
        <v>5.5999999999999999E-3</v>
      </c>
      <c r="AX5" s="85">
        <v>1.9699999999999999E-2</v>
      </c>
      <c r="AY5" s="85">
        <v>1.11E-2</v>
      </c>
      <c r="AZ5" s="85">
        <v>9.5100000000000004E-2</v>
      </c>
      <c r="BA5" s="85"/>
      <c r="BB5" s="85"/>
      <c r="BC5" s="85"/>
      <c r="BD5" s="85"/>
      <c r="BE5" s="85"/>
    </row>
    <row r="6" spans="2:57" ht="15" thickBot="1">
      <c r="B6" s="439" t="s">
        <v>879</v>
      </c>
      <c r="C6" s="440"/>
      <c r="D6" s="440"/>
      <c r="E6" s="440"/>
      <c r="F6" s="440"/>
      <c r="G6" s="440"/>
      <c r="H6" s="440"/>
      <c r="I6" s="440"/>
      <c r="J6" s="440"/>
      <c r="K6" s="440"/>
      <c r="L6" s="440"/>
      <c r="M6" s="440"/>
      <c r="N6" s="440"/>
      <c r="O6" s="440"/>
      <c r="P6" s="440"/>
      <c r="Q6" s="440"/>
      <c r="R6" s="440"/>
      <c r="S6" s="440"/>
      <c r="T6" s="440"/>
      <c r="U6" s="440"/>
      <c r="V6" s="440"/>
      <c r="W6" s="440"/>
      <c r="X6" s="440"/>
      <c r="Y6" s="440"/>
      <c r="Z6" s="440"/>
      <c r="AA6" s="440"/>
      <c r="AB6" s="441"/>
      <c r="AC6"/>
      <c r="AG6" s="88" t="s">
        <v>890</v>
      </c>
      <c r="AH6" s="84">
        <v>5.5199999999999999E-2</v>
      </c>
      <c r="AI6" s="85">
        <v>1.2200000000000001E-2</v>
      </c>
      <c r="AJ6" s="85">
        <v>2.3199999999999998E-2</v>
      </c>
      <c r="AK6" s="85">
        <v>1.0200000000000001E-2</v>
      </c>
      <c r="AL6" s="85">
        <v>8.4000000000000005E-2</v>
      </c>
      <c r="AM6" s="85"/>
      <c r="AN6" s="88" t="s">
        <v>890</v>
      </c>
      <c r="AO6" s="85">
        <v>0.04</v>
      </c>
      <c r="AP6" s="85">
        <v>8.0999999999999996E-3</v>
      </c>
      <c r="AQ6" s="85">
        <v>1.46E-2</v>
      </c>
      <c r="AR6" s="85">
        <v>9.4000000000000004E-3</v>
      </c>
      <c r="AS6" s="85">
        <v>7.1400000000000005E-2</v>
      </c>
      <c r="AT6" s="85"/>
      <c r="AU6" s="88" t="s">
        <v>890</v>
      </c>
      <c r="AV6" s="85">
        <v>7.85E-2</v>
      </c>
      <c r="AW6" s="85">
        <v>1.9900000000000001E-2</v>
      </c>
      <c r="AX6" s="85">
        <v>3.1600000000000003E-2</v>
      </c>
      <c r="AY6" s="85">
        <v>1.3299999999999999E-2</v>
      </c>
      <c r="AZ6" s="85">
        <v>0.1043</v>
      </c>
      <c r="BA6" s="85"/>
      <c r="BB6" s="85"/>
      <c r="BC6" s="85"/>
      <c r="BD6" s="85"/>
      <c r="BE6" s="85"/>
    </row>
    <row r="7" spans="2:57">
      <c r="B7" s="89"/>
      <c r="C7" s="90"/>
      <c r="D7" s="90"/>
      <c r="E7" s="90"/>
      <c r="F7" s="90"/>
      <c r="G7" s="91"/>
      <c r="H7" s="91"/>
      <c r="I7" s="91"/>
      <c r="J7" s="91"/>
      <c r="K7" s="91"/>
      <c r="L7" s="91"/>
      <c r="M7" s="91"/>
      <c r="N7" s="90"/>
      <c r="O7" s="90"/>
      <c r="P7" s="90"/>
      <c r="Q7" s="90"/>
      <c r="R7" s="90"/>
      <c r="S7" s="90"/>
      <c r="T7" s="90"/>
      <c r="U7" s="90"/>
      <c r="V7" s="90"/>
      <c r="W7" s="90"/>
      <c r="X7" s="90"/>
      <c r="Y7" s="90"/>
      <c r="Z7" s="90"/>
      <c r="AA7" s="90"/>
      <c r="AB7" s="92"/>
      <c r="AC7"/>
      <c r="AG7" s="82" t="s">
        <v>891</v>
      </c>
      <c r="AH7" s="85">
        <v>4.9299999999999997E-2</v>
      </c>
      <c r="AI7" s="85">
        <v>4.8999999999999998E-3</v>
      </c>
      <c r="AJ7" s="85">
        <v>1.3899999999999999E-2</v>
      </c>
      <c r="AK7" s="85">
        <v>9.9000000000000008E-3</v>
      </c>
      <c r="AL7" s="85">
        <v>8.0399999999999999E-2</v>
      </c>
      <c r="AN7" s="82" t="s">
        <v>891</v>
      </c>
      <c r="AO7" s="85">
        <v>4.9299999999999997E-2</v>
      </c>
      <c r="AP7" s="85">
        <v>4.8999999999999998E-3</v>
      </c>
      <c r="AQ7" s="85">
        <v>1.3899999999999999E-2</v>
      </c>
      <c r="AR7" s="85">
        <v>9.9000000000000008E-3</v>
      </c>
      <c r="AS7" s="85">
        <v>8.0399999999999999E-2</v>
      </c>
      <c r="AU7" s="82" t="s">
        <v>891</v>
      </c>
      <c r="AV7" s="85">
        <v>4.9299999999999997E-2</v>
      </c>
      <c r="AW7" s="85">
        <v>4.8999999999999998E-3</v>
      </c>
      <c r="AX7" s="85">
        <v>1.3899999999999999E-2</v>
      </c>
      <c r="AY7" s="85">
        <v>9.9000000000000008E-3</v>
      </c>
      <c r="AZ7" s="85">
        <v>8.0399999999999999E-2</v>
      </c>
    </row>
    <row r="8" spans="2:57">
      <c r="B8" s="93" t="s">
        <v>892</v>
      </c>
      <c r="C8" s="94" t="s">
        <v>893</v>
      </c>
      <c r="D8" s="95"/>
      <c r="E8" s="96"/>
      <c r="F8" s="96"/>
      <c r="G8" s="97"/>
      <c r="H8" s="98">
        <v>0.04</v>
      </c>
      <c r="I8" s="97"/>
      <c r="J8" s="97"/>
      <c r="K8" s="97"/>
      <c r="L8" s="96"/>
      <c r="M8" s="97"/>
      <c r="N8" s="96"/>
      <c r="O8" s="96"/>
      <c r="P8" s="96"/>
      <c r="Q8" s="96"/>
      <c r="R8" s="96"/>
      <c r="S8" s="96"/>
      <c r="T8" s="96"/>
      <c r="U8" s="96"/>
      <c r="V8" s="96"/>
      <c r="W8" s="96"/>
      <c r="X8" s="96"/>
      <c r="Y8" s="96"/>
      <c r="Z8" s="96"/>
      <c r="AA8" s="96"/>
      <c r="AB8" s="99"/>
      <c r="AC8"/>
    </row>
    <row r="9" spans="2:57">
      <c r="B9" s="93" t="s">
        <v>894</v>
      </c>
      <c r="C9" s="94" t="s">
        <v>895</v>
      </c>
      <c r="D9" s="95"/>
      <c r="E9" s="96"/>
      <c r="F9" s="96"/>
      <c r="G9" s="97"/>
      <c r="H9" s="98">
        <v>8.0000000000000002E-3</v>
      </c>
      <c r="I9" s="97"/>
      <c r="J9" s="97"/>
      <c r="K9" s="97"/>
      <c r="L9" s="96"/>
      <c r="M9" s="97"/>
      <c r="N9" s="96"/>
      <c r="O9" s="96"/>
      <c r="P9" s="96"/>
      <c r="Q9" s="96"/>
      <c r="R9" s="96"/>
      <c r="S9" s="96"/>
      <c r="T9" s="96"/>
      <c r="U9" s="96"/>
      <c r="V9" s="96"/>
      <c r="W9" s="96"/>
      <c r="X9" s="96"/>
      <c r="Y9" s="96"/>
      <c r="Z9" s="96"/>
      <c r="AA9" s="96"/>
      <c r="AB9" s="99"/>
      <c r="AC9"/>
      <c r="AH9" s="82" t="s">
        <v>896</v>
      </c>
      <c r="AO9" s="82" t="s">
        <v>897</v>
      </c>
      <c r="AV9" s="82" t="s">
        <v>898</v>
      </c>
    </row>
    <row r="10" spans="2:57">
      <c r="B10" s="93" t="s">
        <v>899</v>
      </c>
      <c r="C10" s="94" t="s">
        <v>900</v>
      </c>
      <c r="D10" s="95"/>
      <c r="E10" s="96"/>
      <c r="F10" s="96"/>
      <c r="G10" s="97"/>
      <c r="H10" s="98">
        <v>1.2699999999999999E-2</v>
      </c>
      <c r="I10" s="97"/>
      <c r="J10" s="97"/>
      <c r="K10" s="97"/>
      <c r="L10" s="96"/>
      <c r="M10" s="97"/>
      <c r="N10" s="96"/>
      <c r="O10" s="96"/>
      <c r="P10" s="96"/>
      <c r="Q10" s="96"/>
      <c r="R10" s="96"/>
      <c r="S10" s="96"/>
      <c r="T10" s="96"/>
      <c r="U10" s="96"/>
      <c r="V10" s="96"/>
      <c r="W10" s="96"/>
      <c r="X10" s="96"/>
      <c r="Y10" s="96"/>
      <c r="Z10" s="96"/>
      <c r="AA10" s="96"/>
      <c r="AB10" s="99"/>
      <c r="AC10"/>
      <c r="AH10" s="82" t="s">
        <v>901</v>
      </c>
      <c r="AI10" s="82" t="s">
        <v>902</v>
      </c>
      <c r="AJ10" s="82" t="s">
        <v>903</v>
      </c>
      <c r="AK10" s="82" t="s">
        <v>904</v>
      </c>
      <c r="AL10" s="82" t="s">
        <v>905</v>
      </c>
      <c r="AO10" s="82" t="s">
        <v>901</v>
      </c>
      <c r="AP10" s="82" t="s">
        <v>902</v>
      </c>
      <c r="AQ10" s="82" t="s">
        <v>903</v>
      </c>
      <c r="AR10" s="82" t="s">
        <v>904</v>
      </c>
      <c r="AS10" s="82" t="s">
        <v>905</v>
      </c>
      <c r="AV10" s="82" t="s">
        <v>901</v>
      </c>
      <c r="AW10" s="82" t="s">
        <v>902</v>
      </c>
      <c r="AX10" s="82" t="s">
        <v>903</v>
      </c>
      <c r="AY10" s="82" t="s">
        <v>904</v>
      </c>
      <c r="AZ10" s="82" t="s">
        <v>905</v>
      </c>
    </row>
    <row r="11" spans="2:57">
      <c r="B11" s="93" t="s">
        <v>906</v>
      </c>
      <c r="C11" s="94" t="s">
        <v>907</v>
      </c>
      <c r="D11" s="95"/>
      <c r="E11" s="96"/>
      <c r="F11" s="96"/>
      <c r="G11" s="97"/>
      <c r="H11" s="98">
        <v>1.23E-2</v>
      </c>
      <c r="I11" s="97"/>
      <c r="J11" s="97"/>
      <c r="K11" s="97"/>
      <c r="L11" s="96"/>
      <c r="M11" s="97"/>
      <c r="N11" s="96"/>
      <c r="O11" s="96"/>
      <c r="P11" s="96"/>
      <c r="Q11" s="96"/>
      <c r="R11" s="96"/>
      <c r="S11" s="96"/>
      <c r="T11" s="96"/>
      <c r="U11" s="96"/>
      <c r="V11" s="96"/>
      <c r="W11" s="96"/>
      <c r="X11" s="96"/>
      <c r="Y11" s="96"/>
      <c r="Z11" s="96"/>
      <c r="AA11" s="96"/>
      <c r="AB11" s="99"/>
      <c r="AC11"/>
    </row>
    <row r="12" spans="2:57">
      <c r="B12" s="93" t="s">
        <v>908</v>
      </c>
      <c r="C12" s="94" t="s">
        <v>909</v>
      </c>
      <c r="D12" s="95"/>
      <c r="E12" s="96"/>
      <c r="F12" s="96"/>
      <c r="G12" s="97"/>
      <c r="H12" s="98">
        <v>7.3999999999999996E-2</v>
      </c>
      <c r="I12" s="97"/>
      <c r="J12" s="97"/>
      <c r="K12" s="97"/>
      <c r="L12" s="96"/>
      <c r="M12" s="97"/>
      <c r="N12" s="96"/>
      <c r="O12" s="96"/>
      <c r="P12" s="96"/>
      <c r="Q12" s="96"/>
      <c r="R12" s="96"/>
      <c r="S12" s="96"/>
      <c r="T12" s="96"/>
      <c r="U12" s="96"/>
      <c r="V12" s="96"/>
      <c r="W12" s="96"/>
      <c r="X12" s="96"/>
      <c r="Y12" s="96"/>
      <c r="Z12" s="96"/>
      <c r="AA12" s="96"/>
      <c r="AB12" s="99"/>
      <c r="AC12"/>
      <c r="AL12" s="85"/>
    </row>
    <row r="13" spans="2:57">
      <c r="B13" s="93" t="s">
        <v>910</v>
      </c>
      <c r="C13" s="94" t="s">
        <v>911</v>
      </c>
      <c r="D13" s="95"/>
      <c r="E13" s="96"/>
      <c r="F13" s="96"/>
      <c r="G13" s="97"/>
      <c r="H13" s="98">
        <v>5.6500000000000002E-2</v>
      </c>
      <c r="I13" s="97"/>
      <c r="J13" s="97"/>
      <c r="K13" s="97"/>
      <c r="L13" s="96"/>
      <c r="M13" s="97"/>
      <c r="N13" s="96"/>
      <c r="O13" s="96"/>
      <c r="P13" s="96"/>
      <c r="Q13" s="96"/>
      <c r="R13" s="96"/>
      <c r="S13" s="96"/>
      <c r="T13" s="96"/>
      <c r="U13" s="96"/>
      <c r="V13" s="96"/>
      <c r="W13" s="96"/>
      <c r="X13" s="96"/>
      <c r="Y13" s="96"/>
      <c r="Z13" s="96"/>
      <c r="AA13" s="96"/>
      <c r="AB13" s="99"/>
      <c r="AC13"/>
      <c r="AL13" s="85"/>
    </row>
    <row r="14" spans="2:57">
      <c r="B14" s="100"/>
      <c r="C14" s="101"/>
      <c r="D14" s="102"/>
      <c r="E14" s="101"/>
      <c r="F14" s="101" t="s">
        <v>912</v>
      </c>
      <c r="G14" s="103"/>
      <c r="H14" s="104">
        <v>0.03</v>
      </c>
      <c r="I14" s="103"/>
      <c r="J14" s="103"/>
      <c r="K14" s="103"/>
      <c r="L14" s="101"/>
      <c r="M14" s="103"/>
      <c r="N14" s="101"/>
      <c r="O14" s="101"/>
      <c r="P14" s="101"/>
      <c r="Q14" s="101"/>
      <c r="R14" s="101"/>
      <c r="S14" s="101"/>
      <c r="T14" s="101"/>
      <c r="U14" s="101"/>
      <c r="V14" s="101"/>
      <c r="W14" s="101"/>
      <c r="X14" s="101"/>
      <c r="Y14" s="101"/>
      <c r="Z14" s="101"/>
      <c r="AA14" s="101"/>
      <c r="AB14" s="105"/>
      <c r="AC14"/>
      <c r="AL14" s="85"/>
    </row>
    <row r="15" spans="2:57">
      <c r="B15" s="100"/>
      <c r="C15" s="101"/>
      <c r="D15" s="102"/>
      <c r="E15" s="101"/>
      <c r="F15" s="101" t="s">
        <v>913</v>
      </c>
      <c r="G15" s="103"/>
      <c r="H15" s="104">
        <v>6.4999999999999997E-3</v>
      </c>
      <c r="I15" s="103"/>
      <c r="J15" s="103"/>
      <c r="K15" s="103"/>
      <c r="L15" s="101"/>
      <c r="M15" s="103"/>
      <c r="N15" s="101"/>
      <c r="O15" s="101"/>
      <c r="P15" s="101"/>
      <c r="Q15" s="101"/>
      <c r="R15" s="101"/>
      <c r="S15" s="101"/>
      <c r="T15" s="101"/>
      <c r="U15" s="101"/>
      <c r="V15" s="101"/>
      <c r="W15" s="101"/>
      <c r="X15" s="101"/>
      <c r="Y15" s="101"/>
      <c r="Z15" s="101"/>
      <c r="AA15" s="101"/>
      <c r="AB15" s="105"/>
      <c r="AC15"/>
      <c r="AL15" s="85"/>
    </row>
    <row r="16" spans="2:57">
      <c r="B16" s="100"/>
      <c r="C16" s="101"/>
      <c r="D16" s="102"/>
      <c r="E16" s="101"/>
      <c r="F16" s="101" t="s">
        <v>914</v>
      </c>
      <c r="G16" s="103"/>
      <c r="H16" s="104">
        <v>0.02</v>
      </c>
      <c r="I16" s="103"/>
      <c r="J16" s="103"/>
      <c r="K16" s="103"/>
      <c r="L16" s="101"/>
      <c r="M16" s="103"/>
      <c r="N16" s="101"/>
      <c r="O16" s="101"/>
      <c r="P16" s="101"/>
      <c r="Q16" s="101"/>
      <c r="R16" s="101"/>
      <c r="S16" s="101"/>
      <c r="T16" s="101"/>
      <c r="U16" s="101"/>
      <c r="V16" s="101"/>
      <c r="W16" s="101"/>
      <c r="X16" s="101"/>
      <c r="Y16" s="101"/>
      <c r="Z16" s="101"/>
      <c r="AA16" s="101"/>
      <c r="AB16" s="105"/>
      <c r="AC16"/>
      <c r="AL16" s="85"/>
    </row>
    <row r="17" spans="1:256">
      <c r="B17" s="100"/>
      <c r="C17" s="101"/>
      <c r="D17" s="102"/>
      <c r="E17" s="101"/>
      <c r="F17" s="101" t="s">
        <v>915</v>
      </c>
      <c r="G17" s="103"/>
      <c r="H17" s="104" t="s">
        <v>916</v>
      </c>
      <c r="I17" s="103"/>
      <c r="J17" s="103"/>
      <c r="K17" s="103"/>
      <c r="L17" s="101"/>
      <c r="M17" s="103"/>
      <c r="N17" s="101"/>
      <c r="O17" s="101"/>
      <c r="P17" s="101"/>
      <c r="Q17" s="101"/>
      <c r="R17" s="101"/>
      <c r="S17" s="101"/>
      <c r="T17" s="101"/>
      <c r="U17" s="101"/>
      <c r="V17" s="101"/>
      <c r="W17" s="101"/>
      <c r="X17" s="101"/>
      <c r="Y17" s="101"/>
      <c r="Z17" s="101"/>
      <c r="AA17" s="101"/>
      <c r="AB17" s="105"/>
      <c r="AC17"/>
      <c r="AL17" s="85"/>
    </row>
    <row r="18" spans="1:256">
      <c r="B18" s="93"/>
      <c r="C18" s="96"/>
      <c r="D18" s="96"/>
      <c r="E18" s="96"/>
      <c r="F18" s="96"/>
      <c r="G18" s="96"/>
      <c r="H18" s="96"/>
      <c r="I18" s="96"/>
      <c r="J18" s="96"/>
      <c r="K18" s="96"/>
      <c r="L18" s="96"/>
      <c r="M18" s="96"/>
      <c r="N18" s="96"/>
      <c r="O18" s="96"/>
      <c r="P18" s="96"/>
      <c r="Q18" s="96"/>
      <c r="R18" s="96"/>
      <c r="S18" s="96"/>
      <c r="T18" s="96"/>
      <c r="U18" s="96"/>
      <c r="V18" s="96"/>
      <c r="W18" s="96"/>
      <c r="X18" s="96"/>
      <c r="Y18" s="96"/>
      <c r="Z18" s="96"/>
      <c r="AA18" s="96"/>
      <c r="AB18" s="99"/>
      <c r="AC18"/>
    </row>
    <row r="19" spans="1:256">
      <c r="B19" s="93"/>
      <c r="C19" s="96"/>
      <c r="D19" s="96"/>
      <c r="E19" s="96"/>
      <c r="F19" s="96"/>
      <c r="G19" s="96"/>
      <c r="H19" s="96"/>
      <c r="I19" s="96"/>
      <c r="J19" s="96"/>
      <c r="K19" s="96"/>
      <c r="L19" s="96"/>
      <c r="M19" s="96"/>
      <c r="N19" s="96"/>
      <c r="O19" s="96"/>
      <c r="P19" s="96"/>
      <c r="Q19" s="96"/>
      <c r="R19" s="96"/>
      <c r="S19" s="96"/>
      <c r="T19" s="96"/>
      <c r="U19" s="96"/>
      <c r="V19" s="96"/>
      <c r="W19" s="96"/>
      <c r="X19" s="96"/>
      <c r="Y19" s="96"/>
      <c r="Z19" s="96"/>
      <c r="AA19" s="96"/>
      <c r="AB19" s="99"/>
      <c r="AC19"/>
    </row>
    <row r="20" spans="1:256">
      <c r="B20" s="93"/>
      <c r="C20" s="96"/>
      <c r="D20" s="96"/>
      <c r="E20" s="96"/>
      <c r="F20" s="96"/>
      <c r="G20" s="96"/>
      <c r="H20" s="96"/>
      <c r="I20" s="96"/>
      <c r="J20" s="96"/>
      <c r="K20" s="96"/>
      <c r="L20" s="96"/>
      <c r="M20" s="96"/>
      <c r="N20" s="96"/>
      <c r="O20" s="96"/>
      <c r="P20" s="96"/>
      <c r="Q20" s="96"/>
      <c r="R20" s="96"/>
      <c r="S20" s="96"/>
      <c r="T20" s="96"/>
      <c r="U20" s="96"/>
      <c r="V20" s="96"/>
      <c r="W20" s="96"/>
      <c r="X20" s="96"/>
      <c r="Y20" s="96"/>
      <c r="Z20" s="96"/>
      <c r="AA20" s="96"/>
      <c r="AB20" s="99"/>
      <c r="AC20"/>
    </row>
    <row r="21" spans="1:256">
      <c r="B21" s="93"/>
      <c r="C21" s="96"/>
      <c r="D21" s="96"/>
      <c r="E21" s="96"/>
      <c r="F21" s="96"/>
      <c r="G21" s="96"/>
      <c r="H21" s="96"/>
      <c r="I21" s="96"/>
      <c r="J21" s="96"/>
      <c r="K21" s="96"/>
      <c r="L21" s="96"/>
      <c r="M21" s="96"/>
      <c r="N21" s="96"/>
      <c r="O21" s="96"/>
      <c r="P21" s="96"/>
      <c r="Q21" s="96"/>
      <c r="R21" s="96"/>
      <c r="S21" s="96"/>
      <c r="T21" s="96"/>
      <c r="U21" s="96"/>
      <c r="V21" s="96"/>
      <c r="W21" s="96"/>
      <c r="X21" s="96"/>
      <c r="Y21" s="96"/>
      <c r="Z21" s="96"/>
      <c r="AA21" s="96"/>
      <c r="AB21" s="99"/>
      <c r="AC21"/>
    </row>
    <row r="22" spans="1:256">
      <c r="B22" s="93"/>
      <c r="C22" s="106" t="s">
        <v>917</v>
      </c>
      <c r="D22" s="442" t="s">
        <v>918</v>
      </c>
      <c r="E22" s="254" t="s">
        <v>919</v>
      </c>
      <c r="F22" s="107">
        <v>1</v>
      </c>
      <c r="G22" s="254" t="s">
        <v>920</v>
      </c>
      <c r="H22" s="107">
        <f>H8</f>
        <v>0.04</v>
      </c>
      <c r="I22" s="254" t="s">
        <v>920</v>
      </c>
      <c r="J22" s="107">
        <f>H9</f>
        <v>8.0000000000000002E-3</v>
      </c>
      <c r="K22" s="254" t="s">
        <v>920</v>
      </c>
      <c r="L22" s="107">
        <f>H10</f>
        <v>1.2699999999999999E-2</v>
      </c>
      <c r="M22" s="106" t="s">
        <v>921</v>
      </c>
      <c r="N22" s="106" t="s">
        <v>922</v>
      </c>
      <c r="O22" s="107">
        <v>1</v>
      </c>
      <c r="P22" s="106" t="s">
        <v>920</v>
      </c>
      <c r="Q22" s="107">
        <f>H11</f>
        <v>1.23E-2</v>
      </c>
      <c r="R22" s="106" t="s">
        <v>921</v>
      </c>
      <c r="S22" s="106" t="s">
        <v>922</v>
      </c>
      <c r="T22" s="107">
        <v>1</v>
      </c>
      <c r="U22" s="106" t="s">
        <v>920</v>
      </c>
      <c r="V22" s="107">
        <f>H12</f>
        <v>7.3999999999999996E-2</v>
      </c>
      <c r="W22" s="106" t="s">
        <v>923</v>
      </c>
      <c r="X22" s="442" t="s">
        <v>924</v>
      </c>
      <c r="Y22" s="443">
        <v>-1</v>
      </c>
      <c r="Z22" s="444" t="s">
        <v>925</v>
      </c>
      <c r="AA22" s="445">
        <f>ROUND((((F22+H22+J22+L22)*(O22+Q22)*(T22+V22))/(O24-Q24))-1,4)</f>
        <v>0.2223</v>
      </c>
      <c r="AB22" s="99"/>
      <c r="AC22"/>
    </row>
    <row r="23" spans="1:256">
      <c r="B23" s="93"/>
      <c r="C23" s="96"/>
      <c r="D23" s="442"/>
      <c r="E23" s="446"/>
      <c r="F23" s="446"/>
      <c r="G23" s="446"/>
      <c r="H23" s="446"/>
      <c r="I23" s="446"/>
      <c r="J23" s="446"/>
      <c r="K23" s="446"/>
      <c r="L23" s="446"/>
      <c r="M23" s="446"/>
      <c r="N23" s="446"/>
      <c r="O23" s="446"/>
      <c r="P23" s="446"/>
      <c r="Q23" s="446"/>
      <c r="R23" s="446"/>
      <c r="S23" s="446"/>
      <c r="T23" s="446"/>
      <c r="U23" s="446"/>
      <c r="V23" s="446"/>
      <c r="W23" s="446"/>
      <c r="X23" s="442"/>
      <c r="Y23" s="443"/>
      <c r="Z23" s="444"/>
      <c r="AA23" s="445"/>
      <c r="AB23" s="99"/>
      <c r="AC23"/>
    </row>
    <row r="24" spans="1:256">
      <c r="A24" s="108"/>
      <c r="B24" s="109"/>
      <c r="C24" s="110"/>
      <c r="D24" s="442"/>
      <c r="E24" s="111"/>
      <c r="F24" s="111"/>
      <c r="G24" s="111"/>
      <c r="H24" s="111"/>
      <c r="I24" s="111"/>
      <c r="J24" s="111"/>
      <c r="K24" s="111"/>
      <c r="L24" s="112"/>
      <c r="M24" s="112"/>
      <c r="N24" s="111" t="s">
        <v>922</v>
      </c>
      <c r="O24" s="113">
        <v>1</v>
      </c>
      <c r="P24" s="112" t="s">
        <v>916</v>
      </c>
      <c r="Q24" s="113">
        <f>H13</f>
        <v>5.6500000000000002E-2</v>
      </c>
      <c r="R24" s="112" t="s">
        <v>926</v>
      </c>
      <c r="S24" s="112"/>
      <c r="T24" s="112"/>
      <c r="U24" s="112"/>
      <c r="V24" s="112"/>
      <c r="W24" s="112"/>
      <c r="X24" s="442"/>
      <c r="Y24" s="443"/>
      <c r="Z24" s="444"/>
      <c r="AA24" s="445"/>
      <c r="AB24" s="114"/>
      <c r="AC24" s="115"/>
      <c r="AD24" s="108"/>
      <c r="AE24" s="108"/>
      <c r="AF24" s="108"/>
      <c r="AG24" s="108"/>
      <c r="AH24" s="108"/>
      <c r="AI24" s="108"/>
      <c r="AJ24" s="108"/>
      <c r="AK24" s="108"/>
      <c r="AL24" s="108"/>
      <c r="AM24" s="108"/>
      <c r="AN24" s="108"/>
      <c r="AO24" s="108"/>
      <c r="AP24" s="108"/>
      <c r="AQ24" s="108"/>
      <c r="AR24" s="108"/>
      <c r="AS24" s="108"/>
      <c r="AT24" s="108"/>
      <c r="AU24" s="108"/>
      <c r="AV24" s="108"/>
      <c r="AW24" s="108"/>
      <c r="AX24" s="108"/>
      <c r="AY24" s="108"/>
      <c r="AZ24" s="108"/>
      <c r="BA24" s="108"/>
      <c r="BB24" s="108"/>
      <c r="BC24" s="108"/>
      <c r="BD24" s="108"/>
      <c r="BE24" s="108"/>
      <c r="BF24" s="108"/>
      <c r="BG24" s="108"/>
      <c r="BH24" s="108"/>
      <c r="BI24" s="108"/>
      <c r="BJ24" s="108"/>
      <c r="BK24" s="108"/>
      <c r="BL24" s="108"/>
      <c r="BM24" s="108"/>
      <c r="BN24" s="108"/>
      <c r="BO24" s="108"/>
      <c r="BP24" s="108"/>
      <c r="BQ24" s="108"/>
      <c r="BR24" s="108"/>
      <c r="BS24" s="108"/>
      <c r="BT24" s="108"/>
      <c r="BU24" s="108"/>
      <c r="BV24" s="108"/>
      <c r="BW24" s="108"/>
      <c r="BX24" s="108"/>
      <c r="BY24" s="108"/>
      <c r="BZ24" s="108"/>
      <c r="CA24" s="108"/>
      <c r="CB24" s="108"/>
      <c r="CC24" s="108"/>
      <c r="CD24" s="108"/>
      <c r="CE24" s="108"/>
      <c r="CF24" s="108"/>
      <c r="CG24" s="108"/>
      <c r="CH24" s="108"/>
      <c r="CI24" s="108"/>
      <c r="CJ24" s="108"/>
      <c r="CK24" s="108"/>
      <c r="CL24" s="108"/>
      <c r="CM24" s="108"/>
      <c r="CN24" s="108"/>
      <c r="CO24" s="108"/>
      <c r="CP24" s="108"/>
      <c r="CQ24" s="108"/>
      <c r="CR24" s="108"/>
      <c r="CS24" s="108"/>
      <c r="CT24" s="108"/>
      <c r="CU24" s="108"/>
      <c r="CV24" s="108"/>
      <c r="CW24" s="108"/>
      <c r="CX24" s="108"/>
      <c r="CY24" s="108"/>
      <c r="CZ24" s="108"/>
      <c r="DA24" s="108"/>
      <c r="DB24" s="108"/>
      <c r="DC24" s="108"/>
      <c r="DD24" s="108"/>
      <c r="DE24" s="108"/>
      <c r="DF24" s="108"/>
      <c r="DG24" s="108"/>
      <c r="DH24" s="108"/>
      <c r="DI24" s="108"/>
      <c r="DJ24" s="108"/>
      <c r="DK24" s="108"/>
      <c r="DL24" s="108"/>
      <c r="DM24" s="108"/>
      <c r="DN24" s="108"/>
      <c r="DO24" s="108"/>
      <c r="DP24" s="108"/>
      <c r="DQ24" s="108"/>
      <c r="DR24" s="108"/>
      <c r="DS24" s="108"/>
      <c r="DT24" s="108"/>
      <c r="DU24" s="108"/>
      <c r="DV24" s="108"/>
      <c r="DW24" s="108"/>
      <c r="DX24" s="108"/>
      <c r="DY24" s="108"/>
      <c r="DZ24" s="108"/>
      <c r="EA24" s="108"/>
      <c r="EB24" s="108"/>
      <c r="EC24" s="108"/>
      <c r="ED24" s="108"/>
      <c r="EE24" s="108"/>
      <c r="EF24" s="108"/>
      <c r="EG24" s="108"/>
      <c r="EH24" s="108"/>
      <c r="EI24" s="108"/>
      <c r="EJ24" s="108"/>
      <c r="EK24" s="108"/>
      <c r="EL24" s="108"/>
      <c r="EM24" s="108"/>
      <c r="EN24" s="108"/>
      <c r="EO24" s="108"/>
      <c r="EP24" s="108"/>
      <c r="EQ24" s="108"/>
      <c r="ER24" s="108"/>
      <c r="ES24" s="108"/>
      <c r="ET24" s="108"/>
      <c r="EU24" s="108"/>
      <c r="EV24" s="108"/>
      <c r="EW24" s="108"/>
      <c r="EX24" s="108"/>
      <c r="EY24" s="108"/>
      <c r="EZ24" s="108"/>
      <c r="FA24" s="108"/>
      <c r="FB24" s="108"/>
      <c r="FC24" s="108"/>
      <c r="FD24" s="108"/>
      <c r="FE24" s="108"/>
      <c r="FF24" s="108"/>
      <c r="FG24" s="108"/>
      <c r="FH24" s="108"/>
      <c r="FI24" s="108"/>
      <c r="FJ24" s="108"/>
      <c r="FK24" s="108"/>
      <c r="FL24" s="108"/>
      <c r="FM24" s="108"/>
      <c r="FN24" s="108"/>
      <c r="FO24" s="108"/>
      <c r="FP24" s="108"/>
      <c r="FQ24" s="108"/>
      <c r="FR24" s="108"/>
      <c r="FS24" s="108"/>
      <c r="FT24" s="108"/>
      <c r="FU24" s="108"/>
      <c r="FV24" s="108"/>
      <c r="FW24" s="108"/>
      <c r="FX24" s="108"/>
      <c r="FY24" s="108"/>
      <c r="FZ24" s="108"/>
      <c r="GA24" s="108"/>
      <c r="GB24" s="108"/>
      <c r="GC24" s="108"/>
      <c r="GD24" s="108"/>
      <c r="GE24" s="108"/>
      <c r="GF24" s="108"/>
      <c r="GG24" s="108"/>
      <c r="GH24" s="108"/>
      <c r="GI24" s="108"/>
      <c r="GJ24" s="108"/>
      <c r="GK24" s="108"/>
      <c r="GL24" s="108"/>
      <c r="GM24" s="108"/>
      <c r="GN24" s="108"/>
      <c r="GO24" s="108"/>
      <c r="GP24" s="108"/>
      <c r="GQ24" s="108"/>
      <c r="GR24" s="108"/>
      <c r="GS24" s="108"/>
      <c r="GT24" s="108"/>
      <c r="GU24" s="108"/>
      <c r="GV24" s="108"/>
      <c r="GW24" s="108"/>
      <c r="GX24" s="108"/>
      <c r="GY24" s="108"/>
      <c r="GZ24" s="108"/>
      <c r="HA24" s="108"/>
      <c r="HB24" s="108"/>
      <c r="HC24" s="108"/>
      <c r="HD24" s="108"/>
      <c r="HE24" s="108"/>
      <c r="HF24" s="108"/>
      <c r="HG24" s="108"/>
      <c r="HH24" s="108"/>
      <c r="HI24" s="108"/>
      <c r="HJ24" s="108"/>
      <c r="HK24" s="108"/>
      <c r="HL24" s="108"/>
      <c r="HM24" s="108"/>
      <c r="HN24" s="108"/>
      <c r="HO24" s="108"/>
      <c r="HP24" s="108"/>
      <c r="HQ24" s="108"/>
      <c r="HR24" s="108"/>
      <c r="HS24" s="108"/>
      <c r="HT24" s="108"/>
      <c r="HU24" s="108"/>
      <c r="HV24" s="108"/>
      <c r="HW24" s="108"/>
      <c r="HX24" s="108"/>
      <c r="HY24" s="108"/>
      <c r="HZ24" s="108"/>
      <c r="IA24" s="108"/>
      <c r="IB24" s="108"/>
      <c r="IC24" s="108"/>
      <c r="ID24" s="108"/>
      <c r="IE24" s="108"/>
      <c r="IF24" s="108"/>
      <c r="IG24" s="108"/>
      <c r="IH24" s="108"/>
      <c r="II24" s="108"/>
      <c r="IJ24" s="108"/>
      <c r="IK24" s="108"/>
      <c r="IL24" s="108"/>
      <c r="IM24" s="108"/>
      <c r="IN24" s="108"/>
      <c r="IO24" s="108"/>
      <c r="IP24" s="108"/>
      <c r="IQ24" s="108"/>
      <c r="IR24" s="108"/>
      <c r="IS24" s="108"/>
      <c r="IT24" s="108"/>
      <c r="IU24" s="108"/>
      <c r="IV24" s="108"/>
    </row>
    <row r="25" spans="1:256">
      <c r="B25" s="93"/>
      <c r="C25" s="96"/>
      <c r="D25" s="96"/>
      <c r="E25" s="96"/>
      <c r="F25" s="96"/>
      <c r="G25" s="97"/>
      <c r="H25" s="97"/>
      <c r="I25" s="97"/>
      <c r="J25" s="97"/>
      <c r="K25" s="97"/>
      <c r="L25" s="97"/>
      <c r="M25" s="97"/>
      <c r="N25" s="96"/>
      <c r="O25" s="96"/>
      <c r="P25" s="96"/>
      <c r="Q25" s="96"/>
      <c r="R25" s="96"/>
      <c r="S25" s="96"/>
      <c r="T25" s="96"/>
      <c r="U25" s="96"/>
      <c r="V25" s="96"/>
      <c r="W25" s="96"/>
      <c r="X25" s="96"/>
      <c r="Y25" s="96"/>
      <c r="Z25" s="96"/>
      <c r="AA25" s="96"/>
      <c r="AB25" s="99"/>
      <c r="AC25"/>
    </row>
    <row r="26" spans="1:256" ht="15" thickBot="1">
      <c r="B26" s="116" t="s">
        <v>927</v>
      </c>
      <c r="C26" s="117"/>
      <c r="D26" s="117"/>
      <c r="E26" s="117"/>
      <c r="F26" s="117"/>
      <c r="G26" s="118"/>
      <c r="H26" s="118"/>
      <c r="I26" s="118"/>
      <c r="J26" s="118"/>
      <c r="K26" s="118"/>
      <c r="L26" s="118"/>
      <c r="M26" s="118"/>
      <c r="N26" s="117"/>
      <c r="O26" s="117"/>
      <c r="P26" s="117"/>
      <c r="Q26" s="117"/>
      <c r="R26" s="117"/>
      <c r="S26" s="117"/>
      <c r="T26" s="117"/>
      <c r="U26" s="117"/>
      <c r="V26" s="117"/>
      <c r="W26" s="117"/>
      <c r="X26" s="117"/>
      <c r="Y26" s="117"/>
      <c r="Z26" s="117"/>
      <c r="AA26" s="117"/>
      <c r="AB26" s="119"/>
      <c r="AC26"/>
    </row>
    <row r="27" spans="1:256">
      <c r="B27" s="120"/>
      <c r="C27" s="96"/>
      <c r="D27" s="96"/>
      <c r="E27" s="96"/>
      <c r="F27" s="96"/>
      <c r="G27" s="97"/>
      <c r="H27" s="97"/>
      <c r="I27" s="97"/>
      <c r="J27" s="97"/>
      <c r="K27" s="97"/>
      <c r="L27" s="97"/>
      <c r="M27" s="97"/>
      <c r="N27" s="96"/>
      <c r="O27" s="96"/>
      <c r="P27" s="96"/>
      <c r="Q27" s="96"/>
      <c r="R27" s="96"/>
      <c r="S27" s="96"/>
      <c r="T27" s="96"/>
      <c r="U27" s="96"/>
      <c r="V27" s="96"/>
      <c r="W27" s="96"/>
      <c r="X27" s="96"/>
      <c r="Y27" s="96"/>
      <c r="Z27" s="96"/>
      <c r="AA27" s="96"/>
      <c r="AB27" s="99"/>
      <c r="AC27"/>
    </row>
    <row r="28" spans="1:256">
      <c r="B28" s="447"/>
      <c r="C28" s="448"/>
      <c r="D28" s="448"/>
      <c r="E28" s="448"/>
      <c r="F28" s="448"/>
      <c r="G28" s="448"/>
      <c r="H28" s="448"/>
      <c r="I28" s="448"/>
      <c r="J28" s="448"/>
      <c r="K28" s="448"/>
      <c r="L28" s="448"/>
      <c r="M28" s="448"/>
      <c r="N28" s="448"/>
      <c r="O28" s="448"/>
      <c r="P28" s="448"/>
      <c r="Q28" s="448"/>
      <c r="R28" s="448"/>
      <c r="S28" s="448"/>
      <c r="T28" s="448"/>
      <c r="U28" s="448"/>
      <c r="V28" s="448"/>
      <c r="W28" s="448"/>
      <c r="X28" s="448"/>
      <c r="Y28" s="448"/>
      <c r="Z28" s="448"/>
      <c r="AA28" s="448"/>
      <c r="AB28" s="449"/>
      <c r="AC28"/>
    </row>
    <row r="29" spans="1:256">
      <c r="B29" s="255"/>
      <c r="C29" s="256"/>
      <c r="D29" s="256"/>
      <c r="E29" s="256"/>
      <c r="F29" s="256"/>
      <c r="G29" s="256"/>
      <c r="H29" s="256"/>
      <c r="I29" s="256"/>
      <c r="J29" s="256"/>
      <c r="K29" s="256"/>
      <c r="L29" s="256"/>
      <c r="M29" s="256"/>
      <c r="N29" s="256"/>
      <c r="O29" s="256"/>
      <c r="P29" s="256"/>
      <c r="Q29" s="256"/>
      <c r="R29" s="256"/>
      <c r="S29" s="256"/>
      <c r="T29" s="256"/>
      <c r="U29" s="256"/>
      <c r="V29" s="256"/>
      <c r="W29" s="256"/>
      <c r="X29" s="256"/>
      <c r="Y29" s="256"/>
      <c r="Z29" s="256"/>
      <c r="AA29" s="256"/>
      <c r="AB29" s="257"/>
      <c r="AC29"/>
    </row>
    <row r="30" spans="1:256">
      <c r="B30" s="447"/>
      <c r="C30" s="448"/>
      <c r="D30" s="448"/>
      <c r="E30" s="448"/>
      <c r="F30" s="448"/>
      <c r="G30" s="448"/>
      <c r="H30" s="448"/>
      <c r="I30" s="448"/>
      <c r="J30" s="448"/>
      <c r="K30" s="448"/>
      <c r="L30" s="448"/>
      <c r="M30" s="448"/>
      <c r="N30" s="448"/>
      <c r="O30" s="448"/>
      <c r="P30" s="448"/>
      <c r="Q30" s="448"/>
      <c r="R30" s="448"/>
      <c r="S30" s="448"/>
      <c r="T30" s="448"/>
      <c r="U30" s="448"/>
      <c r="V30" s="448"/>
      <c r="W30" s="448"/>
      <c r="X30" s="448"/>
      <c r="Y30" s="448"/>
      <c r="Z30" s="448"/>
      <c r="AA30" s="448"/>
      <c r="AB30" s="449"/>
      <c r="AC30"/>
    </row>
    <row r="31" spans="1:256">
      <c r="B31" s="450"/>
      <c r="C31" s="451"/>
      <c r="D31" s="451"/>
      <c r="E31" s="451"/>
      <c r="F31" s="451"/>
      <c r="G31" s="451"/>
      <c r="H31" s="451"/>
      <c r="I31" s="451"/>
      <c r="J31" s="451"/>
      <c r="K31" s="451"/>
      <c r="L31" s="451"/>
      <c r="M31" s="451"/>
      <c r="N31" s="451"/>
      <c r="O31" s="451"/>
      <c r="P31" s="451"/>
      <c r="Q31" s="451"/>
      <c r="R31" s="451"/>
      <c r="S31" s="451"/>
      <c r="T31" s="451"/>
      <c r="U31" s="451"/>
      <c r="V31" s="451"/>
      <c r="W31" s="451"/>
      <c r="X31" s="451"/>
      <c r="Y31" s="451"/>
      <c r="Z31" s="451"/>
      <c r="AA31" s="451"/>
      <c r="AB31" s="452"/>
      <c r="AC31"/>
    </row>
    <row r="32" spans="1:256">
      <c r="B32" s="450"/>
      <c r="C32" s="451"/>
      <c r="D32" s="451"/>
      <c r="E32" s="451"/>
      <c r="F32" s="451"/>
      <c r="G32" s="451"/>
      <c r="H32" s="451"/>
      <c r="I32" s="451"/>
      <c r="J32" s="451"/>
      <c r="K32" s="451"/>
      <c r="L32" s="451"/>
      <c r="M32" s="451"/>
      <c r="N32" s="451"/>
      <c r="O32" s="451"/>
      <c r="P32" s="451"/>
      <c r="Q32" s="451"/>
      <c r="R32" s="451"/>
      <c r="S32" s="451"/>
      <c r="T32" s="451"/>
      <c r="U32" s="451"/>
      <c r="V32" s="451"/>
      <c r="W32" s="451"/>
      <c r="X32" s="451"/>
      <c r="Y32" s="451"/>
      <c r="Z32" s="451"/>
      <c r="AA32" s="451"/>
      <c r="AB32" s="452"/>
      <c r="AC32"/>
    </row>
    <row r="33" spans="2:29">
      <c r="B33" s="450"/>
      <c r="C33" s="451"/>
      <c r="D33" s="451"/>
      <c r="E33" s="451"/>
      <c r="F33" s="451"/>
      <c r="G33" s="451"/>
      <c r="H33" s="451"/>
      <c r="I33" s="451"/>
      <c r="J33" s="451"/>
      <c r="K33" s="451"/>
      <c r="L33" s="451"/>
      <c r="M33" s="451"/>
      <c r="N33" s="451"/>
      <c r="O33" s="451"/>
      <c r="P33" s="451"/>
      <c r="Q33" s="451"/>
      <c r="R33" s="451"/>
      <c r="S33" s="451"/>
      <c r="T33" s="451"/>
      <c r="U33" s="451"/>
      <c r="V33" s="451"/>
      <c r="W33" s="451"/>
      <c r="X33" s="451"/>
      <c r="Y33" s="451"/>
      <c r="Z33" s="451"/>
      <c r="AA33" s="451"/>
      <c r="AB33" s="452"/>
      <c r="AC33"/>
    </row>
    <row r="34" spans="2:29" ht="15" thickBot="1">
      <c r="B34" s="433"/>
      <c r="C34" s="434"/>
      <c r="D34" s="434"/>
      <c r="E34" s="434"/>
      <c r="F34" s="434"/>
      <c r="G34" s="434"/>
      <c r="H34" s="434"/>
      <c r="I34" s="434"/>
      <c r="J34" s="434"/>
      <c r="K34" s="434"/>
      <c r="L34" s="434"/>
      <c r="M34" s="434"/>
      <c r="N34" s="434"/>
      <c r="O34" s="434"/>
      <c r="P34" s="434"/>
      <c r="Q34" s="434"/>
      <c r="R34" s="434"/>
      <c r="S34" s="434"/>
      <c r="T34" s="434"/>
      <c r="U34" s="434"/>
      <c r="V34" s="434"/>
      <c r="W34" s="434"/>
      <c r="X34" s="434"/>
      <c r="Y34" s="434"/>
      <c r="Z34" s="434"/>
      <c r="AA34" s="434"/>
      <c r="AB34" s="435"/>
      <c r="AC34"/>
    </row>
  </sheetData>
  <mergeCells count="21">
    <mergeCell ref="B34:AB34"/>
    <mergeCell ref="T5:Y5"/>
    <mergeCell ref="AA5:AB5"/>
    <mergeCell ref="B6:AB6"/>
    <mergeCell ref="D22:D24"/>
    <mergeCell ref="X22:X24"/>
    <mergeCell ref="Y22:Y24"/>
    <mergeCell ref="Z22:Z24"/>
    <mergeCell ref="AA22:AA24"/>
    <mergeCell ref="E23:W23"/>
    <mergeCell ref="B28:AB28"/>
    <mergeCell ref="B30:AB30"/>
    <mergeCell ref="B31:AB31"/>
    <mergeCell ref="B32:AB32"/>
    <mergeCell ref="B33:AB33"/>
    <mergeCell ref="B2:AB2"/>
    <mergeCell ref="T3:Y3"/>
    <mergeCell ref="AA3:AB3"/>
    <mergeCell ref="C4:J4"/>
    <mergeCell ref="T4:Y4"/>
    <mergeCell ref="AA4:AB4"/>
  </mergeCells>
  <dataValidations count="2">
    <dataValidation type="list" allowBlank="1" showInputMessage="1" showErrorMessage="1" sqref="T5:Y5">
      <formula1>"PRIMEIRO QUARTIL, QUARTIL MÉDIO, TERCEIRO QUARTIL"</formula1>
    </dataValidation>
    <dataValidation type="list" allowBlank="1" showInputMessage="1" showErrorMessage="1" sqref="B6:AB6">
      <formula1>$AG$2:$AG$7</formula1>
    </dataValidation>
  </dataValidations>
  <pageMargins left="0.511811024" right="0.511811024" top="0.78740157499999996" bottom="0.78740157499999996" header="0.31496062000000002" footer="0.31496062000000002"/>
</worksheet>
</file>

<file path=xl/worksheets/sheet12.xml><?xml version="1.0" encoding="utf-8"?>
<worksheet xmlns="http://schemas.openxmlformats.org/spreadsheetml/2006/main" xmlns:r="http://schemas.openxmlformats.org/officeDocument/2006/relationships">
  <sheetPr>
    <tabColor rgb="FFFFFF00"/>
  </sheetPr>
  <dimension ref="A1:O65536"/>
  <sheetViews>
    <sheetView view="pageBreakPreview" topLeftCell="A446" zoomScaleNormal="40" zoomScaleSheetLayoutView="100" zoomScalePageLayoutView="70" workbookViewId="0">
      <selection activeCell="J451" sqref="J451"/>
    </sheetView>
  </sheetViews>
  <sheetFormatPr defaultRowHeight="14.4"/>
  <cols>
    <col min="1" max="1" width="8.44140625" style="1" customWidth="1"/>
    <col min="2" max="2" width="12.88671875" style="2" customWidth="1"/>
    <col min="3" max="3" width="12.88671875" style="3" customWidth="1"/>
    <col min="4" max="4" width="31.6640625" style="4" customWidth="1"/>
    <col min="5" max="5" width="9.33203125" style="5" customWidth="1"/>
    <col min="6" max="9" width="9.33203125" style="6" customWidth="1"/>
    <col min="10" max="10" width="9.33203125" style="7" customWidth="1"/>
    <col min="11" max="12" width="14.5546875" style="7" customWidth="1"/>
    <col min="13" max="13" width="10.33203125" bestFit="1" customWidth="1"/>
    <col min="14" max="14" width="16" bestFit="1" customWidth="1"/>
    <col min="15" max="15" width="14.44140625" bestFit="1" customWidth="1"/>
  </cols>
  <sheetData>
    <row r="1" spans="1:15" ht="15" thickBot="1">
      <c r="C1" s="246"/>
    </row>
    <row r="2" spans="1:15" ht="17.25" customHeight="1" thickBot="1">
      <c r="A2" s="263"/>
      <c r="B2" s="264"/>
      <c r="C2" s="264"/>
      <c r="D2" s="264"/>
      <c r="E2" s="267" t="s">
        <v>0</v>
      </c>
      <c r="F2" s="268"/>
      <c r="G2" s="268"/>
      <c r="H2" s="268"/>
      <c r="I2" s="268"/>
      <c r="J2" s="269"/>
      <c r="K2" s="283" t="s">
        <v>1</v>
      </c>
      <c r="L2" s="156" t="s">
        <v>2</v>
      </c>
    </row>
    <row r="3" spans="1:15" ht="17.25" customHeight="1" thickBot="1">
      <c r="A3" s="265"/>
      <c r="B3" s="266"/>
      <c r="C3" s="266"/>
      <c r="D3" s="266"/>
      <c r="E3" s="270"/>
      <c r="F3" s="271"/>
      <c r="G3" s="271"/>
      <c r="H3" s="271"/>
      <c r="I3" s="271"/>
      <c r="J3" s="272"/>
      <c r="K3" s="284"/>
      <c r="L3" s="157" t="s">
        <v>3</v>
      </c>
    </row>
    <row r="4" spans="1:15" ht="17.25" customHeight="1" thickBot="1">
      <c r="A4" s="265"/>
      <c r="B4" s="266"/>
      <c r="C4" s="266"/>
      <c r="D4" s="266"/>
      <c r="E4" s="270"/>
      <c r="F4" s="271"/>
      <c r="G4" s="271"/>
      <c r="H4" s="271"/>
      <c r="I4" s="271"/>
      <c r="J4" s="272"/>
      <c r="K4" s="8"/>
      <c r="L4" s="158" t="s">
        <v>4</v>
      </c>
    </row>
    <row r="5" spans="1:15" ht="14.25" customHeight="1" thickBot="1">
      <c r="A5" s="265"/>
      <c r="B5" s="266"/>
      <c r="C5" s="266"/>
      <c r="D5" s="266"/>
      <c r="E5" s="270"/>
      <c r="F5" s="271"/>
      <c r="G5" s="271"/>
      <c r="H5" s="271"/>
      <c r="I5" s="271"/>
      <c r="J5" s="272"/>
      <c r="K5" s="9">
        <v>0.2223</v>
      </c>
      <c r="L5" s="159">
        <v>46050</v>
      </c>
    </row>
    <row r="6" spans="1:15" ht="12.75" customHeight="1" thickBot="1">
      <c r="A6" s="265"/>
      <c r="B6" s="266"/>
      <c r="C6" s="266"/>
      <c r="D6" s="266"/>
      <c r="E6" s="270"/>
      <c r="F6" s="271"/>
      <c r="G6" s="271"/>
      <c r="H6" s="271"/>
      <c r="I6" s="271"/>
      <c r="J6" s="272"/>
      <c r="K6" s="276" t="s">
        <v>5</v>
      </c>
      <c r="L6" s="277"/>
    </row>
    <row r="7" spans="1:15" ht="12.75" customHeight="1" thickBot="1">
      <c r="A7" s="265"/>
      <c r="B7" s="266"/>
      <c r="C7" s="266"/>
      <c r="D7" s="266"/>
      <c r="E7" s="273"/>
      <c r="F7" s="274"/>
      <c r="G7" s="274"/>
      <c r="H7" s="274"/>
      <c r="I7" s="274"/>
      <c r="J7" s="275"/>
      <c r="K7" s="278"/>
      <c r="L7" s="279"/>
    </row>
    <row r="8" spans="1:15" ht="12.75" customHeight="1" thickBot="1">
      <c r="A8" s="265"/>
      <c r="B8" s="266"/>
      <c r="C8" s="266"/>
      <c r="D8" s="266"/>
      <c r="E8" s="280" t="s">
        <v>6</v>
      </c>
      <c r="F8" s="280"/>
      <c r="G8" s="280"/>
      <c r="H8" s="280"/>
      <c r="I8" s="280"/>
      <c r="J8" s="280"/>
      <c r="K8" s="278" t="s">
        <v>7</v>
      </c>
      <c r="L8" s="279"/>
    </row>
    <row r="9" spans="1:15" ht="15" thickBot="1">
      <c r="A9" s="384"/>
      <c r="B9" s="307"/>
      <c r="C9" s="307"/>
      <c r="D9" s="307"/>
      <c r="E9" s="385"/>
      <c r="F9" s="385"/>
      <c r="G9" s="385"/>
      <c r="H9" s="385"/>
      <c r="I9" s="385"/>
      <c r="J9" s="385"/>
      <c r="K9" s="278" t="s">
        <v>8</v>
      </c>
      <c r="L9" s="279"/>
    </row>
    <row r="10" spans="1:15" ht="32.25" customHeight="1" thickBot="1">
      <c r="A10" s="386" t="s">
        <v>9</v>
      </c>
      <c r="B10" s="388" t="s">
        <v>591</v>
      </c>
      <c r="C10" s="389"/>
      <c r="D10" s="392" t="s">
        <v>592</v>
      </c>
      <c r="E10" s="394" t="s">
        <v>593</v>
      </c>
      <c r="F10" s="381" t="s">
        <v>507</v>
      </c>
      <c r="G10" s="381" t="s">
        <v>594</v>
      </c>
      <c r="H10" s="381" t="s">
        <v>595</v>
      </c>
      <c r="I10" s="383" t="s">
        <v>510</v>
      </c>
      <c r="J10" s="396" t="s">
        <v>596</v>
      </c>
      <c r="K10" s="398" t="s">
        <v>586</v>
      </c>
      <c r="L10" s="376" t="s">
        <v>13</v>
      </c>
    </row>
    <row r="11" spans="1:15" ht="15.75" customHeight="1" thickBot="1">
      <c r="A11" s="387"/>
      <c r="B11" s="390"/>
      <c r="C11" s="391"/>
      <c r="D11" s="393"/>
      <c r="E11" s="395"/>
      <c r="F11" s="382"/>
      <c r="G11" s="382"/>
      <c r="H11" s="382"/>
      <c r="I11" s="382"/>
      <c r="J11" s="397"/>
      <c r="K11" s="399"/>
      <c r="L11" s="377"/>
      <c r="M11" s="16"/>
      <c r="N11" s="65"/>
      <c r="O11" s="65"/>
    </row>
    <row r="12" spans="1:15">
      <c r="A12" s="174"/>
      <c r="B12" s="175"/>
      <c r="C12" s="175"/>
      <c r="D12" s="213"/>
      <c r="E12" s="253"/>
      <c r="F12" s="214"/>
      <c r="G12" s="214"/>
      <c r="H12" s="214"/>
      <c r="I12" s="214"/>
      <c r="J12" s="175"/>
      <c r="K12" s="378"/>
      <c r="L12" s="379"/>
    </row>
    <row r="13" spans="1:15" hidden="1">
      <c r="A13" s="215">
        <v>1.1000000000000001</v>
      </c>
      <c r="B13" s="361"/>
      <c r="C13" s="361"/>
      <c r="D13" s="171"/>
      <c r="E13" s="252"/>
      <c r="F13" s="172"/>
      <c r="G13" s="172"/>
      <c r="H13" s="172"/>
      <c r="I13" s="172"/>
      <c r="J13" s="173"/>
      <c r="K13" s="380"/>
      <c r="L13" s="375"/>
    </row>
    <row r="14" spans="1:15" hidden="1">
      <c r="A14" s="215">
        <v>1.2</v>
      </c>
      <c r="B14" s="361"/>
      <c r="C14" s="361"/>
      <c r="D14" s="171"/>
      <c r="E14" s="252"/>
      <c r="F14" s="172"/>
      <c r="G14" s="172"/>
      <c r="H14" s="172"/>
      <c r="I14" s="172"/>
      <c r="J14" s="173"/>
      <c r="K14" s="380"/>
      <c r="L14" s="375"/>
    </row>
    <row r="15" spans="1:15" hidden="1">
      <c r="A15" s="215">
        <v>1.3</v>
      </c>
      <c r="B15" s="361"/>
      <c r="C15" s="361"/>
      <c r="D15" s="171"/>
      <c r="E15" s="252"/>
      <c r="F15" s="172"/>
      <c r="G15" s="172"/>
      <c r="H15" s="172"/>
      <c r="I15" s="172"/>
      <c r="J15" s="173"/>
      <c r="K15" s="380"/>
      <c r="L15" s="375"/>
    </row>
    <row r="16" spans="1:15" ht="10.5" customHeight="1" thickBot="1">
      <c r="A16" s="216"/>
      <c r="B16" s="10"/>
      <c r="C16" s="11"/>
      <c r="D16" s="12"/>
      <c r="E16" s="13"/>
      <c r="F16" s="14"/>
      <c r="G16" s="14"/>
      <c r="H16" s="14"/>
      <c r="I16" s="14"/>
      <c r="J16" s="15"/>
      <c r="K16" s="15"/>
      <c r="L16" s="163"/>
    </row>
    <row r="17" spans="1:12" ht="16.2" thickBot="1">
      <c r="A17" s="178">
        <v>2</v>
      </c>
      <c r="B17" s="343" t="s">
        <v>34</v>
      </c>
      <c r="C17" s="343"/>
      <c r="D17" s="343"/>
      <c r="E17" s="343"/>
      <c r="F17" s="343"/>
      <c r="G17" s="343"/>
      <c r="H17" s="343"/>
      <c r="I17" s="343"/>
      <c r="J17" s="343"/>
      <c r="K17" s="343"/>
      <c r="L17" s="344"/>
    </row>
    <row r="18" spans="1:12" ht="10.5" customHeight="1">
      <c r="A18" s="216"/>
      <c r="B18" s="10"/>
      <c r="C18" s="11"/>
      <c r="D18" s="12"/>
      <c r="E18" s="13"/>
      <c r="F18" s="14"/>
      <c r="G18" s="14"/>
      <c r="H18" s="14"/>
      <c r="I18" s="14"/>
      <c r="J18" s="15"/>
      <c r="K18" s="15"/>
      <c r="L18" s="163"/>
    </row>
    <row r="19" spans="1:12">
      <c r="A19" s="374">
        <v>2.1</v>
      </c>
      <c r="B19" s="334" t="s">
        <v>597</v>
      </c>
      <c r="C19" s="335"/>
      <c r="D19" s="171" t="s">
        <v>598</v>
      </c>
      <c r="E19" s="176">
        <v>3.1</v>
      </c>
      <c r="F19" s="176">
        <v>2.95</v>
      </c>
      <c r="G19" s="176">
        <v>0.15</v>
      </c>
      <c r="H19" s="176"/>
      <c r="I19" s="176"/>
      <c r="J19" s="173">
        <f t="shared" ref="J19:J31" si="0">G19*F19*E19</f>
        <v>1.37175</v>
      </c>
      <c r="K19" s="340">
        <f>SUM(J19:J31)</f>
        <v>9.4449000000000005</v>
      </c>
      <c r="L19" s="375" t="s">
        <v>599</v>
      </c>
    </row>
    <row r="20" spans="1:12">
      <c r="A20" s="374"/>
      <c r="B20" s="336"/>
      <c r="C20" s="337"/>
      <c r="D20" s="171" t="s">
        <v>600</v>
      </c>
      <c r="E20" s="176">
        <v>2.65</v>
      </c>
      <c r="F20" s="176">
        <v>2.2000000000000002</v>
      </c>
      <c r="G20" s="176">
        <v>0.15</v>
      </c>
      <c r="H20" s="176"/>
      <c r="I20" s="176"/>
      <c r="J20" s="173">
        <f t="shared" si="0"/>
        <v>0.87450000000000006</v>
      </c>
      <c r="K20" s="340"/>
      <c r="L20" s="375"/>
    </row>
    <row r="21" spans="1:12">
      <c r="A21" s="374"/>
      <c r="B21" s="336"/>
      <c r="C21" s="337"/>
      <c r="D21" s="171" t="s">
        <v>600</v>
      </c>
      <c r="E21" s="176">
        <v>1.18</v>
      </c>
      <c r="F21" s="176">
        <v>2.95</v>
      </c>
      <c r="G21" s="176">
        <v>0.15</v>
      </c>
      <c r="H21" s="176"/>
      <c r="I21" s="176"/>
      <c r="J21" s="173">
        <f t="shared" si="0"/>
        <v>0.52215</v>
      </c>
      <c r="K21" s="340"/>
      <c r="L21" s="375"/>
    </row>
    <row r="22" spans="1:12">
      <c r="A22" s="374"/>
      <c r="B22" s="336"/>
      <c r="C22" s="337"/>
      <c r="D22" s="171" t="s">
        <v>601</v>
      </c>
      <c r="E22" s="176">
        <v>0.9</v>
      </c>
      <c r="F22" s="176">
        <v>2.1</v>
      </c>
      <c r="G22" s="176">
        <v>0.15</v>
      </c>
      <c r="H22" s="176"/>
      <c r="I22" s="176"/>
      <c r="J22" s="173">
        <f t="shared" si="0"/>
        <v>0.28350000000000003</v>
      </c>
      <c r="K22" s="340"/>
      <c r="L22" s="375"/>
    </row>
    <row r="23" spans="1:12">
      <c r="A23" s="374"/>
      <c r="B23" s="336"/>
      <c r="C23" s="337"/>
      <c r="D23" s="171" t="s">
        <v>602</v>
      </c>
      <c r="E23" s="176">
        <v>0.9</v>
      </c>
      <c r="F23" s="176">
        <v>2.1</v>
      </c>
      <c r="G23" s="176">
        <v>0.15</v>
      </c>
      <c r="H23" s="176"/>
      <c r="I23" s="176"/>
      <c r="J23" s="173">
        <f t="shared" si="0"/>
        <v>0.28350000000000003</v>
      </c>
      <c r="K23" s="340"/>
      <c r="L23" s="375"/>
    </row>
    <row r="24" spans="1:12">
      <c r="A24" s="374"/>
      <c r="B24" s="336"/>
      <c r="C24" s="337"/>
      <c r="D24" s="171" t="s">
        <v>603</v>
      </c>
      <c r="E24" s="176">
        <v>0.9</v>
      </c>
      <c r="F24" s="176">
        <v>2.1</v>
      </c>
      <c r="G24" s="176">
        <v>0.15</v>
      </c>
      <c r="H24" s="176"/>
      <c r="I24" s="176"/>
      <c r="J24" s="173">
        <f t="shared" si="0"/>
        <v>0.28350000000000003</v>
      </c>
      <c r="K24" s="340"/>
      <c r="L24" s="375"/>
    </row>
    <row r="25" spans="1:12">
      <c r="A25" s="374"/>
      <c r="B25" s="336"/>
      <c r="C25" s="337"/>
      <c r="D25" s="171" t="s">
        <v>604</v>
      </c>
      <c r="E25" s="176">
        <v>1.6</v>
      </c>
      <c r="F25" s="176">
        <v>2.2000000000000002</v>
      </c>
      <c r="G25" s="176">
        <v>0.15</v>
      </c>
      <c r="H25" s="176"/>
      <c r="I25" s="176"/>
      <c r="J25" s="173">
        <f t="shared" si="0"/>
        <v>0.52800000000000002</v>
      </c>
      <c r="K25" s="340"/>
      <c r="L25" s="375"/>
    </row>
    <row r="26" spans="1:12">
      <c r="A26" s="374"/>
      <c r="B26" s="336"/>
      <c r="C26" s="337"/>
      <c r="D26" s="171" t="s">
        <v>605</v>
      </c>
      <c r="E26" s="176">
        <v>0.9</v>
      </c>
      <c r="F26" s="176">
        <v>2.1</v>
      </c>
      <c r="G26" s="176">
        <v>0.15</v>
      </c>
      <c r="H26" s="176"/>
      <c r="I26" s="176"/>
      <c r="J26" s="173">
        <f t="shared" si="0"/>
        <v>0.28350000000000003</v>
      </c>
      <c r="K26" s="340"/>
      <c r="L26" s="375"/>
    </row>
    <row r="27" spans="1:12">
      <c r="A27" s="374"/>
      <c r="B27" s="336"/>
      <c r="C27" s="337"/>
      <c r="D27" s="171" t="s">
        <v>606</v>
      </c>
      <c r="E27" s="176">
        <v>0.9</v>
      </c>
      <c r="F27" s="176">
        <v>2.1</v>
      </c>
      <c r="G27" s="176">
        <v>0.15</v>
      </c>
      <c r="H27" s="176"/>
      <c r="I27" s="176"/>
      <c r="J27" s="173">
        <f t="shared" si="0"/>
        <v>0.28350000000000003</v>
      </c>
      <c r="K27" s="340"/>
      <c r="L27" s="375"/>
    </row>
    <row r="28" spans="1:12">
      <c r="A28" s="374"/>
      <c r="B28" s="336"/>
      <c r="C28" s="337"/>
      <c r="D28" s="171" t="s">
        <v>607</v>
      </c>
      <c r="E28" s="176">
        <v>1.6</v>
      </c>
      <c r="F28" s="176">
        <v>2.2000000000000002</v>
      </c>
      <c r="G28" s="176">
        <v>0.15</v>
      </c>
      <c r="H28" s="176"/>
      <c r="I28" s="176"/>
      <c r="J28" s="173">
        <f t="shared" si="0"/>
        <v>0.52800000000000002</v>
      </c>
      <c r="K28" s="340"/>
      <c r="L28" s="375"/>
    </row>
    <row r="29" spans="1:12">
      <c r="A29" s="374"/>
      <c r="B29" s="336"/>
      <c r="C29" s="337"/>
      <c r="D29" s="171" t="s">
        <v>608</v>
      </c>
      <c r="E29" s="176">
        <v>9.52</v>
      </c>
      <c r="F29" s="176">
        <v>1</v>
      </c>
      <c r="G29" s="176">
        <v>0.15</v>
      </c>
      <c r="H29" s="176"/>
      <c r="I29" s="176"/>
      <c r="J29" s="173">
        <f t="shared" si="0"/>
        <v>1.4279999999999999</v>
      </c>
      <c r="K29" s="340"/>
      <c r="L29" s="375"/>
    </row>
    <row r="30" spans="1:12">
      <c r="A30" s="374"/>
      <c r="B30" s="336"/>
      <c r="C30" s="337"/>
      <c r="D30" s="171" t="s">
        <v>609</v>
      </c>
      <c r="E30" s="176">
        <v>1.6</v>
      </c>
      <c r="F30" s="176">
        <v>1.5</v>
      </c>
      <c r="G30" s="176">
        <v>0.15</v>
      </c>
      <c r="H30" s="176"/>
      <c r="I30" s="176"/>
      <c r="J30" s="173">
        <f t="shared" si="0"/>
        <v>0.36</v>
      </c>
      <c r="K30" s="340"/>
      <c r="L30" s="375"/>
    </row>
    <row r="31" spans="1:12">
      <c r="A31" s="374"/>
      <c r="B31" s="338"/>
      <c r="C31" s="339"/>
      <c r="D31" s="171" t="s">
        <v>610</v>
      </c>
      <c r="E31" s="176">
        <f>1.9+2.2+1.7+2.25</f>
        <v>8.0500000000000007</v>
      </c>
      <c r="F31" s="176">
        <v>2</v>
      </c>
      <c r="G31" s="176">
        <v>0.15</v>
      </c>
      <c r="H31" s="176"/>
      <c r="I31" s="176"/>
      <c r="J31" s="173">
        <f t="shared" si="0"/>
        <v>2.415</v>
      </c>
      <c r="K31" s="340"/>
      <c r="L31" s="375"/>
    </row>
    <row r="32" spans="1:12">
      <c r="A32" s="216"/>
      <c r="B32" s="10"/>
      <c r="C32" s="11"/>
      <c r="D32" s="12"/>
      <c r="E32" s="13"/>
      <c r="F32" s="14"/>
      <c r="G32" s="14"/>
      <c r="H32" s="14"/>
      <c r="I32" s="14"/>
      <c r="J32" s="15"/>
      <c r="K32" s="15"/>
      <c r="L32" s="163"/>
    </row>
    <row r="33" spans="1:12">
      <c r="A33" s="374">
        <v>2.2000000000000002</v>
      </c>
      <c r="B33" s="334" t="s">
        <v>611</v>
      </c>
      <c r="C33" s="335"/>
      <c r="D33" s="171" t="s">
        <v>600</v>
      </c>
      <c r="E33" s="176">
        <v>10.85</v>
      </c>
      <c r="F33" s="176">
        <v>1.5</v>
      </c>
      <c r="G33" s="176"/>
      <c r="H33" s="176"/>
      <c r="I33" s="176">
        <f>(2.1*0.8)</f>
        <v>1.6800000000000002</v>
      </c>
      <c r="J33" s="173">
        <f t="shared" ref="J33:J38" si="1">(E33*F33)-I33</f>
        <v>14.594999999999999</v>
      </c>
      <c r="K33" s="340">
        <f>SUM(J33:J40)</f>
        <v>133.20500000000001</v>
      </c>
      <c r="L33" s="375" t="s">
        <v>42</v>
      </c>
    </row>
    <row r="34" spans="1:12">
      <c r="A34" s="374"/>
      <c r="B34" s="336"/>
      <c r="C34" s="337"/>
      <c r="D34" s="171" t="s">
        <v>612</v>
      </c>
      <c r="E34" s="176">
        <f>(6.6+3.1)</f>
        <v>9.6999999999999993</v>
      </c>
      <c r="F34" s="176">
        <v>2.95</v>
      </c>
      <c r="G34" s="176"/>
      <c r="H34" s="176"/>
      <c r="I34" s="176">
        <f>(0.9*2.1)+(0.4*0.4)</f>
        <v>2.0500000000000003</v>
      </c>
      <c r="J34" s="173">
        <f t="shared" si="1"/>
        <v>26.564999999999998</v>
      </c>
      <c r="K34" s="340"/>
      <c r="L34" s="375"/>
    </row>
    <row r="35" spans="1:12">
      <c r="A35" s="374"/>
      <c r="B35" s="336"/>
      <c r="C35" s="337"/>
      <c r="D35" s="171" t="s">
        <v>613</v>
      </c>
      <c r="E35" s="176">
        <f>(2.9+6.6)</f>
        <v>9.5</v>
      </c>
      <c r="F35" s="176">
        <v>2.95</v>
      </c>
      <c r="G35" s="176"/>
      <c r="H35" s="176"/>
      <c r="I35" s="176">
        <f>(0.6*2.1)+(0.4*0.4)</f>
        <v>1.42</v>
      </c>
      <c r="J35" s="173">
        <f t="shared" si="1"/>
        <v>26.605000000000004</v>
      </c>
      <c r="K35" s="340"/>
      <c r="L35" s="375"/>
    </row>
    <row r="36" spans="1:12">
      <c r="A36" s="374"/>
      <c r="B36" s="336"/>
      <c r="C36" s="337"/>
      <c r="D36" s="171" t="s">
        <v>614</v>
      </c>
      <c r="E36" s="176">
        <f>(6.6+3.1)</f>
        <v>9.6999999999999993</v>
      </c>
      <c r="F36" s="176">
        <v>2.95</v>
      </c>
      <c r="G36" s="176"/>
      <c r="H36" s="176"/>
      <c r="I36" s="176">
        <f>(0.9*2.1)+(0.4*0.4)</f>
        <v>2.0500000000000003</v>
      </c>
      <c r="J36" s="173">
        <f t="shared" si="1"/>
        <v>26.564999999999998</v>
      </c>
      <c r="K36" s="340"/>
      <c r="L36" s="375"/>
    </row>
    <row r="37" spans="1:12">
      <c r="A37" s="374"/>
      <c r="B37" s="336"/>
      <c r="C37" s="337"/>
      <c r="D37" s="171" t="s">
        <v>615</v>
      </c>
      <c r="E37" s="176">
        <f>(2.9+6.6)</f>
        <v>9.5</v>
      </c>
      <c r="F37" s="176">
        <v>2.95</v>
      </c>
      <c r="G37" s="176"/>
      <c r="H37" s="176"/>
      <c r="I37" s="176">
        <f>(0.6*2.1)+(0.4*0.4)</f>
        <v>1.42</v>
      </c>
      <c r="J37" s="173">
        <f t="shared" si="1"/>
        <v>26.605000000000004</v>
      </c>
      <c r="K37" s="340"/>
      <c r="L37" s="375"/>
    </row>
    <row r="38" spans="1:12">
      <c r="A38" s="374"/>
      <c r="B38" s="336"/>
      <c r="C38" s="337"/>
      <c r="D38" s="171" t="s">
        <v>616</v>
      </c>
      <c r="E38" s="176">
        <v>4.8</v>
      </c>
      <c r="F38" s="176">
        <v>2.95</v>
      </c>
      <c r="G38" s="176"/>
      <c r="H38" s="176"/>
      <c r="I38" s="176">
        <f>0.9*2.1</f>
        <v>1.8900000000000001</v>
      </c>
      <c r="J38" s="173">
        <f t="shared" si="1"/>
        <v>12.27</v>
      </c>
      <c r="K38" s="340"/>
      <c r="L38" s="375"/>
    </row>
    <row r="39" spans="1:12">
      <c r="A39" s="374"/>
      <c r="B39" s="336"/>
      <c r="C39" s="337"/>
      <c r="D39" s="171"/>
      <c r="E39" s="176"/>
      <c r="F39" s="176"/>
      <c r="G39" s="176"/>
      <c r="H39" s="176"/>
      <c r="I39" s="176"/>
      <c r="J39" s="173">
        <f>(E39*F39)-G39</f>
        <v>0</v>
      </c>
      <c r="K39" s="340"/>
      <c r="L39" s="375"/>
    </row>
    <row r="40" spans="1:12">
      <c r="A40" s="374"/>
      <c r="B40" s="338"/>
      <c r="C40" s="339"/>
      <c r="D40" s="171"/>
      <c r="E40" s="176"/>
      <c r="F40" s="176"/>
      <c r="G40" s="176"/>
      <c r="H40" s="176"/>
      <c r="I40" s="176"/>
      <c r="J40" s="173">
        <f>(E40*F40)-G40</f>
        <v>0</v>
      </c>
      <c r="K40" s="340"/>
      <c r="L40" s="375"/>
    </row>
    <row r="41" spans="1:12">
      <c r="A41" s="216"/>
      <c r="B41" s="10"/>
      <c r="C41" s="11"/>
      <c r="D41" s="12"/>
      <c r="E41" s="13"/>
      <c r="F41" s="14"/>
      <c r="G41" s="14"/>
      <c r="H41" s="14"/>
      <c r="I41" s="14"/>
      <c r="J41" s="15"/>
      <c r="K41" s="15"/>
      <c r="L41" s="163"/>
    </row>
    <row r="42" spans="1:12">
      <c r="A42" s="374">
        <v>2.2999999999999998</v>
      </c>
      <c r="B42" s="334" t="s">
        <v>617</v>
      </c>
      <c r="C42" s="335"/>
      <c r="D42" s="171" t="s">
        <v>618</v>
      </c>
      <c r="E42" s="176">
        <v>2.95</v>
      </c>
      <c r="F42" s="176"/>
      <c r="G42" s="176">
        <v>3.7</v>
      </c>
      <c r="H42" s="176"/>
      <c r="I42" s="176"/>
      <c r="J42" s="173">
        <f t="shared" ref="J42:J54" si="2">(E42*G42)</f>
        <v>10.915000000000001</v>
      </c>
      <c r="K42" s="340">
        <f>SUM(J42:J54)</f>
        <v>53.533999999999999</v>
      </c>
      <c r="L42" s="375" t="s">
        <v>42</v>
      </c>
    </row>
    <row r="43" spans="1:12">
      <c r="A43" s="374"/>
      <c r="B43" s="336"/>
      <c r="C43" s="337"/>
      <c r="D43" s="171" t="s">
        <v>619</v>
      </c>
      <c r="E43" s="176">
        <v>3.85</v>
      </c>
      <c r="F43" s="176"/>
      <c r="G43" s="176">
        <v>1.18</v>
      </c>
      <c r="H43" s="176"/>
      <c r="I43" s="176"/>
      <c r="J43" s="173">
        <f t="shared" si="2"/>
        <v>4.5430000000000001</v>
      </c>
      <c r="K43" s="340"/>
      <c r="L43" s="375"/>
    </row>
    <row r="44" spans="1:12">
      <c r="A44" s="374"/>
      <c r="B44" s="336"/>
      <c r="C44" s="337"/>
      <c r="D44" s="171" t="s">
        <v>620</v>
      </c>
      <c r="E44" s="176">
        <v>3.5</v>
      </c>
      <c r="F44" s="176"/>
      <c r="G44" s="176">
        <v>4.28</v>
      </c>
      <c r="H44" s="176"/>
      <c r="I44" s="176"/>
      <c r="J44" s="173">
        <f t="shared" si="2"/>
        <v>14.98</v>
      </c>
      <c r="K44" s="340"/>
      <c r="L44" s="375"/>
    </row>
    <row r="45" spans="1:12">
      <c r="A45" s="374"/>
      <c r="B45" s="336"/>
      <c r="C45" s="337"/>
      <c r="D45" s="171" t="s">
        <v>621</v>
      </c>
      <c r="E45" s="176">
        <v>2.06</v>
      </c>
      <c r="F45" s="176"/>
      <c r="G45" s="176">
        <v>1.6</v>
      </c>
      <c r="H45" s="176"/>
      <c r="I45" s="176"/>
      <c r="J45" s="173">
        <f t="shared" si="2"/>
        <v>3.2960000000000003</v>
      </c>
      <c r="K45" s="340"/>
      <c r="L45" s="375"/>
    </row>
    <row r="46" spans="1:12">
      <c r="A46" s="374"/>
      <c r="B46" s="336"/>
      <c r="C46" s="337"/>
      <c r="D46" s="171" t="s">
        <v>622</v>
      </c>
      <c r="E46" s="176">
        <v>3.3</v>
      </c>
      <c r="F46" s="176"/>
      <c r="G46" s="176">
        <v>1.55</v>
      </c>
      <c r="H46" s="176"/>
      <c r="I46" s="176"/>
      <c r="J46" s="173">
        <f t="shared" si="2"/>
        <v>5.1150000000000002</v>
      </c>
      <c r="K46" s="340"/>
      <c r="L46" s="375"/>
    </row>
    <row r="47" spans="1:12">
      <c r="A47" s="374"/>
      <c r="B47" s="336"/>
      <c r="C47" s="337"/>
      <c r="D47" s="171" t="s">
        <v>623</v>
      </c>
      <c r="E47" s="176">
        <v>3.3</v>
      </c>
      <c r="F47" s="176"/>
      <c r="G47" s="176">
        <v>1.45</v>
      </c>
      <c r="H47" s="176"/>
      <c r="I47" s="176"/>
      <c r="J47" s="173">
        <f t="shared" si="2"/>
        <v>4.7849999999999993</v>
      </c>
      <c r="K47" s="340"/>
      <c r="L47" s="375"/>
    </row>
    <row r="48" spans="1:12">
      <c r="A48" s="374"/>
      <c r="B48" s="336"/>
      <c r="C48" s="337"/>
      <c r="D48" s="171" t="s">
        <v>624</v>
      </c>
      <c r="E48" s="176">
        <v>3.3</v>
      </c>
      <c r="F48" s="176"/>
      <c r="G48" s="176">
        <v>1.55</v>
      </c>
      <c r="H48" s="176"/>
      <c r="I48" s="176"/>
      <c r="J48" s="173">
        <f t="shared" si="2"/>
        <v>5.1150000000000002</v>
      </c>
      <c r="K48" s="340"/>
      <c r="L48" s="375"/>
    </row>
    <row r="49" spans="1:12">
      <c r="A49" s="374"/>
      <c r="B49" s="336"/>
      <c r="C49" s="337"/>
      <c r="D49" s="171" t="s">
        <v>625</v>
      </c>
      <c r="E49" s="176">
        <v>3.3</v>
      </c>
      <c r="F49" s="176"/>
      <c r="G49" s="176">
        <v>1.45</v>
      </c>
      <c r="H49" s="176"/>
      <c r="I49" s="176"/>
      <c r="J49" s="173">
        <f t="shared" si="2"/>
        <v>4.7849999999999993</v>
      </c>
      <c r="K49" s="340"/>
      <c r="L49" s="375"/>
    </row>
    <row r="50" spans="1:12">
      <c r="A50" s="374"/>
      <c r="B50" s="336"/>
      <c r="C50" s="337"/>
      <c r="D50" s="171"/>
      <c r="E50" s="176"/>
      <c r="F50" s="176"/>
      <c r="G50" s="176"/>
      <c r="H50" s="176"/>
      <c r="I50" s="176"/>
      <c r="J50" s="173">
        <f t="shared" si="2"/>
        <v>0</v>
      </c>
      <c r="K50" s="340"/>
      <c r="L50" s="375"/>
    </row>
    <row r="51" spans="1:12">
      <c r="A51" s="374"/>
      <c r="B51" s="336"/>
      <c r="C51" s="337"/>
      <c r="D51" s="171"/>
      <c r="E51" s="176"/>
      <c r="F51" s="176"/>
      <c r="G51" s="176"/>
      <c r="H51" s="176"/>
      <c r="I51" s="176"/>
      <c r="J51" s="173">
        <f t="shared" si="2"/>
        <v>0</v>
      </c>
      <c r="K51" s="340"/>
      <c r="L51" s="375"/>
    </row>
    <row r="52" spans="1:12">
      <c r="A52" s="374"/>
      <c r="B52" s="336"/>
      <c r="C52" s="337"/>
      <c r="D52" s="171"/>
      <c r="E52" s="176"/>
      <c r="F52" s="176"/>
      <c r="G52" s="176"/>
      <c r="H52" s="176"/>
      <c r="I52" s="176"/>
      <c r="J52" s="173">
        <f t="shared" si="2"/>
        <v>0</v>
      </c>
      <c r="K52" s="340"/>
      <c r="L52" s="375"/>
    </row>
    <row r="53" spans="1:12">
      <c r="A53" s="374"/>
      <c r="B53" s="336"/>
      <c r="C53" s="337"/>
      <c r="D53" s="171"/>
      <c r="E53" s="176"/>
      <c r="F53" s="176"/>
      <c r="G53" s="176"/>
      <c r="H53" s="176"/>
      <c r="I53" s="176"/>
      <c r="J53" s="173">
        <f t="shared" si="2"/>
        <v>0</v>
      </c>
      <c r="K53" s="340"/>
      <c r="L53" s="375"/>
    </row>
    <row r="54" spans="1:12">
      <c r="A54" s="374"/>
      <c r="B54" s="338"/>
      <c r="C54" s="339"/>
      <c r="D54" s="171"/>
      <c r="E54" s="176"/>
      <c r="F54" s="176"/>
      <c r="G54" s="176"/>
      <c r="H54" s="176"/>
      <c r="I54" s="176"/>
      <c r="J54" s="173">
        <f t="shared" si="2"/>
        <v>0</v>
      </c>
      <c r="K54" s="340"/>
      <c r="L54" s="375"/>
    </row>
    <row r="55" spans="1:12">
      <c r="A55" s="216"/>
      <c r="B55" s="10"/>
      <c r="C55" s="11"/>
      <c r="D55" s="12"/>
      <c r="E55" s="13"/>
      <c r="F55" s="14"/>
      <c r="G55" s="14"/>
      <c r="H55" s="14"/>
      <c r="I55" s="14"/>
      <c r="J55" s="15"/>
      <c r="K55" s="15"/>
      <c r="L55" s="163"/>
    </row>
    <row r="56" spans="1:12">
      <c r="A56" s="250">
        <v>2.4</v>
      </c>
      <c r="B56" s="341" t="s">
        <v>626</v>
      </c>
      <c r="C56" s="342"/>
      <c r="D56" s="171" t="s">
        <v>627</v>
      </c>
      <c r="E56" s="252">
        <v>4.12</v>
      </c>
      <c r="F56" s="172">
        <v>0.12</v>
      </c>
      <c r="G56" s="172">
        <v>2</v>
      </c>
      <c r="H56" s="172"/>
      <c r="I56" s="172"/>
      <c r="J56" s="177">
        <f>G56*F56*E56</f>
        <v>0.98880000000000001</v>
      </c>
      <c r="K56" s="247">
        <f>J56</f>
        <v>0.98880000000000001</v>
      </c>
      <c r="L56" s="251" t="s">
        <v>38</v>
      </c>
    </row>
    <row r="57" spans="1:12">
      <c r="A57" s="216"/>
      <c r="B57" s="10"/>
      <c r="C57" s="11"/>
      <c r="D57" s="12"/>
      <c r="E57" s="13"/>
      <c r="F57" s="14"/>
      <c r="G57" s="14"/>
      <c r="H57" s="14"/>
      <c r="I57" s="14"/>
      <c r="J57" s="15"/>
      <c r="K57" s="15"/>
      <c r="L57" s="163"/>
    </row>
    <row r="58" spans="1:12">
      <c r="A58" s="374">
        <v>2.5</v>
      </c>
      <c r="B58" s="334" t="s">
        <v>628</v>
      </c>
      <c r="C58" s="335"/>
      <c r="D58" s="171" t="s">
        <v>629</v>
      </c>
      <c r="E58" s="176">
        <v>3.25</v>
      </c>
      <c r="F58" s="176">
        <v>0.3</v>
      </c>
      <c r="G58" s="176">
        <v>0.25</v>
      </c>
      <c r="H58" s="176"/>
      <c r="I58" s="176"/>
      <c r="J58" s="173">
        <f t="shared" ref="J58:J70" si="3">G58*F58*E58</f>
        <v>0.24374999999999999</v>
      </c>
      <c r="K58" s="340">
        <f>SUM(J58:J70)*1.3</f>
        <v>7.9082249999999998</v>
      </c>
      <c r="L58" s="375" t="s">
        <v>599</v>
      </c>
    </row>
    <row r="59" spans="1:12">
      <c r="A59" s="374"/>
      <c r="B59" s="336"/>
      <c r="C59" s="337"/>
      <c r="D59" s="171" t="s">
        <v>630</v>
      </c>
      <c r="E59" s="176">
        <v>3.25</v>
      </c>
      <c r="F59" s="176">
        <v>0.3</v>
      </c>
      <c r="G59" s="176">
        <v>0.25</v>
      </c>
      <c r="H59" s="176"/>
      <c r="I59" s="176"/>
      <c r="J59" s="173">
        <f t="shared" si="3"/>
        <v>0.24374999999999999</v>
      </c>
      <c r="K59" s="340"/>
      <c r="L59" s="375"/>
    </row>
    <row r="60" spans="1:12">
      <c r="A60" s="374"/>
      <c r="B60" s="336"/>
      <c r="C60" s="337"/>
      <c r="D60" s="171" t="s">
        <v>630</v>
      </c>
      <c r="E60" s="176">
        <v>3.1</v>
      </c>
      <c r="F60" s="176">
        <v>0.3</v>
      </c>
      <c r="G60" s="176">
        <v>0.25</v>
      </c>
      <c r="H60" s="176"/>
      <c r="I60" s="176"/>
      <c r="J60" s="173">
        <f t="shared" si="3"/>
        <v>0.23249999999999998</v>
      </c>
      <c r="K60" s="340"/>
      <c r="L60" s="375"/>
    </row>
    <row r="61" spans="1:12">
      <c r="A61" s="374"/>
      <c r="B61" s="336"/>
      <c r="C61" s="337"/>
      <c r="D61" s="171" t="s">
        <v>600</v>
      </c>
      <c r="E61" s="176">
        <v>5.6</v>
      </c>
      <c r="F61" s="176">
        <v>0.3</v>
      </c>
      <c r="G61" s="176">
        <v>0.25</v>
      </c>
      <c r="H61" s="176"/>
      <c r="I61" s="176"/>
      <c r="J61" s="173">
        <f t="shared" si="3"/>
        <v>0.42</v>
      </c>
      <c r="K61" s="340"/>
      <c r="L61" s="375"/>
    </row>
    <row r="62" spans="1:12">
      <c r="A62" s="374"/>
      <c r="B62" s="336"/>
      <c r="C62" s="337"/>
      <c r="D62" s="171" t="s">
        <v>631</v>
      </c>
      <c r="E62" s="176">
        <v>1.95</v>
      </c>
      <c r="F62" s="176">
        <v>1.3</v>
      </c>
      <c r="G62" s="176">
        <v>1.95</v>
      </c>
      <c r="H62" s="176"/>
      <c r="I62" s="176"/>
      <c r="J62" s="173">
        <f t="shared" si="3"/>
        <v>4.9432499999999999</v>
      </c>
      <c r="K62" s="340"/>
      <c r="L62" s="375"/>
    </row>
    <row r="63" spans="1:12">
      <c r="A63" s="374"/>
      <c r="B63" s="336"/>
      <c r="C63" s="337"/>
      <c r="D63" s="171" t="s">
        <v>632</v>
      </c>
      <c r="E63" s="176"/>
      <c r="F63" s="176"/>
      <c r="G63" s="176"/>
      <c r="H63" s="176"/>
      <c r="I63" s="176"/>
      <c r="J63" s="173">
        <f t="shared" si="3"/>
        <v>0</v>
      </c>
      <c r="K63" s="340"/>
      <c r="L63" s="375"/>
    </row>
    <row r="64" spans="1:12">
      <c r="A64" s="374"/>
      <c r="B64" s="336"/>
      <c r="C64" s="337"/>
      <c r="D64" s="171"/>
      <c r="E64" s="176"/>
      <c r="F64" s="176"/>
      <c r="G64" s="176"/>
      <c r="H64" s="176"/>
      <c r="I64" s="176"/>
      <c r="J64" s="173">
        <f t="shared" si="3"/>
        <v>0</v>
      </c>
      <c r="K64" s="340"/>
      <c r="L64" s="375"/>
    </row>
    <row r="65" spans="1:12">
      <c r="A65" s="374"/>
      <c r="B65" s="336"/>
      <c r="C65" s="337"/>
      <c r="D65" s="171"/>
      <c r="E65" s="176"/>
      <c r="F65" s="176"/>
      <c r="G65" s="176"/>
      <c r="H65" s="176"/>
      <c r="I65" s="176"/>
      <c r="J65" s="173">
        <f t="shared" si="3"/>
        <v>0</v>
      </c>
      <c r="K65" s="340"/>
      <c r="L65" s="375"/>
    </row>
    <row r="66" spans="1:12">
      <c r="A66" s="374"/>
      <c r="B66" s="336"/>
      <c r="C66" s="337"/>
      <c r="D66" s="171"/>
      <c r="E66" s="176"/>
      <c r="F66" s="176"/>
      <c r="G66" s="176"/>
      <c r="H66" s="176"/>
      <c r="I66" s="176"/>
      <c r="J66" s="173">
        <f t="shared" si="3"/>
        <v>0</v>
      </c>
      <c r="K66" s="340"/>
      <c r="L66" s="375"/>
    </row>
    <row r="67" spans="1:12">
      <c r="A67" s="374"/>
      <c r="B67" s="336"/>
      <c r="C67" s="337"/>
      <c r="D67" s="171"/>
      <c r="E67" s="176"/>
      <c r="F67" s="176"/>
      <c r="G67" s="176"/>
      <c r="H67" s="176"/>
      <c r="I67" s="176"/>
      <c r="J67" s="173">
        <f t="shared" si="3"/>
        <v>0</v>
      </c>
      <c r="K67" s="340"/>
      <c r="L67" s="375"/>
    </row>
    <row r="68" spans="1:12">
      <c r="A68" s="374"/>
      <c r="B68" s="336"/>
      <c r="C68" s="337"/>
      <c r="D68" s="171"/>
      <c r="E68" s="176"/>
      <c r="F68" s="176"/>
      <c r="G68" s="176"/>
      <c r="H68" s="176"/>
      <c r="I68" s="176"/>
      <c r="J68" s="173">
        <f t="shared" si="3"/>
        <v>0</v>
      </c>
      <c r="K68" s="340"/>
      <c r="L68" s="375"/>
    </row>
    <row r="69" spans="1:12">
      <c r="A69" s="374"/>
      <c r="B69" s="336"/>
      <c r="C69" s="337"/>
      <c r="D69" s="171"/>
      <c r="E69" s="176"/>
      <c r="F69" s="176"/>
      <c r="G69" s="176"/>
      <c r="H69" s="176"/>
      <c r="I69" s="176"/>
      <c r="J69" s="173">
        <f t="shared" si="3"/>
        <v>0</v>
      </c>
      <c r="K69" s="340"/>
      <c r="L69" s="375"/>
    </row>
    <row r="70" spans="1:12">
      <c r="A70" s="374"/>
      <c r="B70" s="338"/>
      <c r="C70" s="339"/>
      <c r="D70" s="171"/>
      <c r="E70" s="176"/>
      <c r="F70" s="176"/>
      <c r="G70" s="176"/>
      <c r="H70" s="176"/>
      <c r="I70" s="176"/>
      <c r="J70" s="173">
        <f t="shared" si="3"/>
        <v>0</v>
      </c>
      <c r="K70" s="340"/>
      <c r="L70" s="375"/>
    </row>
    <row r="71" spans="1:12">
      <c r="A71" s="216"/>
      <c r="B71" s="10"/>
      <c r="C71" s="11"/>
      <c r="D71" s="12"/>
      <c r="E71" s="13"/>
      <c r="F71" s="14"/>
      <c r="G71" s="14"/>
      <c r="H71" s="14"/>
      <c r="I71" s="14"/>
      <c r="J71" s="15"/>
      <c r="K71" s="15"/>
      <c r="L71" s="163"/>
    </row>
    <row r="72" spans="1:12">
      <c r="A72" s="374">
        <v>2.6</v>
      </c>
      <c r="B72" s="334" t="s">
        <v>505</v>
      </c>
      <c r="C72" s="335"/>
      <c r="D72" s="171" t="s">
        <v>633</v>
      </c>
      <c r="E72" s="176">
        <v>3.25</v>
      </c>
      <c r="F72" s="176"/>
      <c r="G72" s="176">
        <v>0.25</v>
      </c>
      <c r="H72" s="176"/>
      <c r="I72" s="176"/>
      <c r="J72" s="173">
        <f t="shared" ref="J72:J84" si="4">G72*E72</f>
        <v>0.8125</v>
      </c>
      <c r="K72" s="340">
        <f>SUM(J72:J84)</f>
        <v>7.6024999999999991</v>
      </c>
      <c r="L72" s="345" t="s">
        <v>500</v>
      </c>
    </row>
    <row r="73" spans="1:12">
      <c r="A73" s="374"/>
      <c r="B73" s="336"/>
      <c r="C73" s="337"/>
      <c r="D73" s="171" t="s">
        <v>633</v>
      </c>
      <c r="E73" s="176">
        <v>3.25</v>
      </c>
      <c r="F73" s="176"/>
      <c r="G73" s="176">
        <v>0.25</v>
      </c>
      <c r="H73" s="176"/>
      <c r="I73" s="176"/>
      <c r="J73" s="173">
        <f t="shared" si="4"/>
        <v>0.8125</v>
      </c>
      <c r="K73" s="340"/>
      <c r="L73" s="375"/>
    </row>
    <row r="74" spans="1:12">
      <c r="A74" s="374"/>
      <c r="B74" s="336"/>
      <c r="C74" s="337"/>
      <c r="D74" s="171" t="s">
        <v>633</v>
      </c>
      <c r="E74" s="176">
        <v>3.1</v>
      </c>
      <c r="F74" s="176"/>
      <c r="G74" s="176">
        <v>0.25</v>
      </c>
      <c r="H74" s="176"/>
      <c r="I74" s="176"/>
      <c r="J74" s="173">
        <f t="shared" si="4"/>
        <v>0.77500000000000002</v>
      </c>
      <c r="K74" s="340"/>
      <c r="L74" s="375"/>
    </row>
    <row r="75" spans="1:12">
      <c r="A75" s="374"/>
      <c r="B75" s="336"/>
      <c r="C75" s="337"/>
      <c r="D75" s="171" t="s">
        <v>600</v>
      </c>
      <c r="E75" s="176">
        <v>5.6</v>
      </c>
      <c r="F75" s="176"/>
      <c r="G75" s="176">
        <v>0.25</v>
      </c>
      <c r="H75" s="176"/>
      <c r="I75" s="176"/>
      <c r="J75" s="173">
        <f t="shared" si="4"/>
        <v>1.4</v>
      </c>
      <c r="K75" s="340"/>
      <c r="L75" s="375"/>
    </row>
    <row r="76" spans="1:12">
      <c r="A76" s="374"/>
      <c r="B76" s="336"/>
      <c r="C76" s="337"/>
      <c r="D76" s="171" t="s">
        <v>631</v>
      </c>
      <c r="E76" s="176">
        <v>1.95</v>
      </c>
      <c r="F76" s="176"/>
      <c r="G76" s="176">
        <v>1.95</v>
      </c>
      <c r="H76" s="176"/>
      <c r="I76" s="176"/>
      <c r="J76" s="173">
        <f t="shared" si="4"/>
        <v>3.8024999999999998</v>
      </c>
      <c r="K76" s="340"/>
      <c r="L76" s="375"/>
    </row>
    <row r="77" spans="1:12">
      <c r="A77" s="374"/>
      <c r="B77" s="336"/>
      <c r="C77" s="337"/>
      <c r="D77" s="171"/>
      <c r="E77" s="176"/>
      <c r="F77" s="176"/>
      <c r="G77" s="176"/>
      <c r="H77" s="176"/>
      <c r="I77" s="176"/>
      <c r="J77" s="173">
        <f t="shared" si="4"/>
        <v>0</v>
      </c>
      <c r="K77" s="340"/>
      <c r="L77" s="375"/>
    </row>
    <row r="78" spans="1:12">
      <c r="A78" s="374"/>
      <c r="B78" s="336"/>
      <c r="C78" s="337"/>
      <c r="D78" s="171"/>
      <c r="E78" s="176"/>
      <c r="F78" s="176"/>
      <c r="G78" s="176"/>
      <c r="H78" s="176"/>
      <c r="I78" s="176"/>
      <c r="J78" s="173">
        <f t="shared" si="4"/>
        <v>0</v>
      </c>
      <c r="K78" s="340"/>
      <c r="L78" s="375"/>
    </row>
    <row r="79" spans="1:12">
      <c r="A79" s="374"/>
      <c r="B79" s="336"/>
      <c r="C79" s="337"/>
      <c r="D79" s="171"/>
      <c r="E79" s="176"/>
      <c r="F79" s="176"/>
      <c r="G79" s="176"/>
      <c r="H79" s="176"/>
      <c r="I79" s="176"/>
      <c r="J79" s="173">
        <f t="shared" si="4"/>
        <v>0</v>
      </c>
      <c r="K79" s="340"/>
      <c r="L79" s="375"/>
    </row>
    <row r="80" spans="1:12">
      <c r="A80" s="374"/>
      <c r="B80" s="336"/>
      <c r="C80" s="337"/>
      <c r="D80" s="171"/>
      <c r="E80" s="176"/>
      <c r="F80" s="176"/>
      <c r="G80" s="176"/>
      <c r="H80" s="176"/>
      <c r="I80" s="176"/>
      <c r="J80" s="173">
        <f t="shared" si="4"/>
        <v>0</v>
      </c>
      <c r="K80" s="340"/>
      <c r="L80" s="375"/>
    </row>
    <row r="81" spans="1:12">
      <c r="A81" s="374"/>
      <c r="B81" s="336"/>
      <c r="C81" s="337"/>
      <c r="D81" s="171"/>
      <c r="E81" s="176"/>
      <c r="F81" s="176"/>
      <c r="G81" s="176"/>
      <c r="H81" s="176"/>
      <c r="I81" s="176"/>
      <c r="J81" s="173">
        <f t="shared" si="4"/>
        <v>0</v>
      </c>
      <c r="K81" s="340"/>
      <c r="L81" s="375"/>
    </row>
    <row r="82" spans="1:12">
      <c r="A82" s="374"/>
      <c r="B82" s="336"/>
      <c r="C82" s="337"/>
      <c r="D82" s="171"/>
      <c r="E82" s="176"/>
      <c r="F82" s="176"/>
      <c r="G82" s="176"/>
      <c r="H82" s="176"/>
      <c r="I82" s="176"/>
      <c r="J82" s="173">
        <f t="shared" si="4"/>
        <v>0</v>
      </c>
      <c r="K82" s="340"/>
      <c r="L82" s="375"/>
    </row>
    <row r="83" spans="1:12">
      <c r="A83" s="374"/>
      <c r="B83" s="336"/>
      <c r="C83" s="337"/>
      <c r="D83" s="171"/>
      <c r="E83" s="176"/>
      <c r="F83" s="176"/>
      <c r="G83" s="176"/>
      <c r="H83" s="176"/>
      <c r="I83" s="176"/>
      <c r="J83" s="173">
        <f t="shared" si="4"/>
        <v>0</v>
      </c>
      <c r="K83" s="340"/>
      <c r="L83" s="375"/>
    </row>
    <row r="84" spans="1:12">
      <c r="A84" s="374"/>
      <c r="B84" s="338"/>
      <c r="C84" s="339"/>
      <c r="D84" s="171"/>
      <c r="E84" s="176"/>
      <c r="F84" s="176"/>
      <c r="G84" s="176"/>
      <c r="H84" s="176"/>
      <c r="I84" s="176"/>
      <c r="J84" s="173">
        <f t="shared" si="4"/>
        <v>0</v>
      </c>
      <c r="K84" s="340"/>
      <c r="L84" s="375"/>
    </row>
    <row r="85" spans="1:12">
      <c r="A85" s="216"/>
      <c r="B85" s="10"/>
      <c r="C85" s="11"/>
      <c r="D85" s="12"/>
      <c r="E85" s="13"/>
      <c r="F85" s="14"/>
      <c r="G85" s="14"/>
      <c r="H85" s="14"/>
      <c r="I85" s="14"/>
      <c r="J85" s="15"/>
      <c r="K85" s="15"/>
      <c r="L85" s="163"/>
    </row>
    <row r="86" spans="1:12">
      <c r="A86" s="250">
        <v>2.7</v>
      </c>
      <c r="B86" s="341" t="s">
        <v>634</v>
      </c>
      <c r="C86" s="342"/>
      <c r="D86" s="171" t="s">
        <v>635</v>
      </c>
      <c r="E86" s="252"/>
      <c r="F86" s="172"/>
      <c r="G86" s="172"/>
      <c r="H86" s="172"/>
      <c r="I86" s="172"/>
      <c r="J86" s="177">
        <f>K58+K56+K19+(K106*0.1)</f>
        <v>26.371924999999997</v>
      </c>
      <c r="K86" s="247">
        <f>J86</f>
        <v>26.371924999999997</v>
      </c>
      <c r="L86" s="251" t="s">
        <v>38</v>
      </c>
    </row>
    <row r="87" spans="1:12">
      <c r="A87" s="216"/>
      <c r="B87" s="10"/>
      <c r="C87" s="11"/>
      <c r="D87" s="12"/>
      <c r="E87" s="13"/>
      <c r="F87" s="14"/>
      <c r="G87" s="14"/>
      <c r="H87" s="14"/>
      <c r="I87" s="14"/>
      <c r="J87" s="15"/>
      <c r="K87" s="15"/>
      <c r="L87" s="163"/>
    </row>
    <row r="88" spans="1:12">
      <c r="A88" s="250">
        <v>2.8</v>
      </c>
      <c r="B88" s="341" t="s">
        <v>636</v>
      </c>
      <c r="C88" s="342"/>
      <c r="D88" s="171" t="s">
        <v>635</v>
      </c>
      <c r="E88" s="252"/>
      <c r="F88" s="172"/>
      <c r="G88" s="172"/>
      <c r="H88" s="172"/>
      <c r="I88" s="172"/>
      <c r="J88" s="177">
        <f>J86</f>
        <v>26.371924999999997</v>
      </c>
      <c r="K88" s="247">
        <f>J88</f>
        <v>26.371924999999997</v>
      </c>
      <c r="L88" s="251" t="s">
        <v>38</v>
      </c>
    </row>
    <row r="89" spans="1:12">
      <c r="A89" s="216"/>
      <c r="B89" s="10"/>
      <c r="C89" s="11"/>
      <c r="D89" s="12"/>
      <c r="E89" s="13"/>
      <c r="F89" s="14"/>
      <c r="G89" s="14"/>
      <c r="H89" s="14"/>
      <c r="I89" s="14"/>
      <c r="J89" s="15"/>
      <c r="K89" s="15"/>
      <c r="L89" s="163"/>
    </row>
    <row r="90" spans="1:12" ht="33" customHeight="1">
      <c r="A90" s="250">
        <v>2.9</v>
      </c>
      <c r="B90" s="341" t="s">
        <v>637</v>
      </c>
      <c r="C90" s="342"/>
      <c r="D90" s="171" t="s">
        <v>638</v>
      </c>
      <c r="E90" s="252"/>
      <c r="F90" s="172"/>
      <c r="G90" s="172"/>
      <c r="H90" s="172"/>
      <c r="I90" s="172"/>
      <c r="J90" s="177">
        <v>69.84</v>
      </c>
      <c r="K90" s="247">
        <f>J90</f>
        <v>69.84</v>
      </c>
      <c r="L90" s="251" t="s">
        <v>500</v>
      </c>
    </row>
    <row r="91" spans="1:12">
      <c r="A91" s="216"/>
      <c r="B91" s="10"/>
      <c r="C91" s="11"/>
      <c r="D91" s="12"/>
      <c r="E91" s="13"/>
      <c r="F91" s="14"/>
      <c r="G91" s="14"/>
      <c r="H91" s="14"/>
      <c r="I91" s="14"/>
      <c r="J91" s="15"/>
      <c r="K91" s="15"/>
      <c r="L91" s="163"/>
    </row>
    <row r="92" spans="1:12">
      <c r="A92" s="346">
        <v>2.1</v>
      </c>
      <c r="B92" s="334" t="s">
        <v>639</v>
      </c>
      <c r="C92" s="335"/>
      <c r="D92" s="171" t="s">
        <v>640</v>
      </c>
      <c r="E92" s="176"/>
      <c r="F92" s="176">
        <v>2.1</v>
      </c>
      <c r="G92" s="176">
        <v>0.7</v>
      </c>
      <c r="H92" s="176">
        <v>4</v>
      </c>
      <c r="I92" s="176"/>
      <c r="J92" s="173">
        <f>F92*G92*H92</f>
        <v>5.88</v>
      </c>
      <c r="K92" s="340">
        <f>SUM(J92:J97)</f>
        <v>18.16</v>
      </c>
      <c r="L92" s="345" t="s">
        <v>500</v>
      </c>
    </row>
    <row r="93" spans="1:12">
      <c r="A93" s="346"/>
      <c r="B93" s="336"/>
      <c r="C93" s="337"/>
      <c r="D93" s="171" t="s">
        <v>641</v>
      </c>
      <c r="E93" s="176"/>
      <c r="F93" s="176">
        <v>2.1</v>
      </c>
      <c r="G93" s="176">
        <v>0.8</v>
      </c>
      <c r="H93" s="176">
        <v>2</v>
      </c>
      <c r="I93" s="176"/>
      <c r="J93" s="173">
        <f>F93*G93*H93</f>
        <v>3.3600000000000003</v>
      </c>
      <c r="K93" s="340"/>
      <c r="L93" s="345"/>
    </row>
    <row r="94" spans="1:12">
      <c r="A94" s="346"/>
      <c r="B94" s="336"/>
      <c r="C94" s="337"/>
      <c r="D94" s="171" t="s">
        <v>642</v>
      </c>
      <c r="E94" s="176"/>
      <c r="F94" s="176">
        <v>2.1</v>
      </c>
      <c r="G94" s="176">
        <v>0.7</v>
      </c>
      <c r="H94" s="176">
        <v>4</v>
      </c>
      <c r="I94" s="176"/>
      <c r="J94" s="173">
        <f>F94*G94*H94</f>
        <v>5.88</v>
      </c>
      <c r="K94" s="340"/>
      <c r="L94" s="345"/>
    </row>
    <row r="95" spans="1:12">
      <c r="A95" s="346"/>
      <c r="B95" s="336"/>
      <c r="C95" s="337"/>
      <c r="D95" s="171" t="s">
        <v>643</v>
      </c>
      <c r="E95" s="176"/>
      <c r="F95" s="176">
        <v>2.1</v>
      </c>
      <c r="G95" s="176">
        <v>0.8</v>
      </c>
      <c r="H95" s="176">
        <v>1</v>
      </c>
      <c r="I95" s="176"/>
      <c r="J95" s="173">
        <f>F95*G95*H95</f>
        <v>1.6800000000000002</v>
      </c>
      <c r="K95" s="340"/>
      <c r="L95" s="345"/>
    </row>
    <row r="96" spans="1:12">
      <c r="A96" s="346"/>
      <c r="B96" s="336"/>
      <c r="C96" s="337"/>
      <c r="D96" s="171" t="s">
        <v>644</v>
      </c>
      <c r="E96" s="176"/>
      <c r="F96" s="176">
        <v>1.7</v>
      </c>
      <c r="G96" s="176">
        <v>0.8</v>
      </c>
      <c r="H96" s="176">
        <v>1</v>
      </c>
      <c r="I96" s="176"/>
      <c r="J96" s="173">
        <f>F96*G96*H96</f>
        <v>1.36</v>
      </c>
      <c r="K96" s="340"/>
      <c r="L96" s="345"/>
    </row>
    <row r="97" spans="1:12">
      <c r="A97" s="346"/>
      <c r="B97" s="338"/>
      <c r="C97" s="339"/>
      <c r="D97" s="171"/>
      <c r="E97" s="176"/>
      <c r="F97" s="176"/>
      <c r="G97" s="176"/>
      <c r="H97" s="176"/>
      <c r="I97" s="176"/>
      <c r="J97" s="173">
        <f>G97*E97*F97</f>
        <v>0</v>
      </c>
      <c r="K97" s="340"/>
      <c r="L97" s="345"/>
    </row>
    <row r="98" spans="1:12">
      <c r="A98" s="216"/>
      <c r="B98" s="10"/>
      <c r="C98" s="11"/>
      <c r="D98" s="12"/>
      <c r="E98" s="13"/>
      <c r="F98" s="14"/>
      <c r="G98" s="14"/>
      <c r="H98" s="14"/>
      <c r="I98" s="14"/>
      <c r="J98" s="15"/>
      <c r="K98" s="15"/>
      <c r="L98" s="163"/>
    </row>
    <row r="99" spans="1:12">
      <c r="A99" s="346">
        <v>2.11</v>
      </c>
      <c r="B99" s="334" t="s">
        <v>645</v>
      </c>
      <c r="C99" s="335"/>
      <c r="D99" s="171" t="s">
        <v>640</v>
      </c>
      <c r="E99" s="176"/>
      <c r="F99" s="176"/>
      <c r="G99" s="176"/>
      <c r="H99" s="176"/>
      <c r="I99" s="176"/>
      <c r="J99" s="173">
        <v>4</v>
      </c>
      <c r="K99" s="340">
        <f>SUM(J99:J102)</f>
        <v>11</v>
      </c>
      <c r="L99" s="345" t="s">
        <v>500</v>
      </c>
    </row>
    <row r="100" spans="1:12">
      <c r="A100" s="346"/>
      <c r="B100" s="336"/>
      <c r="C100" s="337"/>
      <c r="D100" s="171" t="s">
        <v>641</v>
      </c>
      <c r="E100" s="176"/>
      <c r="F100" s="176"/>
      <c r="G100" s="176"/>
      <c r="H100" s="176"/>
      <c r="I100" s="176"/>
      <c r="J100" s="173">
        <v>2</v>
      </c>
      <c r="K100" s="340"/>
      <c r="L100" s="345"/>
    </row>
    <row r="101" spans="1:12">
      <c r="A101" s="346"/>
      <c r="B101" s="336"/>
      <c r="C101" s="337"/>
      <c r="D101" s="171" t="s">
        <v>642</v>
      </c>
      <c r="E101" s="176"/>
      <c r="F101" s="176"/>
      <c r="G101" s="176"/>
      <c r="H101" s="176"/>
      <c r="I101" s="176"/>
      <c r="J101" s="173">
        <v>4</v>
      </c>
      <c r="K101" s="340"/>
      <c r="L101" s="345"/>
    </row>
    <row r="102" spans="1:12">
      <c r="A102" s="346"/>
      <c r="B102" s="338"/>
      <c r="C102" s="339"/>
      <c r="D102" s="171" t="s">
        <v>643</v>
      </c>
      <c r="E102" s="176"/>
      <c r="F102" s="176"/>
      <c r="G102" s="176"/>
      <c r="H102" s="176"/>
      <c r="I102" s="176"/>
      <c r="J102" s="173">
        <v>1</v>
      </c>
      <c r="K102" s="340"/>
      <c r="L102" s="345"/>
    </row>
    <row r="103" spans="1:12">
      <c r="A103" s="216"/>
      <c r="B103" s="10"/>
      <c r="C103" s="11"/>
      <c r="D103" s="12"/>
      <c r="E103" s="13"/>
      <c r="F103" s="14"/>
      <c r="G103" s="14"/>
      <c r="H103" s="14"/>
      <c r="I103" s="14"/>
      <c r="J103" s="15"/>
      <c r="K103" s="15"/>
      <c r="L103" s="163"/>
    </row>
    <row r="104" spans="1:12" ht="30" customHeight="1">
      <c r="A104" s="250">
        <v>2.12</v>
      </c>
      <c r="B104" s="359" t="s">
        <v>646</v>
      </c>
      <c r="C104" s="360"/>
      <c r="D104" s="171" t="s">
        <v>647</v>
      </c>
      <c r="E104" s="252"/>
      <c r="F104" s="172"/>
      <c r="G104" s="172"/>
      <c r="H104" s="172"/>
      <c r="I104" s="172"/>
      <c r="J104" s="177">
        <v>215.92</v>
      </c>
      <c r="K104" s="247">
        <f>J104</f>
        <v>215.92</v>
      </c>
      <c r="L104" s="251" t="s">
        <v>500</v>
      </c>
    </row>
    <row r="105" spans="1:12">
      <c r="A105" s="216"/>
      <c r="B105" s="10"/>
      <c r="C105" s="11"/>
      <c r="D105" s="12"/>
      <c r="E105" s="13"/>
      <c r="F105" s="14"/>
      <c r="G105" s="14"/>
      <c r="H105" s="14"/>
      <c r="I105" s="14"/>
      <c r="J105" s="15"/>
      <c r="K105" s="15"/>
      <c r="L105" s="163"/>
    </row>
    <row r="106" spans="1:12" ht="30" customHeight="1">
      <c r="A106" s="250">
        <v>2.13</v>
      </c>
      <c r="B106" s="359" t="s">
        <v>648</v>
      </c>
      <c r="C106" s="360"/>
      <c r="D106" s="171" t="s">
        <v>649</v>
      </c>
      <c r="E106" s="252"/>
      <c r="F106" s="172"/>
      <c r="G106" s="172"/>
      <c r="H106" s="172"/>
      <c r="I106" s="172"/>
      <c r="J106" s="177">
        <v>80.3</v>
      </c>
      <c r="K106" s="247">
        <f>J106</f>
        <v>80.3</v>
      </c>
      <c r="L106" s="251" t="s">
        <v>500</v>
      </c>
    </row>
    <row r="107" spans="1:12" ht="15" thickBot="1">
      <c r="A107" s="216"/>
      <c r="B107" s="10"/>
      <c r="C107" s="11"/>
      <c r="D107" s="12"/>
      <c r="E107" s="13"/>
      <c r="F107" s="14"/>
      <c r="G107" s="14"/>
      <c r="H107" s="14"/>
      <c r="I107" s="14"/>
      <c r="J107" s="15"/>
      <c r="K107" s="15"/>
      <c r="L107" s="163"/>
    </row>
    <row r="108" spans="1:12" ht="16.2" thickBot="1">
      <c r="A108" s="179">
        <v>3</v>
      </c>
      <c r="B108" s="343" t="s">
        <v>650</v>
      </c>
      <c r="C108" s="343"/>
      <c r="D108" s="343"/>
      <c r="E108" s="343"/>
      <c r="F108" s="343"/>
      <c r="G108" s="343"/>
      <c r="H108" s="343"/>
      <c r="I108" s="343"/>
      <c r="J108" s="343"/>
      <c r="K108" s="343"/>
      <c r="L108" s="344"/>
    </row>
    <row r="109" spans="1:12">
      <c r="A109" s="216"/>
      <c r="B109" s="10"/>
      <c r="C109" s="11"/>
      <c r="D109" s="12"/>
      <c r="E109" s="13"/>
      <c r="F109" s="14"/>
      <c r="G109" s="14"/>
      <c r="H109" s="14"/>
      <c r="I109" s="14"/>
      <c r="J109" s="15"/>
      <c r="K109" s="15"/>
      <c r="L109" s="163"/>
    </row>
    <row r="110" spans="1:12">
      <c r="A110" s="374">
        <v>3.1</v>
      </c>
      <c r="B110" s="334" t="s">
        <v>651</v>
      </c>
      <c r="C110" s="335"/>
      <c r="D110" s="171" t="s">
        <v>652</v>
      </c>
      <c r="E110" s="176">
        <v>3.25</v>
      </c>
      <c r="F110" s="176">
        <v>2.95</v>
      </c>
      <c r="G110" s="176"/>
      <c r="H110" s="176"/>
      <c r="I110" s="176">
        <f>1.2*1.2</f>
        <v>1.44</v>
      </c>
      <c r="J110" s="173">
        <f>(E110*F110)-I110</f>
        <v>8.1475000000000009</v>
      </c>
      <c r="K110" s="340">
        <f>SUM(J110:J124)</f>
        <v>202.32249999999999</v>
      </c>
      <c r="L110" s="345" t="s">
        <v>500</v>
      </c>
    </row>
    <row r="111" spans="1:12">
      <c r="A111" s="374"/>
      <c r="B111" s="336"/>
      <c r="C111" s="337"/>
      <c r="D111" s="171" t="s">
        <v>652</v>
      </c>
      <c r="E111" s="176">
        <v>3.1</v>
      </c>
      <c r="F111" s="176">
        <v>2.95</v>
      </c>
      <c r="G111" s="176"/>
      <c r="H111" s="176"/>
      <c r="I111" s="176">
        <f>0.8*2.1</f>
        <v>1.6800000000000002</v>
      </c>
      <c r="J111" s="173">
        <f>(E111*F111)-I111</f>
        <v>7.4650000000000016</v>
      </c>
      <c r="K111" s="340"/>
      <c r="L111" s="345"/>
    </row>
    <row r="112" spans="1:12">
      <c r="A112" s="374"/>
      <c r="B112" s="336"/>
      <c r="C112" s="337"/>
      <c r="D112" s="171" t="s">
        <v>653</v>
      </c>
      <c r="E112" s="176">
        <v>3.1</v>
      </c>
      <c r="F112" s="176">
        <v>2.95</v>
      </c>
      <c r="G112" s="176"/>
      <c r="H112" s="176"/>
      <c r="I112" s="176">
        <f>0.8*2.1</f>
        <v>1.6800000000000002</v>
      </c>
      <c r="J112" s="173">
        <f t="shared" ref="J112:J124" si="5">(E112*F112)-I112</f>
        <v>7.4650000000000016</v>
      </c>
      <c r="K112" s="340"/>
      <c r="L112" s="375"/>
    </row>
    <row r="113" spans="1:12">
      <c r="A113" s="374"/>
      <c r="B113" s="336"/>
      <c r="C113" s="337"/>
      <c r="D113" s="171" t="s">
        <v>654</v>
      </c>
      <c r="E113" s="176">
        <v>5.6</v>
      </c>
      <c r="F113" s="176">
        <v>2.95</v>
      </c>
      <c r="G113" s="176"/>
      <c r="H113" s="176"/>
      <c r="I113" s="176">
        <f>(2.1*0.8)+(1.2*1.2)+(1.5*1.2)</f>
        <v>4.92</v>
      </c>
      <c r="J113" s="173">
        <f t="shared" si="5"/>
        <v>11.6</v>
      </c>
      <c r="K113" s="340"/>
      <c r="L113" s="375"/>
    </row>
    <row r="114" spans="1:12">
      <c r="A114" s="374"/>
      <c r="B114" s="336"/>
      <c r="C114" s="337"/>
      <c r="D114" s="171" t="s">
        <v>655</v>
      </c>
      <c r="E114" s="176">
        <v>0.8</v>
      </c>
      <c r="F114" s="176">
        <v>2.1</v>
      </c>
      <c r="G114" s="176"/>
      <c r="H114" s="176"/>
      <c r="I114" s="176"/>
      <c r="J114" s="173">
        <f t="shared" si="5"/>
        <v>1.6800000000000002</v>
      </c>
      <c r="K114" s="340"/>
      <c r="L114" s="375"/>
    </row>
    <row r="115" spans="1:12">
      <c r="A115" s="374"/>
      <c r="B115" s="336"/>
      <c r="C115" s="337"/>
      <c r="D115" s="171" t="s">
        <v>656</v>
      </c>
      <c r="E115" s="176">
        <v>0.6</v>
      </c>
      <c r="F115" s="176">
        <v>2.1</v>
      </c>
      <c r="G115" s="176"/>
      <c r="H115" s="176"/>
      <c r="I115" s="176"/>
      <c r="J115" s="173">
        <f t="shared" si="5"/>
        <v>1.26</v>
      </c>
      <c r="K115" s="340"/>
      <c r="L115" s="375"/>
    </row>
    <row r="116" spans="1:12">
      <c r="A116" s="374"/>
      <c r="B116" s="336"/>
      <c r="C116" s="337"/>
      <c r="D116" s="171" t="s">
        <v>657</v>
      </c>
      <c r="E116" s="176">
        <v>0.8</v>
      </c>
      <c r="F116" s="176">
        <v>2.1</v>
      </c>
      <c r="G116" s="176"/>
      <c r="H116" s="176"/>
      <c r="I116" s="176"/>
      <c r="J116" s="173">
        <f t="shared" si="5"/>
        <v>1.6800000000000002</v>
      </c>
      <c r="K116" s="340"/>
      <c r="L116" s="375"/>
    </row>
    <row r="117" spans="1:12">
      <c r="A117" s="374"/>
      <c r="B117" s="336"/>
      <c r="C117" s="337"/>
      <c r="D117" s="171" t="s">
        <v>658</v>
      </c>
      <c r="E117" s="176">
        <v>0.6</v>
      </c>
      <c r="F117" s="176">
        <v>2.1</v>
      </c>
      <c r="G117" s="176"/>
      <c r="H117" s="176"/>
      <c r="I117" s="176"/>
      <c r="J117" s="173">
        <f t="shared" si="5"/>
        <v>1.26</v>
      </c>
      <c r="K117" s="340"/>
      <c r="L117" s="375"/>
    </row>
    <row r="118" spans="1:12">
      <c r="A118" s="374"/>
      <c r="B118" s="336"/>
      <c r="C118" s="337"/>
      <c r="D118" s="171" t="s">
        <v>659</v>
      </c>
      <c r="E118" s="176">
        <f>(1.95+1.95+1.95)-0.6</f>
        <v>5.25</v>
      </c>
      <c r="F118" s="176">
        <v>10.28</v>
      </c>
      <c r="G118" s="176"/>
      <c r="H118" s="176"/>
      <c r="I118" s="176"/>
      <c r="J118" s="173">
        <f t="shared" si="5"/>
        <v>53.97</v>
      </c>
      <c r="K118" s="340"/>
      <c r="L118" s="375"/>
    </row>
    <row r="119" spans="1:12">
      <c r="A119" s="374"/>
      <c r="B119" s="336"/>
      <c r="C119" s="337"/>
      <c r="D119" s="171" t="s">
        <v>660</v>
      </c>
      <c r="E119" s="176">
        <f>3.62+17.74</f>
        <v>21.36</v>
      </c>
      <c r="F119" s="176">
        <v>3.1</v>
      </c>
      <c r="G119" s="180"/>
      <c r="H119" s="180"/>
      <c r="I119" s="180">
        <f>((0.9*2.1)+(0.7*2.1)+((2.5*1.2)*3)+(0.3*19.07)+((0.3*2.8)*4))+(21.36*1.5)</f>
        <v>53.480999999999995</v>
      </c>
      <c r="J119" s="173">
        <f t="shared" si="5"/>
        <v>12.734999999999999</v>
      </c>
      <c r="K119" s="340"/>
      <c r="L119" s="375"/>
    </row>
    <row r="120" spans="1:12">
      <c r="A120" s="374"/>
      <c r="B120" s="336"/>
      <c r="C120" s="337"/>
      <c r="D120" s="171" t="s">
        <v>660</v>
      </c>
      <c r="E120" s="176">
        <f>9.1+6.2</f>
        <v>15.3</v>
      </c>
      <c r="F120" s="176">
        <v>3.8</v>
      </c>
      <c r="G120" s="180"/>
      <c r="H120" s="180"/>
      <c r="I120" s="180">
        <f>((2.3*1.3)*2)+(2.5*1.2)+(1.35*1.2)+((0.3*3.5)*4)+(5.9*1.5)</f>
        <v>23.650000000000002</v>
      </c>
      <c r="J120" s="173">
        <f t="shared" si="5"/>
        <v>34.489999999999995</v>
      </c>
      <c r="K120" s="340"/>
      <c r="L120" s="375"/>
    </row>
    <row r="121" spans="1:12">
      <c r="A121" s="374"/>
      <c r="B121" s="336"/>
      <c r="C121" s="337"/>
      <c r="D121" s="171" t="s">
        <v>661</v>
      </c>
      <c r="E121" s="176">
        <f>5.8+5.8+2</f>
        <v>13.6</v>
      </c>
      <c r="F121" s="176">
        <v>3.8</v>
      </c>
      <c r="G121" s="176"/>
      <c r="H121" s="176"/>
      <c r="I121" s="176">
        <f>(5.8*0.7)+(0.8*1.8)+(1.1*2.1)</f>
        <v>7.8100000000000005</v>
      </c>
      <c r="J121" s="173">
        <f t="shared" si="5"/>
        <v>43.87</v>
      </c>
      <c r="K121" s="340"/>
      <c r="L121" s="375"/>
    </row>
    <row r="122" spans="1:12">
      <c r="A122" s="374"/>
      <c r="B122" s="336"/>
      <c r="C122" s="337"/>
      <c r="D122" s="171" t="s">
        <v>662</v>
      </c>
      <c r="E122" s="176">
        <f>3.15+3.15+2.75+2.75</f>
        <v>11.8</v>
      </c>
      <c r="F122" s="176">
        <v>1.5</v>
      </c>
      <c r="G122" s="176"/>
      <c r="H122" s="176"/>
      <c r="I122" s="176">
        <v>1</v>
      </c>
      <c r="J122" s="173">
        <f t="shared" si="5"/>
        <v>16.700000000000003</v>
      </c>
      <c r="K122" s="340"/>
      <c r="L122" s="375"/>
    </row>
    <row r="123" spans="1:12">
      <c r="A123" s="374"/>
      <c r="B123" s="336"/>
      <c r="C123" s="337"/>
      <c r="D123" s="171"/>
      <c r="E123" s="176"/>
      <c r="F123" s="176"/>
      <c r="G123" s="176"/>
      <c r="H123" s="176"/>
      <c r="I123" s="176"/>
      <c r="J123" s="173">
        <f t="shared" si="5"/>
        <v>0</v>
      </c>
      <c r="K123" s="340"/>
      <c r="L123" s="375"/>
    </row>
    <row r="124" spans="1:12">
      <c r="A124" s="374"/>
      <c r="B124" s="338"/>
      <c r="C124" s="339"/>
      <c r="D124" s="171"/>
      <c r="E124" s="176"/>
      <c r="F124" s="176"/>
      <c r="G124" s="176"/>
      <c r="H124" s="176"/>
      <c r="I124" s="176"/>
      <c r="J124" s="173">
        <f t="shared" si="5"/>
        <v>0</v>
      </c>
      <c r="K124" s="340"/>
      <c r="L124" s="375"/>
    </row>
    <row r="125" spans="1:12">
      <c r="A125" s="216"/>
      <c r="B125" s="10"/>
      <c r="C125" s="11"/>
      <c r="D125" s="12"/>
      <c r="E125" s="13"/>
      <c r="F125" s="14"/>
      <c r="G125" s="14"/>
      <c r="H125" s="14"/>
      <c r="I125" s="14"/>
      <c r="J125" s="15"/>
      <c r="K125" s="15"/>
      <c r="L125" s="163"/>
    </row>
    <row r="126" spans="1:12">
      <c r="A126" s="333">
        <v>3.2</v>
      </c>
      <c r="B126" s="368" t="s">
        <v>663</v>
      </c>
      <c r="C126" s="369"/>
      <c r="D126" s="171" t="s">
        <v>664</v>
      </c>
      <c r="E126" s="176">
        <v>3.25</v>
      </c>
      <c r="F126" s="176"/>
      <c r="G126" s="176"/>
      <c r="H126" s="176"/>
      <c r="I126" s="176"/>
      <c r="J126" s="173">
        <f>E126</f>
        <v>3.25</v>
      </c>
      <c r="K126" s="340">
        <f>SUM(J126:J129)</f>
        <v>15.049999999999999</v>
      </c>
      <c r="L126" s="345" t="s">
        <v>665</v>
      </c>
    </row>
    <row r="127" spans="1:12">
      <c r="A127" s="333"/>
      <c r="B127" s="370"/>
      <c r="C127" s="371"/>
      <c r="D127" s="171" t="s">
        <v>664</v>
      </c>
      <c r="E127" s="176">
        <v>3.1</v>
      </c>
      <c r="F127" s="176"/>
      <c r="G127" s="176"/>
      <c r="H127" s="176"/>
      <c r="I127" s="176"/>
      <c r="J127" s="173">
        <f>E127</f>
        <v>3.1</v>
      </c>
      <c r="K127" s="340"/>
      <c r="L127" s="345"/>
    </row>
    <row r="128" spans="1:12">
      <c r="A128" s="333"/>
      <c r="B128" s="370"/>
      <c r="C128" s="371"/>
      <c r="D128" s="171" t="s">
        <v>664</v>
      </c>
      <c r="E128" s="176">
        <v>3.1</v>
      </c>
      <c r="F128" s="176"/>
      <c r="G128" s="176"/>
      <c r="H128" s="176"/>
      <c r="I128" s="176"/>
      <c r="J128" s="173">
        <f>E128</f>
        <v>3.1</v>
      </c>
      <c r="K128" s="340"/>
      <c r="L128" s="345"/>
    </row>
    <row r="129" spans="1:14">
      <c r="A129" s="333"/>
      <c r="B129" s="372"/>
      <c r="C129" s="373"/>
      <c r="D129" s="171" t="s">
        <v>664</v>
      </c>
      <c r="E129" s="176">
        <v>5.6</v>
      </c>
      <c r="F129" s="176"/>
      <c r="G129" s="176"/>
      <c r="H129" s="176"/>
      <c r="I129" s="176"/>
      <c r="J129" s="173">
        <f>E129</f>
        <v>5.6</v>
      </c>
      <c r="K129" s="340"/>
      <c r="L129" s="345"/>
    </row>
    <row r="130" spans="1:14">
      <c r="A130" s="216"/>
      <c r="B130" s="10"/>
      <c r="C130" s="11"/>
      <c r="D130" s="12"/>
      <c r="E130" s="13"/>
      <c r="F130" s="14"/>
      <c r="G130" s="14"/>
      <c r="H130" s="14"/>
      <c r="I130" s="14"/>
      <c r="J130" s="15"/>
      <c r="K130" s="15"/>
      <c r="L130" s="163"/>
    </row>
    <row r="131" spans="1:14">
      <c r="A131" s="333">
        <v>3.3</v>
      </c>
      <c r="B131" s="368" t="s">
        <v>666</v>
      </c>
      <c r="C131" s="369"/>
      <c r="D131" s="171" t="s">
        <v>667</v>
      </c>
      <c r="E131" s="176">
        <f>(2*6)+(2.3*2)+((1.3*3))</f>
        <v>20.5</v>
      </c>
      <c r="F131" s="176">
        <v>0.2</v>
      </c>
      <c r="G131" s="176">
        <v>0.14000000000000001</v>
      </c>
      <c r="H131" s="176"/>
      <c r="I131" s="176"/>
      <c r="J131" s="173">
        <f>G131*F131*E131</f>
        <v>0.57400000000000007</v>
      </c>
      <c r="K131" s="340">
        <f>SUM(J131:J134)</f>
        <v>2.2204000000000002</v>
      </c>
      <c r="L131" s="345" t="s">
        <v>668</v>
      </c>
      <c r="N131">
        <v>15.8</v>
      </c>
    </row>
    <row r="132" spans="1:14">
      <c r="A132" s="333"/>
      <c r="B132" s="370"/>
      <c r="C132" s="371"/>
      <c r="D132" s="171" t="s">
        <v>669</v>
      </c>
      <c r="E132" s="176">
        <f>((3.3*8)+(3.1*4)+(2.15*2)+(1.2)+(1.3*5)+(2*4))</f>
        <v>58.8</v>
      </c>
      <c r="F132" s="176">
        <v>0.2</v>
      </c>
      <c r="G132" s="176">
        <v>0.14000000000000001</v>
      </c>
      <c r="H132" s="176"/>
      <c r="I132" s="176"/>
      <c r="J132" s="173">
        <f>G132*F132*E132</f>
        <v>1.6464000000000001</v>
      </c>
      <c r="K132" s="340"/>
      <c r="L132" s="345"/>
    </row>
    <row r="133" spans="1:14">
      <c r="A133" s="333"/>
      <c r="B133" s="370"/>
      <c r="C133" s="371"/>
      <c r="D133" s="171"/>
      <c r="E133" s="176"/>
      <c r="F133" s="176"/>
      <c r="G133" s="176"/>
      <c r="H133" s="176"/>
      <c r="I133" s="176"/>
      <c r="J133" s="173">
        <f>G133*F133*E133</f>
        <v>0</v>
      </c>
      <c r="K133" s="340"/>
      <c r="L133" s="345"/>
    </row>
    <row r="134" spans="1:14">
      <c r="A134" s="333"/>
      <c r="B134" s="372"/>
      <c r="C134" s="373"/>
      <c r="D134" s="171"/>
      <c r="E134" s="176"/>
      <c r="F134" s="176"/>
      <c r="G134" s="176"/>
      <c r="H134" s="176"/>
      <c r="I134" s="176"/>
      <c r="J134" s="173">
        <f>G134*F134*E134</f>
        <v>0</v>
      </c>
      <c r="K134" s="340"/>
      <c r="L134" s="345"/>
    </row>
    <row r="135" spans="1:14">
      <c r="A135" s="216"/>
      <c r="B135" s="10"/>
      <c r="C135" s="11"/>
      <c r="D135" s="12"/>
      <c r="E135" s="13"/>
      <c r="F135" s="14"/>
      <c r="G135" s="14"/>
      <c r="H135" s="14"/>
      <c r="I135" s="14"/>
      <c r="J135" s="15"/>
      <c r="K135" s="15"/>
      <c r="L135" s="163"/>
    </row>
    <row r="136" spans="1:14">
      <c r="A136" s="333">
        <v>3.4</v>
      </c>
      <c r="B136" s="361" t="s">
        <v>518</v>
      </c>
      <c r="C136" s="361"/>
      <c r="D136" s="355" t="s">
        <v>670</v>
      </c>
      <c r="E136" s="176">
        <v>5.58</v>
      </c>
      <c r="F136" s="176">
        <v>2.7</v>
      </c>
      <c r="G136" s="176"/>
      <c r="H136" s="176"/>
      <c r="I136" s="176"/>
      <c r="J136" s="173">
        <f>(E136*F136)</f>
        <v>15.066000000000001</v>
      </c>
      <c r="K136" s="365">
        <f>SUM(J136:J142)</f>
        <v>83.664000000000016</v>
      </c>
      <c r="L136" s="345" t="s">
        <v>500</v>
      </c>
    </row>
    <row r="137" spans="1:14">
      <c r="A137" s="333"/>
      <c r="B137" s="361"/>
      <c r="C137" s="361"/>
      <c r="D137" s="356"/>
      <c r="E137" s="176">
        <v>5.58</v>
      </c>
      <c r="F137" s="176">
        <v>2.7</v>
      </c>
      <c r="G137" s="176"/>
      <c r="H137" s="176"/>
      <c r="I137" s="176"/>
      <c r="J137" s="173">
        <f>(E137*F137)</f>
        <v>15.066000000000001</v>
      </c>
      <c r="K137" s="366"/>
      <c r="L137" s="345"/>
    </row>
    <row r="138" spans="1:14">
      <c r="A138" s="333"/>
      <c r="B138" s="361"/>
      <c r="C138" s="361"/>
      <c r="D138" s="356"/>
      <c r="E138" s="176">
        <v>5.58</v>
      </c>
      <c r="F138" s="176">
        <v>2.7</v>
      </c>
      <c r="G138" s="176"/>
      <c r="H138" s="176"/>
      <c r="I138" s="176"/>
      <c r="J138" s="173">
        <f>(E138*F138)</f>
        <v>15.066000000000001</v>
      </c>
      <c r="K138" s="366"/>
      <c r="L138" s="345"/>
    </row>
    <row r="139" spans="1:14">
      <c r="A139" s="333"/>
      <c r="B139" s="361"/>
      <c r="C139" s="361"/>
      <c r="D139" s="356"/>
      <c r="E139" s="176">
        <v>5.43</v>
      </c>
      <c r="F139" s="176">
        <v>2.7</v>
      </c>
      <c r="G139" s="176"/>
      <c r="H139" s="176"/>
      <c r="I139" s="176">
        <f>(0.9*2.1)*2</f>
        <v>3.7800000000000002</v>
      </c>
      <c r="J139" s="173">
        <f>(E139*F139)-I139</f>
        <v>10.881</v>
      </c>
      <c r="K139" s="366"/>
      <c r="L139" s="345"/>
    </row>
    <row r="140" spans="1:14">
      <c r="A140" s="333"/>
      <c r="B140" s="361"/>
      <c r="C140" s="361"/>
      <c r="D140" s="356"/>
      <c r="E140" s="176">
        <v>5.43</v>
      </c>
      <c r="F140" s="176">
        <v>2.7</v>
      </c>
      <c r="G140" s="176"/>
      <c r="H140" s="176"/>
      <c r="I140" s="176">
        <f>(0.9*2.1)*2</f>
        <v>3.7800000000000002</v>
      </c>
      <c r="J140" s="173">
        <f>(E140*F140)-I140</f>
        <v>10.881</v>
      </c>
      <c r="K140" s="366"/>
      <c r="L140" s="345"/>
    </row>
    <row r="141" spans="1:14">
      <c r="A141" s="333"/>
      <c r="B141" s="361"/>
      <c r="C141" s="361"/>
      <c r="D141" s="356"/>
      <c r="E141" s="176">
        <v>5.43</v>
      </c>
      <c r="F141" s="176">
        <v>2.7</v>
      </c>
      <c r="G141" s="176"/>
      <c r="H141" s="176"/>
      <c r="I141" s="176">
        <f>(1.2*0.6)*2</f>
        <v>1.44</v>
      </c>
      <c r="J141" s="173">
        <f>(E141*F141)-I141</f>
        <v>13.221</v>
      </c>
      <c r="K141" s="366"/>
      <c r="L141" s="345"/>
    </row>
    <row r="142" spans="1:14">
      <c r="A142" s="333"/>
      <c r="B142" s="361"/>
      <c r="C142" s="361"/>
      <c r="D142" s="357"/>
      <c r="E142" s="176">
        <v>1.29</v>
      </c>
      <c r="F142" s="176">
        <v>2.7</v>
      </c>
      <c r="G142" s="176"/>
      <c r="H142" s="176"/>
      <c r="I142" s="176"/>
      <c r="J142" s="173">
        <f>(E142*F142)</f>
        <v>3.4830000000000005</v>
      </c>
      <c r="K142" s="367"/>
      <c r="L142" s="345"/>
    </row>
    <row r="143" spans="1:14">
      <c r="A143" s="216"/>
      <c r="B143" s="10"/>
      <c r="C143" s="11"/>
      <c r="D143" s="12"/>
      <c r="E143" s="13"/>
      <c r="F143" s="14"/>
      <c r="G143" s="14"/>
      <c r="H143" s="14"/>
      <c r="I143" s="14"/>
      <c r="J143" s="15"/>
      <c r="K143" s="15"/>
      <c r="L143" s="163"/>
    </row>
    <row r="144" spans="1:14">
      <c r="A144" s="333">
        <v>3.5</v>
      </c>
      <c r="B144" s="363" t="s">
        <v>671</v>
      </c>
      <c r="C144" s="363"/>
      <c r="D144" s="364" t="s">
        <v>672</v>
      </c>
      <c r="E144" s="176">
        <v>1.95</v>
      </c>
      <c r="F144" s="176">
        <v>0.6</v>
      </c>
      <c r="G144" s="176"/>
      <c r="H144" s="176"/>
      <c r="I144" s="176">
        <f>(0.3*2)</f>
        <v>0.6</v>
      </c>
      <c r="J144" s="173">
        <f>(E144*F144)-I144</f>
        <v>0.56999999999999995</v>
      </c>
      <c r="K144" s="340">
        <f>SUM(J144:J147)</f>
        <v>2.88</v>
      </c>
      <c r="L144" s="345" t="s">
        <v>500</v>
      </c>
    </row>
    <row r="145" spans="1:12">
      <c r="A145" s="333"/>
      <c r="B145" s="363"/>
      <c r="C145" s="363"/>
      <c r="D145" s="364"/>
      <c r="E145" s="176">
        <v>1.95</v>
      </c>
      <c r="F145" s="176">
        <v>0.6</v>
      </c>
      <c r="G145" s="176"/>
      <c r="H145" s="176"/>
      <c r="I145" s="176">
        <f>(0.3*2)</f>
        <v>0.6</v>
      </c>
      <c r="J145" s="173">
        <f>(E145*F145)-I145</f>
        <v>0.56999999999999995</v>
      </c>
      <c r="K145" s="340"/>
      <c r="L145" s="345"/>
    </row>
    <row r="146" spans="1:12">
      <c r="A146" s="333"/>
      <c r="B146" s="363"/>
      <c r="C146" s="363"/>
      <c r="D146" s="364"/>
      <c r="E146" s="176">
        <v>1.95</v>
      </c>
      <c r="F146" s="176">
        <v>0.6</v>
      </c>
      <c r="G146" s="176"/>
      <c r="H146" s="176"/>
      <c r="I146" s="176">
        <f>0.15*2</f>
        <v>0.3</v>
      </c>
      <c r="J146" s="173">
        <f>(E146*F146)-I146</f>
        <v>0.86999999999999988</v>
      </c>
      <c r="K146" s="340"/>
      <c r="L146" s="345"/>
    </row>
    <row r="147" spans="1:12">
      <c r="A147" s="333"/>
      <c r="B147" s="363"/>
      <c r="C147" s="363"/>
      <c r="D147" s="364"/>
      <c r="E147" s="176">
        <v>1.95</v>
      </c>
      <c r="F147" s="176">
        <v>0.6</v>
      </c>
      <c r="G147" s="176"/>
      <c r="H147" s="176"/>
      <c r="I147" s="176">
        <f>0.15*2</f>
        <v>0.3</v>
      </c>
      <c r="J147" s="173">
        <f>(E147*F147)-I147</f>
        <v>0.86999999999999988</v>
      </c>
      <c r="K147" s="340"/>
      <c r="L147" s="345"/>
    </row>
    <row r="148" spans="1:12" ht="15" thickBot="1">
      <c r="A148" s="216"/>
      <c r="B148" s="10"/>
      <c r="C148" s="11"/>
      <c r="D148" s="12"/>
      <c r="E148" s="13"/>
      <c r="F148" s="14"/>
      <c r="G148" s="14"/>
      <c r="H148" s="14"/>
      <c r="I148" s="14"/>
      <c r="J148" s="15"/>
      <c r="K148" s="15"/>
      <c r="L148" s="163"/>
    </row>
    <row r="149" spans="1:12" ht="16.2" thickBot="1">
      <c r="A149" s="179">
        <v>4</v>
      </c>
      <c r="B149" s="343" t="s">
        <v>97</v>
      </c>
      <c r="C149" s="343"/>
      <c r="D149" s="343"/>
      <c r="E149" s="343"/>
      <c r="F149" s="343"/>
      <c r="G149" s="343"/>
      <c r="H149" s="343"/>
      <c r="I149" s="343"/>
      <c r="J149" s="343"/>
      <c r="K149" s="343"/>
      <c r="L149" s="344"/>
    </row>
    <row r="150" spans="1:12">
      <c r="A150" s="216"/>
      <c r="B150" s="10"/>
      <c r="C150" s="11"/>
      <c r="D150" s="12"/>
      <c r="E150" s="13"/>
      <c r="F150" s="14"/>
      <c r="G150" s="14"/>
      <c r="H150" s="14"/>
      <c r="I150" s="14"/>
      <c r="J150" s="15"/>
      <c r="K150" s="15"/>
      <c r="L150" s="163"/>
    </row>
    <row r="151" spans="1:12">
      <c r="A151" s="333">
        <v>4.0999999999999996</v>
      </c>
      <c r="B151" s="334" t="s">
        <v>673</v>
      </c>
      <c r="C151" s="335"/>
      <c r="D151" s="355" t="s">
        <v>664</v>
      </c>
      <c r="E151" s="176">
        <v>4.4000000000000004</v>
      </c>
      <c r="F151" s="176">
        <v>2.95</v>
      </c>
      <c r="G151" s="176"/>
      <c r="H151" s="176"/>
      <c r="I151" s="176"/>
      <c r="J151" s="173">
        <f t="shared" ref="J151:J156" si="6">(E151*F151)</f>
        <v>12.980000000000002</v>
      </c>
      <c r="K151" s="365">
        <f>SUM(J151:J157)</f>
        <v>54.811000000000014</v>
      </c>
      <c r="L151" s="345" t="s">
        <v>500</v>
      </c>
    </row>
    <row r="152" spans="1:12">
      <c r="A152" s="333"/>
      <c r="B152" s="336"/>
      <c r="C152" s="337"/>
      <c r="D152" s="356"/>
      <c r="E152" s="176">
        <v>4.16</v>
      </c>
      <c r="F152" s="176">
        <v>2.95</v>
      </c>
      <c r="G152" s="176"/>
      <c r="H152" s="176"/>
      <c r="I152" s="176"/>
      <c r="J152" s="173">
        <f t="shared" si="6"/>
        <v>12.272000000000002</v>
      </c>
      <c r="K152" s="366"/>
      <c r="L152" s="345"/>
    </row>
    <row r="153" spans="1:12">
      <c r="A153" s="333"/>
      <c r="B153" s="336"/>
      <c r="C153" s="337"/>
      <c r="D153" s="357"/>
      <c r="E153" s="176">
        <v>0.73</v>
      </c>
      <c r="F153" s="176">
        <v>2.95</v>
      </c>
      <c r="G153" s="176"/>
      <c r="H153" s="176"/>
      <c r="I153" s="176"/>
      <c r="J153" s="173">
        <f t="shared" si="6"/>
        <v>2.1535000000000002</v>
      </c>
      <c r="K153" s="366"/>
      <c r="L153" s="345"/>
    </row>
    <row r="154" spans="1:12">
      <c r="A154" s="333"/>
      <c r="B154" s="336"/>
      <c r="C154" s="337"/>
      <c r="D154" s="355" t="s">
        <v>674</v>
      </c>
      <c r="E154" s="176">
        <v>4.16</v>
      </c>
      <c r="F154" s="176">
        <v>2.95</v>
      </c>
      <c r="G154" s="176"/>
      <c r="H154" s="176"/>
      <c r="I154" s="176"/>
      <c r="J154" s="173">
        <f t="shared" si="6"/>
        <v>12.272000000000002</v>
      </c>
      <c r="K154" s="366"/>
      <c r="L154" s="345"/>
    </row>
    <row r="155" spans="1:12">
      <c r="A155" s="333"/>
      <c r="B155" s="336"/>
      <c r="C155" s="337"/>
      <c r="D155" s="356"/>
      <c r="E155" s="176">
        <v>0.73</v>
      </c>
      <c r="F155" s="176">
        <v>2.95</v>
      </c>
      <c r="G155" s="176"/>
      <c r="H155" s="176"/>
      <c r="I155" s="176"/>
      <c r="J155" s="173">
        <f t="shared" si="6"/>
        <v>2.1535000000000002</v>
      </c>
      <c r="K155" s="366"/>
      <c r="L155" s="345"/>
    </row>
    <row r="156" spans="1:12">
      <c r="A156" s="333"/>
      <c r="B156" s="336"/>
      <c r="C156" s="337"/>
      <c r="D156" s="356"/>
      <c r="E156" s="176">
        <v>4.4000000000000004</v>
      </c>
      <c r="F156" s="176">
        <v>2.95</v>
      </c>
      <c r="G156" s="176"/>
      <c r="H156" s="176"/>
      <c r="I156" s="176"/>
      <c r="J156" s="173">
        <f t="shared" si="6"/>
        <v>12.980000000000002</v>
      </c>
      <c r="K156" s="366"/>
      <c r="L156" s="345"/>
    </row>
    <row r="157" spans="1:12">
      <c r="A157" s="333"/>
      <c r="B157" s="338"/>
      <c r="C157" s="339"/>
      <c r="D157" s="357"/>
      <c r="E157" s="176"/>
      <c r="F157" s="176"/>
      <c r="G157" s="176"/>
      <c r="H157" s="176"/>
      <c r="I157" s="176"/>
      <c r="J157" s="173"/>
      <c r="K157" s="367"/>
      <c r="L157" s="345"/>
    </row>
    <row r="158" spans="1:12">
      <c r="A158" s="216"/>
      <c r="B158" s="10"/>
      <c r="C158" s="11"/>
      <c r="D158" s="12"/>
      <c r="E158" s="13"/>
      <c r="F158" s="14"/>
      <c r="G158" s="14"/>
      <c r="H158" s="14"/>
      <c r="I158" s="14"/>
      <c r="J158" s="15"/>
      <c r="K158" s="15"/>
      <c r="L158" s="163"/>
    </row>
    <row r="159" spans="1:12">
      <c r="A159" s="333">
        <v>4.2</v>
      </c>
      <c r="B159" s="361" t="s">
        <v>522</v>
      </c>
      <c r="C159" s="361"/>
      <c r="D159" s="355" t="s">
        <v>675</v>
      </c>
      <c r="E159" s="176">
        <v>1.1399999999999999</v>
      </c>
      <c r="F159" s="176">
        <v>1.8</v>
      </c>
      <c r="G159" s="176"/>
      <c r="H159" s="176"/>
      <c r="I159" s="176"/>
      <c r="J159" s="173">
        <f t="shared" ref="J159:J166" si="7">(E159*F159)-G159</f>
        <v>2.052</v>
      </c>
      <c r="K159" s="340">
        <f>SUM(J159:J166)</f>
        <v>9.1260000000000012</v>
      </c>
      <c r="L159" s="345" t="s">
        <v>500</v>
      </c>
    </row>
    <row r="160" spans="1:12">
      <c r="A160" s="333"/>
      <c r="B160" s="361"/>
      <c r="C160" s="361"/>
      <c r="D160" s="356"/>
      <c r="E160" s="176">
        <v>0.57999999999999996</v>
      </c>
      <c r="F160" s="176">
        <v>1.8</v>
      </c>
      <c r="G160" s="176"/>
      <c r="H160" s="176"/>
      <c r="I160" s="176"/>
      <c r="J160" s="173">
        <f t="shared" si="7"/>
        <v>1.044</v>
      </c>
      <c r="K160" s="340"/>
      <c r="L160" s="345"/>
    </row>
    <row r="161" spans="1:12">
      <c r="A161" s="333"/>
      <c r="B161" s="361"/>
      <c r="C161" s="361"/>
      <c r="D161" s="356"/>
      <c r="E161" s="176">
        <v>0.65</v>
      </c>
      <c r="F161" s="176">
        <v>1.8</v>
      </c>
      <c r="G161" s="176"/>
      <c r="H161" s="176"/>
      <c r="I161" s="176"/>
      <c r="J161" s="173">
        <f t="shared" si="7"/>
        <v>1.1700000000000002</v>
      </c>
      <c r="K161" s="340"/>
      <c r="L161" s="345"/>
    </row>
    <row r="162" spans="1:12">
      <c r="A162" s="333"/>
      <c r="B162" s="361"/>
      <c r="C162" s="361"/>
      <c r="D162" s="356"/>
      <c r="E162" s="176">
        <v>0.15</v>
      </c>
      <c r="F162" s="176">
        <v>1.8</v>
      </c>
      <c r="G162" s="176"/>
      <c r="H162" s="176"/>
      <c r="I162" s="176"/>
      <c r="J162" s="173">
        <f t="shared" si="7"/>
        <v>0.27</v>
      </c>
      <c r="K162" s="340"/>
      <c r="L162" s="345"/>
    </row>
    <row r="163" spans="1:12">
      <c r="A163" s="333"/>
      <c r="B163" s="361"/>
      <c r="C163" s="361"/>
      <c r="D163" s="356"/>
      <c r="E163" s="176">
        <v>0.55000000000000004</v>
      </c>
      <c r="F163" s="176">
        <v>1.8</v>
      </c>
      <c r="G163" s="176"/>
      <c r="H163" s="176"/>
      <c r="I163" s="176"/>
      <c r="J163" s="173">
        <f t="shared" si="7"/>
        <v>0.9900000000000001</v>
      </c>
      <c r="K163" s="340"/>
      <c r="L163" s="345"/>
    </row>
    <row r="164" spans="1:12">
      <c r="A164" s="333"/>
      <c r="B164" s="361"/>
      <c r="C164" s="361"/>
      <c r="D164" s="356"/>
      <c r="E164" s="176">
        <v>0.55000000000000004</v>
      </c>
      <c r="F164" s="176">
        <v>1.8</v>
      </c>
      <c r="G164" s="176"/>
      <c r="H164" s="176"/>
      <c r="I164" s="176"/>
      <c r="J164" s="173">
        <f t="shared" si="7"/>
        <v>0.9900000000000001</v>
      </c>
      <c r="K164" s="340"/>
      <c r="L164" s="345"/>
    </row>
    <row r="165" spans="1:12">
      <c r="A165" s="333"/>
      <c r="B165" s="361"/>
      <c r="C165" s="361"/>
      <c r="D165" s="356"/>
      <c r="E165" s="176">
        <v>1.1499999999999999</v>
      </c>
      <c r="F165" s="176">
        <v>1.8</v>
      </c>
      <c r="G165" s="176"/>
      <c r="H165" s="176"/>
      <c r="I165" s="176"/>
      <c r="J165" s="173">
        <f t="shared" si="7"/>
        <v>2.0699999999999998</v>
      </c>
      <c r="K165" s="340"/>
      <c r="L165" s="345"/>
    </row>
    <row r="166" spans="1:12">
      <c r="A166" s="333"/>
      <c r="B166" s="361"/>
      <c r="C166" s="361"/>
      <c r="D166" s="357"/>
      <c r="E166" s="176">
        <v>0.3</v>
      </c>
      <c r="F166" s="176">
        <v>1.8</v>
      </c>
      <c r="G166" s="176"/>
      <c r="H166" s="176"/>
      <c r="I166" s="176"/>
      <c r="J166" s="173">
        <f t="shared" si="7"/>
        <v>0.54</v>
      </c>
      <c r="K166" s="340"/>
      <c r="L166" s="345"/>
    </row>
    <row r="167" spans="1:12">
      <c r="A167" s="216"/>
      <c r="B167" s="10"/>
      <c r="C167" s="11"/>
      <c r="D167" s="12"/>
      <c r="E167" s="13"/>
      <c r="F167" s="14"/>
      <c r="G167" s="14"/>
      <c r="H167" s="14"/>
      <c r="I167" s="14"/>
      <c r="J167" s="15"/>
      <c r="K167" s="15"/>
      <c r="L167" s="163"/>
    </row>
    <row r="168" spans="1:12">
      <c r="A168" s="250">
        <v>4.3</v>
      </c>
      <c r="B168" s="361" t="s">
        <v>676</v>
      </c>
      <c r="C168" s="361"/>
      <c r="D168" s="171" t="s">
        <v>677</v>
      </c>
      <c r="E168" s="252"/>
      <c r="F168" s="172"/>
      <c r="G168" s="172"/>
      <c r="H168" s="172"/>
      <c r="I168" s="172"/>
      <c r="J168" s="177">
        <f>(K136+K110)*2</f>
        <v>571.97299999999996</v>
      </c>
      <c r="K168" s="247">
        <f>J168</f>
        <v>571.97299999999996</v>
      </c>
      <c r="L168" s="251" t="s">
        <v>500</v>
      </c>
    </row>
    <row r="169" spans="1:12">
      <c r="A169" s="216"/>
      <c r="B169" s="10"/>
      <c r="C169" s="11"/>
      <c r="D169" s="12"/>
      <c r="E169" s="13"/>
      <c r="F169" s="14"/>
      <c r="G169" s="14"/>
      <c r="H169" s="14"/>
      <c r="I169" s="14"/>
      <c r="J169" s="15"/>
      <c r="K169" s="15"/>
      <c r="L169" s="163"/>
    </row>
    <row r="170" spans="1:12">
      <c r="A170" s="250">
        <v>4.4000000000000004</v>
      </c>
      <c r="B170" s="361" t="s">
        <v>678</v>
      </c>
      <c r="C170" s="361"/>
      <c r="D170" s="171" t="s">
        <v>677</v>
      </c>
      <c r="E170" s="252"/>
      <c r="F170" s="172"/>
      <c r="G170" s="172"/>
      <c r="H170" s="172"/>
      <c r="I170" s="172"/>
      <c r="J170" s="177">
        <f>J168</f>
        <v>571.97299999999996</v>
      </c>
      <c r="K170" s="247">
        <f>J170</f>
        <v>571.97299999999996</v>
      </c>
      <c r="L170" s="251" t="s">
        <v>500</v>
      </c>
    </row>
    <row r="171" spans="1:12">
      <c r="A171" s="216"/>
      <c r="B171" s="10"/>
      <c r="C171" s="11"/>
      <c r="D171" s="12"/>
      <c r="E171" s="13"/>
      <c r="F171" s="14"/>
      <c r="G171" s="14"/>
      <c r="H171" s="14"/>
      <c r="I171" s="14"/>
      <c r="J171" s="15"/>
      <c r="K171" s="15"/>
      <c r="L171" s="163"/>
    </row>
    <row r="172" spans="1:12">
      <c r="A172" s="362">
        <v>4.5</v>
      </c>
      <c r="B172" s="334" t="s">
        <v>524</v>
      </c>
      <c r="C172" s="335"/>
      <c r="D172" s="171" t="s">
        <v>679</v>
      </c>
      <c r="E172" s="176">
        <v>9.6999999999999993</v>
      </c>
      <c r="F172" s="176">
        <v>2.7</v>
      </c>
      <c r="G172" s="176"/>
      <c r="H172" s="176"/>
      <c r="I172" s="176">
        <f>(2.1*0.9)+(0.4*0.4)</f>
        <v>2.0500000000000003</v>
      </c>
      <c r="J172" s="173">
        <f t="shared" ref="J172:J177" si="8">(E172*F172)-I172</f>
        <v>24.14</v>
      </c>
      <c r="K172" s="340">
        <f>SUM(J172:J178)</f>
        <v>191.12300000000002</v>
      </c>
      <c r="L172" s="345" t="s">
        <v>500</v>
      </c>
    </row>
    <row r="173" spans="1:12">
      <c r="A173" s="362"/>
      <c r="B173" s="336"/>
      <c r="C173" s="337"/>
      <c r="D173" s="171" t="s">
        <v>613</v>
      </c>
      <c r="E173" s="176">
        <v>9.5</v>
      </c>
      <c r="F173" s="176">
        <v>2.7</v>
      </c>
      <c r="G173" s="176"/>
      <c r="H173" s="176"/>
      <c r="I173" s="176">
        <f>(0.6*2.1)+(0.4*0.4)</f>
        <v>1.42</v>
      </c>
      <c r="J173" s="173">
        <f t="shared" si="8"/>
        <v>24.230000000000004</v>
      </c>
      <c r="K173" s="340"/>
      <c r="L173" s="345"/>
    </row>
    <row r="174" spans="1:12">
      <c r="A174" s="362"/>
      <c r="B174" s="336"/>
      <c r="C174" s="337"/>
      <c r="D174" s="171" t="s">
        <v>680</v>
      </c>
      <c r="E174" s="176">
        <v>9.6999999999999993</v>
      </c>
      <c r="F174" s="176">
        <v>2.7</v>
      </c>
      <c r="G174" s="176"/>
      <c r="H174" s="176"/>
      <c r="I174" s="176">
        <f>(2.1*0.9)+(0.4*0.4)</f>
        <v>2.0500000000000003</v>
      </c>
      <c r="J174" s="173">
        <f t="shared" si="8"/>
        <v>24.14</v>
      </c>
      <c r="K174" s="340"/>
      <c r="L174" s="345"/>
    </row>
    <row r="175" spans="1:12">
      <c r="A175" s="362"/>
      <c r="B175" s="336"/>
      <c r="C175" s="337"/>
      <c r="D175" s="171" t="s">
        <v>615</v>
      </c>
      <c r="E175" s="176">
        <v>9.5</v>
      </c>
      <c r="F175" s="176">
        <v>2.7</v>
      </c>
      <c r="G175" s="176"/>
      <c r="H175" s="176"/>
      <c r="I175" s="176">
        <f>(0.6*2.1)+(0.4*0.4)</f>
        <v>1.42</v>
      </c>
      <c r="J175" s="173">
        <f t="shared" si="8"/>
        <v>24.230000000000004</v>
      </c>
      <c r="K175" s="340"/>
      <c r="L175" s="345"/>
    </row>
    <row r="176" spans="1:12">
      <c r="A176" s="362"/>
      <c r="B176" s="336"/>
      <c r="C176" s="337"/>
      <c r="D176" s="171" t="s">
        <v>681</v>
      </c>
      <c r="E176" s="176">
        <v>20.74</v>
      </c>
      <c r="F176" s="176">
        <v>2.7</v>
      </c>
      <c r="G176" s="176"/>
      <c r="H176" s="176"/>
      <c r="I176" s="176">
        <f>(1.2*0.6)+(2.1*0.9)+(2.1*0.9)+(2.1*0.9)</f>
        <v>6.3900000000000006</v>
      </c>
      <c r="J176" s="173">
        <f t="shared" si="8"/>
        <v>49.607999999999997</v>
      </c>
      <c r="K176" s="340"/>
      <c r="L176" s="345"/>
    </row>
    <row r="177" spans="1:12">
      <c r="A177" s="362"/>
      <c r="B177" s="336"/>
      <c r="C177" s="337"/>
      <c r="D177" s="171" t="s">
        <v>681</v>
      </c>
      <c r="E177" s="176">
        <v>18.95</v>
      </c>
      <c r="F177" s="176">
        <v>2.7</v>
      </c>
      <c r="G177" s="176"/>
      <c r="H177" s="176"/>
      <c r="I177" s="176">
        <f>(1.2*0.6)+(2.1*0.9)+(2.1*0.9)+(2.1*0.9)</f>
        <v>6.3900000000000006</v>
      </c>
      <c r="J177" s="173">
        <f t="shared" si="8"/>
        <v>44.774999999999999</v>
      </c>
      <c r="K177" s="340"/>
      <c r="L177" s="345"/>
    </row>
    <row r="178" spans="1:12">
      <c r="A178" s="362"/>
      <c r="B178" s="338"/>
      <c r="C178" s="339"/>
      <c r="D178" s="171"/>
      <c r="E178" s="176"/>
      <c r="F178" s="176"/>
      <c r="G178" s="176"/>
      <c r="H178" s="176"/>
      <c r="I178" s="176"/>
      <c r="J178" s="173">
        <f>(E178*F178)-G178</f>
        <v>0</v>
      </c>
      <c r="K178" s="340"/>
      <c r="L178" s="345"/>
    </row>
    <row r="179" spans="1:12">
      <c r="A179" s="216"/>
      <c r="B179" s="10"/>
      <c r="C179" s="11"/>
      <c r="D179" s="12"/>
      <c r="E179" s="13"/>
      <c r="F179" s="14"/>
      <c r="G179" s="14"/>
      <c r="H179" s="14"/>
      <c r="I179" s="14"/>
      <c r="J179" s="15"/>
      <c r="K179" s="15"/>
      <c r="L179" s="163"/>
    </row>
    <row r="180" spans="1:12">
      <c r="A180" s="333">
        <v>4.5999999999999996</v>
      </c>
      <c r="B180" s="347" t="s">
        <v>526</v>
      </c>
      <c r="C180" s="348"/>
      <c r="D180" s="171" t="s">
        <v>682</v>
      </c>
      <c r="E180" s="176"/>
      <c r="F180" s="176"/>
      <c r="G180" s="176"/>
      <c r="H180" s="176"/>
      <c r="I180" s="176"/>
      <c r="J180" s="173">
        <v>8.26</v>
      </c>
      <c r="K180" s="340">
        <f>SUM(J180:J192)</f>
        <v>259.89999999999998</v>
      </c>
      <c r="L180" s="345" t="s">
        <v>500</v>
      </c>
    </row>
    <row r="181" spans="1:12">
      <c r="A181" s="333"/>
      <c r="B181" s="349"/>
      <c r="C181" s="350"/>
      <c r="D181" s="171" t="s">
        <v>682</v>
      </c>
      <c r="E181" s="176"/>
      <c r="F181" s="176"/>
      <c r="G181" s="176"/>
      <c r="H181" s="176"/>
      <c r="I181" s="176"/>
      <c r="J181" s="173">
        <v>7.99</v>
      </c>
      <c r="K181" s="340"/>
      <c r="L181" s="345"/>
    </row>
    <row r="182" spans="1:12">
      <c r="A182" s="333"/>
      <c r="B182" s="349"/>
      <c r="C182" s="350"/>
      <c r="D182" s="171" t="s">
        <v>682</v>
      </c>
      <c r="E182" s="176"/>
      <c r="F182" s="176"/>
      <c r="G182" s="176"/>
      <c r="H182" s="176"/>
      <c r="I182" s="176"/>
      <c r="J182" s="173">
        <v>16.64</v>
      </c>
      <c r="K182" s="340"/>
      <c r="L182" s="345"/>
    </row>
    <row r="183" spans="1:12">
      <c r="A183" s="333"/>
      <c r="B183" s="349"/>
      <c r="C183" s="350"/>
      <c r="D183" s="171" t="s">
        <v>683</v>
      </c>
      <c r="E183" s="176"/>
      <c r="F183" s="176"/>
      <c r="G183" s="176"/>
      <c r="H183" s="176"/>
      <c r="I183" s="176"/>
      <c r="J183" s="173">
        <v>14.35</v>
      </c>
      <c r="K183" s="340"/>
      <c r="L183" s="345"/>
    </row>
    <row r="184" spans="1:12">
      <c r="A184" s="333"/>
      <c r="B184" s="349"/>
      <c r="C184" s="350"/>
      <c r="D184" s="171" t="s">
        <v>684</v>
      </c>
      <c r="E184" s="176"/>
      <c r="F184" s="176"/>
      <c r="G184" s="176"/>
      <c r="H184" s="176"/>
      <c r="I184" s="176"/>
      <c r="J184" s="173">
        <v>5.1100000000000003</v>
      </c>
      <c r="K184" s="340"/>
      <c r="L184" s="345"/>
    </row>
    <row r="185" spans="1:12">
      <c r="A185" s="333"/>
      <c r="B185" s="349"/>
      <c r="C185" s="350"/>
      <c r="D185" s="171" t="s">
        <v>685</v>
      </c>
      <c r="E185" s="176"/>
      <c r="F185" s="176"/>
      <c r="G185" s="176"/>
      <c r="H185" s="176"/>
      <c r="I185" s="176"/>
      <c r="J185" s="173">
        <v>4.83</v>
      </c>
      <c r="K185" s="340"/>
      <c r="L185" s="345"/>
    </row>
    <row r="186" spans="1:12">
      <c r="A186" s="333"/>
      <c r="B186" s="349"/>
      <c r="C186" s="350"/>
      <c r="D186" s="171" t="s">
        <v>686</v>
      </c>
      <c r="E186" s="176"/>
      <c r="F186" s="176"/>
      <c r="G186" s="176"/>
      <c r="H186" s="176"/>
      <c r="I186" s="176"/>
      <c r="J186" s="173">
        <v>5.1100000000000003</v>
      </c>
      <c r="K186" s="340"/>
      <c r="L186" s="345"/>
    </row>
    <row r="187" spans="1:12">
      <c r="A187" s="333"/>
      <c r="B187" s="349"/>
      <c r="C187" s="350"/>
      <c r="D187" s="171" t="s">
        <v>687</v>
      </c>
      <c r="E187" s="176"/>
      <c r="F187" s="176"/>
      <c r="G187" s="176"/>
      <c r="H187" s="176"/>
      <c r="I187" s="176"/>
      <c r="J187" s="173">
        <v>4.83</v>
      </c>
      <c r="K187" s="340"/>
      <c r="L187" s="345"/>
    </row>
    <row r="188" spans="1:12">
      <c r="A188" s="333"/>
      <c r="B188" s="349"/>
      <c r="C188" s="350"/>
      <c r="D188" s="171" t="s">
        <v>688</v>
      </c>
      <c r="E188" s="176"/>
      <c r="F188" s="176"/>
      <c r="G188" s="176"/>
      <c r="H188" s="176"/>
      <c r="I188" s="176"/>
      <c r="J188" s="173">
        <v>25.13</v>
      </c>
      <c r="K188" s="340"/>
      <c r="L188" s="345"/>
    </row>
    <row r="189" spans="1:12">
      <c r="A189" s="333"/>
      <c r="B189" s="349"/>
      <c r="C189" s="350"/>
      <c r="D189" s="171" t="s">
        <v>689</v>
      </c>
      <c r="E189" s="176"/>
      <c r="F189" s="176"/>
      <c r="G189" s="176"/>
      <c r="H189" s="176"/>
      <c r="I189" s="176"/>
      <c r="J189" s="173">
        <v>13.66</v>
      </c>
      <c r="K189" s="340"/>
      <c r="L189" s="345"/>
    </row>
    <row r="190" spans="1:12">
      <c r="A190" s="333"/>
      <c r="B190" s="349"/>
      <c r="C190" s="350"/>
      <c r="D190" s="171" t="s">
        <v>689</v>
      </c>
      <c r="E190" s="176"/>
      <c r="F190" s="176"/>
      <c r="G190" s="176"/>
      <c r="H190" s="176"/>
      <c r="I190" s="176"/>
      <c r="J190" s="173">
        <v>13.5</v>
      </c>
      <c r="K190" s="340"/>
      <c r="L190" s="345"/>
    </row>
    <row r="191" spans="1:12">
      <c r="A191" s="333"/>
      <c r="B191" s="349"/>
      <c r="C191" s="350"/>
      <c r="D191" s="171" t="s">
        <v>690</v>
      </c>
      <c r="E191" s="176"/>
      <c r="F191" s="176"/>
      <c r="G191" s="176"/>
      <c r="H191" s="176"/>
      <c r="I191" s="176"/>
      <c r="J191" s="173">
        <v>122.85</v>
      </c>
      <c r="K191" s="340"/>
      <c r="L191" s="345"/>
    </row>
    <row r="192" spans="1:12">
      <c r="A192" s="333"/>
      <c r="B192" s="351"/>
      <c r="C192" s="352"/>
      <c r="D192" s="171" t="s">
        <v>691</v>
      </c>
      <c r="E192" s="252"/>
      <c r="F192" s="172"/>
      <c r="G192" s="172"/>
      <c r="H192" s="172"/>
      <c r="I192" s="172"/>
      <c r="J192" s="173">
        <v>17.64</v>
      </c>
      <c r="K192" s="340"/>
      <c r="L192" s="345"/>
    </row>
    <row r="193" spans="1:12">
      <c r="A193" s="216"/>
      <c r="B193" s="10"/>
      <c r="C193" s="11"/>
      <c r="D193" s="12"/>
      <c r="E193" s="13"/>
      <c r="F193" s="14"/>
      <c r="G193" s="14"/>
      <c r="H193" s="14"/>
      <c r="I193" s="14"/>
      <c r="J193" s="15"/>
      <c r="K193" s="15"/>
      <c r="L193" s="163"/>
    </row>
    <row r="194" spans="1:12">
      <c r="A194" s="333">
        <v>4.7</v>
      </c>
      <c r="B194" s="334" t="s">
        <v>692</v>
      </c>
      <c r="C194" s="335"/>
      <c r="D194" s="171" t="s">
        <v>693</v>
      </c>
      <c r="E194" s="176">
        <v>9.1</v>
      </c>
      <c r="F194" s="176">
        <v>0.7</v>
      </c>
      <c r="G194" s="176"/>
      <c r="H194" s="176"/>
      <c r="I194" s="176"/>
      <c r="J194" s="173">
        <f>E194*F194</f>
        <v>6.3699999999999992</v>
      </c>
      <c r="K194" s="340">
        <f>SUM(J194:J197)</f>
        <v>49.66</v>
      </c>
      <c r="L194" s="345" t="s">
        <v>500</v>
      </c>
    </row>
    <row r="195" spans="1:12">
      <c r="A195" s="333"/>
      <c r="B195" s="336"/>
      <c r="C195" s="337"/>
      <c r="D195" s="171" t="s">
        <v>693</v>
      </c>
      <c r="E195" s="176">
        <v>1.95</v>
      </c>
      <c r="F195" s="176">
        <v>11.7</v>
      </c>
      <c r="G195" s="176"/>
      <c r="H195" s="176"/>
      <c r="I195" s="176"/>
      <c r="J195" s="173">
        <f>E195*F195</f>
        <v>22.814999999999998</v>
      </c>
      <c r="K195" s="340"/>
      <c r="L195" s="345"/>
    </row>
    <row r="196" spans="1:12">
      <c r="A196" s="333"/>
      <c r="B196" s="336"/>
      <c r="C196" s="337"/>
      <c r="D196" s="171" t="s">
        <v>693</v>
      </c>
      <c r="E196" s="176">
        <v>1.75</v>
      </c>
      <c r="F196" s="176">
        <v>11.7</v>
      </c>
      <c r="G196" s="176"/>
      <c r="H196" s="176"/>
      <c r="I196" s="176"/>
      <c r="J196" s="173">
        <f>E196*F196</f>
        <v>20.474999999999998</v>
      </c>
      <c r="K196" s="340"/>
      <c r="L196" s="345"/>
    </row>
    <row r="197" spans="1:12">
      <c r="A197" s="333"/>
      <c r="B197" s="338"/>
      <c r="C197" s="339"/>
      <c r="D197" s="171"/>
      <c r="E197" s="176"/>
      <c r="F197" s="176"/>
      <c r="G197" s="176"/>
      <c r="H197" s="176"/>
      <c r="I197" s="176"/>
      <c r="J197" s="173">
        <f>G197*F197*E197</f>
        <v>0</v>
      </c>
      <c r="K197" s="340"/>
      <c r="L197" s="345"/>
    </row>
    <row r="198" spans="1:12">
      <c r="A198" s="216"/>
      <c r="B198" s="10"/>
      <c r="C198" s="11"/>
      <c r="D198" s="12"/>
      <c r="E198" s="13"/>
      <c r="F198" s="14"/>
      <c r="G198" s="14"/>
      <c r="H198" s="14"/>
      <c r="I198" s="14"/>
      <c r="J198" s="15"/>
      <c r="K198" s="15"/>
      <c r="L198" s="163"/>
    </row>
    <row r="199" spans="1:12">
      <c r="A199" s="333">
        <v>4.8</v>
      </c>
      <c r="B199" s="361" t="s">
        <v>694</v>
      </c>
      <c r="C199" s="361"/>
      <c r="D199" s="171" t="s">
        <v>688</v>
      </c>
      <c r="E199" s="176"/>
      <c r="F199" s="176"/>
      <c r="G199" s="176"/>
      <c r="H199" s="176"/>
      <c r="I199" s="176"/>
      <c r="J199" s="173">
        <v>25.13</v>
      </c>
      <c r="K199" s="340">
        <f>SUM(J199:J206)</f>
        <v>216.39</v>
      </c>
      <c r="L199" s="345" t="s">
        <v>500</v>
      </c>
    </row>
    <row r="200" spans="1:12">
      <c r="A200" s="333"/>
      <c r="B200" s="361"/>
      <c r="C200" s="361"/>
      <c r="D200" s="171" t="s">
        <v>689</v>
      </c>
      <c r="E200" s="176"/>
      <c r="F200" s="176"/>
      <c r="G200" s="176"/>
      <c r="H200" s="176"/>
      <c r="I200" s="176"/>
      <c r="J200" s="173">
        <v>13.66</v>
      </c>
      <c r="K200" s="340"/>
      <c r="L200" s="345"/>
    </row>
    <row r="201" spans="1:12">
      <c r="A201" s="333"/>
      <c r="B201" s="361"/>
      <c r="C201" s="361"/>
      <c r="D201" s="171" t="s">
        <v>690</v>
      </c>
      <c r="E201" s="176"/>
      <c r="F201" s="176"/>
      <c r="G201" s="176"/>
      <c r="H201" s="176"/>
      <c r="I201" s="176"/>
      <c r="J201" s="173">
        <v>122.85</v>
      </c>
      <c r="K201" s="340"/>
      <c r="L201" s="345"/>
    </row>
    <row r="202" spans="1:12" ht="28.8">
      <c r="A202" s="333"/>
      <c r="B202" s="361"/>
      <c r="C202" s="361"/>
      <c r="D202" s="171" t="s">
        <v>695</v>
      </c>
      <c r="E202" s="176"/>
      <c r="F202" s="176"/>
      <c r="G202" s="176"/>
      <c r="H202" s="176"/>
      <c r="I202" s="176"/>
      <c r="J202" s="173">
        <v>8.4</v>
      </c>
      <c r="K202" s="340"/>
      <c r="L202" s="345"/>
    </row>
    <row r="203" spans="1:12">
      <c r="A203" s="333"/>
      <c r="B203" s="361"/>
      <c r="C203" s="361"/>
      <c r="D203" s="171" t="s">
        <v>682</v>
      </c>
      <c r="E203" s="176"/>
      <c r="F203" s="176"/>
      <c r="G203" s="176"/>
      <c r="H203" s="176"/>
      <c r="I203" s="176"/>
      <c r="J203" s="173">
        <v>8.26</v>
      </c>
      <c r="K203" s="340"/>
      <c r="L203" s="345"/>
    </row>
    <row r="204" spans="1:12">
      <c r="A204" s="333"/>
      <c r="B204" s="361"/>
      <c r="C204" s="361"/>
      <c r="D204" s="171" t="s">
        <v>682</v>
      </c>
      <c r="E204" s="176"/>
      <c r="F204" s="176"/>
      <c r="G204" s="176"/>
      <c r="H204" s="176"/>
      <c r="I204" s="176"/>
      <c r="J204" s="173">
        <v>7.99</v>
      </c>
      <c r="K204" s="340"/>
      <c r="L204" s="345"/>
    </row>
    <row r="205" spans="1:12">
      <c r="A205" s="333"/>
      <c r="B205" s="361"/>
      <c r="C205" s="361"/>
      <c r="D205" s="171" t="s">
        <v>682</v>
      </c>
      <c r="E205" s="176"/>
      <c r="F205" s="176"/>
      <c r="G205" s="176"/>
      <c r="H205" s="176"/>
      <c r="I205" s="176"/>
      <c r="J205" s="173">
        <v>16.600000000000001</v>
      </c>
      <c r="K205" s="340"/>
      <c r="L205" s="345"/>
    </row>
    <row r="206" spans="1:12">
      <c r="A206" s="333"/>
      <c r="B206" s="361"/>
      <c r="C206" s="361"/>
      <c r="D206" s="171" t="s">
        <v>689</v>
      </c>
      <c r="E206" s="176"/>
      <c r="F206" s="176"/>
      <c r="G206" s="176"/>
      <c r="H206" s="176"/>
      <c r="I206" s="176"/>
      <c r="J206" s="173">
        <v>13.5</v>
      </c>
      <c r="K206" s="340"/>
      <c r="L206" s="345"/>
    </row>
    <row r="207" spans="1:12">
      <c r="A207" s="216"/>
      <c r="B207" s="10"/>
      <c r="C207" s="11"/>
      <c r="D207" s="12"/>
      <c r="E207" s="13"/>
      <c r="F207" s="14"/>
      <c r="G207" s="14"/>
      <c r="H207" s="14"/>
      <c r="I207" s="14"/>
      <c r="J207" s="15"/>
      <c r="K207" s="15"/>
      <c r="L207" s="163"/>
    </row>
    <row r="208" spans="1:12">
      <c r="A208" s="333">
        <v>4.9000000000000004</v>
      </c>
      <c r="B208" s="361" t="s">
        <v>696</v>
      </c>
      <c r="C208" s="361"/>
      <c r="D208" s="171" t="s">
        <v>682</v>
      </c>
      <c r="E208" s="176"/>
      <c r="F208" s="176"/>
      <c r="G208" s="176"/>
      <c r="H208" s="176"/>
      <c r="I208" s="176"/>
      <c r="J208" s="173">
        <v>10.7</v>
      </c>
      <c r="K208" s="340">
        <f>SUM(J208:J215)</f>
        <v>142.26999999999998</v>
      </c>
      <c r="L208" s="345" t="s">
        <v>500</v>
      </c>
    </row>
    <row r="209" spans="1:12">
      <c r="A209" s="333"/>
      <c r="B209" s="361"/>
      <c r="C209" s="361"/>
      <c r="D209" s="171" t="s">
        <v>682</v>
      </c>
      <c r="E209" s="176"/>
      <c r="F209" s="176"/>
      <c r="G209" s="176"/>
      <c r="H209" s="176"/>
      <c r="I209" s="176"/>
      <c r="J209" s="173">
        <v>10.5</v>
      </c>
      <c r="K209" s="340"/>
      <c r="L209" s="345"/>
    </row>
    <row r="210" spans="1:12">
      <c r="A210" s="333"/>
      <c r="B210" s="361"/>
      <c r="C210" s="361"/>
      <c r="D210" s="171" t="s">
        <v>697</v>
      </c>
      <c r="E210" s="176"/>
      <c r="F210" s="176"/>
      <c r="G210" s="176"/>
      <c r="H210" s="176"/>
      <c r="I210" s="176"/>
      <c r="J210" s="173">
        <v>16.37</v>
      </c>
      <c r="K210" s="340"/>
      <c r="L210" s="345"/>
    </row>
    <row r="211" spans="1:12">
      <c r="A211" s="333"/>
      <c r="B211" s="361"/>
      <c r="C211" s="361"/>
      <c r="D211" s="171" t="s">
        <v>683</v>
      </c>
      <c r="E211" s="176"/>
      <c r="F211" s="176"/>
      <c r="G211" s="176"/>
      <c r="H211" s="176"/>
      <c r="I211" s="176"/>
      <c r="J211" s="173">
        <v>15.7</v>
      </c>
      <c r="K211" s="340"/>
      <c r="L211" s="345"/>
    </row>
    <row r="212" spans="1:12">
      <c r="A212" s="333"/>
      <c r="B212" s="361"/>
      <c r="C212" s="361"/>
      <c r="D212" s="171" t="s">
        <v>698</v>
      </c>
      <c r="E212" s="176"/>
      <c r="F212" s="176"/>
      <c r="G212" s="176"/>
      <c r="H212" s="176"/>
      <c r="I212" s="176"/>
      <c r="J212" s="173">
        <v>47.5</v>
      </c>
      <c r="K212" s="340"/>
      <c r="L212" s="345"/>
    </row>
    <row r="213" spans="1:12">
      <c r="A213" s="333"/>
      <c r="B213" s="361"/>
      <c r="C213" s="361"/>
      <c r="D213" s="171" t="s">
        <v>699</v>
      </c>
      <c r="E213" s="176"/>
      <c r="F213" s="176"/>
      <c r="G213" s="176"/>
      <c r="H213" s="176"/>
      <c r="I213" s="176"/>
      <c r="J213" s="173">
        <v>12.5</v>
      </c>
      <c r="K213" s="340"/>
      <c r="L213" s="345"/>
    </row>
    <row r="214" spans="1:12">
      <c r="A214" s="333"/>
      <c r="B214" s="361"/>
      <c r="C214" s="361"/>
      <c r="D214" s="171" t="s">
        <v>688</v>
      </c>
      <c r="E214" s="176"/>
      <c r="F214" s="176"/>
      <c r="G214" s="176"/>
      <c r="H214" s="176"/>
      <c r="I214" s="176"/>
      <c r="J214" s="173">
        <v>29</v>
      </c>
      <c r="K214" s="340"/>
      <c r="L214" s="345"/>
    </row>
    <row r="215" spans="1:12">
      <c r="A215" s="333"/>
      <c r="B215" s="361"/>
      <c r="C215" s="361"/>
      <c r="D215" s="171"/>
      <c r="E215" s="176"/>
      <c r="F215" s="176"/>
      <c r="G215" s="176"/>
      <c r="H215" s="176"/>
      <c r="I215" s="176"/>
      <c r="J215" s="173"/>
      <c r="K215" s="340"/>
      <c r="L215" s="345"/>
    </row>
    <row r="216" spans="1:12">
      <c r="A216" s="216"/>
      <c r="B216" s="10"/>
      <c r="C216" s="11"/>
      <c r="D216" s="12"/>
      <c r="E216" s="13"/>
      <c r="F216" s="14"/>
      <c r="G216" s="14"/>
      <c r="H216" s="14"/>
      <c r="I216" s="14"/>
      <c r="J216" s="15"/>
      <c r="K216" s="15"/>
      <c r="L216" s="163"/>
    </row>
    <row r="217" spans="1:12">
      <c r="A217" s="216"/>
      <c r="B217" s="10"/>
      <c r="C217" s="11"/>
      <c r="D217" s="12"/>
      <c r="E217" s="13"/>
      <c r="F217" s="14"/>
      <c r="G217" s="14"/>
      <c r="H217" s="14"/>
      <c r="I217" s="14"/>
      <c r="J217" s="15"/>
      <c r="K217" s="15"/>
      <c r="L217" s="163"/>
    </row>
    <row r="218" spans="1:12" ht="33.75" customHeight="1">
      <c r="A218" s="248">
        <v>4.0999999999999996</v>
      </c>
      <c r="B218" s="341" t="s">
        <v>700</v>
      </c>
      <c r="C218" s="342"/>
      <c r="D218" s="171" t="s">
        <v>701</v>
      </c>
      <c r="E218" s="252"/>
      <c r="F218" s="172"/>
      <c r="G218" s="172"/>
      <c r="H218" s="172"/>
      <c r="I218" s="172"/>
      <c r="J218" s="177">
        <v>80.3</v>
      </c>
      <c r="K218" s="247">
        <f>J218</f>
        <v>80.3</v>
      </c>
      <c r="L218" s="251" t="s">
        <v>500</v>
      </c>
    </row>
    <row r="219" spans="1:12" ht="15" thickBot="1">
      <c r="A219" s="216"/>
      <c r="B219" s="10"/>
      <c r="C219" s="11"/>
      <c r="D219" s="12"/>
      <c r="E219" s="13"/>
      <c r="F219" s="14"/>
      <c r="G219" s="14"/>
      <c r="H219" s="14"/>
      <c r="I219" s="14"/>
      <c r="J219" s="15"/>
      <c r="K219" s="15"/>
      <c r="L219" s="163"/>
    </row>
    <row r="220" spans="1:12" ht="16.2" thickBot="1">
      <c r="A220" s="179">
        <v>5</v>
      </c>
      <c r="B220" s="343" t="s">
        <v>702</v>
      </c>
      <c r="C220" s="343"/>
      <c r="D220" s="343"/>
      <c r="E220" s="343"/>
      <c r="F220" s="343"/>
      <c r="G220" s="343"/>
      <c r="H220" s="343"/>
      <c r="I220" s="343"/>
      <c r="J220" s="343"/>
      <c r="K220" s="343"/>
      <c r="L220" s="344"/>
    </row>
    <row r="221" spans="1:12">
      <c r="A221" s="216"/>
      <c r="B221" s="10"/>
      <c r="C221" s="11"/>
      <c r="D221" s="12"/>
      <c r="E221" s="13"/>
      <c r="F221" s="14"/>
      <c r="G221" s="14"/>
      <c r="H221" s="14"/>
      <c r="I221" s="14"/>
      <c r="J221" s="15"/>
      <c r="K221" s="15"/>
      <c r="L221" s="163"/>
    </row>
    <row r="222" spans="1:12">
      <c r="A222" s="333">
        <v>5.0999999999999996</v>
      </c>
      <c r="B222" s="347" t="s">
        <v>703</v>
      </c>
      <c r="C222" s="348"/>
      <c r="D222" s="171" t="s">
        <v>704</v>
      </c>
      <c r="E222" s="176"/>
      <c r="F222" s="176"/>
      <c r="G222" s="176"/>
      <c r="H222" s="176"/>
      <c r="I222" s="176"/>
      <c r="J222" s="173">
        <f>(2.5*1.2)*4</f>
        <v>12</v>
      </c>
      <c r="K222" s="340">
        <f>SUM(J222:J229)</f>
        <v>25.284000000000006</v>
      </c>
      <c r="L222" s="345" t="s">
        <v>500</v>
      </c>
    </row>
    <row r="223" spans="1:12">
      <c r="A223" s="333"/>
      <c r="B223" s="349"/>
      <c r="C223" s="350"/>
      <c r="D223" s="171" t="s">
        <v>704</v>
      </c>
      <c r="E223" s="176"/>
      <c r="F223" s="176"/>
      <c r="G223" s="176"/>
      <c r="H223" s="176"/>
      <c r="I223" s="176"/>
      <c r="J223" s="177">
        <f>(2.31*1.2)*2</f>
        <v>5.5439999999999996</v>
      </c>
      <c r="K223" s="340"/>
      <c r="L223" s="345"/>
    </row>
    <row r="224" spans="1:12">
      <c r="A224" s="333"/>
      <c r="B224" s="349"/>
      <c r="C224" s="350"/>
      <c r="D224" s="171" t="s">
        <v>704</v>
      </c>
      <c r="E224" s="176"/>
      <c r="F224" s="176"/>
      <c r="G224" s="176"/>
      <c r="H224" s="176"/>
      <c r="I224" s="176"/>
      <c r="J224" s="173">
        <f>1.35*1.2</f>
        <v>1.62</v>
      </c>
      <c r="K224" s="340"/>
      <c r="L224" s="345"/>
    </row>
    <row r="225" spans="1:12">
      <c r="A225" s="333"/>
      <c r="B225" s="349"/>
      <c r="C225" s="350"/>
      <c r="D225" s="171" t="s">
        <v>705</v>
      </c>
      <c r="E225" s="176"/>
      <c r="F225" s="176"/>
      <c r="G225" s="176"/>
      <c r="H225" s="176"/>
      <c r="I225" s="176"/>
      <c r="J225" s="173">
        <f>(1.2*0.6)*2</f>
        <v>1.44</v>
      </c>
      <c r="K225" s="340"/>
      <c r="L225" s="345"/>
    </row>
    <row r="226" spans="1:12">
      <c r="A226" s="333"/>
      <c r="B226" s="349"/>
      <c r="C226" s="350"/>
      <c r="D226" s="171" t="s">
        <v>706</v>
      </c>
      <c r="E226" s="176"/>
      <c r="F226" s="176"/>
      <c r="G226" s="176"/>
      <c r="H226" s="176"/>
      <c r="I226" s="176"/>
      <c r="J226" s="173">
        <f>1.2*1.2</f>
        <v>1.44</v>
      </c>
      <c r="K226" s="340"/>
      <c r="L226" s="345"/>
    </row>
    <row r="227" spans="1:12">
      <c r="A227" s="333"/>
      <c r="B227" s="349"/>
      <c r="C227" s="350"/>
      <c r="D227" s="171" t="s">
        <v>706</v>
      </c>
      <c r="E227" s="176"/>
      <c r="F227" s="176"/>
      <c r="G227" s="176"/>
      <c r="H227" s="176"/>
      <c r="I227" s="176"/>
      <c r="J227" s="173">
        <f>1.2*1.2</f>
        <v>1.44</v>
      </c>
      <c r="K227" s="340"/>
      <c r="L227" s="345"/>
    </row>
    <row r="228" spans="1:12">
      <c r="A228" s="333"/>
      <c r="B228" s="349"/>
      <c r="C228" s="350"/>
      <c r="D228" s="171" t="s">
        <v>706</v>
      </c>
      <c r="E228" s="176"/>
      <c r="F228" s="176"/>
      <c r="G228" s="176"/>
      <c r="H228" s="176"/>
      <c r="I228" s="176"/>
      <c r="J228" s="173">
        <f>1.2*1.5</f>
        <v>1.7999999999999998</v>
      </c>
      <c r="K228" s="340"/>
      <c r="L228" s="345"/>
    </row>
    <row r="229" spans="1:12">
      <c r="A229" s="333"/>
      <c r="B229" s="351"/>
      <c r="C229" s="352"/>
      <c r="D229" s="171"/>
      <c r="E229" s="176"/>
      <c r="F229" s="176"/>
      <c r="G229" s="176"/>
      <c r="H229" s="176"/>
      <c r="I229" s="176"/>
      <c r="J229" s="173"/>
      <c r="K229" s="340"/>
      <c r="L229" s="345"/>
    </row>
    <row r="230" spans="1:12">
      <c r="A230" s="216"/>
      <c r="B230" s="10"/>
      <c r="C230" s="11"/>
      <c r="D230" s="12"/>
      <c r="E230" s="13"/>
      <c r="F230" s="14"/>
      <c r="G230" s="14"/>
      <c r="H230" s="14"/>
      <c r="I230" s="14"/>
      <c r="J230" s="15"/>
      <c r="K230" s="15"/>
      <c r="L230" s="163"/>
    </row>
    <row r="231" spans="1:12" ht="33.75" customHeight="1">
      <c r="A231" s="250">
        <v>5.2</v>
      </c>
      <c r="B231" s="341" t="s">
        <v>707</v>
      </c>
      <c r="C231" s="342"/>
      <c r="D231" s="171" t="s">
        <v>708</v>
      </c>
      <c r="E231" s="252"/>
      <c r="F231" s="172"/>
      <c r="G231" s="172"/>
      <c r="H231" s="172"/>
      <c r="I231" s="172"/>
      <c r="J231" s="177">
        <f>0.8*1.7</f>
        <v>1.36</v>
      </c>
      <c r="K231" s="249">
        <f>J231</f>
        <v>1.36</v>
      </c>
      <c r="L231" s="251" t="s">
        <v>500</v>
      </c>
    </row>
    <row r="232" spans="1:12">
      <c r="A232" s="216"/>
      <c r="B232" s="10"/>
      <c r="C232" s="11"/>
      <c r="D232" s="12"/>
      <c r="E232" s="13"/>
      <c r="F232" s="14"/>
      <c r="G232" s="14"/>
      <c r="H232" s="14"/>
      <c r="I232" s="14"/>
      <c r="J232" s="15"/>
      <c r="K232" s="15"/>
      <c r="L232" s="163"/>
    </row>
    <row r="233" spans="1:12">
      <c r="A233" s="333">
        <v>5.3</v>
      </c>
      <c r="B233" s="334" t="s">
        <v>709</v>
      </c>
      <c r="C233" s="335"/>
      <c r="D233" s="171" t="s">
        <v>710</v>
      </c>
      <c r="E233" s="176">
        <v>1.18</v>
      </c>
      <c r="F233" s="176">
        <v>2.8</v>
      </c>
      <c r="G233" s="176"/>
      <c r="H233" s="176"/>
      <c r="I233" s="176"/>
      <c r="J233" s="173">
        <f>E233*F233</f>
        <v>3.3039999999999998</v>
      </c>
      <c r="K233" s="340">
        <f>SUM(J233:J236)</f>
        <v>14.308</v>
      </c>
      <c r="L233" s="345" t="s">
        <v>500</v>
      </c>
    </row>
    <row r="234" spans="1:12">
      <c r="A234" s="333"/>
      <c r="B234" s="336"/>
      <c r="C234" s="337"/>
      <c r="D234" s="171" t="s">
        <v>710</v>
      </c>
      <c r="E234" s="176">
        <v>1.18</v>
      </c>
      <c r="F234" s="176">
        <v>2.8</v>
      </c>
      <c r="G234" s="176"/>
      <c r="H234" s="176"/>
      <c r="I234" s="176"/>
      <c r="J234" s="173">
        <f>E234*F234</f>
        <v>3.3039999999999998</v>
      </c>
      <c r="K234" s="340"/>
      <c r="L234" s="345"/>
    </row>
    <row r="235" spans="1:12">
      <c r="A235" s="333"/>
      <c r="B235" s="336"/>
      <c r="C235" s="337"/>
      <c r="D235" s="171" t="s">
        <v>711</v>
      </c>
      <c r="E235" s="176">
        <v>3.5</v>
      </c>
      <c r="F235" s="176">
        <v>2.2000000000000002</v>
      </c>
      <c r="G235" s="176"/>
      <c r="H235" s="176"/>
      <c r="I235" s="176"/>
      <c r="J235" s="173">
        <f>E235*F235</f>
        <v>7.7000000000000011</v>
      </c>
      <c r="K235" s="340"/>
      <c r="L235" s="345"/>
    </row>
    <row r="236" spans="1:12">
      <c r="A236" s="333"/>
      <c r="B236" s="338"/>
      <c r="C236" s="339"/>
      <c r="D236" s="171"/>
      <c r="E236" s="176"/>
      <c r="F236" s="176"/>
      <c r="G236" s="176"/>
      <c r="H236" s="176"/>
      <c r="I236" s="176"/>
      <c r="J236" s="173">
        <f>G236*F236*E236</f>
        <v>0</v>
      </c>
      <c r="K236" s="340"/>
      <c r="L236" s="345"/>
    </row>
    <row r="237" spans="1:12">
      <c r="A237" s="216"/>
      <c r="B237" s="10"/>
      <c r="C237" s="11"/>
      <c r="D237" s="12"/>
      <c r="E237" s="13"/>
      <c r="F237" s="14"/>
      <c r="G237" s="14"/>
      <c r="H237" s="14"/>
      <c r="I237" s="14"/>
      <c r="J237" s="15"/>
      <c r="K237" s="15"/>
      <c r="L237" s="163"/>
    </row>
    <row r="238" spans="1:12">
      <c r="A238" s="333">
        <v>5.4</v>
      </c>
      <c r="B238" s="334" t="s">
        <v>712</v>
      </c>
      <c r="C238" s="335"/>
      <c r="D238" s="171" t="s">
        <v>667</v>
      </c>
      <c r="E238" s="176"/>
      <c r="F238" s="176"/>
      <c r="G238" s="176"/>
      <c r="H238" s="176"/>
      <c r="I238" s="176"/>
      <c r="J238" s="173">
        <v>3</v>
      </c>
      <c r="K238" s="340">
        <f>SUM(J238:J241)</f>
        <v>9</v>
      </c>
      <c r="L238" s="345" t="s">
        <v>713</v>
      </c>
    </row>
    <row r="239" spans="1:12">
      <c r="A239" s="333"/>
      <c r="B239" s="336"/>
      <c r="C239" s="337"/>
      <c r="D239" s="171" t="s">
        <v>714</v>
      </c>
      <c r="E239" s="176"/>
      <c r="F239" s="176"/>
      <c r="G239" s="176"/>
      <c r="H239" s="176"/>
      <c r="I239" s="176"/>
      <c r="J239" s="173">
        <v>2</v>
      </c>
      <c r="K239" s="340"/>
      <c r="L239" s="345"/>
    </row>
    <row r="240" spans="1:12">
      <c r="A240" s="333"/>
      <c r="B240" s="336"/>
      <c r="C240" s="337"/>
      <c r="D240" s="171" t="s">
        <v>669</v>
      </c>
      <c r="E240" s="176"/>
      <c r="F240" s="176"/>
      <c r="G240" s="176"/>
      <c r="H240" s="176"/>
      <c r="I240" s="176"/>
      <c r="J240" s="173">
        <v>4</v>
      </c>
      <c r="K240" s="340"/>
      <c r="L240" s="345"/>
    </row>
    <row r="241" spans="1:12">
      <c r="A241" s="333"/>
      <c r="B241" s="338"/>
      <c r="C241" s="339"/>
      <c r="D241" s="171"/>
      <c r="E241" s="176"/>
      <c r="F241" s="176"/>
      <c r="G241" s="176"/>
      <c r="H241" s="176"/>
      <c r="I241" s="176"/>
      <c r="J241" s="173"/>
      <c r="K241" s="340"/>
      <c r="L241" s="345"/>
    </row>
    <row r="242" spans="1:12">
      <c r="A242" s="216"/>
      <c r="B242" s="10"/>
      <c r="C242" s="11"/>
      <c r="D242" s="12"/>
      <c r="E242" s="13"/>
      <c r="F242" s="14"/>
      <c r="G242" s="14"/>
      <c r="H242" s="14"/>
      <c r="I242" s="14"/>
      <c r="J242" s="15"/>
      <c r="K242" s="15"/>
      <c r="L242" s="163"/>
    </row>
    <row r="243" spans="1:12">
      <c r="A243" s="333">
        <v>5.5</v>
      </c>
      <c r="B243" s="334" t="s">
        <v>715</v>
      </c>
      <c r="C243" s="335"/>
      <c r="D243" s="171" t="s">
        <v>667</v>
      </c>
      <c r="E243" s="176"/>
      <c r="F243" s="176"/>
      <c r="G243" s="176"/>
      <c r="H243" s="176"/>
      <c r="I243" s="176"/>
      <c r="J243" s="173">
        <v>6</v>
      </c>
      <c r="K243" s="340">
        <f>SUM(J243:J246)</f>
        <v>10</v>
      </c>
      <c r="L243" s="345" t="s">
        <v>713</v>
      </c>
    </row>
    <row r="244" spans="1:12">
      <c r="A244" s="333"/>
      <c r="B244" s="336"/>
      <c r="C244" s="337"/>
      <c r="D244" s="171" t="s">
        <v>714</v>
      </c>
      <c r="E244" s="176"/>
      <c r="F244" s="176"/>
      <c r="G244" s="176"/>
      <c r="H244" s="176"/>
      <c r="I244" s="176"/>
      <c r="J244" s="173">
        <v>4</v>
      </c>
      <c r="K244" s="340"/>
      <c r="L244" s="345"/>
    </row>
    <row r="245" spans="1:12">
      <c r="A245" s="333"/>
      <c r="B245" s="336"/>
      <c r="C245" s="337"/>
      <c r="D245" s="171" t="s">
        <v>669</v>
      </c>
      <c r="E245" s="176"/>
      <c r="F245" s="176"/>
      <c r="G245" s="176"/>
      <c r="H245" s="176"/>
      <c r="I245" s="176"/>
      <c r="J245" s="173"/>
      <c r="K245" s="340"/>
      <c r="L245" s="345"/>
    </row>
    <row r="246" spans="1:12">
      <c r="A246" s="333"/>
      <c r="B246" s="338"/>
      <c r="C246" s="339"/>
      <c r="D246" s="171"/>
      <c r="E246" s="176"/>
      <c r="F246" s="176"/>
      <c r="G246" s="176"/>
      <c r="H246" s="176"/>
      <c r="I246" s="176"/>
      <c r="J246" s="173"/>
      <c r="K246" s="340"/>
      <c r="L246" s="345"/>
    </row>
    <row r="247" spans="1:12">
      <c r="A247" s="216"/>
      <c r="B247" s="10"/>
      <c r="C247" s="11"/>
      <c r="D247" s="12"/>
      <c r="E247" s="13"/>
      <c r="F247" s="14"/>
      <c r="G247" s="14"/>
      <c r="H247" s="14"/>
      <c r="I247" s="14"/>
      <c r="J247" s="15"/>
      <c r="K247" s="15"/>
      <c r="L247" s="163"/>
    </row>
    <row r="248" spans="1:12">
      <c r="A248" s="250">
        <v>5.6</v>
      </c>
      <c r="B248" s="341" t="s">
        <v>716</v>
      </c>
      <c r="C248" s="342"/>
      <c r="D248" s="171" t="s">
        <v>698</v>
      </c>
      <c r="E248" s="252"/>
      <c r="F248" s="172"/>
      <c r="G248" s="172"/>
      <c r="H248" s="172"/>
      <c r="I248" s="172"/>
      <c r="J248" s="177">
        <v>1</v>
      </c>
      <c r="K248" s="249">
        <f>J248</f>
        <v>1</v>
      </c>
      <c r="L248" s="251" t="s">
        <v>713</v>
      </c>
    </row>
    <row r="249" spans="1:12">
      <c r="A249" s="216"/>
      <c r="B249" s="10"/>
      <c r="C249" s="11"/>
      <c r="D249" s="12"/>
      <c r="E249" s="13"/>
      <c r="F249" s="14"/>
      <c r="G249" s="14"/>
      <c r="H249" s="14"/>
      <c r="I249" s="14"/>
      <c r="J249" s="15"/>
      <c r="K249" s="15"/>
      <c r="L249" s="163"/>
    </row>
    <row r="250" spans="1:12">
      <c r="A250" s="250">
        <v>5.7</v>
      </c>
      <c r="B250" s="341" t="s">
        <v>717</v>
      </c>
      <c r="C250" s="342"/>
      <c r="D250" s="171" t="s">
        <v>718</v>
      </c>
      <c r="E250" s="252"/>
      <c r="F250" s="172"/>
      <c r="G250" s="172"/>
      <c r="H250" s="172"/>
      <c r="I250" s="172"/>
      <c r="J250" s="177">
        <v>3</v>
      </c>
      <c r="K250" s="249">
        <f>J250</f>
        <v>3</v>
      </c>
      <c r="L250" s="251" t="s">
        <v>713</v>
      </c>
    </row>
    <row r="251" spans="1:12">
      <c r="A251" s="216"/>
      <c r="B251" s="10"/>
      <c r="C251" s="11"/>
      <c r="D251" s="12"/>
      <c r="E251" s="13"/>
      <c r="F251" s="14"/>
      <c r="G251" s="14"/>
      <c r="H251" s="14"/>
      <c r="I251" s="14"/>
      <c r="J251" s="15"/>
      <c r="K251" s="15"/>
      <c r="L251" s="163"/>
    </row>
    <row r="252" spans="1:12">
      <c r="A252" s="250">
        <v>5.8</v>
      </c>
      <c r="B252" s="353" t="s">
        <v>719</v>
      </c>
      <c r="C252" s="354"/>
      <c r="D252" s="171" t="s">
        <v>698</v>
      </c>
      <c r="E252" s="252"/>
      <c r="F252" s="172">
        <v>0.7</v>
      </c>
      <c r="G252" s="172">
        <v>2.1</v>
      </c>
      <c r="H252" s="172"/>
      <c r="I252" s="172"/>
      <c r="J252" s="177">
        <f>G252*F252</f>
        <v>1.47</v>
      </c>
      <c r="K252" s="249">
        <f>J252</f>
        <v>1.47</v>
      </c>
      <c r="L252" s="251" t="s">
        <v>500</v>
      </c>
    </row>
    <row r="253" spans="1:12">
      <c r="A253" s="216"/>
      <c r="B253" s="10"/>
      <c r="C253" s="11"/>
      <c r="D253" s="12"/>
      <c r="E253" s="13"/>
      <c r="F253" s="14"/>
      <c r="G253" s="14"/>
      <c r="H253" s="14"/>
      <c r="I253" s="14"/>
      <c r="J253" s="15"/>
      <c r="K253" s="15"/>
      <c r="L253" s="163"/>
    </row>
    <row r="254" spans="1:12">
      <c r="A254" s="333">
        <v>5.9</v>
      </c>
      <c r="B254" s="334" t="s">
        <v>720</v>
      </c>
      <c r="C254" s="335"/>
      <c r="D254" s="355" t="s">
        <v>721</v>
      </c>
      <c r="E254" s="176"/>
      <c r="F254" s="176">
        <v>1.2</v>
      </c>
      <c r="G254" s="176">
        <v>1.2</v>
      </c>
      <c r="H254" s="176">
        <v>2</v>
      </c>
      <c r="I254" s="176"/>
      <c r="J254" s="173">
        <f>(F254*G254)*H254</f>
        <v>2.88</v>
      </c>
      <c r="K254" s="358">
        <f>SUM(J254:J272)</f>
        <v>51.754999999999988</v>
      </c>
      <c r="L254" s="345" t="s">
        <v>500</v>
      </c>
    </row>
    <row r="255" spans="1:12">
      <c r="A255" s="333"/>
      <c r="B255" s="336"/>
      <c r="C255" s="337"/>
      <c r="D255" s="356"/>
      <c r="E255" s="176"/>
      <c r="F255" s="176">
        <v>1.2</v>
      </c>
      <c r="G255" s="176">
        <v>2.5</v>
      </c>
      <c r="H255" s="176">
        <v>1</v>
      </c>
      <c r="I255" s="176"/>
      <c r="J255" s="173">
        <f t="shared" ref="J255:J268" si="9">(F255*G255)*H255</f>
        <v>3</v>
      </c>
      <c r="K255" s="358"/>
      <c r="L255" s="345"/>
    </row>
    <row r="256" spans="1:12">
      <c r="A256" s="333"/>
      <c r="B256" s="336"/>
      <c r="C256" s="337"/>
      <c r="D256" s="356"/>
      <c r="E256" s="176"/>
      <c r="F256" s="176">
        <v>1.2</v>
      </c>
      <c r="G256" s="176">
        <v>1.5</v>
      </c>
      <c r="H256" s="176">
        <v>3</v>
      </c>
      <c r="I256" s="176"/>
      <c r="J256" s="173">
        <f t="shared" si="9"/>
        <v>5.3999999999999995</v>
      </c>
      <c r="K256" s="358"/>
      <c r="L256" s="345"/>
    </row>
    <row r="257" spans="1:12">
      <c r="A257" s="333"/>
      <c r="B257" s="336"/>
      <c r="C257" s="337"/>
      <c r="D257" s="356"/>
      <c r="E257" s="176"/>
      <c r="F257" s="176">
        <v>2.1</v>
      </c>
      <c r="G257" s="176">
        <v>0.9</v>
      </c>
      <c r="H257" s="176">
        <v>2</v>
      </c>
      <c r="I257" s="176"/>
      <c r="J257" s="173">
        <f t="shared" si="9"/>
        <v>3.7800000000000002</v>
      </c>
      <c r="K257" s="358"/>
      <c r="L257" s="345"/>
    </row>
    <row r="258" spans="1:12">
      <c r="A258" s="333"/>
      <c r="B258" s="336"/>
      <c r="C258" s="337"/>
      <c r="D258" s="357"/>
      <c r="E258" s="176"/>
      <c r="F258" s="176"/>
      <c r="G258" s="176"/>
      <c r="H258" s="176"/>
      <c r="I258" s="176"/>
      <c r="J258" s="173"/>
      <c r="K258" s="358"/>
      <c r="L258" s="345"/>
    </row>
    <row r="259" spans="1:12">
      <c r="A259" s="333"/>
      <c r="B259" s="336"/>
      <c r="C259" s="337"/>
      <c r="D259" s="355" t="s">
        <v>722</v>
      </c>
      <c r="E259" s="176"/>
      <c r="F259" s="176">
        <v>1.3</v>
      </c>
      <c r="G259" s="176">
        <v>1.55</v>
      </c>
      <c r="H259" s="176">
        <v>1</v>
      </c>
      <c r="I259" s="176"/>
      <c r="J259" s="173">
        <f t="shared" si="9"/>
        <v>2.0150000000000001</v>
      </c>
      <c r="K259" s="358"/>
      <c r="L259" s="345"/>
    </row>
    <row r="260" spans="1:12">
      <c r="A260" s="333"/>
      <c r="B260" s="336"/>
      <c r="C260" s="337"/>
      <c r="D260" s="356"/>
      <c r="E260" s="176"/>
      <c r="F260" s="176">
        <v>1</v>
      </c>
      <c r="G260" s="176">
        <v>2</v>
      </c>
      <c r="H260" s="176">
        <v>1</v>
      </c>
      <c r="I260" s="176"/>
      <c r="J260" s="173">
        <f t="shared" si="9"/>
        <v>2</v>
      </c>
      <c r="K260" s="358"/>
      <c r="L260" s="345"/>
    </row>
    <row r="261" spans="1:12">
      <c r="A261" s="333"/>
      <c r="B261" s="336"/>
      <c r="C261" s="337"/>
      <c r="D261" s="356"/>
      <c r="E261" s="176"/>
      <c r="F261" s="176">
        <v>1.2</v>
      </c>
      <c r="G261" s="176">
        <v>2.5</v>
      </c>
      <c r="H261" s="176">
        <v>1</v>
      </c>
      <c r="I261" s="176"/>
      <c r="J261" s="173">
        <f t="shared" si="9"/>
        <v>3</v>
      </c>
      <c r="K261" s="358"/>
      <c r="L261" s="345"/>
    </row>
    <row r="262" spans="1:12">
      <c r="A262" s="333"/>
      <c r="B262" s="336"/>
      <c r="C262" s="337"/>
      <c r="D262" s="356"/>
      <c r="E262" s="176"/>
      <c r="F262" s="176">
        <v>1.2</v>
      </c>
      <c r="G262" s="176">
        <v>1.5</v>
      </c>
      <c r="H262" s="176">
        <v>3</v>
      </c>
      <c r="I262" s="176"/>
      <c r="J262" s="173">
        <f t="shared" si="9"/>
        <v>5.3999999999999995</v>
      </c>
      <c r="K262" s="358"/>
      <c r="L262" s="345"/>
    </row>
    <row r="263" spans="1:12">
      <c r="A263" s="333"/>
      <c r="B263" s="336"/>
      <c r="C263" s="337"/>
      <c r="D263" s="356"/>
      <c r="E263" s="176"/>
      <c r="F263" s="176">
        <v>1.25</v>
      </c>
      <c r="G263" s="176">
        <v>1.3</v>
      </c>
      <c r="H263" s="176">
        <v>2</v>
      </c>
      <c r="I263" s="176"/>
      <c r="J263" s="173">
        <f t="shared" si="9"/>
        <v>3.25</v>
      </c>
      <c r="K263" s="358"/>
      <c r="L263" s="345"/>
    </row>
    <row r="264" spans="1:12">
      <c r="A264" s="333"/>
      <c r="B264" s="336"/>
      <c r="C264" s="337"/>
      <c r="D264" s="356"/>
      <c r="E264" s="176"/>
      <c r="F264" s="176">
        <v>2.1</v>
      </c>
      <c r="G264" s="176">
        <v>0.9</v>
      </c>
      <c r="H264" s="176">
        <v>1</v>
      </c>
      <c r="I264" s="176"/>
      <c r="J264" s="173">
        <f t="shared" si="9"/>
        <v>1.8900000000000001</v>
      </c>
      <c r="K264" s="358"/>
      <c r="L264" s="345"/>
    </row>
    <row r="265" spans="1:12">
      <c r="A265" s="333"/>
      <c r="B265" s="336"/>
      <c r="C265" s="337"/>
      <c r="D265" s="357"/>
      <c r="E265" s="176"/>
      <c r="F265" s="176"/>
      <c r="G265" s="176"/>
      <c r="H265" s="176"/>
      <c r="I265" s="176"/>
      <c r="J265" s="173">
        <f t="shared" si="9"/>
        <v>0</v>
      </c>
      <c r="K265" s="358"/>
      <c r="L265" s="345"/>
    </row>
    <row r="266" spans="1:12">
      <c r="A266" s="333"/>
      <c r="B266" s="336"/>
      <c r="C266" s="337"/>
      <c r="D266" s="355" t="s">
        <v>723</v>
      </c>
      <c r="E266" s="176"/>
      <c r="F266" s="176">
        <v>1.2</v>
      </c>
      <c r="G266" s="176">
        <v>2.2999999999999998</v>
      </c>
      <c r="H266" s="176">
        <v>2</v>
      </c>
      <c r="I266" s="176"/>
      <c r="J266" s="173">
        <f t="shared" si="9"/>
        <v>5.52</v>
      </c>
      <c r="K266" s="358"/>
      <c r="L266" s="345"/>
    </row>
    <row r="267" spans="1:12">
      <c r="A267" s="333"/>
      <c r="B267" s="336"/>
      <c r="C267" s="337"/>
      <c r="D267" s="356"/>
      <c r="E267" s="176"/>
      <c r="F267" s="176">
        <v>1.2</v>
      </c>
      <c r="G267" s="176">
        <v>2.5</v>
      </c>
      <c r="H267" s="176">
        <v>4</v>
      </c>
      <c r="I267" s="176"/>
      <c r="J267" s="173">
        <f t="shared" si="9"/>
        <v>12</v>
      </c>
      <c r="K267" s="358"/>
      <c r="L267" s="345"/>
    </row>
    <row r="268" spans="1:12">
      <c r="A268" s="333"/>
      <c r="B268" s="336"/>
      <c r="C268" s="337"/>
      <c r="D268" s="356"/>
      <c r="E268" s="176"/>
      <c r="F268" s="176">
        <v>1.2</v>
      </c>
      <c r="G268" s="176">
        <v>1.35</v>
      </c>
      <c r="H268" s="176">
        <v>1</v>
      </c>
      <c r="I268" s="176"/>
      <c r="J268" s="173">
        <f t="shared" si="9"/>
        <v>1.62</v>
      </c>
      <c r="K268" s="358"/>
      <c r="L268" s="345"/>
    </row>
    <row r="269" spans="1:12">
      <c r="A269" s="333"/>
      <c r="B269" s="336"/>
      <c r="C269" s="337"/>
      <c r="D269" s="356"/>
      <c r="E269" s="176"/>
      <c r="F269" s="176"/>
      <c r="G269" s="176"/>
      <c r="H269" s="176"/>
      <c r="I269" s="176"/>
      <c r="J269" s="173"/>
      <c r="K269" s="358"/>
      <c r="L269" s="345"/>
    </row>
    <row r="270" spans="1:12">
      <c r="A270" s="333"/>
      <c r="B270" s="336"/>
      <c r="C270" s="337"/>
      <c r="D270" s="356"/>
      <c r="E270" s="176"/>
      <c r="F270" s="176"/>
      <c r="G270" s="176"/>
      <c r="H270" s="176"/>
      <c r="I270" s="176"/>
      <c r="J270" s="173"/>
      <c r="K270" s="358"/>
      <c r="L270" s="345"/>
    </row>
    <row r="271" spans="1:12">
      <c r="A271" s="333"/>
      <c r="B271" s="336"/>
      <c r="C271" s="337"/>
      <c r="D271" s="356"/>
      <c r="E271" s="176"/>
      <c r="F271" s="176"/>
      <c r="G271" s="176"/>
      <c r="H271" s="176"/>
      <c r="I271" s="176"/>
      <c r="J271" s="173"/>
      <c r="K271" s="358"/>
      <c r="L271" s="345"/>
    </row>
    <row r="272" spans="1:12">
      <c r="A272" s="333"/>
      <c r="B272" s="338"/>
      <c r="C272" s="339"/>
      <c r="D272" s="357"/>
      <c r="E272" s="176"/>
      <c r="F272" s="176"/>
      <c r="G272" s="176"/>
      <c r="H272" s="176"/>
      <c r="I272" s="176"/>
      <c r="J272" s="173"/>
      <c r="K272" s="358"/>
      <c r="L272" s="345"/>
    </row>
    <row r="273" spans="1:12">
      <c r="A273" s="216"/>
      <c r="B273" s="10"/>
      <c r="C273" s="11"/>
      <c r="D273" s="12"/>
      <c r="E273" s="13"/>
      <c r="F273" s="14"/>
      <c r="G273" s="14"/>
      <c r="H273" s="14"/>
      <c r="I273" s="14"/>
      <c r="J273" s="15"/>
      <c r="K273" s="15"/>
      <c r="L273" s="163"/>
    </row>
    <row r="274" spans="1:12">
      <c r="A274" s="346">
        <v>5.0999999999999996</v>
      </c>
      <c r="B274" s="347" t="s">
        <v>724</v>
      </c>
      <c r="C274" s="348"/>
      <c r="D274" s="171" t="s">
        <v>725</v>
      </c>
      <c r="E274" s="176"/>
      <c r="F274" s="176">
        <v>1.2</v>
      </c>
      <c r="G274" s="176">
        <v>1.2</v>
      </c>
      <c r="H274" s="176"/>
      <c r="I274" s="176"/>
      <c r="J274" s="173">
        <f>G274*F274</f>
        <v>1.44</v>
      </c>
      <c r="K274" s="340">
        <f>SUM(J274:J281)</f>
        <v>27.983999999999998</v>
      </c>
      <c r="L274" s="345" t="s">
        <v>500</v>
      </c>
    </row>
    <row r="275" spans="1:12">
      <c r="A275" s="346"/>
      <c r="B275" s="349"/>
      <c r="C275" s="350"/>
      <c r="D275" s="171" t="s">
        <v>725</v>
      </c>
      <c r="E275" s="176"/>
      <c r="F275" s="176">
        <v>1.2</v>
      </c>
      <c r="G275" s="176">
        <v>1.2</v>
      </c>
      <c r="H275" s="176"/>
      <c r="I275" s="176"/>
      <c r="J275" s="173">
        <f>G275*F275</f>
        <v>1.44</v>
      </c>
      <c r="K275" s="340"/>
      <c r="L275" s="345"/>
    </row>
    <row r="276" spans="1:12">
      <c r="A276" s="346"/>
      <c r="B276" s="349"/>
      <c r="C276" s="350"/>
      <c r="D276" s="171" t="s">
        <v>725</v>
      </c>
      <c r="E276" s="176"/>
      <c r="F276" s="176">
        <v>1.2</v>
      </c>
      <c r="G276" s="176">
        <v>1.5</v>
      </c>
      <c r="H276" s="176"/>
      <c r="I276" s="176"/>
      <c r="J276" s="173">
        <f>G276*F276</f>
        <v>1.7999999999999998</v>
      </c>
      <c r="K276" s="340"/>
      <c r="L276" s="345"/>
    </row>
    <row r="277" spans="1:12">
      <c r="A277" s="346"/>
      <c r="B277" s="349"/>
      <c r="C277" s="350"/>
      <c r="D277" s="171" t="s">
        <v>725</v>
      </c>
      <c r="E277" s="176"/>
      <c r="F277" s="176">
        <v>1.2</v>
      </c>
      <c r="G277" s="176">
        <v>1.2</v>
      </c>
      <c r="H277" s="176"/>
      <c r="I277" s="176"/>
      <c r="J277" s="173">
        <f>G277*F277</f>
        <v>1.44</v>
      </c>
      <c r="K277" s="340"/>
      <c r="L277" s="345"/>
    </row>
    <row r="278" spans="1:12">
      <c r="A278" s="346"/>
      <c r="B278" s="349"/>
      <c r="C278" s="350"/>
      <c r="D278" s="171" t="s">
        <v>537</v>
      </c>
      <c r="E278" s="176"/>
      <c r="F278" s="176">
        <v>1.2</v>
      </c>
      <c r="G278" s="176">
        <v>2.5</v>
      </c>
      <c r="H278" s="176"/>
      <c r="I278" s="176">
        <v>4</v>
      </c>
      <c r="J278" s="173">
        <f>G278*F278*I278</f>
        <v>12</v>
      </c>
      <c r="K278" s="340"/>
      <c r="L278" s="345"/>
    </row>
    <row r="279" spans="1:12">
      <c r="A279" s="346"/>
      <c r="B279" s="349"/>
      <c r="C279" s="350"/>
      <c r="D279" s="171" t="s">
        <v>537</v>
      </c>
      <c r="E279" s="176"/>
      <c r="F279" s="176">
        <v>1.2</v>
      </c>
      <c r="G279" s="176">
        <v>2.31</v>
      </c>
      <c r="H279" s="176"/>
      <c r="I279" s="176">
        <v>2</v>
      </c>
      <c r="J279" s="173">
        <f>G279*F279*I279</f>
        <v>5.5439999999999996</v>
      </c>
      <c r="K279" s="340"/>
      <c r="L279" s="345"/>
    </row>
    <row r="280" spans="1:12">
      <c r="A280" s="346"/>
      <c r="B280" s="349"/>
      <c r="C280" s="350"/>
      <c r="D280" s="171" t="s">
        <v>537</v>
      </c>
      <c r="E280" s="176"/>
      <c r="F280" s="176">
        <v>1.2</v>
      </c>
      <c r="G280" s="176">
        <v>1.35</v>
      </c>
      <c r="H280" s="176"/>
      <c r="I280" s="176"/>
      <c r="J280" s="173">
        <f>G280*F280</f>
        <v>1.62</v>
      </c>
      <c r="K280" s="340"/>
      <c r="L280" s="345"/>
    </row>
    <row r="281" spans="1:12">
      <c r="A281" s="346"/>
      <c r="B281" s="351"/>
      <c r="C281" s="352"/>
      <c r="D281" s="171" t="s">
        <v>726</v>
      </c>
      <c r="E281" s="176"/>
      <c r="F281" s="176">
        <v>0.9</v>
      </c>
      <c r="G281" s="176">
        <v>1.5</v>
      </c>
      <c r="H281" s="176"/>
      <c r="I281" s="176">
        <v>2</v>
      </c>
      <c r="J281" s="173">
        <f>G281*F281*I281</f>
        <v>2.7</v>
      </c>
      <c r="K281" s="340"/>
      <c r="L281" s="345"/>
    </row>
    <row r="282" spans="1:12" ht="15" thickBot="1">
      <c r="A282" s="216"/>
      <c r="B282" s="10"/>
      <c r="C282" s="11"/>
      <c r="D282" s="12"/>
      <c r="E282" s="13"/>
      <c r="F282" s="14"/>
      <c r="G282" s="14"/>
      <c r="H282" s="14"/>
      <c r="I282" s="14"/>
      <c r="J282" s="15"/>
      <c r="K282" s="15"/>
      <c r="L282" s="163"/>
    </row>
    <row r="283" spans="1:12" ht="16.2" thickBot="1">
      <c r="A283" s="179">
        <v>6</v>
      </c>
      <c r="B283" s="343" t="s">
        <v>162</v>
      </c>
      <c r="C283" s="343"/>
      <c r="D283" s="343"/>
      <c r="E283" s="343"/>
      <c r="F283" s="343"/>
      <c r="G283" s="343"/>
      <c r="H283" s="343"/>
      <c r="I283" s="343"/>
      <c r="J283" s="343"/>
      <c r="K283" s="343"/>
      <c r="L283" s="344"/>
    </row>
    <row r="284" spans="1:12">
      <c r="A284" s="216"/>
      <c r="B284" s="10"/>
      <c r="C284" s="11"/>
      <c r="D284" s="12"/>
      <c r="E284" s="13"/>
      <c r="F284" s="14"/>
      <c r="G284" s="14"/>
      <c r="H284" s="14"/>
      <c r="I284" s="14"/>
      <c r="J284" s="15"/>
      <c r="K284" s="15"/>
      <c r="L284" s="163"/>
    </row>
    <row r="285" spans="1:12">
      <c r="A285" s="250">
        <v>6.1</v>
      </c>
      <c r="B285" s="341" t="s">
        <v>727</v>
      </c>
      <c r="C285" s="342"/>
      <c r="D285" s="171" t="s">
        <v>728</v>
      </c>
      <c r="E285" s="252"/>
      <c r="F285" s="172"/>
      <c r="G285" s="172"/>
      <c r="H285" s="172"/>
      <c r="I285" s="172"/>
      <c r="J285" s="177">
        <v>1242.2</v>
      </c>
      <c r="K285" s="249">
        <f>J285</f>
        <v>1242.2</v>
      </c>
      <c r="L285" s="251" t="s">
        <v>729</v>
      </c>
    </row>
    <row r="286" spans="1:12">
      <c r="A286" s="216"/>
      <c r="B286" s="10"/>
      <c r="C286" s="11"/>
      <c r="D286" s="12"/>
      <c r="E286" s="13"/>
      <c r="F286" s="14"/>
      <c r="G286" s="14"/>
      <c r="H286" s="14"/>
      <c r="I286" s="14"/>
      <c r="J286" s="15"/>
      <c r="K286" s="15"/>
      <c r="L286" s="163"/>
    </row>
    <row r="287" spans="1:12">
      <c r="A287" s="250">
        <v>6.2</v>
      </c>
      <c r="B287" s="341" t="s">
        <v>730</v>
      </c>
      <c r="C287" s="342"/>
      <c r="D287" s="171" t="s">
        <v>728</v>
      </c>
      <c r="E287" s="252"/>
      <c r="F287" s="172"/>
      <c r="G287" s="172"/>
      <c r="H287" s="172"/>
      <c r="I287" s="172"/>
      <c r="J287" s="177">
        <v>235.57</v>
      </c>
      <c r="K287" s="249">
        <f>J287</f>
        <v>235.57</v>
      </c>
      <c r="L287" s="251" t="s">
        <v>729</v>
      </c>
    </row>
    <row r="288" spans="1:12" ht="15" thickBot="1">
      <c r="A288" s="216"/>
      <c r="B288" s="10"/>
      <c r="C288" s="11"/>
      <c r="D288" s="12"/>
      <c r="E288" s="13"/>
      <c r="F288" s="14"/>
      <c r="G288" s="14"/>
      <c r="H288" s="14"/>
      <c r="I288" s="14"/>
      <c r="J288" s="15"/>
      <c r="K288" s="15"/>
      <c r="L288" s="163"/>
    </row>
    <row r="289" spans="1:12" ht="16.2" thickBot="1">
      <c r="A289" s="179">
        <v>7</v>
      </c>
      <c r="B289" s="343" t="s">
        <v>171</v>
      </c>
      <c r="C289" s="343"/>
      <c r="D289" s="343"/>
      <c r="E289" s="343"/>
      <c r="F289" s="343"/>
      <c r="G289" s="343"/>
      <c r="H289" s="343"/>
      <c r="I289" s="343"/>
      <c r="J289" s="343"/>
      <c r="K289" s="343"/>
      <c r="L289" s="344"/>
    </row>
    <row r="290" spans="1:12">
      <c r="A290" s="216"/>
      <c r="B290" s="10"/>
      <c r="C290" s="11"/>
      <c r="D290" s="12"/>
      <c r="E290" s="13"/>
      <c r="F290" s="14"/>
      <c r="G290" s="14"/>
      <c r="H290" s="14"/>
      <c r="I290" s="14"/>
      <c r="J290" s="15"/>
      <c r="K290" s="15"/>
      <c r="L290" s="163"/>
    </row>
    <row r="291" spans="1:12">
      <c r="A291" s="333">
        <v>7.1</v>
      </c>
      <c r="B291" s="334" t="s">
        <v>731</v>
      </c>
      <c r="C291" s="335"/>
      <c r="D291" s="171" t="s">
        <v>732</v>
      </c>
      <c r="E291" s="176"/>
      <c r="F291" s="176">
        <v>0.3</v>
      </c>
      <c r="G291" s="176">
        <v>2.2000000000000002</v>
      </c>
      <c r="H291" s="176">
        <v>2</v>
      </c>
      <c r="I291" s="176"/>
      <c r="J291" s="173">
        <f>G291*F291*H291</f>
        <v>1.32</v>
      </c>
      <c r="K291" s="340">
        <f>SUM(J291:J299)</f>
        <v>157.392</v>
      </c>
      <c r="L291" s="345" t="s">
        <v>500</v>
      </c>
    </row>
    <row r="292" spans="1:12">
      <c r="A292" s="333"/>
      <c r="B292" s="336"/>
      <c r="C292" s="337"/>
      <c r="D292" s="171" t="s">
        <v>733</v>
      </c>
      <c r="E292" s="176"/>
      <c r="F292" s="176">
        <v>0.4</v>
      </c>
      <c r="G292" s="176">
        <v>1.9</v>
      </c>
      <c r="H292" s="176">
        <v>8</v>
      </c>
      <c r="I292" s="176"/>
      <c r="J292" s="173">
        <f t="shared" ref="J292:J298" si="10">G292*F292*H292</f>
        <v>6.08</v>
      </c>
      <c r="K292" s="340"/>
      <c r="L292" s="345"/>
    </row>
    <row r="293" spans="1:12">
      <c r="A293" s="333"/>
      <c r="B293" s="336"/>
      <c r="C293" s="337"/>
      <c r="D293" s="171" t="s">
        <v>733</v>
      </c>
      <c r="E293" s="176"/>
      <c r="F293" s="176">
        <v>0.4</v>
      </c>
      <c r="G293" s="176">
        <v>1.95</v>
      </c>
      <c r="H293" s="176">
        <v>32</v>
      </c>
      <c r="I293" s="176"/>
      <c r="J293" s="173">
        <f t="shared" si="10"/>
        <v>24.96</v>
      </c>
      <c r="K293" s="340"/>
      <c r="L293" s="345"/>
    </row>
    <row r="294" spans="1:12">
      <c r="A294" s="333"/>
      <c r="B294" s="336"/>
      <c r="C294" s="337"/>
      <c r="D294" s="171" t="s">
        <v>734</v>
      </c>
      <c r="E294" s="176"/>
      <c r="F294" s="176">
        <v>12.7</v>
      </c>
      <c r="G294" s="176">
        <v>0.3</v>
      </c>
      <c r="H294" s="176">
        <v>8</v>
      </c>
      <c r="I294" s="176"/>
      <c r="J294" s="173">
        <f t="shared" si="10"/>
        <v>30.479999999999997</v>
      </c>
      <c r="K294" s="340"/>
      <c r="L294" s="345"/>
    </row>
    <row r="295" spans="1:12">
      <c r="A295" s="333"/>
      <c r="B295" s="336"/>
      <c r="C295" s="337"/>
      <c r="D295" s="171" t="s">
        <v>734</v>
      </c>
      <c r="E295" s="176"/>
      <c r="F295" s="176">
        <v>12.7</v>
      </c>
      <c r="G295" s="176">
        <v>0.15</v>
      </c>
      <c r="H295" s="176">
        <v>4</v>
      </c>
      <c r="I295" s="176"/>
      <c r="J295" s="173">
        <f t="shared" si="10"/>
        <v>7.6199999999999992</v>
      </c>
      <c r="K295" s="340"/>
      <c r="L295" s="345"/>
    </row>
    <row r="296" spans="1:12">
      <c r="A296" s="333"/>
      <c r="B296" s="336"/>
      <c r="C296" s="337"/>
      <c r="D296" s="171" t="s">
        <v>735</v>
      </c>
      <c r="E296" s="176"/>
      <c r="F296" s="176">
        <v>0.3</v>
      </c>
      <c r="G296" s="176">
        <f>7.98+5.58+1.52+2.35+9.1+15.46+2.28+5.13+1.29+5.13+11.48+5.96+5.96</f>
        <v>79.22</v>
      </c>
      <c r="H296" s="176">
        <v>2</v>
      </c>
      <c r="I296" s="176"/>
      <c r="J296" s="173">
        <f t="shared" si="10"/>
        <v>47.531999999999996</v>
      </c>
      <c r="K296" s="340"/>
      <c r="L296" s="345"/>
    </row>
    <row r="297" spans="1:12">
      <c r="A297" s="333"/>
      <c r="B297" s="336"/>
      <c r="C297" s="337"/>
      <c r="D297" s="171" t="s">
        <v>736</v>
      </c>
      <c r="E297" s="176"/>
      <c r="F297" s="176">
        <v>0.3</v>
      </c>
      <c r="G297" s="176">
        <v>3</v>
      </c>
      <c r="H297" s="176">
        <v>10</v>
      </c>
      <c r="I297" s="176"/>
      <c r="J297" s="173">
        <f t="shared" si="10"/>
        <v>9</v>
      </c>
      <c r="K297" s="340"/>
      <c r="L297" s="345"/>
    </row>
    <row r="298" spans="1:12">
      <c r="A298" s="333"/>
      <c r="B298" s="336"/>
      <c r="C298" s="337"/>
      <c r="D298" s="171" t="s">
        <v>736</v>
      </c>
      <c r="E298" s="176"/>
      <c r="F298" s="176">
        <v>0.3</v>
      </c>
      <c r="G298" s="176">
        <v>3.8</v>
      </c>
      <c r="H298" s="176">
        <v>14</v>
      </c>
      <c r="I298" s="176"/>
      <c r="J298" s="173">
        <f t="shared" si="10"/>
        <v>15.959999999999999</v>
      </c>
      <c r="K298" s="340"/>
      <c r="L298" s="345"/>
    </row>
    <row r="299" spans="1:12">
      <c r="A299" s="333"/>
      <c r="B299" s="338"/>
      <c r="C299" s="339"/>
      <c r="D299" s="171" t="s">
        <v>737</v>
      </c>
      <c r="E299" s="176"/>
      <c r="F299" s="176"/>
      <c r="G299" s="176"/>
      <c r="H299" s="176"/>
      <c r="I299" s="176"/>
      <c r="J299" s="173">
        <f>8.44+((0.15*2)*20)</f>
        <v>14.44</v>
      </c>
      <c r="K299" s="340"/>
      <c r="L299" s="345"/>
    </row>
    <row r="300" spans="1:12">
      <c r="A300" s="216"/>
      <c r="B300" s="10"/>
      <c r="C300" s="11"/>
      <c r="D300" s="12"/>
      <c r="E300" s="13"/>
      <c r="F300" s="14"/>
      <c r="G300" s="14"/>
      <c r="H300" s="14"/>
      <c r="I300" s="14"/>
      <c r="J300" s="15"/>
      <c r="K300" s="15"/>
      <c r="L300" s="163"/>
    </row>
    <row r="301" spans="1:12">
      <c r="A301" s="333">
        <v>7.2</v>
      </c>
      <c r="B301" s="334" t="s">
        <v>738</v>
      </c>
      <c r="C301" s="335"/>
      <c r="D301" s="171" t="s">
        <v>732</v>
      </c>
      <c r="E301" s="176">
        <v>0.2</v>
      </c>
      <c r="F301" s="176">
        <v>0.3</v>
      </c>
      <c r="G301" s="176">
        <v>11.95</v>
      </c>
      <c r="H301" s="176"/>
      <c r="I301" s="176"/>
      <c r="J301" s="173">
        <f>G301*F301*E301</f>
        <v>0.71699999999999997</v>
      </c>
      <c r="K301" s="340">
        <f>SUM(J301:J311)</f>
        <v>21.438274999999997</v>
      </c>
      <c r="L301" s="345" t="s">
        <v>668</v>
      </c>
    </row>
    <row r="302" spans="1:12">
      <c r="A302" s="333"/>
      <c r="B302" s="336"/>
      <c r="C302" s="337"/>
      <c r="D302" s="171" t="s">
        <v>733</v>
      </c>
      <c r="E302" s="176">
        <v>0.15</v>
      </c>
      <c r="F302" s="176">
        <v>0.4</v>
      </c>
      <c r="G302" s="176">
        <f>1.9*4</f>
        <v>7.6</v>
      </c>
      <c r="H302" s="176"/>
      <c r="I302" s="176"/>
      <c r="J302" s="173">
        <f>G302*F302*E302</f>
        <v>0.45599999999999996</v>
      </c>
      <c r="K302" s="340"/>
      <c r="L302" s="345"/>
    </row>
    <row r="303" spans="1:12">
      <c r="A303" s="333"/>
      <c r="B303" s="336"/>
      <c r="C303" s="337"/>
      <c r="D303" s="171" t="s">
        <v>733</v>
      </c>
      <c r="E303" s="176">
        <v>0.15</v>
      </c>
      <c r="F303" s="176">
        <v>0.4</v>
      </c>
      <c r="G303" s="176">
        <f>1.95*16</f>
        <v>31.2</v>
      </c>
      <c r="H303" s="176"/>
      <c r="I303" s="176"/>
      <c r="J303" s="173">
        <f>G303*F303*E303</f>
        <v>1.8719999999999999</v>
      </c>
      <c r="K303" s="340"/>
      <c r="L303" s="345"/>
    </row>
    <row r="304" spans="1:12">
      <c r="A304" s="333"/>
      <c r="B304" s="336"/>
      <c r="C304" s="337"/>
      <c r="D304" s="171" t="s">
        <v>734</v>
      </c>
      <c r="E304" s="176">
        <v>0.15</v>
      </c>
      <c r="F304" s="176">
        <f>12.7*4</f>
        <v>50.8</v>
      </c>
      <c r="G304" s="176">
        <v>0.3</v>
      </c>
      <c r="H304" s="176"/>
      <c r="I304" s="176"/>
      <c r="J304" s="173">
        <f>G304*F304*E304</f>
        <v>2.2859999999999996</v>
      </c>
      <c r="K304" s="340"/>
      <c r="L304" s="345"/>
    </row>
    <row r="305" spans="1:12">
      <c r="A305" s="333"/>
      <c r="B305" s="336"/>
      <c r="C305" s="337"/>
      <c r="D305" s="171"/>
      <c r="E305" s="176"/>
      <c r="F305" s="176"/>
      <c r="G305" s="176"/>
      <c r="H305" s="176"/>
      <c r="I305" s="176"/>
      <c r="J305" s="173"/>
      <c r="K305" s="340"/>
      <c r="L305" s="345"/>
    </row>
    <row r="306" spans="1:12">
      <c r="A306" s="333"/>
      <c r="B306" s="336"/>
      <c r="C306" s="337"/>
      <c r="D306" s="171" t="s">
        <v>735</v>
      </c>
      <c r="E306" s="176">
        <v>0.15</v>
      </c>
      <c r="F306" s="176">
        <v>0.3</v>
      </c>
      <c r="G306" s="176">
        <f>7.98+5.58+1.52+2.35+9.1+15.46+2.28+5.13+1.29+5.13+11.48+5.96+5.96</f>
        <v>79.22</v>
      </c>
      <c r="H306" s="176"/>
      <c r="I306" s="176"/>
      <c r="J306" s="173">
        <f>G306*F306*E306</f>
        <v>3.5648999999999997</v>
      </c>
      <c r="K306" s="340"/>
      <c r="L306" s="345"/>
    </row>
    <row r="307" spans="1:12">
      <c r="A307" s="333"/>
      <c r="B307" s="336"/>
      <c r="C307" s="337"/>
      <c r="D307" s="171" t="s">
        <v>736</v>
      </c>
      <c r="E307" s="176">
        <v>0.15</v>
      </c>
      <c r="F307" s="176">
        <v>0.3</v>
      </c>
      <c r="G307" s="176">
        <f>3*5</f>
        <v>15</v>
      </c>
      <c r="H307" s="176"/>
      <c r="I307" s="176"/>
      <c r="J307" s="173">
        <f>G307*F307*E307</f>
        <v>0.67499999999999993</v>
      </c>
      <c r="K307" s="340"/>
      <c r="L307" s="345"/>
    </row>
    <row r="308" spans="1:12">
      <c r="A308" s="333"/>
      <c r="B308" s="336"/>
      <c r="C308" s="337"/>
      <c r="D308" s="171" t="s">
        <v>736</v>
      </c>
      <c r="E308" s="176">
        <v>0.15</v>
      </c>
      <c r="F308" s="176">
        <v>0.3</v>
      </c>
      <c r="G308" s="176">
        <f>3.8*7</f>
        <v>26.599999999999998</v>
      </c>
      <c r="H308" s="176"/>
      <c r="I308" s="176"/>
      <c r="J308" s="173">
        <f>G308*F308*E308</f>
        <v>1.1969999999999998</v>
      </c>
      <c r="K308" s="340"/>
      <c r="L308" s="345"/>
    </row>
    <row r="309" spans="1:12">
      <c r="A309" s="333"/>
      <c r="B309" s="336"/>
      <c r="C309" s="337"/>
      <c r="D309" s="171" t="s">
        <v>739</v>
      </c>
      <c r="E309" s="176"/>
      <c r="F309" s="176"/>
      <c r="G309" s="176"/>
      <c r="H309" s="176"/>
      <c r="I309" s="176"/>
      <c r="J309" s="173">
        <f>4*0.424</f>
        <v>1.696</v>
      </c>
      <c r="K309" s="340"/>
      <c r="L309" s="345"/>
    </row>
    <row r="310" spans="1:12">
      <c r="A310" s="333"/>
      <c r="B310" s="336"/>
      <c r="C310" s="337"/>
      <c r="D310" s="171" t="s">
        <v>740</v>
      </c>
      <c r="E310" s="176">
        <v>1.95</v>
      </c>
      <c r="F310" s="176">
        <v>0.15</v>
      </c>
      <c r="G310" s="176">
        <v>1.95</v>
      </c>
      <c r="H310" s="176"/>
      <c r="I310" s="176"/>
      <c r="J310" s="173">
        <f>G310*F310*E310</f>
        <v>0.57037499999999997</v>
      </c>
      <c r="K310" s="340"/>
      <c r="L310" s="345"/>
    </row>
    <row r="311" spans="1:12">
      <c r="A311" s="333"/>
      <c r="B311" s="338"/>
      <c r="C311" s="339"/>
      <c r="D311" s="171" t="s">
        <v>737</v>
      </c>
      <c r="E311" s="176"/>
      <c r="F311" s="176"/>
      <c r="G311" s="176"/>
      <c r="H311" s="176"/>
      <c r="I311" s="176"/>
      <c r="J311" s="173">
        <f>(8.44*0.1)+7.56</f>
        <v>8.4039999999999999</v>
      </c>
      <c r="K311" s="340"/>
      <c r="L311" s="345"/>
    </row>
    <row r="312" spans="1:12" ht="15" thickBot="1">
      <c r="A312" s="216"/>
      <c r="B312" s="10"/>
      <c r="C312" s="11"/>
      <c r="D312" s="12"/>
      <c r="E312" s="13"/>
      <c r="F312" s="14"/>
      <c r="G312" s="14"/>
      <c r="H312" s="14"/>
      <c r="I312" s="14"/>
      <c r="J312" s="15"/>
      <c r="K312" s="15"/>
      <c r="L312" s="163"/>
    </row>
    <row r="313" spans="1:12" ht="16.2" thickBot="1">
      <c r="A313" s="179">
        <v>9</v>
      </c>
      <c r="B313" s="343" t="s">
        <v>187</v>
      </c>
      <c r="C313" s="343"/>
      <c r="D313" s="343"/>
      <c r="E313" s="343"/>
      <c r="F313" s="343"/>
      <c r="G313" s="343"/>
      <c r="H313" s="343"/>
      <c r="I313" s="343"/>
      <c r="J313" s="343"/>
      <c r="K313" s="343"/>
      <c r="L313" s="344"/>
    </row>
    <row r="314" spans="1:12">
      <c r="A314" s="216"/>
      <c r="B314" s="10"/>
      <c r="C314" s="11"/>
      <c r="D314" s="12"/>
      <c r="E314" s="13"/>
      <c r="F314" s="14"/>
      <c r="G314" s="14"/>
      <c r="H314" s="14"/>
      <c r="I314" s="14"/>
      <c r="J314" s="15"/>
      <c r="K314" s="15"/>
      <c r="L314" s="163"/>
    </row>
    <row r="315" spans="1:12">
      <c r="A315" s="333">
        <v>9.1</v>
      </c>
      <c r="B315" s="334" t="s">
        <v>741</v>
      </c>
      <c r="C315" s="335"/>
      <c r="D315" s="171" t="s">
        <v>742</v>
      </c>
      <c r="E315" s="176"/>
      <c r="F315" s="176"/>
      <c r="G315" s="176"/>
      <c r="H315" s="176"/>
      <c r="I315" s="176"/>
      <c r="J315" s="173">
        <v>14.19</v>
      </c>
      <c r="K315" s="340">
        <f>SUM(J315:J323)</f>
        <v>127.13999999999999</v>
      </c>
      <c r="L315" s="345" t="s">
        <v>500</v>
      </c>
    </row>
    <row r="316" spans="1:12">
      <c r="A316" s="333"/>
      <c r="B316" s="336"/>
      <c r="C316" s="337"/>
      <c r="D316" s="171" t="s">
        <v>742</v>
      </c>
      <c r="E316" s="176"/>
      <c r="F316" s="176"/>
      <c r="G316" s="176"/>
      <c r="H316" s="176"/>
      <c r="I316" s="176"/>
      <c r="J316" s="173">
        <v>13.35</v>
      </c>
      <c r="K316" s="340"/>
      <c r="L316" s="345"/>
    </row>
    <row r="317" spans="1:12">
      <c r="A317" s="333"/>
      <c r="B317" s="336"/>
      <c r="C317" s="337"/>
      <c r="D317" s="171" t="s">
        <v>742</v>
      </c>
      <c r="E317" s="176"/>
      <c r="F317" s="176"/>
      <c r="G317" s="176"/>
      <c r="H317" s="176"/>
      <c r="I317" s="176"/>
      <c r="J317" s="173">
        <v>9.9</v>
      </c>
      <c r="K317" s="340"/>
      <c r="L317" s="345"/>
    </row>
    <row r="318" spans="1:12">
      <c r="A318" s="333"/>
      <c r="B318" s="336"/>
      <c r="C318" s="337"/>
      <c r="D318" s="171" t="s">
        <v>743</v>
      </c>
      <c r="E318" s="176"/>
      <c r="F318" s="176"/>
      <c r="G318" s="176"/>
      <c r="H318" s="176"/>
      <c r="I318" s="176"/>
      <c r="J318" s="173">
        <v>13.44</v>
      </c>
      <c r="K318" s="340"/>
      <c r="L318" s="345"/>
    </row>
    <row r="319" spans="1:12">
      <c r="A319" s="333"/>
      <c r="B319" s="336"/>
      <c r="C319" s="337"/>
      <c r="D319" s="171" t="s">
        <v>743</v>
      </c>
      <c r="E319" s="176"/>
      <c r="F319" s="176"/>
      <c r="G319" s="176"/>
      <c r="H319" s="176"/>
      <c r="I319" s="176"/>
      <c r="J319" s="173">
        <v>14.19</v>
      </c>
      <c r="K319" s="340"/>
      <c r="L319" s="345"/>
    </row>
    <row r="320" spans="1:12">
      <c r="A320" s="333"/>
      <c r="B320" s="336"/>
      <c r="C320" s="337"/>
      <c r="D320" s="171" t="s">
        <v>743</v>
      </c>
      <c r="E320" s="176"/>
      <c r="F320" s="176"/>
      <c r="G320" s="176"/>
      <c r="H320" s="176"/>
      <c r="I320" s="176"/>
      <c r="J320" s="173">
        <v>9.9</v>
      </c>
      <c r="K320" s="340"/>
      <c r="L320" s="345"/>
    </row>
    <row r="321" spans="1:12">
      <c r="A321" s="333"/>
      <c r="B321" s="336"/>
      <c r="C321" s="337"/>
      <c r="D321" s="171" t="s">
        <v>743</v>
      </c>
      <c r="E321" s="176"/>
      <c r="F321" s="176"/>
      <c r="G321" s="176"/>
      <c r="H321" s="176"/>
      <c r="I321" s="176"/>
      <c r="J321" s="173">
        <v>13.35</v>
      </c>
      <c r="K321" s="340"/>
      <c r="L321" s="345"/>
    </row>
    <row r="322" spans="1:12">
      <c r="A322" s="333"/>
      <c r="B322" s="336"/>
      <c r="C322" s="337"/>
      <c r="D322" s="171"/>
      <c r="E322" s="176"/>
      <c r="F322" s="176"/>
      <c r="G322" s="176"/>
      <c r="H322" s="176"/>
      <c r="I322" s="176"/>
      <c r="J322" s="173">
        <v>38.82</v>
      </c>
      <c r="K322" s="340"/>
      <c r="L322" s="345"/>
    </row>
    <row r="323" spans="1:12">
      <c r="A323" s="333"/>
      <c r="B323" s="338"/>
      <c r="C323" s="339"/>
      <c r="D323" s="171"/>
      <c r="E323" s="176"/>
      <c r="F323" s="176"/>
      <c r="G323" s="176"/>
      <c r="H323" s="176"/>
      <c r="I323" s="176"/>
      <c r="J323" s="173"/>
      <c r="K323" s="340"/>
      <c r="L323" s="345"/>
    </row>
    <row r="324" spans="1:12">
      <c r="A324" s="216"/>
      <c r="B324" s="10"/>
      <c r="C324" s="11"/>
      <c r="D324" s="12"/>
      <c r="E324" s="13"/>
      <c r="F324" s="14"/>
      <c r="G324" s="14"/>
      <c r="H324" s="14"/>
      <c r="I324" s="14"/>
      <c r="J324" s="15"/>
      <c r="K324" s="15"/>
      <c r="L324" s="163"/>
    </row>
    <row r="325" spans="1:12">
      <c r="A325" s="333">
        <v>9.1999999999999993</v>
      </c>
      <c r="B325" s="334" t="s">
        <v>744</v>
      </c>
      <c r="C325" s="335"/>
      <c r="D325" s="171" t="s">
        <v>742</v>
      </c>
      <c r="E325" s="176"/>
      <c r="F325" s="176">
        <v>2.9</v>
      </c>
      <c r="G325" s="176">
        <v>3.3</v>
      </c>
      <c r="H325" s="176"/>
      <c r="I325" s="176"/>
      <c r="J325" s="173">
        <f>G325*F325</f>
        <v>9.5699999999999985</v>
      </c>
      <c r="K325" s="358">
        <f>SUM(J325:J329)</f>
        <v>31.464999999999996</v>
      </c>
      <c r="L325" s="345" t="s">
        <v>500</v>
      </c>
    </row>
    <row r="326" spans="1:12">
      <c r="A326" s="333"/>
      <c r="B326" s="336"/>
      <c r="C326" s="337"/>
      <c r="D326" s="171" t="s">
        <v>742</v>
      </c>
      <c r="E326" s="176"/>
      <c r="F326" s="176">
        <v>2.9</v>
      </c>
      <c r="G326" s="176">
        <v>3.3</v>
      </c>
      <c r="H326" s="176"/>
      <c r="I326" s="176"/>
      <c r="J326" s="173">
        <f>G326*F326</f>
        <v>9.5699999999999985</v>
      </c>
      <c r="K326" s="358"/>
      <c r="L326" s="345"/>
    </row>
    <row r="327" spans="1:12">
      <c r="A327" s="333"/>
      <c r="B327" s="336"/>
      <c r="C327" s="337"/>
      <c r="D327" s="171" t="s">
        <v>743</v>
      </c>
      <c r="E327" s="176"/>
      <c r="F327" s="176">
        <v>2.9</v>
      </c>
      <c r="G327" s="176">
        <v>2.2999999999999998</v>
      </c>
      <c r="H327" s="176"/>
      <c r="I327" s="176"/>
      <c r="J327" s="173">
        <f>G327*F327</f>
        <v>6.669999999999999</v>
      </c>
      <c r="K327" s="358"/>
      <c r="L327" s="345"/>
    </row>
    <row r="328" spans="1:12">
      <c r="A328" s="333"/>
      <c r="B328" s="336"/>
      <c r="C328" s="337"/>
      <c r="D328" s="171" t="s">
        <v>743</v>
      </c>
      <c r="E328" s="176"/>
      <c r="F328" s="176">
        <v>2.9</v>
      </c>
      <c r="G328" s="176">
        <v>1.95</v>
      </c>
      <c r="H328" s="176"/>
      <c r="I328" s="176"/>
      <c r="J328" s="173">
        <f>G328*F328</f>
        <v>5.6549999999999994</v>
      </c>
      <c r="K328" s="358"/>
      <c r="L328" s="345"/>
    </row>
    <row r="329" spans="1:12">
      <c r="A329" s="333"/>
      <c r="B329" s="338"/>
      <c r="C329" s="339"/>
      <c r="D329" s="171"/>
      <c r="E329" s="176"/>
      <c r="F329" s="176"/>
      <c r="G329" s="176"/>
      <c r="H329" s="176"/>
      <c r="I329" s="176"/>
      <c r="J329" s="173"/>
      <c r="K329" s="358"/>
      <c r="L329" s="345"/>
    </row>
    <row r="330" spans="1:12">
      <c r="A330" s="216"/>
      <c r="B330" s="10"/>
      <c r="C330" s="11"/>
      <c r="D330" s="12"/>
      <c r="E330" s="13"/>
      <c r="F330" s="14"/>
      <c r="G330" s="14"/>
      <c r="H330" s="14"/>
      <c r="I330" s="14"/>
      <c r="J330" s="15"/>
      <c r="K330" s="15"/>
      <c r="L330" s="163"/>
    </row>
    <row r="331" spans="1:12" ht="15" customHeight="1">
      <c r="A331" s="401">
        <v>9.3000000000000007</v>
      </c>
      <c r="B331" s="363" t="s">
        <v>745</v>
      </c>
      <c r="C331" s="363"/>
      <c r="D331" s="171" t="s">
        <v>664</v>
      </c>
      <c r="E331" s="176">
        <f>2.8+2.8+2.95+2.95</f>
        <v>11.5</v>
      </c>
      <c r="F331" s="176">
        <v>2.95</v>
      </c>
      <c r="G331" s="176"/>
      <c r="H331" s="176"/>
      <c r="I331" s="176">
        <f>(1.2*1.2)+(0.8*2.1)</f>
        <v>3.12</v>
      </c>
      <c r="J331" s="173">
        <f>(E331*F331)-I331</f>
        <v>30.805000000000003</v>
      </c>
      <c r="K331" s="400">
        <f>SUM(J331:J363)</f>
        <v>1524.682</v>
      </c>
      <c r="L331" s="345" t="s">
        <v>500</v>
      </c>
    </row>
    <row r="332" spans="1:12">
      <c r="A332" s="402"/>
      <c r="B332" s="363"/>
      <c r="C332" s="363"/>
      <c r="D332" s="171" t="s">
        <v>664</v>
      </c>
      <c r="E332" s="176">
        <f>2.7+2.7+2.95+2.95</f>
        <v>11.3</v>
      </c>
      <c r="F332" s="176">
        <v>2.95</v>
      </c>
      <c r="G332" s="176"/>
      <c r="H332" s="176"/>
      <c r="I332" s="176">
        <f>(1.2*1.2)+(0.8*2.1)</f>
        <v>3.12</v>
      </c>
      <c r="J332" s="173">
        <f t="shared" ref="J332:J344" si="11">(E332*F332)-I332</f>
        <v>30.215</v>
      </c>
      <c r="K332" s="400"/>
      <c r="L332" s="345"/>
    </row>
    <row r="333" spans="1:12">
      <c r="A333" s="402"/>
      <c r="B333" s="363"/>
      <c r="C333" s="363"/>
      <c r="D333" s="171" t="s">
        <v>664</v>
      </c>
      <c r="E333" s="176">
        <f>5.7+5.6+2.95+2.95</f>
        <v>17.2</v>
      </c>
      <c r="F333" s="176">
        <v>2.95</v>
      </c>
      <c r="G333" s="176"/>
      <c r="H333" s="176"/>
      <c r="I333" s="176">
        <f>(0.8*2.1)+(1.2*1.2)+(1.2*1.5)</f>
        <v>4.92</v>
      </c>
      <c r="J333" s="173">
        <f t="shared" si="11"/>
        <v>45.82</v>
      </c>
      <c r="K333" s="400"/>
      <c r="L333" s="345"/>
    </row>
    <row r="334" spans="1:12">
      <c r="A334" s="402"/>
      <c r="B334" s="363"/>
      <c r="C334" s="363"/>
      <c r="D334" s="171" t="s">
        <v>619</v>
      </c>
      <c r="E334" s="176">
        <f>11.55+1.6+0.42+9.5</f>
        <v>23.07</v>
      </c>
      <c r="F334" s="176">
        <v>2.95</v>
      </c>
      <c r="G334" s="176"/>
      <c r="H334" s="176"/>
      <c r="I334" s="176">
        <f>((0.8*2.1)*3)+(0.9*2.1)+((1.2*1.2)*2)+(1.2*1.5)</f>
        <v>11.610000000000003</v>
      </c>
      <c r="J334" s="173">
        <f t="shared" si="11"/>
        <v>56.4465</v>
      </c>
      <c r="K334" s="400"/>
      <c r="L334" s="345"/>
    </row>
    <row r="335" spans="1:12">
      <c r="A335" s="402"/>
      <c r="B335" s="363"/>
      <c r="C335" s="363"/>
      <c r="D335" s="171" t="s">
        <v>664</v>
      </c>
      <c r="E335" s="176">
        <f>6+6+5.65+5.65</f>
        <v>23.299999999999997</v>
      </c>
      <c r="F335" s="176">
        <v>2.95</v>
      </c>
      <c r="G335" s="176"/>
      <c r="H335" s="176"/>
      <c r="I335" s="176">
        <f>(2.5*1.2)+((0.9*2.1)*2)+(0.6*2.1)+((0.8*2.1)*2)</f>
        <v>11.400000000000002</v>
      </c>
      <c r="J335" s="173">
        <f t="shared" si="11"/>
        <v>57.334999999999994</v>
      </c>
      <c r="K335" s="400"/>
      <c r="L335" s="345"/>
    </row>
    <row r="336" spans="1:12">
      <c r="A336" s="402"/>
      <c r="B336" s="363"/>
      <c r="C336" s="363"/>
      <c r="D336" s="171" t="s">
        <v>746</v>
      </c>
      <c r="E336" s="176">
        <f>3.3+3.3</f>
        <v>6.6</v>
      </c>
      <c r="F336" s="176">
        <v>2.95</v>
      </c>
      <c r="G336" s="176"/>
      <c r="H336" s="176"/>
      <c r="I336" s="176">
        <f>0.8*2.1</f>
        <v>1.6800000000000002</v>
      </c>
      <c r="J336" s="173">
        <f t="shared" si="11"/>
        <v>17.79</v>
      </c>
      <c r="K336" s="400"/>
      <c r="L336" s="345"/>
    </row>
    <row r="337" spans="1:12">
      <c r="A337" s="402"/>
      <c r="B337" s="363"/>
      <c r="C337" s="363"/>
      <c r="D337" s="171" t="s">
        <v>664</v>
      </c>
      <c r="E337" s="176">
        <f>4.45+4.45+3.3+3.3</f>
        <v>15.5</v>
      </c>
      <c r="F337" s="176">
        <v>2.95</v>
      </c>
      <c r="G337" s="176"/>
      <c r="H337" s="176"/>
      <c r="I337" s="176">
        <f>(3.3*2.9)+(1.5*1.2)+(0.8*2.1)</f>
        <v>13.049999999999997</v>
      </c>
      <c r="J337" s="173">
        <f t="shared" si="11"/>
        <v>32.675000000000004</v>
      </c>
      <c r="K337" s="400"/>
      <c r="L337" s="345"/>
    </row>
    <row r="338" spans="1:12">
      <c r="A338" s="402"/>
      <c r="B338" s="363"/>
      <c r="C338" s="363"/>
      <c r="D338" s="171" t="s">
        <v>664</v>
      </c>
      <c r="E338" s="176">
        <f>3+3+4.45+4.45</f>
        <v>14.899999999999999</v>
      </c>
      <c r="F338" s="176">
        <v>2.95</v>
      </c>
      <c r="G338" s="176"/>
      <c r="H338" s="176"/>
      <c r="I338" s="176">
        <f>(1.2*1.5)+(0.8*2.1)</f>
        <v>3.48</v>
      </c>
      <c r="J338" s="173">
        <f t="shared" si="11"/>
        <v>40.475000000000001</v>
      </c>
      <c r="K338" s="400"/>
      <c r="L338" s="345"/>
    </row>
    <row r="339" spans="1:12">
      <c r="A339" s="402"/>
      <c r="B339" s="363"/>
      <c r="C339" s="363"/>
      <c r="D339" s="171" t="s">
        <v>664</v>
      </c>
      <c r="E339" s="176">
        <f>3+3+3.3+3.3</f>
        <v>12.600000000000001</v>
      </c>
      <c r="F339" s="176">
        <v>2.95</v>
      </c>
      <c r="G339" s="176"/>
      <c r="H339" s="176"/>
      <c r="I339" s="176">
        <f>(2.1*0.8)+(1.5*1.2)</f>
        <v>3.48</v>
      </c>
      <c r="J339" s="173">
        <f t="shared" si="11"/>
        <v>33.690000000000012</v>
      </c>
      <c r="K339" s="400"/>
      <c r="L339" s="345"/>
    </row>
    <row r="340" spans="1:12">
      <c r="A340" s="402"/>
      <c r="B340" s="363"/>
      <c r="C340" s="363"/>
      <c r="D340" s="171" t="s">
        <v>664</v>
      </c>
      <c r="E340" s="176">
        <f>8.5+8.5+4.16+4.16</f>
        <v>25.32</v>
      </c>
      <c r="F340" s="176">
        <v>2.95</v>
      </c>
      <c r="G340" s="176"/>
      <c r="H340" s="176"/>
      <c r="I340" s="176">
        <f>((1.3*1.25)*2)+(0.9*2.1)+(1.05*2.95)</f>
        <v>8.2375000000000007</v>
      </c>
      <c r="J340" s="173">
        <f t="shared" si="11"/>
        <v>66.456500000000005</v>
      </c>
      <c r="K340" s="400"/>
      <c r="L340" s="345"/>
    </row>
    <row r="341" spans="1:12">
      <c r="A341" s="402"/>
      <c r="B341" s="363"/>
      <c r="C341" s="363"/>
      <c r="D341" s="171" t="s">
        <v>747</v>
      </c>
      <c r="E341" s="176">
        <f>8.5+8.5+1.4+1.4</f>
        <v>19.799999999999997</v>
      </c>
      <c r="F341" s="176">
        <v>2.95</v>
      </c>
      <c r="G341" s="176"/>
      <c r="H341" s="176"/>
      <c r="I341" s="176">
        <f>((0.9*2.1)*2)+((1.3*1.25)*2)+((2.31*2)*2.15)+(2.15*1.55)</f>
        <v>20.295500000000001</v>
      </c>
      <c r="J341" s="173">
        <f t="shared" si="11"/>
        <v>38.114499999999992</v>
      </c>
      <c r="K341" s="400"/>
      <c r="L341" s="345"/>
    </row>
    <row r="342" spans="1:12">
      <c r="A342" s="402"/>
      <c r="B342" s="363"/>
      <c r="C342" s="363"/>
      <c r="D342" s="171" t="s">
        <v>748</v>
      </c>
      <c r="E342" s="176">
        <f>5.76+5.76+2+2</f>
        <v>15.52</v>
      </c>
      <c r="F342" s="176">
        <v>10</v>
      </c>
      <c r="G342" s="176"/>
      <c r="H342" s="176"/>
      <c r="I342" s="176">
        <f>((1.6*2.2)*3)+(0.8*1.7)+((0.9*2.1)*2)+(1.1*2.1)</f>
        <v>18.010000000000005</v>
      </c>
      <c r="J342" s="173">
        <f t="shared" si="11"/>
        <v>137.19</v>
      </c>
      <c r="K342" s="400"/>
      <c r="L342" s="345"/>
    </row>
    <row r="343" spans="1:12">
      <c r="A343" s="402"/>
      <c r="B343" s="363"/>
      <c r="C343" s="363"/>
      <c r="D343" s="171"/>
      <c r="E343" s="176"/>
      <c r="F343" s="176"/>
      <c r="G343" s="176"/>
      <c r="H343" s="176"/>
      <c r="I343" s="176"/>
      <c r="J343" s="173">
        <f t="shared" si="11"/>
        <v>0</v>
      </c>
      <c r="K343" s="400"/>
      <c r="L343" s="345"/>
    </row>
    <row r="344" spans="1:12">
      <c r="A344" s="402"/>
      <c r="B344" s="363"/>
      <c r="C344" s="363"/>
      <c r="D344" s="171" t="s">
        <v>674</v>
      </c>
      <c r="E344" s="176">
        <f>4.61+4.5+2.95+2.95</f>
        <v>15.009999999999998</v>
      </c>
      <c r="F344" s="176">
        <v>2.95</v>
      </c>
      <c r="G344" s="176"/>
      <c r="H344" s="176"/>
      <c r="I344" s="176">
        <f>(0.8*2.1)+(1.55*1.3)</f>
        <v>3.6950000000000003</v>
      </c>
      <c r="J344" s="173">
        <f t="shared" si="11"/>
        <v>40.584499999999998</v>
      </c>
      <c r="K344" s="400"/>
      <c r="L344" s="345"/>
    </row>
    <row r="345" spans="1:12">
      <c r="A345" s="402"/>
      <c r="B345" s="363"/>
      <c r="C345" s="363"/>
      <c r="D345" s="171" t="s">
        <v>749</v>
      </c>
      <c r="E345" s="252">
        <v>4.8</v>
      </c>
      <c r="F345" s="172">
        <v>2.95</v>
      </c>
      <c r="G345" s="172"/>
      <c r="H345" s="172"/>
      <c r="I345" s="176">
        <f>0.9*2.1</f>
        <v>1.8900000000000001</v>
      </c>
      <c r="J345" s="173">
        <f>(E345*F345)-I345</f>
        <v>12.27</v>
      </c>
      <c r="K345" s="400"/>
      <c r="L345" s="345"/>
    </row>
    <row r="346" spans="1:12">
      <c r="A346" s="402"/>
      <c r="B346" s="363"/>
      <c r="C346" s="363"/>
      <c r="D346" s="171" t="s">
        <v>664</v>
      </c>
      <c r="E346" s="176">
        <f>6+6+5.65+5.65</f>
        <v>23.299999999999997</v>
      </c>
      <c r="F346" s="176">
        <v>2.95</v>
      </c>
      <c r="G346" s="176"/>
      <c r="H346" s="176"/>
      <c r="I346" s="176">
        <f>(2.5*1.2)+((0.9*2.1)*2)+(0.6*2.1)+((0.8*2.1)*2)</f>
        <v>11.400000000000002</v>
      </c>
      <c r="J346" s="173">
        <f t="shared" ref="J346:J352" si="12">(E346*F346)-I346</f>
        <v>57.334999999999994</v>
      </c>
      <c r="K346" s="400"/>
      <c r="L346" s="345"/>
    </row>
    <row r="347" spans="1:12">
      <c r="A347" s="402"/>
      <c r="B347" s="363"/>
      <c r="C347" s="363"/>
      <c r="D347" s="171" t="s">
        <v>746</v>
      </c>
      <c r="E347" s="176">
        <f>3.3+3.3</f>
        <v>6.6</v>
      </c>
      <c r="F347" s="176">
        <v>2.95</v>
      </c>
      <c r="G347" s="176"/>
      <c r="H347" s="176"/>
      <c r="I347" s="176">
        <f>0.8*2.1</f>
        <v>1.6800000000000002</v>
      </c>
      <c r="J347" s="173">
        <f t="shared" si="12"/>
        <v>17.79</v>
      </c>
      <c r="K347" s="400"/>
      <c r="L347" s="345"/>
    </row>
    <row r="348" spans="1:12">
      <c r="A348" s="402"/>
      <c r="B348" s="363"/>
      <c r="C348" s="363"/>
      <c r="D348" s="171" t="s">
        <v>664</v>
      </c>
      <c r="E348" s="176">
        <f>4.45+4.45+3.3+3.3</f>
        <v>15.5</v>
      </c>
      <c r="F348" s="176">
        <v>2.95</v>
      </c>
      <c r="G348" s="176"/>
      <c r="H348" s="176"/>
      <c r="I348" s="176">
        <f>(3.3*2.9)+(1.5*1.2)+(0.8*2.1)</f>
        <v>13.049999999999997</v>
      </c>
      <c r="J348" s="173">
        <f t="shared" si="12"/>
        <v>32.675000000000004</v>
      </c>
      <c r="K348" s="400"/>
      <c r="L348" s="345"/>
    </row>
    <row r="349" spans="1:12">
      <c r="A349" s="402"/>
      <c r="B349" s="363"/>
      <c r="C349" s="363"/>
      <c r="D349" s="171" t="s">
        <v>664</v>
      </c>
      <c r="E349" s="176">
        <f>3+3+4.45+4.45</f>
        <v>14.899999999999999</v>
      </c>
      <c r="F349" s="176">
        <v>2.95</v>
      </c>
      <c r="G349" s="176"/>
      <c r="H349" s="176"/>
      <c r="I349" s="176">
        <f>(1.2*1.5)+(0.8*2.1)+(2.9*1.95)</f>
        <v>9.1349999999999998</v>
      </c>
      <c r="J349" s="173">
        <f t="shared" si="12"/>
        <v>34.82</v>
      </c>
      <c r="K349" s="400"/>
      <c r="L349" s="345"/>
    </row>
    <row r="350" spans="1:12">
      <c r="A350" s="402"/>
      <c r="B350" s="363"/>
      <c r="C350" s="363"/>
      <c r="D350" s="171" t="s">
        <v>664</v>
      </c>
      <c r="E350" s="176">
        <f>3+3+3.3+3.3</f>
        <v>12.600000000000001</v>
      </c>
      <c r="F350" s="176">
        <v>2.95</v>
      </c>
      <c r="G350" s="176"/>
      <c r="H350" s="176"/>
      <c r="I350" s="176">
        <f>(2.1*0.8)+(1.5*1.2)+(1.95*2.9)</f>
        <v>9.1349999999999998</v>
      </c>
      <c r="J350" s="173">
        <f t="shared" si="12"/>
        <v>28.035000000000011</v>
      </c>
      <c r="K350" s="400"/>
      <c r="L350" s="345"/>
    </row>
    <row r="351" spans="1:12">
      <c r="A351" s="402"/>
      <c r="B351" s="363"/>
      <c r="C351" s="363"/>
      <c r="D351" s="171" t="s">
        <v>664</v>
      </c>
      <c r="E351" s="176">
        <f>8.5+8.5+4.16+4.16</f>
        <v>25.32</v>
      </c>
      <c r="F351" s="176">
        <v>2.95</v>
      </c>
      <c r="G351" s="176"/>
      <c r="H351" s="176"/>
      <c r="I351" s="176">
        <f>((1.3*1.25)*2)+(0.9*2.1)+(1.05*2.95)</f>
        <v>8.2375000000000007</v>
      </c>
      <c r="J351" s="173">
        <f t="shared" si="12"/>
        <v>66.456500000000005</v>
      </c>
      <c r="K351" s="400"/>
      <c r="L351" s="345"/>
    </row>
    <row r="352" spans="1:12">
      <c r="A352" s="402"/>
      <c r="B352" s="363"/>
      <c r="C352" s="363"/>
      <c r="D352" s="171" t="s">
        <v>747</v>
      </c>
      <c r="E352" s="176">
        <f>8.5+8.5+1.4+1.4</f>
        <v>19.799999999999997</v>
      </c>
      <c r="F352" s="176">
        <v>2.95</v>
      </c>
      <c r="G352" s="176"/>
      <c r="H352" s="176"/>
      <c r="I352" s="176">
        <f>((0.9*2.1)*2)+((1.3*1.25)*2)+((2.31*2)*2.15)+(2.15*1.55)</f>
        <v>20.295500000000001</v>
      </c>
      <c r="J352" s="173">
        <f t="shared" si="12"/>
        <v>38.114499999999992</v>
      </c>
      <c r="K352" s="400"/>
      <c r="L352" s="345"/>
    </row>
    <row r="353" spans="1:12">
      <c r="A353" s="402"/>
      <c r="B353" s="363"/>
      <c r="C353" s="363"/>
      <c r="D353" s="171"/>
      <c r="E353" s="252"/>
      <c r="F353" s="172"/>
      <c r="G353" s="172"/>
      <c r="H353" s="172"/>
      <c r="I353" s="172"/>
      <c r="J353" s="173"/>
      <c r="K353" s="400"/>
      <c r="L353" s="345"/>
    </row>
    <row r="354" spans="1:12">
      <c r="A354" s="402"/>
      <c r="B354" s="363"/>
      <c r="C354" s="363"/>
      <c r="D354" s="171" t="s">
        <v>750</v>
      </c>
      <c r="E354" s="176">
        <f>17.45+17.45+9.2+9.2</f>
        <v>53.3</v>
      </c>
      <c r="F354" s="176">
        <v>2.8</v>
      </c>
      <c r="G354" s="176"/>
      <c r="H354" s="176"/>
      <c r="I354" s="176">
        <f>((2.5*1.2)*4)+((2.3*1.2)*2)+(1.35*1.2)+(1.1*2.1)+((0.9*2.1)*3)+(0.7*2.1)</f>
        <v>28.590000000000003</v>
      </c>
      <c r="J354" s="173">
        <f t="shared" ref="J354:J363" si="13">(E354*F354)-I354</f>
        <v>120.64999999999998</v>
      </c>
      <c r="K354" s="400"/>
      <c r="L354" s="345"/>
    </row>
    <row r="355" spans="1:12">
      <c r="A355" s="402"/>
      <c r="B355" s="363"/>
      <c r="C355" s="363"/>
      <c r="D355" s="171"/>
      <c r="E355" s="252"/>
      <c r="F355" s="172"/>
      <c r="G355" s="172"/>
      <c r="H355" s="172"/>
      <c r="I355" s="172"/>
      <c r="J355" s="173"/>
      <c r="K355" s="400"/>
      <c r="L355" s="345"/>
    </row>
    <row r="356" spans="1:12">
      <c r="A356" s="402"/>
      <c r="B356" s="363"/>
      <c r="C356" s="363"/>
      <c r="D356" s="171" t="s">
        <v>751</v>
      </c>
      <c r="E356" s="252">
        <v>9.1</v>
      </c>
      <c r="F356" s="172">
        <v>10</v>
      </c>
      <c r="G356" s="172"/>
      <c r="H356" s="172"/>
      <c r="I356" s="172">
        <f>((2.3*2.15)*4)+((1.55*2.15)*2)+((2.3*1.2)*2)+(0.7*9.1)</f>
        <v>38.334999999999994</v>
      </c>
      <c r="J356" s="173">
        <f t="shared" si="13"/>
        <v>52.665000000000006</v>
      </c>
      <c r="K356" s="400"/>
      <c r="L356" s="345"/>
    </row>
    <row r="357" spans="1:12">
      <c r="A357" s="402"/>
      <c r="B357" s="363"/>
      <c r="C357" s="363"/>
      <c r="D357" s="171" t="s">
        <v>752</v>
      </c>
      <c r="E357" s="252">
        <v>19.899999999999999</v>
      </c>
      <c r="F357" s="172">
        <v>9.3000000000000007</v>
      </c>
      <c r="G357" s="172"/>
      <c r="H357" s="172"/>
      <c r="I357" s="172">
        <f>((2.5*1.2)*5)+((1.5*1.2)*2)+((1.18*2.95))+((0.8*0.8)*2)</f>
        <v>23.361000000000004</v>
      </c>
      <c r="J357" s="173">
        <f t="shared" si="13"/>
        <v>161.709</v>
      </c>
      <c r="K357" s="400"/>
      <c r="L357" s="345"/>
    </row>
    <row r="358" spans="1:12">
      <c r="A358" s="402"/>
      <c r="B358" s="363"/>
      <c r="C358" s="363"/>
      <c r="D358" s="171" t="s">
        <v>753</v>
      </c>
      <c r="E358" s="252">
        <f>2.15+8.9+1.55</f>
        <v>12.600000000000001</v>
      </c>
      <c r="F358" s="172">
        <v>10</v>
      </c>
      <c r="G358" s="172"/>
      <c r="H358" s="172"/>
      <c r="I358" s="172">
        <f>(2.5*1.2)+(1.35*1.2)+((0.9*1.5)*2)+((1.5*1.2)*4)+(0.8*1.7)+(2*1.45)+(1.75*2.6)</f>
        <v>23.33</v>
      </c>
      <c r="J358" s="173">
        <f t="shared" si="13"/>
        <v>102.67000000000002</v>
      </c>
      <c r="K358" s="400"/>
      <c r="L358" s="345"/>
    </row>
    <row r="359" spans="1:12">
      <c r="A359" s="402"/>
      <c r="B359" s="363"/>
      <c r="C359" s="363"/>
      <c r="D359" s="171" t="s">
        <v>754</v>
      </c>
      <c r="E359" s="252">
        <f>2+10+2+4.5</f>
        <v>18.5</v>
      </c>
      <c r="F359" s="172">
        <v>1.5</v>
      </c>
      <c r="G359" s="172"/>
      <c r="H359" s="172"/>
      <c r="I359" s="172"/>
      <c r="J359" s="173">
        <f t="shared" si="13"/>
        <v>27.75</v>
      </c>
      <c r="K359" s="400"/>
      <c r="L359" s="345"/>
    </row>
    <row r="360" spans="1:12">
      <c r="A360" s="402"/>
      <c r="B360" s="363"/>
      <c r="C360" s="363"/>
      <c r="D360" s="171" t="s">
        <v>754</v>
      </c>
      <c r="E360" s="252">
        <f>8+2.7</f>
        <v>10.7</v>
      </c>
      <c r="F360" s="172">
        <v>3.5</v>
      </c>
      <c r="G360" s="172"/>
      <c r="H360" s="172"/>
      <c r="I360" s="172">
        <f>0.9*2.1</f>
        <v>1.8900000000000001</v>
      </c>
      <c r="J360" s="173">
        <f t="shared" si="13"/>
        <v>35.559999999999995</v>
      </c>
      <c r="K360" s="400"/>
      <c r="L360" s="345"/>
    </row>
    <row r="361" spans="1:12">
      <c r="A361" s="402"/>
      <c r="B361" s="363"/>
      <c r="C361" s="363"/>
      <c r="D361" s="171" t="s">
        <v>755</v>
      </c>
      <c r="E361" s="252">
        <f>1.85+1.85+4.2+4.2</f>
        <v>12.100000000000001</v>
      </c>
      <c r="F361" s="172">
        <v>2.95</v>
      </c>
      <c r="G361" s="172"/>
      <c r="H361" s="172"/>
      <c r="I361" s="172">
        <f>(2*1)+0.9*2.1</f>
        <v>3.89</v>
      </c>
      <c r="J361" s="173">
        <f t="shared" si="13"/>
        <v>31.805000000000007</v>
      </c>
      <c r="K361" s="400"/>
      <c r="L361" s="345"/>
    </row>
    <row r="362" spans="1:12">
      <c r="A362" s="402"/>
      <c r="B362" s="363"/>
      <c r="C362" s="363"/>
      <c r="D362" s="171"/>
      <c r="E362" s="252"/>
      <c r="F362" s="172"/>
      <c r="G362" s="172"/>
      <c r="H362" s="172"/>
      <c r="I362" s="172"/>
      <c r="J362" s="173"/>
      <c r="K362" s="400"/>
      <c r="L362" s="345"/>
    </row>
    <row r="363" spans="1:12">
      <c r="A363" s="403"/>
      <c r="B363" s="363"/>
      <c r="C363" s="363"/>
      <c r="D363" s="171" t="s">
        <v>756</v>
      </c>
      <c r="E363" s="252">
        <f>3.42+22.58+8.9</f>
        <v>34.9</v>
      </c>
      <c r="F363" s="172">
        <v>2.2000000000000002</v>
      </c>
      <c r="G363" s="172"/>
      <c r="H363" s="172"/>
      <c r="I363" s="172"/>
      <c r="J363" s="173">
        <f t="shared" si="13"/>
        <v>76.78</v>
      </c>
      <c r="K363" s="400"/>
      <c r="L363" s="345"/>
    </row>
    <row r="364" spans="1:12">
      <c r="A364" s="216"/>
      <c r="B364" s="10"/>
      <c r="C364" s="11"/>
      <c r="D364" s="12"/>
      <c r="E364" s="13"/>
      <c r="F364" s="14"/>
      <c r="G364" s="14"/>
      <c r="H364" s="14"/>
      <c r="I364" s="14"/>
      <c r="J364" s="15"/>
      <c r="K364" s="15"/>
      <c r="L364" s="163"/>
    </row>
    <row r="365" spans="1:12" ht="30" customHeight="1">
      <c r="A365" s="250">
        <v>9.4</v>
      </c>
      <c r="B365" s="341" t="s">
        <v>757</v>
      </c>
      <c r="C365" s="342"/>
      <c r="D365" s="171" t="s">
        <v>758</v>
      </c>
      <c r="E365" s="252"/>
      <c r="F365" s="172"/>
      <c r="G365" s="172"/>
      <c r="H365" s="172"/>
      <c r="I365" s="172"/>
      <c r="J365" s="187">
        <f>K222+K231+K233+K252+K254</f>
        <v>94.176999999999992</v>
      </c>
      <c r="K365" s="249">
        <f>J365</f>
        <v>94.176999999999992</v>
      </c>
      <c r="L365" s="251" t="s">
        <v>500</v>
      </c>
    </row>
    <row r="366" spans="1:12" ht="30" customHeight="1" thickBot="1">
      <c r="A366" s="250">
        <v>9.5</v>
      </c>
      <c r="B366" s="341" t="s">
        <v>759</v>
      </c>
      <c r="C366" s="342"/>
      <c r="D366" s="171" t="s">
        <v>928</v>
      </c>
      <c r="E366" s="252"/>
      <c r="F366" s="172"/>
      <c r="G366" s="172"/>
      <c r="H366" s="172"/>
      <c r="I366" s="172"/>
      <c r="J366" s="187">
        <v>267.52</v>
      </c>
      <c r="K366" s="249">
        <f>J366</f>
        <v>267.52</v>
      </c>
      <c r="L366" s="251" t="s">
        <v>500</v>
      </c>
    </row>
    <row r="367" spans="1:12" ht="16.2" thickBot="1">
      <c r="A367" s="179">
        <v>10</v>
      </c>
      <c r="B367" s="343" t="s">
        <v>204</v>
      </c>
      <c r="C367" s="343"/>
      <c r="D367" s="343"/>
      <c r="E367" s="343"/>
      <c r="F367" s="343"/>
      <c r="G367" s="343"/>
      <c r="H367" s="343"/>
      <c r="I367" s="343"/>
      <c r="J367" s="343"/>
      <c r="K367" s="343"/>
      <c r="L367" s="344"/>
    </row>
    <row r="368" spans="1:12">
      <c r="A368" s="216"/>
      <c r="B368" s="10"/>
      <c r="C368" s="11"/>
      <c r="D368" s="12"/>
      <c r="E368" s="13"/>
      <c r="F368" s="14"/>
      <c r="G368" s="14"/>
      <c r="H368" s="14"/>
      <c r="I368" s="14"/>
      <c r="J368" s="15"/>
      <c r="K368" s="15"/>
      <c r="L368" s="163"/>
    </row>
    <row r="369" spans="1:12" ht="30" customHeight="1">
      <c r="A369" s="250">
        <v>10.1</v>
      </c>
      <c r="B369" s="341" t="s">
        <v>761</v>
      </c>
      <c r="C369" s="342"/>
      <c r="D369" s="171" t="s">
        <v>762</v>
      </c>
      <c r="E369" s="252"/>
      <c r="F369" s="172"/>
      <c r="G369" s="172"/>
      <c r="H369" s="172"/>
      <c r="I369" s="172"/>
      <c r="J369" s="177">
        <f>167.84+7.8</f>
        <v>175.64000000000001</v>
      </c>
      <c r="K369" s="247">
        <f>J369</f>
        <v>175.64000000000001</v>
      </c>
      <c r="L369" s="251" t="s">
        <v>500</v>
      </c>
    </row>
    <row r="370" spans="1:12">
      <c r="A370" s="216"/>
      <c r="B370" s="10"/>
      <c r="C370" s="11"/>
      <c r="D370" s="12"/>
      <c r="E370" s="13"/>
      <c r="F370" s="14"/>
      <c r="G370" s="14"/>
      <c r="H370" s="14"/>
      <c r="I370" s="14"/>
      <c r="J370" s="15"/>
      <c r="K370" s="15"/>
      <c r="L370" s="163"/>
    </row>
    <row r="371" spans="1:12" ht="30" customHeight="1">
      <c r="A371" s="217">
        <v>10.199999999999999</v>
      </c>
      <c r="B371" s="404" t="s">
        <v>763</v>
      </c>
      <c r="C371" s="405"/>
      <c r="D371" s="209" t="s">
        <v>762</v>
      </c>
      <c r="E371" s="208"/>
      <c r="F371" s="210"/>
      <c r="G371" s="210"/>
      <c r="H371" s="210"/>
      <c r="I371" s="210"/>
      <c r="J371" s="211">
        <v>1500</v>
      </c>
      <c r="K371" s="212">
        <f>J371</f>
        <v>1500</v>
      </c>
      <c r="L371" s="218" t="s">
        <v>729</v>
      </c>
    </row>
    <row r="372" spans="1:12">
      <c r="A372" s="219"/>
      <c r="B372" s="220"/>
      <c r="C372" s="221"/>
      <c r="D372" s="222"/>
      <c r="E372" s="223"/>
      <c r="F372" s="224"/>
      <c r="G372" s="224"/>
      <c r="H372" s="224"/>
      <c r="I372" s="224"/>
      <c r="J372" s="225"/>
      <c r="K372" s="225"/>
      <c r="L372" s="226"/>
    </row>
    <row r="373" spans="1:12" ht="30" customHeight="1">
      <c r="A373" s="217">
        <v>10.3</v>
      </c>
      <c r="B373" s="404" t="s">
        <v>764</v>
      </c>
      <c r="C373" s="405"/>
      <c r="D373" s="209" t="s">
        <v>765</v>
      </c>
      <c r="E373" s="208"/>
      <c r="F373" s="210"/>
      <c r="G373" s="210"/>
      <c r="H373" s="210"/>
      <c r="I373" s="210"/>
      <c r="J373" s="211">
        <f>122.85+11.62+13.66+13.5</f>
        <v>161.63</v>
      </c>
      <c r="K373" s="212">
        <f>J373</f>
        <v>161.63</v>
      </c>
      <c r="L373" s="218" t="s">
        <v>500</v>
      </c>
    </row>
    <row r="374" spans="1:12">
      <c r="A374" s="219"/>
      <c r="B374" s="220"/>
      <c r="C374" s="221"/>
      <c r="D374" s="222"/>
      <c r="E374" s="223"/>
      <c r="F374" s="224"/>
      <c r="G374" s="224"/>
      <c r="H374" s="224"/>
      <c r="I374" s="224"/>
      <c r="J374" s="225"/>
      <c r="K374" s="225"/>
      <c r="L374" s="226"/>
    </row>
    <row r="375" spans="1:12" ht="30" customHeight="1">
      <c r="A375" s="217">
        <v>10.4</v>
      </c>
      <c r="B375" s="404" t="s">
        <v>766</v>
      </c>
      <c r="C375" s="405"/>
      <c r="D375" s="209" t="s">
        <v>767</v>
      </c>
      <c r="E375" s="208"/>
      <c r="F375" s="210"/>
      <c r="G375" s="210"/>
      <c r="H375" s="210"/>
      <c r="I375" s="210"/>
      <c r="J375" s="211">
        <v>71.27</v>
      </c>
      <c r="K375" s="212">
        <f>J375</f>
        <v>71.27</v>
      </c>
      <c r="L375" s="218" t="s">
        <v>500</v>
      </c>
    </row>
    <row r="376" spans="1:12">
      <c r="A376" s="219"/>
      <c r="B376" s="220"/>
      <c r="C376" s="221"/>
      <c r="D376" s="222"/>
      <c r="E376" s="223"/>
      <c r="F376" s="224"/>
      <c r="G376" s="224"/>
      <c r="H376" s="224"/>
      <c r="I376" s="224"/>
      <c r="J376" s="225"/>
      <c r="K376" s="225"/>
      <c r="L376" s="226"/>
    </row>
    <row r="377" spans="1:12" ht="30" customHeight="1">
      <c r="A377" s="217">
        <v>10.5</v>
      </c>
      <c r="B377" s="404" t="s">
        <v>768</v>
      </c>
      <c r="C377" s="405"/>
      <c r="D377" s="209" t="s">
        <v>769</v>
      </c>
      <c r="E377" s="208"/>
      <c r="F377" s="210"/>
      <c r="G377" s="210"/>
      <c r="H377" s="210"/>
      <c r="I377" s="210"/>
      <c r="J377" s="211">
        <v>94.76</v>
      </c>
      <c r="K377" s="212">
        <f>J377</f>
        <v>94.76</v>
      </c>
      <c r="L377" s="218" t="s">
        <v>665</v>
      </c>
    </row>
    <row r="378" spans="1:12">
      <c r="A378" s="216"/>
      <c r="B378" s="10"/>
      <c r="C378" s="11"/>
      <c r="D378" s="12"/>
      <c r="E378" s="13"/>
      <c r="F378" s="14"/>
      <c r="G378" s="14"/>
      <c r="H378" s="14"/>
      <c r="I378" s="14"/>
      <c r="J378" s="15"/>
      <c r="K378" s="15"/>
      <c r="L378" s="163"/>
    </row>
    <row r="379" spans="1:12" ht="30" customHeight="1">
      <c r="A379" s="250">
        <v>10.6</v>
      </c>
      <c r="B379" s="341" t="s">
        <v>770</v>
      </c>
      <c r="C379" s="342"/>
      <c r="D379" s="171" t="s">
        <v>771</v>
      </c>
      <c r="E379" s="252">
        <f>17.6+2.75</f>
        <v>20.350000000000001</v>
      </c>
      <c r="F379" s="172"/>
      <c r="G379" s="172"/>
      <c r="H379" s="172"/>
      <c r="I379" s="172"/>
      <c r="J379" s="177">
        <f>E379</f>
        <v>20.350000000000001</v>
      </c>
      <c r="K379" s="247">
        <f>J379</f>
        <v>20.350000000000001</v>
      </c>
      <c r="L379" s="251" t="s">
        <v>665</v>
      </c>
    </row>
    <row r="380" spans="1:12">
      <c r="A380" s="216"/>
      <c r="B380" s="10"/>
      <c r="C380" s="11"/>
      <c r="D380" s="12"/>
      <c r="E380" s="13"/>
      <c r="F380" s="14"/>
      <c r="G380" s="14"/>
      <c r="H380" s="14"/>
      <c r="I380" s="14"/>
      <c r="J380" s="15"/>
      <c r="K380" s="15"/>
      <c r="L380" s="163"/>
    </row>
    <row r="381" spans="1:12" ht="30" customHeight="1">
      <c r="A381" s="250">
        <v>10.7</v>
      </c>
      <c r="B381" s="341" t="s">
        <v>772</v>
      </c>
      <c r="C381" s="342"/>
      <c r="D381" s="171" t="s">
        <v>771</v>
      </c>
      <c r="E381" s="252">
        <f>17.55+3+1.55</f>
        <v>22.1</v>
      </c>
      <c r="F381" s="172"/>
      <c r="G381" s="172"/>
      <c r="H381" s="172"/>
      <c r="I381" s="172"/>
      <c r="J381" s="177">
        <f>E381</f>
        <v>22.1</v>
      </c>
      <c r="K381" s="247">
        <f>J381</f>
        <v>22.1</v>
      </c>
      <c r="L381" s="251" t="s">
        <v>665</v>
      </c>
    </row>
    <row r="382" spans="1:12" ht="58.5" customHeight="1" thickBot="1">
      <c r="A382" s="250">
        <v>10.8</v>
      </c>
      <c r="B382" s="341" t="s">
        <v>773</v>
      </c>
      <c r="C382" s="342"/>
      <c r="D382" s="171" t="s">
        <v>771</v>
      </c>
      <c r="E382" s="252">
        <v>20.5</v>
      </c>
      <c r="F382" s="172"/>
      <c r="G382" s="172"/>
      <c r="H382" s="172"/>
      <c r="I382" s="172"/>
      <c r="J382" s="177">
        <v>20.5</v>
      </c>
      <c r="K382" s="247">
        <f>J382</f>
        <v>20.5</v>
      </c>
      <c r="L382" s="251" t="s">
        <v>665</v>
      </c>
    </row>
    <row r="383" spans="1:12" ht="16.2" thickBot="1">
      <c r="A383" s="179">
        <v>11</v>
      </c>
      <c r="B383" s="343" t="s">
        <v>230</v>
      </c>
      <c r="C383" s="343"/>
      <c r="D383" s="343"/>
      <c r="E383" s="343"/>
      <c r="F383" s="343"/>
      <c r="G383" s="343"/>
      <c r="H383" s="343"/>
      <c r="I383" s="343"/>
      <c r="J383" s="343"/>
      <c r="K383" s="343"/>
      <c r="L383" s="344"/>
    </row>
    <row r="384" spans="1:12">
      <c r="A384" s="216"/>
      <c r="B384" s="10"/>
      <c r="C384" s="11"/>
      <c r="D384" s="12"/>
      <c r="E384" s="13"/>
      <c r="F384" s="14"/>
      <c r="G384" s="14"/>
      <c r="H384" s="14"/>
      <c r="I384" s="14"/>
      <c r="J384" s="15"/>
      <c r="K384" s="15"/>
      <c r="L384" s="163"/>
    </row>
    <row r="385" spans="1:12" ht="162.75" customHeight="1">
      <c r="A385" s="217">
        <v>11.1</v>
      </c>
      <c r="B385" s="341" t="s">
        <v>233</v>
      </c>
      <c r="C385" s="342"/>
      <c r="D385" s="171" t="s">
        <v>728</v>
      </c>
      <c r="E385" s="252"/>
      <c r="F385" s="172"/>
      <c r="G385" s="172"/>
      <c r="H385" s="172"/>
      <c r="I385" s="172"/>
      <c r="J385" s="177">
        <v>1</v>
      </c>
      <c r="K385" s="247">
        <f>J385</f>
        <v>1</v>
      </c>
      <c r="L385" s="251" t="s">
        <v>713</v>
      </c>
    </row>
    <row r="386" spans="1:12" ht="71.25" customHeight="1">
      <c r="A386" s="217">
        <v>11.2</v>
      </c>
      <c r="B386" s="359" t="s">
        <v>929</v>
      </c>
      <c r="C386" s="360"/>
      <c r="D386" s="171" t="s">
        <v>728</v>
      </c>
      <c r="E386" s="252"/>
      <c r="F386" s="172"/>
      <c r="G386" s="172"/>
      <c r="H386" s="172"/>
      <c r="I386" s="172"/>
      <c r="J386" s="177">
        <v>3</v>
      </c>
      <c r="K386" s="247">
        <f>J386</f>
        <v>3</v>
      </c>
      <c r="L386" s="251" t="s">
        <v>713</v>
      </c>
    </row>
    <row r="387" spans="1:12" ht="71.25" customHeight="1">
      <c r="A387" s="217">
        <v>11.3</v>
      </c>
      <c r="B387" s="341" t="s">
        <v>930</v>
      </c>
      <c r="C387" s="342"/>
      <c r="D387" s="171" t="s">
        <v>728</v>
      </c>
      <c r="E387" s="252"/>
      <c r="F387" s="172"/>
      <c r="G387" s="172"/>
      <c r="H387" s="172"/>
      <c r="I387" s="172"/>
      <c r="J387" s="194">
        <v>13</v>
      </c>
      <c r="K387" s="247">
        <f>J387</f>
        <v>13</v>
      </c>
      <c r="L387" s="251" t="s">
        <v>713</v>
      </c>
    </row>
    <row r="388" spans="1:12">
      <c r="A388" s="216"/>
      <c r="B388" s="10"/>
      <c r="C388" s="11"/>
      <c r="D388" s="12"/>
      <c r="E388" s="13"/>
      <c r="F388" s="14"/>
      <c r="G388" s="14"/>
      <c r="H388" s="14"/>
      <c r="I388" s="14"/>
      <c r="J388" s="15"/>
      <c r="K388" s="15"/>
      <c r="L388" s="163"/>
    </row>
    <row r="389" spans="1:12" ht="71.25" customHeight="1">
      <c r="A389" s="217">
        <v>11.4</v>
      </c>
      <c r="B389" s="341" t="s">
        <v>776</v>
      </c>
      <c r="C389" s="342"/>
      <c r="D389" s="171" t="s">
        <v>728</v>
      </c>
      <c r="E389" s="252"/>
      <c r="F389" s="172"/>
      <c r="G389" s="172"/>
      <c r="H389" s="172"/>
      <c r="I389" s="172"/>
      <c r="J389" s="194">
        <v>10</v>
      </c>
      <c r="K389" s="247">
        <f>J389</f>
        <v>10</v>
      </c>
      <c r="L389" s="251" t="s">
        <v>713</v>
      </c>
    </row>
    <row r="390" spans="1:12">
      <c r="A390" s="216"/>
      <c r="B390" s="10"/>
      <c r="C390" s="11"/>
      <c r="D390" s="12"/>
      <c r="E390" s="13"/>
      <c r="F390" s="14"/>
      <c r="G390" s="14"/>
      <c r="H390" s="14"/>
      <c r="I390" s="14"/>
      <c r="J390" s="15"/>
      <c r="K390" s="15"/>
      <c r="L390" s="163"/>
    </row>
    <row r="391" spans="1:12" ht="71.25" customHeight="1">
      <c r="A391" s="217">
        <v>11.5</v>
      </c>
      <c r="B391" s="341" t="s">
        <v>777</v>
      </c>
      <c r="C391" s="342"/>
      <c r="D391" s="171" t="s">
        <v>728</v>
      </c>
      <c r="E391" s="252"/>
      <c r="F391" s="172"/>
      <c r="G391" s="172"/>
      <c r="H391" s="172"/>
      <c r="I391" s="172"/>
      <c r="J391" s="194">
        <v>2</v>
      </c>
      <c r="K391" s="247">
        <f>J391</f>
        <v>2</v>
      </c>
      <c r="L391" s="251" t="s">
        <v>713</v>
      </c>
    </row>
    <row r="392" spans="1:12">
      <c r="A392" s="216"/>
      <c r="B392" s="10"/>
      <c r="C392" s="11"/>
      <c r="D392" s="12"/>
      <c r="E392" s="13"/>
      <c r="F392" s="14"/>
      <c r="G392" s="14"/>
      <c r="H392" s="14"/>
      <c r="I392" s="14"/>
      <c r="J392" s="15"/>
      <c r="K392" s="15"/>
      <c r="L392" s="163"/>
    </row>
    <row r="393" spans="1:12" ht="71.25" customHeight="1">
      <c r="A393" s="217">
        <v>11.6</v>
      </c>
      <c r="B393" s="341" t="s">
        <v>778</v>
      </c>
      <c r="C393" s="342"/>
      <c r="D393" s="171" t="s">
        <v>728</v>
      </c>
      <c r="E393" s="252"/>
      <c r="F393" s="172"/>
      <c r="G393" s="172"/>
      <c r="H393" s="172"/>
      <c r="I393" s="172"/>
      <c r="J393" s="194">
        <v>13</v>
      </c>
      <c r="K393" s="247">
        <f>J393</f>
        <v>13</v>
      </c>
      <c r="L393" s="251" t="s">
        <v>713</v>
      </c>
    </row>
    <row r="394" spans="1:12">
      <c r="A394" s="216"/>
      <c r="B394" s="10"/>
      <c r="C394" s="11"/>
      <c r="D394" s="12"/>
      <c r="E394" s="13"/>
      <c r="F394" s="14"/>
      <c r="G394" s="14"/>
      <c r="H394" s="14"/>
      <c r="I394" s="14"/>
      <c r="J394" s="15"/>
      <c r="K394" s="15"/>
      <c r="L394" s="163"/>
    </row>
    <row r="395" spans="1:12" ht="71.25" customHeight="1">
      <c r="A395" s="217">
        <v>11.7</v>
      </c>
      <c r="B395" s="341" t="s">
        <v>779</v>
      </c>
      <c r="C395" s="342"/>
      <c r="D395" s="171" t="s">
        <v>728</v>
      </c>
      <c r="E395" s="252"/>
      <c r="F395" s="172"/>
      <c r="G395" s="172"/>
      <c r="H395" s="172"/>
      <c r="I395" s="172"/>
      <c r="J395" s="194">
        <v>10</v>
      </c>
      <c r="K395" s="247">
        <f>J395</f>
        <v>10</v>
      </c>
      <c r="L395" s="251" t="s">
        <v>713</v>
      </c>
    </row>
    <row r="396" spans="1:12">
      <c r="A396" s="216"/>
      <c r="B396" s="10"/>
      <c r="C396" s="11"/>
      <c r="D396" s="12"/>
      <c r="E396" s="13"/>
      <c r="F396" s="14"/>
      <c r="G396" s="14"/>
      <c r="H396" s="14"/>
      <c r="I396" s="14"/>
      <c r="J396" s="15"/>
      <c r="K396" s="15"/>
      <c r="L396" s="163"/>
    </row>
    <row r="397" spans="1:12" ht="71.25" customHeight="1">
      <c r="A397" s="217">
        <v>11.8</v>
      </c>
      <c r="B397" s="341" t="s">
        <v>780</v>
      </c>
      <c r="C397" s="342"/>
      <c r="D397" s="171" t="s">
        <v>728</v>
      </c>
      <c r="E397" s="252"/>
      <c r="F397" s="172"/>
      <c r="G397" s="172"/>
      <c r="H397" s="172"/>
      <c r="I397" s="172"/>
      <c r="J397" s="194">
        <v>2</v>
      </c>
      <c r="K397" s="247">
        <f>J397</f>
        <v>2</v>
      </c>
      <c r="L397" s="251" t="s">
        <v>713</v>
      </c>
    </row>
    <row r="398" spans="1:12">
      <c r="A398" s="216"/>
      <c r="B398" s="10"/>
      <c r="C398" s="11"/>
      <c r="D398" s="12"/>
      <c r="E398" s="13"/>
      <c r="F398" s="14"/>
      <c r="G398" s="14"/>
      <c r="H398" s="14"/>
      <c r="I398" s="14"/>
      <c r="J398" s="15"/>
      <c r="K398" s="15"/>
      <c r="L398" s="163"/>
    </row>
    <row r="399" spans="1:12" ht="71.25" customHeight="1">
      <c r="A399" s="217">
        <v>11.9</v>
      </c>
      <c r="B399" s="341" t="s">
        <v>781</v>
      </c>
      <c r="C399" s="342"/>
      <c r="D399" s="171" t="s">
        <v>728</v>
      </c>
      <c r="E399" s="252"/>
      <c r="F399" s="172"/>
      <c r="G399" s="172"/>
      <c r="H399" s="172"/>
      <c r="I399" s="172"/>
      <c r="J399" s="194">
        <v>7</v>
      </c>
      <c r="K399" s="247">
        <f>J399</f>
        <v>7</v>
      </c>
      <c r="L399" s="251" t="s">
        <v>713</v>
      </c>
    </row>
    <row r="400" spans="1:12">
      <c r="A400" s="216"/>
      <c r="B400" s="10"/>
      <c r="C400" s="11"/>
      <c r="D400" s="12"/>
      <c r="E400" s="13"/>
      <c r="F400" s="14"/>
      <c r="G400" s="14"/>
      <c r="H400" s="14"/>
      <c r="I400" s="14"/>
      <c r="J400" s="15"/>
      <c r="K400" s="15"/>
      <c r="L400" s="163"/>
    </row>
    <row r="401" spans="1:12" ht="71.25" customHeight="1">
      <c r="A401" s="240">
        <v>11.1</v>
      </c>
      <c r="B401" s="341" t="s">
        <v>782</v>
      </c>
      <c r="C401" s="342"/>
      <c r="D401" s="171" t="s">
        <v>728</v>
      </c>
      <c r="E401" s="252"/>
      <c r="F401" s="172"/>
      <c r="G401" s="172"/>
      <c r="H401" s="172"/>
      <c r="I401" s="172"/>
      <c r="J401" s="194">
        <v>2</v>
      </c>
      <c r="K401" s="247">
        <f>J401</f>
        <v>2</v>
      </c>
      <c r="L401" s="251" t="s">
        <v>713</v>
      </c>
    </row>
    <row r="402" spans="1:12">
      <c r="A402" s="216"/>
      <c r="B402" s="10"/>
      <c r="C402" s="11"/>
      <c r="D402" s="12"/>
      <c r="E402" s="13"/>
      <c r="F402" s="14"/>
      <c r="G402" s="14"/>
      <c r="H402" s="14"/>
      <c r="I402" s="14"/>
      <c r="J402" s="15"/>
      <c r="K402" s="15"/>
      <c r="L402" s="163"/>
    </row>
    <row r="403" spans="1:12" ht="71.25" customHeight="1">
      <c r="A403" s="240">
        <v>11.11</v>
      </c>
      <c r="B403" s="341" t="s">
        <v>931</v>
      </c>
      <c r="C403" s="342"/>
      <c r="D403" s="171" t="s">
        <v>728</v>
      </c>
      <c r="E403" s="252"/>
      <c r="F403" s="172"/>
      <c r="G403" s="172"/>
      <c r="H403" s="172"/>
      <c r="I403" s="172"/>
      <c r="J403" s="194">
        <v>1</v>
      </c>
      <c r="K403" s="247">
        <f>J403</f>
        <v>1</v>
      </c>
      <c r="L403" s="251" t="s">
        <v>713</v>
      </c>
    </row>
    <row r="404" spans="1:12" ht="71.25" customHeight="1">
      <c r="A404" s="240">
        <v>11.12</v>
      </c>
      <c r="B404" s="341" t="s">
        <v>932</v>
      </c>
      <c r="C404" s="342"/>
      <c r="D404" s="171" t="s">
        <v>728</v>
      </c>
      <c r="E404" s="252"/>
      <c r="F404" s="172"/>
      <c r="G404" s="172"/>
      <c r="H404" s="172"/>
      <c r="I404" s="172"/>
      <c r="J404" s="194">
        <v>1</v>
      </c>
      <c r="K404" s="247">
        <f>J404</f>
        <v>1</v>
      </c>
      <c r="L404" s="251" t="s">
        <v>713</v>
      </c>
    </row>
    <row r="405" spans="1:12" ht="71.25" customHeight="1">
      <c r="A405" s="240">
        <v>11.13</v>
      </c>
      <c r="B405" s="341" t="s">
        <v>784</v>
      </c>
      <c r="C405" s="342"/>
      <c r="D405" s="171" t="s">
        <v>728</v>
      </c>
      <c r="E405" s="252"/>
      <c r="F405" s="172"/>
      <c r="G405" s="172"/>
      <c r="H405" s="172"/>
      <c r="I405" s="172"/>
      <c r="J405" s="194">
        <v>2</v>
      </c>
      <c r="K405" s="247">
        <f>J405</f>
        <v>2</v>
      </c>
      <c r="L405" s="251" t="s">
        <v>713</v>
      </c>
    </row>
    <row r="406" spans="1:12" hidden="1">
      <c r="A406" s="216"/>
      <c r="B406" s="10"/>
      <c r="C406" s="11"/>
      <c r="D406" s="12"/>
      <c r="E406" s="13"/>
      <c r="F406" s="14"/>
      <c r="G406" s="14"/>
      <c r="H406" s="14"/>
      <c r="I406" s="14"/>
      <c r="J406" s="15"/>
      <c r="K406" s="15"/>
      <c r="L406" s="163"/>
    </row>
    <row r="407" spans="1:12" ht="71.25" hidden="1" customHeight="1">
      <c r="A407" s="248"/>
      <c r="B407" s="341"/>
      <c r="C407" s="342"/>
      <c r="D407" s="171"/>
      <c r="E407" s="252"/>
      <c r="F407" s="172"/>
      <c r="G407" s="172"/>
      <c r="H407" s="172"/>
      <c r="I407" s="172"/>
      <c r="J407" s="194"/>
      <c r="K407" s="247"/>
      <c r="L407" s="251"/>
    </row>
    <row r="408" spans="1:12" hidden="1">
      <c r="A408" s="216"/>
      <c r="B408" s="10"/>
      <c r="C408" s="11"/>
      <c r="D408" s="12"/>
      <c r="E408" s="13"/>
      <c r="F408" s="14"/>
      <c r="G408" s="14"/>
      <c r="H408" s="14"/>
      <c r="I408" s="14"/>
      <c r="J408" s="15"/>
      <c r="K408" s="15"/>
      <c r="L408" s="163"/>
    </row>
    <row r="409" spans="1:12" ht="71.25" hidden="1" customHeight="1">
      <c r="A409" s="248"/>
      <c r="B409" s="341"/>
      <c r="C409" s="342"/>
      <c r="D409" s="171"/>
      <c r="E409" s="252"/>
      <c r="F409" s="172"/>
      <c r="G409" s="172"/>
      <c r="H409" s="172"/>
      <c r="I409" s="172"/>
      <c r="J409" s="194"/>
      <c r="K409" s="247"/>
      <c r="L409" s="251"/>
    </row>
    <row r="410" spans="1:12">
      <c r="A410" s="216"/>
      <c r="B410" s="10"/>
      <c r="C410" s="11"/>
      <c r="D410" s="12"/>
      <c r="E410" s="13"/>
      <c r="F410" s="14"/>
      <c r="G410" s="14"/>
      <c r="H410" s="14"/>
      <c r="I410" s="14"/>
      <c r="J410" s="15"/>
      <c r="K410" s="15"/>
      <c r="L410" s="163"/>
    </row>
    <row r="411" spans="1:12" ht="39.75" customHeight="1">
      <c r="A411" s="240">
        <v>11.14</v>
      </c>
      <c r="B411" s="341" t="s">
        <v>787</v>
      </c>
      <c r="C411" s="342"/>
      <c r="D411" s="171" t="s">
        <v>771</v>
      </c>
      <c r="E411" s="252"/>
      <c r="F411" s="172"/>
      <c r="G411" s="172"/>
      <c r="H411" s="172"/>
      <c r="I411" s="172"/>
      <c r="J411" s="194">
        <v>100</v>
      </c>
      <c r="K411" s="247">
        <f>J411</f>
        <v>100</v>
      </c>
      <c r="L411" s="251" t="s">
        <v>665</v>
      </c>
    </row>
    <row r="412" spans="1:12">
      <c r="A412" s="216"/>
      <c r="B412" s="10"/>
      <c r="C412" s="11"/>
      <c r="D412" s="12"/>
      <c r="E412" s="13"/>
      <c r="F412" s="14"/>
      <c r="G412" s="14"/>
      <c r="H412" s="14"/>
      <c r="I412" s="14"/>
      <c r="J412" s="15"/>
      <c r="K412" s="15"/>
      <c r="L412" s="163"/>
    </row>
    <row r="413" spans="1:12" ht="34.5" customHeight="1">
      <c r="A413" s="240">
        <v>11.15</v>
      </c>
      <c r="B413" s="341" t="s">
        <v>788</v>
      </c>
      <c r="C413" s="342"/>
      <c r="D413" s="171" t="s">
        <v>771</v>
      </c>
      <c r="E413" s="252"/>
      <c r="F413" s="172"/>
      <c r="G413" s="172"/>
      <c r="H413" s="172"/>
      <c r="I413" s="172"/>
      <c r="J413" s="194">
        <v>100</v>
      </c>
      <c r="K413" s="247">
        <f>J413</f>
        <v>100</v>
      </c>
      <c r="L413" s="251" t="s">
        <v>665</v>
      </c>
    </row>
    <row r="414" spans="1:12">
      <c r="A414" s="216"/>
      <c r="B414" s="10"/>
      <c r="C414" s="11"/>
      <c r="D414" s="12"/>
      <c r="E414" s="13"/>
      <c r="F414" s="14"/>
      <c r="G414" s="14"/>
      <c r="H414" s="14"/>
      <c r="I414" s="14"/>
      <c r="J414" s="15"/>
      <c r="K414" s="15"/>
      <c r="L414" s="163"/>
    </row>
    <row r="415" spans="1:12" ht="36.75" customHeight="1">
      <c r="A415" s="240">
        <v>11.16</v>
      </c>
      <c r="B415" s="341" t="s">
        <v>789</v>
      </c>
      <c r="C415" s="342"/>
      <c r="D415" s="171" t="s">
        <v>771</v>
      </c>
      <c r="E415" s="252"/>
      <c r="F415" s="172"/>
      <c r="G415" s="172"/>
      <c r="H415" s="172"/>
      <c r="I415" s="172"/>
      <c r="J415" s="194">
        <v>100</v>
      </c>
      <c r="K415" s="247">
        <f>J415</f>
        <v>100</v>
      </c>
      <c r="L415" s="251" t="s">
        <v>665</v>
      </c>
    </row>
    <row r="416" spans="1:12">
      <c r="A416" s="216"/>
      <c r="B416" s="10"/>
      <c r="C416" s="11"/>
      <c r="D416" s="12"/>
      <c r="E416" s="13"/>
      <c r="F416" s="14"/>
      <c r="G416" s="14"/>
      <c r="H416" s="14"/>
      <c r="I416" s="14"/>
      <c r="J416" s="15"/>
      <c r="K416" s="15"/>
      <c r="L416" s="163"/>
    </row>
    <row r="417" spans="1:12" ht="34.5" customHeight="1">
      <c r="A417" s="240">
        <v>11.17</v>
      </c>
      <c r="B417" s="341" t="s">
        <v>790</v>
      </c>
      <c r="C417" s="342"/>
      <c r="D417" s="171" t="s">
        <v>771</v>
      </c>
      <c r="E417" s="252"/>
      <c r="F417" s="172"/>
      <c r="G417" s="172"/>
      <c r="H417" s="172"/>
      <c r="I417" s="172"/>
      <c r="J417" s="194">
        <v>600</v>
      </c>
      <c r="K417" s="247">
        <f>J417</f>
        <v>600</v>
      </c>
      <c r="L417" s="251" t="s">
        <v>665</v>
      </c>
    </row>
    <row r="418" spans="1:12">
      <c r="A418" s="216"/>
      <c r="B418" s="10"/>
      <c r="C418" s="11"/>
      <c r="D418" s="12"/>
      <c r="E418" s="13"/>
      <c r="F418" s="14"/>
      <c r="G418" s="14"/>
      <c r="H418" s="14"/>
      <c r="I418" s="14"/>
      <c r="J418" s="15"/>
      <c r="K418" s="15"/>
      <c r="L418" s="163"/>
    </row>
    <row r="419" spans="1:12" ht="36" customHeight="1">
      <c r="A419" s="240">
        <v>11.18</v>
      </c>
      <c r="B419" s="341" t="s">
        <v>791</v>
      </c>
      <c r="C419" s="342"/>
      <c r="D419" s="171" t="s">
        <v>771</v>
      </c>
      <c r="E419" s="252"/>
      <c r="F419" s="172"/>
      <c r="G419" s="172"/>
      <c r="H419" s="172"/>
      <c r="I419" s="172"/>
      <c r="J419" s="194">
        <v>600</v>
      </c>
      <c r="K419" s="247">
        <f>J419</f>
        <v>600</v>
      </c>
      <c r="L419" s="251" t="s">
        <v>665</v>
      </c>
    </row>
    <row r="420" spans="1:12">
      <c r="A420" s="216"/>
      <c r="B420" s="10"/>
      <c r="C420" s="11"/>
      <c r="D420" s="12"/>
      <c r="E420" s="13"/>
      <c r="F420" s="14"/>
      <c r="G420" s="14"/>
      <c r="H420" s="14"/>
      <c r="I420" s="14"/>
      <c r="J420" s="15"/>
      <c r="K420" s="15"/>
      <c r="L420" s="163"/>
    </row>
    <row r="421" spans="1:12" ht="36.75" customHeight="1">
      <c r="A421" s="240">
        <v>11.19</v>
      </c>
      <c r="B421" s="341" t="s">
        <v>792</v>
      </c>
      <c r="C421" s="342"/>
      <c r="D421" s="171" t="s">
        <v>771</v>
      </c>
      <c r="E421" s="252"/>
      <c r="F421" s="172"/>
      <c r="G421" s="172"/>
      <c r="H421" s="172"/>
      <c r="I421" s="172"/>
      <c r="J421" s="194">
        <v>600</v>
      </c>
      <c r="K421" s="247">
        <f>J421</f>
        <v>600</v>
      </c>
      <c r="L421" s="251" t="s">
        <v>665</v>
      </c>
    </row>
    <row r="422" spans="1:12">
      <c r="A422" s="216"/>
      <c r="B422" s="10"/>
      <c r="C422" s="11"/>
      <c r="D422" s="12"/>
      <c r="E422" s="13"/>
      <c r="F422" s="14"/>
      <c r="G422" s="14"/>
      <c r="H422" s="14"/>
      <c r="I422" s="14"/>
      <c r="J422" s="15"/>
      <c r="K422" s="15"/>
      <c r="L422" s="163"/>
    </row>
    <row r="423" spans="1:12" ht="43.5" customHeight="1">
      <c r="A423" s="240">
        <v>11.2</v>
      </c>
      <c r="B423" s="341" t="s">
        <v>793</v>
      </c>
      <c r="C423" s="342"/>
      <c r="D423" s="171" t="s">
        <v>771</v>
      </c>
      <c r="E423" s="252"/>
      <c r="F423" s="172"/>
      <c r="G423" s="172"/>
      <c r="H423" s="172"/>
      <c r="I423" s="172"/>
      <c r="J423" s="194">
        <v>800</v>
      </c>
      <c r="K423" s="247">
        <f>J423</f>
        <v>800</v>
      </c>
      <c r="L423" s="251" t="s">
        <v>665</v>
      </c>
    </row>
    <row r="424" spans="1:12">
      <c r="A424" s="216"/>
      <c r="B424" s="10"/>
      <c r="C424" s="11"/>
      <c r="D424" s="12"/>
      <c r="E424" s="13"/>
      <c r="F424" s="14"/>
      <c r="G424" s="14"/>
      <c r="H424" s="14"/>
      <c r="I424" s="14"/>
      <c r="J424" s="15"/>
      <c r="K424" s="15"/>
      <c r="L424" s="163"/>
    </row>
    <row r="425" spans="1:12" ht="33" customHeight="1">
      <c r="A425" s="240">
        <v>11.21</v>
      </c>
      <c r="B425" s="341" t="s">
        <v>794</v>
      </c>
      <c r="C425" s="342"/>
      <c r="D425" s="171" t="s">
        <v>771</v>
      </c>
      <c r="E425" s="252"/>
      <c r="F425" s="172"/>
      <c r="G425" s="172"/>
      <c r="H425" s="172"/>
      <c r="I425" s="172"/>
      <c r="J425" s="194">
        <v>800</v>
      </c>
      <c r="K425" s="247">
        <f>J425</f>
        <v>800</v>
      </c>
      <c r="L425" s="251" t="s">
        <v>665</v>
      </c>
    </row>
    <row r="426" spans="1:12">
      <c r="A426" s="216"/>
      <c r="B426" s="10"/>
      <c r="C426" s="11"/>
      <c r="D426" s="12"/>
      <c r="E426" s="13"/>
      <c r="F426" s="14"/>
      <c r="G426" s="14"/>
      <c r="H426" s="14"/>
      <c r="I426" s="14"/>
      <c r="J426" s="15"/>
      <c r="K426" s="15"/>
      <c r="L426" s="163"/>
    </row>
    <row r="427" spans="1:12" ht="33.75" customHeight="1">
      <c r="A427" s="240">
        <v>11.22</v>
      </c>
      <c r="B427" s="341" t="s">
        <v>795</v>
      </c>
      <c r="C427" s="342"/>
      <c r="D427" s="171" t="s">
        <v>771</v>
      </c>
      <c r="E427" s="252"/>
      <c r="F427" s="172"/>
      <c r="G427" s="172"/>
      <c r="H427" s="172"/>
      <c r="I427" s="172"/>
      <c r="J427" s="194">
        <v>800</v>
      </c>
      <c r="K427" s="247">
        <f>J427</f>
        <v>800</v>
      </c>
      <c r="L427" s="251" t="s">
        <v>665</v>
      </c>
    </row>
    <row r="428" spans="1:12">
      <c r="A428" s="216"/>
      <c r="B428" s="10"/>
      <c r="C428" s="11"/>
      <c r="D428" s="12"/>
      <c r="E428" s="13"/>
      <c r="F428" s="14"/>
      <c r="G428" s="14"/>
      <c r="H428" s="14"/>
      <c r="I428" s="14"/>
      <c r="J428" s="15"/>
      <c r="K428" s="15"/>
      <c r="L428" s="163"/>
    </row>
    <row r="429" spans="1:12" ht="36" customHeight="1">
      <c r="A429" s="240">
        <v>11.23</v>
      </c>
      <c r="B429" s="341" t="s">
        <v>796</v>
      </c>
      <c r="C429" s="342"/>
      <c r="D429" s="171" t="s">
        <v>771</v>
      </c>
      <c r="E429" s="252"/>
      <c r="F429" s="172"/>
      <c r="G429" s="172"/>
      <c r="H429" s="172"/>
      <c r="I429" s="172"/>
      <c r="J429" s="194">
        <v>80</v>
      </c>
      <c r="K429" s="247">
        <f>J429</f>
        <v>80</v>
      </c>
      <c r="L429" s="251" t="s">
        <v>665</v>
      </c>
    </row>
    <row r="430" spans="1:12">
      <c r="A430" s="216"/>
      <c r="B430" s="10"/>
      <c r="C430" s="11"/>
      <c r="D430" s="12"/>
      <c r="E430" s="13"/>
      <c r="F430" s="14"/>
      <c r="G430" s="14"/>
      <c r="H430" s="14"/>
      <c r="I430" s="14"/>
      <c r="J430" s="15"/>
      <c r="K430" s="15"/>
      <c r="L430" s="163"/>
    </row>
    <row r="431" spans="1:12" ht="45" customHeight="1">
      <c r="A431" s="240">
        <v>11.24</v>
      </c>
      <c r="B431" s="341" t="s">
        <v>797</v>
      </c>
      <c r="C431" s="342"/>
      <c r="D431" s="171" t="s">
        <v>771</v>
      </c>
      <c r="E431" s="252"/>
      <c r="F431" s="172"/>
      <c r="G431" s="172"/>
      <c r="H431" s="172"/>
      <c r="I431" s="172"/>
      <c r="J431" s="194">
        <v>30</v>
      </c>
      <c r="K431" s="247">
        <f>J431</f>
        <v>30</v>
      </c>
      <c r="L431" s="251" t="s">
        <v>665</v>
      </c>
    </row>
    <row r="432" spans="1:12">
      <c r="A432" s="216"/>
      <c r="B432" s="10"/>
      <c r="C432" s="11"/>
      <c r="D432" s="12"/>
      <c r="E432" s="13"/>
      <c r="F432" s="14"/>
      <c r="G432" s="14"/>
      <c r="H432" s="14"/>
      <c r="I432" s="14"/>
      <c r="J432" s="15"/>
      <c r="K432" s="15"/>
      <c r="L432" s="163"/>
    </row>
    <row r="433" spans="1:12" ht="37.5" customHeight="1">
      <c r="A433" s="240">
        <v>11.25</v>
      </c>
      <c r="B433" s="341" t="s">
        <v>798</v>
      </c>
      <c r="C433" s="342"/>
      <c r="D433" s="171" t="s">
        <v>771</v>
      </c>
      <c r="E433" s="252"/>
      <c r="F433" s="172"/>
      <c r="G433" s="172"/>
      <c r="H433" s="172"/>
      <c r="I433" s="172"/>
      <c r="J433" s="194">
        <v>30</v>
      </c>
      <c r="K433" s="247">
        <f>J433</f>
        <v>30</v>
      </c>
      <c r="L433" s="251" t="s">
        <v>665</v>
      </c>
    </row>
    <row r="434" spans="1:12">
      <c r="A434" s="216"/>
      <c r="B434" s="10"/>
      <c r="C434" s="11"/>
      <c r="D434" s="12"/>
      <c r="E434" s="13"/>
      <c r="F434" s="14"/>
      <c r="G434" s="14"/>
      <c r="H434" s="14"/>
      <c r="I434" s="14"/>
      <c r="J434" s="15"/>
      <c r="K434" s="15"/>
      <c r="L434" s="163"/>
    </row>
    <row r="435" spans="1:12" ht="33.75" customHeight="1">
      <c r="A435" s="240">
        <v>11.26</v>
      </c>
      <c r="B435" s="341" t="s">
        <v>933</v>
      </c>
      <c r="C435" s="342"/>
      <c r="D435" s="171" t="s">
        <v>771</v>
      </c>
      <c r="E435" s="252"/>
      <c r="F435" s="172"/>
      <c r="G435" s="172"/>
      <c r="H435" s="172"/>
      <c r="I435" s="172"/>
      <c r="J435" s="194">
        <v>40</v>
      </c>
      <c r="K435" s="247">
        <f>J435</f>
        <v>40</v>
      </c>
      <c r="L435" s="251" t="s">
        <v>665</v>
      </c>
    </row>
    <row r="436" spans="1:12">
      <c r="A436" s="216"/>
      <c r="B436" s="10"/>
      <c r="C436" s="11"/>
      <c r="D436" s="12"/>
      <c r="E436" s="13"/>
      <c r="F436" s="14"/>
      <c r="G436" s="14"/>
      <c r="H436" s="14"/>
      <c r="I436" s="14"/>
      <c r="J436" s="15"/>
      <c r="K436" s="15"/>
      <c r="L436" s="163"/>
    </row>
    <row r="437" spans="1:12" ht="42.75" customHeight="1">
      <c r="A437" s="240">
        <v>11.27</v>
      </c>
      <c r="B437" s="341" t="s">
        <v>934</v>
      </c>
      <c r="C437" s="342"/>
      <c r="D437" s="171" t="s">
        <v>771</v>
      </c>
      <c r="E437" s="252"/>
      <c r="F437" s="172"/>
      <c r="G437" s="172"/>
      <c r="H437" s="172"/>
      <c r="I437" s="172"/>
      <c r="J437" s="194">
        <v>10</v>
      </c>
      <c r="K437" s="247">
        <f>J437</f>
        <v>10</v>
      </c>
      <c r="L437" s="251" t="s">
        <v>665</v>
      </c>
    </row>
    <row r="438" spans="1:12">
      <c r="A438" s="216"/>
      <c r="B438" s="10"/>
      <c r="C438" s="11"/>
      <c r="D438" s="12"/>
      <c r="E438" s="13"/>
      <c r="F438" s="14"/>
      <c r="G438" s="14"/>
      <c r="H438" s="14"/>
      <c r="I438" s="14"/>
      <c r="J438" s="15"/>
      <c r="K438" s="15"/>
      <c r="L438" s="163"/>
    </row>
    <row r="439" spans="1:12" ht="32.25" customHeight="1">
      <c r="A439" s="240">
        <v>11.28</v>
      </c>
      <c r="B439" s="341" t="s">
        <v>801</v>
      </c>
      <c r="C439" s="342"/>
      <c r="D439" s="171" t="s">
        <v>771</v>
      </c>
      <c r="E439" s="252"/>
      <c r="F439" s="172"/>
      <c r="G439" s="172"/>
      <c r="H439" s="172"/>
      <c r="I439" s="172"/>
      <c r="J439" s="194">
        <v>10</v>
      </c>
      <c r="K439" s="247">
        <f>J439</f>
        <v>10</v>
      </c>
      <c r="L439" s="251" t="s">
        <v>665</v>
      </c>
    </row>
    <row r="440" spans="1:12">
      <c r="A440" s="216"/>
      <c r="B440" s="10"/>
      <c r="C440" s="11"/>
      <c r="D440" s="12"/>
      <c r="E440" s="13"/>
      <c r="F440" s="14"/>
      <c r="G440" s="14"/>
      <c r="H440" s="14"/>
      <c r="I440" s="14"/>
      <c r="J440" s="15"/>
      <c r="K440" s="15"/>
      <c r="L440" s="163"/>
    </row>
    <row r="441" spans="1:12" ht="71.25" customHeight="1">
      <c r="A441" s="240">
        <v>11.29</v>
      </c>
      <c r="B441" s="341" t="s">
        <v>802</v>
      </c>
      <c r="C441" s="342"/>
      <c r="D441" s="171" t="s">
        <v>771</v>
      </c>
      <c r="E441" s="252"/>
      <c r="F441" s="172"/>
      <c r="G441" s="172"/>
      <c r="H441" s="172"/>
      <c r="I441" s="172"/>
      <c r="J441" s="194">
        <v>39</v>
      </c>
      <c r="K441" s="247">
        <f>J441</f>
        <v>39</v>
      </c>
      <c r="L441" s="251" t="s">
        <v>713</v>
      </c>
    </row>
    <row r="442" spans="1:12">
      <c r="A442" s="216"/>
      <c r="B442" s="10"/>
      <c r="C442" s="11"/>
      <c r="D442" s="12"/>
      <c r="E442" s="13"/>
      <c r="F442" s="14"/>
      <c r="G442" s="14"/>
      <c r="H442" s="14"/>
      <c r="I442" s="14"/>
      <c r="J442" s="15"/>
      <c r="K442" s="15"/>
      <c r="L442" s="163"/>
    </row>
    <row r="443" spans="1:12" ht="71.25" customHeight="1">
      <c r="A443" s="240">
        <v>11.3</v>
      </c>
      <c r="B443" s="341" t="s">
        <v>803</v>
      </c>
      <c r="C443" s="342"/>
      <c r="D443" s="171" t="s">
        <v>771</v>
      </c>
      <c r="E443" s="252"/>
      <c r="F443" s="172"/>
      <c r="G443" s="172"/>
      <c r="H443" s="172"/>
      <c r="I443" s="172"/>
      <c r="J443" s="194">
        <v>115</v>
      </c>
      <c r="K443" s="247">
        <f>J443</f>
        <v>115</v>
      </c>
      <c r="L443" s="251" t="s">
        <v>713</v>
      </c>
    </row>
    <row r="444" spans="1:12">
      <c r="A444" s="216"/>
      <c r="B444" s="10"/>
      <c r="C444" s="11"/>
      <c r="D444" s="12"/>
      <c r="E444" s="13"/>
      <c r="F444" s="14"/>
      <c r="G444" s="14"/>
      <c r="H444" s="14"/>
      <c r="I444" s="14"/>
      <c r="J444" s="15"/>
      <c r="K444" s="15"/>
      <c r="L444" s="163"/>
    </row>
    <row r="445" spans="1:12" ht="49.5" customHeight="1">
      <c r="A445" s="240">
        <v>11.31</v>
      </c>
      <c r="B445" s="341" t="s">
        <v>804</v>
      </c>
      <c r="C445" s="342"/>
      <c r="D445" s="171" t="s">
        <v>771</v>
      </c>
      <c r="E445" s="252"/>
      <c r="F445" s="172"/>
      <c r="G445" s="172"/>
      <c r="H445" s="172"/>
      <c r="I445" s="172"/>
      <c r="J445" s="194">
        <v>10</v>
      </c>
      <c r="K445" s="247">
        <f>J445</f>
        <v>10</v>
      </c>
      <c r="L445" s="251" t="s">
        <v>713</v>
      </c>
    </row>
    <row r="446" spans="1:12">
      <c r="A446" s="216"/>
      <c r="B446" s="10"/>
      <c r="C446" s="11"/>
      <c r="D446" s="12"/>
      <c r="E446" s="13"/>
      <c r="F446" s="14"/>
      <c r="G446" s="14"/>
      <c r="H446" s="14"/>
      <c r="I446" s="14"/>
      <c r="J446" s="15"/>
      <c r="K446" s="15"/>
      <c r="L446" s="163"/>
    </row>
    <row r="447" spans="1:12" ht="102.75" customHeight="1">
      <c r="A447" s="240">
        <v>11.32</v>
      </c>
      <c r="B447" s="341" t="s">
        <v>317</v>
      </c>
      <c r="C447" s="342"/>
      <c r="D447" s="171" t="s">
        <v>771</v>
      </c>
      <c r="E447" s="252"/>
      <c r="F447" s="172"/>
      <c r="G447" s="172"/>
      <c r="H447" s="172"/>
      <c r="I447" s="172"/>
      <c r="J447" s="194">
        <v>4</v>
      </c>
      <c r="K447" s="247">
        <f>J447</f>
        <v>4</v>
      </c>
      <c r="L447" s="251" t="s">
        <v>713</v>
      </c>
    </row>
    <row r="448" spans="1:12">
      <c r="A448" s="216"/>
      <c r="B448" s="10"/>
      <c r="C448" s="11"/>
      <c r="D448" s="12"/>
      <c r="E448" s="13"/>
      <c r="F448" s="14"/>
      <c r="G448" s="14"/>
      <c r="H448" s="14"/>
      <c r="I448" s="14"/>
      <c r="J448" s="15"/>
      <c r="K448" s="15"/>
      <c r="L448" s="163"/>
    </row>
    <row r="449" spans="1:12" ht="71.25" customHeight="1">
      <c r="A449" s="240">
        <v>11.33</v>
      </c>
      <c r="B449" s="341" t="s">
        <v>320</v>
      </c>
      <c r="C449" s="342"/>
      <c r="D449" s="171" t="s">
        <v>771</v>
      </c>
      <c r="E449" s="252"/>
      <c r="F449" s="172"/>
      <c r="G449" s="172"/>
      <c r="H449" s="172"/>
      <c r="I449" s="172"/>
      <c r="J449" s="194">
        <v>23</v>
      </c>
      <c r="K449" s="247">
        <f>J449</f>
        <v>23</v>
      </c>
      <c r="L449" s="251" t="s">
        <v>713</v>
      </c>
    </row>
    <row r="450" spans="1:12">
      <c r="A450" s="216"/>
      <c r="B450" s="10"/>
      <c r="C450" s="11"/>
      <c r="D450" s="12"/>
      <c r="E450" s="13"/>
      <c r="F450" s="14"/>
      <c r="G450" s="14"/>
      <c r="H450" s="14"/>
      <c r="I450" s="14"/>
      <c r="J450" s="15"/>
      <c r="K450" s="15"/>
      <c r="L450" s="163"/>
    </row>
    <row r="451" spans="1:12" ht="71.25" customHeight="1">
      <c r="A451" s="240">
        <v>11.34</v>
      </c>
      <c r="B451" s="341" t="s">
        <v>935</v>
      </c>
      <c r="C451" s="342"/>
      <c r="D451" s="171" t="s">
        <v>771</v>
      </c>
      <c r="E451" s="252"/>
      <c r="F451" s="172"/>
      <c r="G451" s="172"/>
      <c r="H451" s="172"/>
      <c r="I451" s="172"/>
      <c r="J451" s="194">
        <v>56</v>
      </c>
      <c r="K451" s="247">
        <f>J451</f>
        <v>56</v>
      </c>
      <c r="L451" s="251" t="s">
        <v>713</v>
      </c>
    </row>
    <row r="452" spans="1:12">
      <c r="A452" s="216"/>
      <c r="B452" s="10"/>
      <c r="C452" s="11"/>
      <c r="D452" s="12"/>
      <c r="E452" s="13"/>
      <c r="F452" s="14"/>
      <c r="G452" s="14"/>
      <c r="H452" s="14"/>
      <c r="I452" s="14"/>
      <c r="J452" s="15"/>
      <c r="K452" s="15"/>
      <c r="L452" s="163"/>
    </row>
    <row r="453" spans="1:12" ht="71.25" customHeight="1">
      <c r="A453" s="240">
        <v>11.35</v>
      </c>
      <c r="B453" s="341" t="s">
        <v>808</v>
      </c>
      <c r="C453" s="342"/>
      <c r="D453" s="171" t="s">
        <v>771</v>
      </c>
      <c r="E453" s="252"/>
      <c r="F453" s="172"/>
      <c r="G453" s="172"/>
      <c r="H453" s="172"/>
      <c r="I453" s="172"/>
      <c r="J453" s="194">
        <v>112</v>
      </c>
      <c r="K453" s="247">
        <f>J453</f>
        <v>112</v>
      </c>
      <c r="L453" s="251" t="s">
        <v>713</v>
      </c>
    </row>
    <row r="454" spans="1:12">
      <c r="A454" s="216"/>
      <c r="B454" s="10"/>
      <c r="C454" s="11"/>
      <c r="D454" s="12"/>
      <c r="E454" s="13"/>
      <c r="F454" s="14"/>
      <c r="G454" s="14"/>
      <c r="H454" s="14"/>
      <c r="I454" s="14"/>
      <c r="J454" s="15"/>
      <c r="K454" s="15"/>
      <c r="L454" s="163"/>
    </row>
    <row r="455" spans="1:12" ht="71.25" customHeight="1">
      <c r="A455" s="240">
        <v>11.36</v>
      </c>
      <c r="B455" s="341" t="s">
        <v>809</v>
      </c>
      <c r="C455" s="342"/>
      <c r="D455" s="171" t="s">
        <v>771</v>
      </c>
      <c r="E455" s="252"/>
      <c r="F455" s="172"/>
      <c r="G455" s="172"/>
      <c r="H455" s="172"/>
      <c r="I455" s="172"/>
      <c r="J455" s="194">
        <v>46</v>
      </c>
      <c r="K455" s="247">
        <f>J455</f>
        <v>46</v>
      </c>
      <c r="L455" s="251" t="s">
        <v>713</v>
      </c>
    </row>
    <row r="456" spans="1:12">
      <c r="A456" s="216"/>
      <c r="B456" s="10"/>
      <c r="C456" s="11"/>
      <c r="D456" s="12"/>
      <c r="E456" s="13"/>
      <c r="F456" s="14"/>
      <c r="G456" s="14"/>
      <c r="H456" s="14"/>
      <c r="I456" s="14"/>
      <c r="J456" s="15"/>
      <c r="K456" s="15"/>
      <c r="L456" s="163"/>
    </row>
    <row r="457" spans="1:12" ht="90.75" customHeight="1">
      <c r="A457" s="240">
        <v>11.37</v>
      </c>
      <c r="B457" s="341" t="s">
        <v>810</v>
      </c>
      <c r="C457" s="342"/>
      <c r="D457" s="171" t="s">
        <v>771</v>
      </c>
      <c r="E457" s="252"/>
      <c r="F457" s="172"/>
      <c r="G457" s="172"/>
      <c r="H457" s="172"/>
      <c r="I457" s="172"/>
      <c r="J457" s="194">
        <v>40</v>
      </c>
      <c r="K457" s="247">
        <f>J457</f>
        <v>40</v>
      </c>
      <c r="L457" s="251" t="s">
        <v>665</v>
      </c>
    </row>
    <row r="458" spans="1:12">
      <c r="A458" s="216"/>
      <c r="B458" s="10"/>
      <c r="C458" s="11"/>
      <c r="D458" s="12"/>
      <c r="E458" s="13"/>
      <c r="F458" s="14"/>
      <c r="G458" s="14"/>
      <c r="H458" s="14"/>
      <c r="I458" s="14"/>
      <c r="J458" s="15"/>
      <c r="K458" s="15"/>
      <c r="L458" s="163"/>
    </row>
    <row r="459" spans="1:12" ht="90.75" customHeight="1">
      <c r="A459" s="240">
        <v>11.38</v>
      </c>
      <c r="B459" s="341" t="s">
        <v>335</v>
      </c>
      <c r="C459" s="342"/>
      <c r="D459" s="171" t="s">
        <v>771</v>
      </c>
      <c r="E459" s="252"/>
      <c r="F459" s="172"/>
      <c r="G459" s="172"/>
      <c r="H459" s="172"/>
      <c r="I459" s="172"/>
      <c r="J459" s="194">
        <v>300</v>
      </c>
      <c r="K459" s="247">
        <f>J459</f>
        <v>300</v>
      </c>
      <c r="L459" s="251" t="s">
        <v>665</v>
      </c>
    </row>
    <row r="460" spans="1:12" ht="15" thickBot="1">
      <c r="A460" s="216"/>
      <c r="B460" s="10"/>
      <c r="C460" s="11"/>
      <c r="D460" s="12"/>
      <c r="E460" s="13"/>
      <c r="F460" s="14"/>
      <c r="G460" s="14"/>
      <c r="H460" s="14"/>
      <c r="I460" s="14"/>
      <c r="J460" s="15"/>
      <c r="K460" s="15"/>
      <c r="L460" s="163"/>
    </row>
    <row r="461" spans="1:12" ht="90.75" hidden="1" customHeight="1">
      <c r="A461" s="248">
        <v>11.39</v>
      </c>
      <c r="B461" s="341" t="s">
        <v>812</v>
      </c>
      <c r="C461" s="342"/>
      <c r="D461" s="171" t="s">
        <v>771</v>
      </c>
      <c r="E461" s="252"/>
      <c r="F461" s="172"/>
      <c r="G461" s="172"/>
      <c r="H461" s="172"/>
      <c r="I461" s="172"/>
      <c r="J461" s="194">
        <v>200</v>
      </c>
      <c r="K461" s="247">
        <f>J461</f>
        <v>200</v>
      </c>
      <c r="L461" s="251" t="s">
        <v>665</v>
      </c>
    </row>
    <row r="462" spans="1:12" ht="15" hidden="1" thickBot="1">
      <c r="A462" s="216"/>
      <c r="B462" s="10"/>
      <c r="C462" s="11"/>
      <c r="D462" s="12"/>
      <c r="E462" s="13"/>
      <c r="F462" s="14"/>
      <c r="G462" s="14"/>
      <c r="H462" s="14"/>
      <c r="I462" s="14"/>
      <c r="J462" s="15"/>
      <c r="K462" s="15"/>
      <c r="L462" s="163"/>
    </row>
    <row r="463" spans="1:12" ht="16.2" thickBot="1">
      <c r="A463" s="179">
        <v>12</v>
      </c>
      <c r="B463" s="343" t="s">
        <v>813</v>
      </c>
      <c r="C463" s="343"/>
      <c r="D463" s="343"/>
      <c r="E463" s="343"/>
      <c r="F463" s="343"/>
      <c r="G463" s="343"/>
      <c r="H463" s="343"/>
      <c r="I463" s="343"/>
      <c r="J463" s="343"/>
      <c r="K463" s="343"/>
      <c r="L463" s="344"/>
    </row>
    <row r="464" spans="1:12">
      <c r="A464" s="216"/>
      <c r="B464" s="10"/>
      <c r="C464" s="11"/>
      <c r="D464" s="12"/>
      <c r="E464" s="13"/>
      <c r="F464" s="14"/>
      <c r="G464" s="14"/>
      <c r="H464" s="14"/>
      <c r="I464" s="14"/>
      <c r="J464" s="15"/>
      <c r="K464" s="15"/>
      <c r="L464" s="163"/>
    </row>
    <row r="465" spans="1:12" ht="63.75" customHeight="1">
      <c r="A465" s="248">
        <v>12.01</v>
      </c>
      <c r="B465" s="341" t="s">
        <v>814</v>
      </c>
      <c r="C465" s="342"/>
      <c r="D465" s="171" t="s">
        <v>771</v>
      </c>
      <c r="E465" s="252"/>
      <c r="F465" s="172"/>
      <c r="G465" s="172"/>
      <c r="H465" s="172"/>
      <c r="I465" s="172"/>
      <c r="J465" s="194">
        <v>1360</v>
      </c>
      <c r="K465" s="247">
        <f>J465</f>
        <v>1360</v>
      </c>
      <c r="L465" s="251" t="s">
        <v>665</v>
      </c>
    </row>
    <row r="466" spans="1:12">
      <c r="A466" s="216"/>
      <c r="B466" s="10"/>
      <c r="C466" s="11"/>
      <c r="D466" s="12"/>
      <c r="E466" s="13"/>
      <c r="F466" s="14"/>
      <c r="G466" s="14"/>
      <c r="H466" s="14"/>
      <c r="I466" s="14"/>
      <c r="J466" s="15"/>
      <c r="K466" s="15"/>
      <c r="L466" s="163"/>
    </row>
    <row r="467" spans="1:12" ht="63.75" customHeight="1">
      <c r="A467" s="248">
        <v>12.02</v>
      </c>
      <c r="B467" s="341" t="s">
        <v>815</v>
      </c>
      <c r="C467" s="342"/>
      <c r="D467" s="171" t="s">
        <v>771</v>
      </c>
      <c r="E467" s="252"/>
      <c r="F467" s="172"/>
      <c r="G467" s="172"/>
      <c r="H467" s="172"/>
      <c r="I467" s="172"/>
      <c r="J467" s="194">
        <v>80</v>
      </c>
      <c r="K467" s="247">
        <f>J467</f>
        <v>80</v>
      </c>
      <c r="L467" s="251" t="s">
        <v>665</v>
      </c>
    </row>
    <row r="468" spans="1:12">
      <c r="A468" s="216"/>
      <c r="B468" s="10"/>
      <c r="C468" s="11"/>
      <c r="D468" s="12"/>
      <c r="E468" s="13"/>
      <c r="F468" s="14"/>
      <c r="G468" s="14"/>
      <c r="H468" s="14"/>
      <c r="I468" s="14"/>
      <c r="J468" s="15"/>
      <c r="K468" s="15"/>
      <c r="L468" s="163"/>
    </row>
    <row r="469" spans="1:12" ht="75.75" customHeight="1">
      <c r="A469" s="248">
        <v>12.03</v>
      </c>
      <c r="B469" s="341" t="s">
        <v>936</v>
      </c>
      <c r="C469" s="342"/>
      <c r="D469" s="171" t="s">
        <v>771</v>
      </c>
      <c r="E469" s="252"/>
      <c r="F469" s="172"/>
      <c r="G469" s="172"/>
      <c r="H469" s="172"/>
      <c r="I469" s="172"/>
      <c r="J469" s="194">
        <v>80</v>
      </c>
      <c r="K469" s="247">
        <f>J469</f>
        <v>80</v>
      </c>
      <c r="L469" s="251" t="s">
        <v>665</v>
      </c>
    </row>
    <row r="470" spans="1:12">
      <c r="A470" s="216"/>
      <c r="B470" s="10"/>
      <c r="C470" s="11"/>
      <c r="D470" s="12"/>
      <c r="E470" s="13"/>
      <c r="F470" s="14"/>
      <c r="G470" s="14"/>
      <c r="H470" s="14"/>
      <c r="I470" s="14"/>
      <c r="J470" s="15"/>
      <c r="K470" s="15"/>
      <c r="L470" s="163"/>
    </row>
    <row r="471" spans="1:12" ht="89.25" customHeight="1">
      <c r="A471" s="248">
        <v>12.04</v>
      </c>
      <c r="B471" s="341" t="s">
        <v>816</v>
      </c>
      <c r="C471" s="342"/>
      <c r="D471" s="171" t="s">
        <v>771</v>
      </c>
      <c r="E471" s="252"/>
      <c r="F471" s="172"/>
      <c r="G471" s="172"/>
      <c r="H471" s="172"/>
      <c r="I471" s="172"/>
      <c r="J471" s="194">
        <v>27</v>
      </c>
      <c r="K471" s="247">
        <f>J471</f>
        <v>27</v>
      </c>
      <c r="L471" s="251" t="s">
        <v>713</v>
      </c>
    </row>
    <row r="472" spans="1:12">
      <c r="A472" s="216"/>
      <c r="B472" s="10"/>
      <c r="C472" s="11"/>
      <c r="D472" s="12"/>
      <c r="E472" s="13"/>
      <c r="F472" s="14"/>
      <c r="G472" s="14"/>
      <c r="H472" s="14"/>
      <c r="I472" s="14"/>
      <c r="J472" s="15"/>
      <c r="K472" s="15"/>
      <c r="L472" s="163"/>
    </row>
    <row r="473" spans="1:12">
      <c r="A473" s="248">
        <v>12.05</v>
      </c>
      <c r="B473" s="341" t="s">
        <v>817</v>
      </c>
      <c r="C473" s="342"/>
      <c r="D473" s="171" t="s">
        <v>771</v>
      </c>
      <c r="E473" s="252"/>
      <c r="F473" s="172"/>
      <c r="G473" s="172"/>
      <c r="H473" s="172"/>
      <c r="I473" s="172"/>
      <c r="J473" s="194">
        <v>1</v>
      </c>
      <c r="K473" s="247">
        <f>J473</f>
        <v>1</v>
      </c>
      <c r="L473" s="251" t="s">
        <v>713</v>
      </c>
    </row>
    <row r="474" spans="1:12" ht="15" thickBot="1">
      <c r="A474" s="248">
        <v>12.06</v>
      </c>
      <c r="B474" s="341" t="s">
        <v>818</v>
      </c>
      <c r="C474" s="342"/>
      <c r="D474" s="171" t="s">
        <v>771</v>
      </c>
      <c r="E474" s="252"/>
      <c r="F474" s="172"/>
      <c r="G474" s="172"/>
      <c r="H474" s="172"/>
      <c r="I474" s="172"/>
      <c r="J474" s="194">
        <v>3</v>
      </c>
      <c r="K474" s="247">
        <f>J474</f>
        <v>3</v>
      </c>
      <c r="L474" s="251" t="s">
        <v>713</v>
      </c>
    </row>
    <row r="475" spans="1:12" ht="16.2" thickBot="1">
      <c r="A475" s="179">
        <v>13</v>
      </c>
      <c r="B475" s="343" t="s">
        <v>819</v>
      </c>
      <c r="C475" s="343"/>
      <c r="D475" s="343"/>
      <c r="E475" s="343"/>
      <c r="F475" s="343"/>
      <c r="G475" s="343"/>
      <c r="H475" s="343"/>
      <c r="I475" s="343"/>
      <c r="J475" s="343"/>
      <c r="K475" s="343"/>
      <c r="L475" s="344"/>
    </row>
    <row r="476" spans="1:12">
      <c r="A476" s="216"/>
      <c r="B476" s="10"/>
      <c r="C476" s="11"/>
      <c r="D476" s="12"/>
      <c r="E476" s="13"/>
      <c r="F476" s="14"/>
      <c r="G476" s="14"/>
      <c r="H476" s="14"/>
      <c r="I476" s="14"/>
      <c r="J476" s="15"/>
      <c r="K476" s="15"/>
      <c r="L476" s="163"/>
    </row>
    <row r="477" spans="1:12" ht="90.75" customHeight="1">
      <c r="A477" s="248">
        <v>13.01</v>
      </c>
      <c r="B477" s="341" t="s">
        <v>359</v>
      </c>
      <c r="C477" s="342"/>
      <c r="D477" s="171" t="s">
        <v>820</v>
      </c>
      <c r="E477" s="252"/>
      <c r="F477" s="172"/>
      <c r="G477" s="172"/>
      <c r="H477" s="172"/>
      <c r="I477" s="172"/>
      <c r="J477" s="194">
        <v>20</v>
      </c>
      <c r="K477" s="247">
        <f>J477</f>
        <v>20</v>
      </c>
      <c r="L477" s="251" t="s">
        <v>665</v>
      </c>
    </row>
    <row r="478" spans="1:12">
      <c r="A478" s="216"/>
      <c r="B478" s="10"/>
      <c r="C478" s="11"/>
      <c r="D478" s="12"/>
      <c r="E478" s="13"/>
      <c r="F478" s="14"/>
      <c r="G478" s="14"/>
      <c r="H478" s="14"/>
      <c r="I478" s="14"/>
      <c r="J478" s="15"/>
      <c r="K478" s="15"/>
      <c r="L478" s="163"/>
    </row>
    <row r="479" spans="1:12" ht="90.75" customHeight="1">
      <c r="A479" s="248">
        <v>13.02</v>
      </c>
      <c r="B479" s="341" t="s">
        <v>821</v>
      </c>
      <c r="C479" s="342"/>
      <c r="D479" s="171" t="s">
        <v>820</v>
      </c>
      <c r="E479" s="252"/>
      <c r="F479" s="172"/>
      <c r="G479" s="172"/>
      <c r="H479" s="172"/>
      <c r="I479" s="172"/>
      <c r="J479" s="194">
        <v>10</v>
      </c>
      <c r="K479" s="247">
        <f>J479</f>
        <v>10</v>
      </c>
      <c r="L479" s="251" t="s">
        <v>713</v>
      </c>
    </row>
    <row r="480" spans="1:12">
      <c r="A480" s="216"/>
      <c r="B480" s="10"/>
      <c r="C480" s="11"/>
      <c r="D480" s="12"/>
      <c r="E480" s="13"/>
      <c r="F480" s="14"/>
      <c r="G480" s="14"/>
      <c r="H480" s="14"/>
      <c r="I480" s="14"/>
      <c r="J480" s="15"/>
      <c r="K480" s="15"/>
      <c r="L480" s="163"/>
    </row>
    <row r="481" spans="1:12" ht="90.75" customHeight="1">
      <c r="A481" s="248">
        <v>13.03</v>
      </c>
      <c r="B481" s="341" t="s">
        <v>822</v>
      </c>
      <c r="C481" s="342"/>
      <c r="D481" s="171" t="s">
        <v>820</v>
      </c>
      <c r="E481" s="252"/>
      <c r="F481" s="172"/>
      <c r="G481" s="172"/>
      <c r="H481" s="172"/>
      <c r="I481" s="172"/>
      <c r="J481" s="194">
        <v>9</v>
      </c>
      <c r="K481" s="247">
        <f>J481</f>
        <v>9</v>
      </c>
      <c r="L481" s="251" t="s">
        <v>713</v>
      </c>
    </row>
    <row r="482" spans="1:12">
      <c r="A482" s="216"/>
      <c r="B482" s="10"/>
      <c r="C482" s="11"/>
      <c r="D482" s="12"/>
      <c r="E482" s="13"/>
      <c r="F482" s="14"/>
      <c r="G482" s="14"/>
      <c r="H482" s="14"/>
      <c r="I482" s="14"/>
      <c r="J482" s="15"/>
      <c r="K482" s="15"/>
      <c r="L482" s="163"/>
    </row>
    <row r="483" spans="1:12" ht="67.5" customHeight="1">
      <c r="A483" s="248">
        <v>13.04</v>
      </c>
      <c r="B483" s="341" t="s">
        <v>823</v>
      </c>
      <c r="C483" s="342"/>
      <c r="D483" s="171" t="s">
        <v>820</v>
      </c>
      <c r="E483" s="252"/>
      <c r="F483" s="172"/>
      <c r="G483" s="172"/>
      <c r="H483" s="172"/>
      <c r="I483" s="172"/>
      <c r="J483" s="194">
        <v>1</v>
      </c>
      <c r="K483" s="247">
        <f>J483</f>
        <v>1</v>
      </c>
      <c r="L483" s="251" t="s">
        <v>713</v>
      </c>
    </row>
    <row r="484" spans="1:12">
      <c r="A484" s="216"/>
      <c r="B484" s="10"/>
      <c r="C484" s="11"/>
      <c r="D484" s="12"/>
      <c r="E484" s="13"/>
      <c r="F484" s="14"/>
      <c r="G484" s="14"/>
      <c r="H484" s="14"/>
      <c r="I484" s="14"/>
      <c r="J484" s="15"/>
      <c r="K484" s="15"/>
      <c r="L484" s="163"/>
    </row>
    <row r="485" spans="1:12" ht="66" customHeight="1">
      <c r="A485" s="248">
        <v>13.05</v>
      </c>
      <c r="B485" s="341" t="s">
        <v>824</v>
      </c>
      <c r="C485" s="342"/>
      <c r="D485" s="171" t="s">
        <v>820</v>
      </c>
      <c r="E485" s="252"/>
      <c r="F485" s="172"/>
      <c r="G485" s="172"/>
      <c r="H485" s="172"/>
      <c r="I485" s="172"/>
      <c r="J485" s="194">
        <v>21</v>
      </c>
      <c r="K485" s="247">
        <f>J485</f>
        <v>21</v>
      </c>
      <c r="L485" s="251" t="s">
        <v>713</v>
      </c>
    </row>
    <row r="486" spans="1:12">
      <c r="A486" s="216"/>
      <c r="B486" s="10"/>
      <c r="C486" s="11"/>
      <c r="D486" s="12"/>
      <c r="E486" s="13"/>
      <c r="F486" s="14"/>
      <c r="G486" s="14"/>
      <c r="H486" s="14"/>
      <c r="I486" s="14"/>
      <c r="J486" s="15"/>
      <c r="K486" s="15"/>
      <c r="L486" s="163"/>
    </row>
    <row r="487" spans="1:12" ht="67.5" customHeight="1">
      <c r="A487" s="248">
        <v>13.06</v>
      </c>
      <c r="B487" s="341" t="s">
        <v>374</v>
      </c>
      <c r="C487" s="342"/>
      <c r="D487" s="171" t="s">
        <v>820</v>
      </c>
      <c r="E487" s="252"/>
      <c r="F487" s="172"/>
      <c r="G487" s="172"/>
      <c r="H487" s="172"/>
      <c r="I487" s="172"/>
      <c r="J487" s="194">
        <v>1</v>
      </c>
      <c r="K487" s="247">
        <f>J487</f>
        <v>1</v>
      </c>
      <c r="L487" s="251" t="s">
        <v>713</v>
      </c>
    </row>
    <row r="488" spans="1:12">
      <c r="A488" s="216"/>
      <c r="B488" s="10"/>
      <c r="C488" s="11"/>
      <c r="D488" s="12"/>
      <c r="E488" s="13"/>
      <c r="F488" s="14"/>
      <c r="G488" s="14"/>
      <c r="H488" s="14"/>
      <c r="I488" s="14"/>
      <c r="J488" s="15"/>
      <c r="K488" s="15"/>
      <c r="L488" s="163"/>
    </row>
    <row r="489" spans="1:12" ht="58.5" customHeight="1">
      <c r="A489" s="248">
        <v>13.07</v>
      </c>
      <c r="B489" s="341" t="s">
        <v>825</v>
      </c>
      <c r="C489" s="342"/>
      <c r="D489" s="171" t="s">
        <v>820</v>
      </c>
      <c r="E489" s="252"/>
      <c r="F489" s="172"/>
      <c r="G489" s="172"/>
      <c r="H489" s="172"/>
      <c r="I489" s="172"/>
      <c r="J489" s="194">
        <v>40</v>
      </c>
      <c r="K489" s="247">
        <f>J489</f>
        <v>40</v>
      </c>
      <c r="L489" s="251" t="s">
        <v>665</v>
      </c>
    </row>
    <row r="490" spans="1:12">
      <c r="A490" s="216"/>
      <c r="B490" s="10"/>
      <c r="C490" s="11"/>
      <c r="D490" s="12"/>
      <c r="E490" s="13"/>
      <c r="F490" s="14"/>
      <c r="G490" s="14"/>
      <c r="H490" s="14"/>
      <c r="I490" s="14"/>
      <c r="J490" s="15"/>
      <c r="K490" s="15"/>
      <c r="L490" s="163"/>
    </row>
    <row r="491" spans="1:12" ht="90.75" customHeight="1">
      <c r="A491" s="248">
        <v>13.08</v>
      </c>
      <c r="B491" s="341" t="s">
        <v>826</v>
      </c>
      <c r="C491" s="342"/>
      <c r="D491" s="171" t="s">
        <v>820</v>
      </c>
      <c r="E491" s="252"/>
      <c r="F491" s="172"/>
      <c r="G491" s="172"/>
      <c r="H491" s="172"/>
      <c r="I491" s="172"/>
      <c r="J491" s="194">
        <v>20</v>
      </c>
      <c r="K491" s="247">
        <f>J491</f>
        <v>20</v>
      </c>
      <c r="L491" s="251" t="s">
        <v>665</v>
      </c>
    </row>
    <row r="492" spans="1:12">
      <c r="A492" s="216"/>
      <c r="B492" s="10"/>
      <c r="C492" s="11"/>
      <c r="D492" s="12"/>
      <c r="E492" s="13"/>
      <c r="F492" s="14"/>
      <c r="G492" s="14"/>
      <c r="H492" s="14"/>
      <c r="I492" s="14"/>
      <c r="J492" s="15"/>
      <c r="K492" s="15"/>
      <c r="L492" s="163"/>
    </row>
    <row r="493" spans="1:12" ht="90.75" customHeight="1">
      <c r="A493" s="248">
        <v>13.09</v>
      </c>
      <c r="B493" s="341" t="s">
        <v>383</v>
      </c>
      <c r="C493" s="342"/>
      <c r="D493" s="171" t="s">
        <v>820</v>
      </c>
      <c r="E493" s="252"/>
      <c r="F493" s="172"/>
      <c r="G493" s="172"/>
      <c r="H493" s="172"/>
      <c r="I493" s="172"/>
      <c r="J493" s="194">
        <v>40</v>
      </c>
      <c r="K493" s="247">
        <f>J493</f>
        <v>40</v>
      </c>
      <c r="L493" s="251" t="s">
        <v>665</v>
      </c>
    </row>
    <row r="494" spans="1:12">
      <c r="A494" s="216"/>
      <c r="B494" s="10"/>
      <c r="C494" s="11"/>
      <c r="D494" s="12"/>
      <c r="E494" s="13"/>
      <c r="F494" s="14"/>
      <c r="G494" s="14"/>
      <c r="H494" s="14"/>
      <c r="I494" s="14"/>
      <c r="J494" s="15"/>
      <c r="K494" s="15"/>
      <c r="L494" s="163"/>
    </row>
    <row r="495" spans="1:12" ht="69.75" customHeight="1">
      <c r="A495" s="248">
        <v>13.1</v>
      </c>
      <c r="B495" s="341" t="s">
        <v>827</v>
      </c>
      <c r="C495" s="342"/>
      <c r="D495" s="171" t="s">
        <v>820</v>
      </c>
      <c r="E495" s="252"/>
      <c r="F495" s="172"/>
      <c r="G495" s="172"/>
      <c r="H495" s="172"/>
      <c r="I495" s="172"/>
      <c r="J495" s="194">
        <v>1</v>
      </c>
      <c r="K495" s="247">
        <f>J495</f>
        <v>1</v>
      </c>
      <c r="L495" s="251" t="s">
        <v>713</v>
      </c>
    </row>
    <row r="496" spans="1:12">
      <c r="A496" s="216"/>
      <c r="B496" s="10"/>
      <c r="C496" s="11"/>
      <c r="D496" s="12"/>
      <c r="E496" s="13"/>
      <c r="F496" s="14"/>
      <c r="G496" s="14"/>
      <c r="H496" s="14"/>
      <c r="I496" s="14"/>
      <c r="J496" s="15"/>
      <c r="K496" s="15"/>
      <c r="L496" s="163"/>
    </row>
    <row r="497" spans="1:12" ht="90.75" customHeight="1">
      <c r="A497" s="248">
        <v>13.11</v>
      </c>
      <c r="B497" s="341" t="s">
        <v>828</v>
      </c>
      <c r="C497" s="342"/>
      <c r="D497" s="171" t="s">
        <v>820</v>
      </c>
      <c r="E497" s="252"/>
      <c r="F497" s="172"/>
      <c r="G497" s="172"/>
      <c r="H497" s="172"/>
      <c r="I497" s="172"/>
      <c r="J497" s="194">
        <v>7</v>
      </c>
      <c r="K497" s="247">
        <f>J497</f>
        <v>7</v>
      </c>
      <c r="L497" s="251" t="s">
        <v>713</v>
      </c>
    </row>
    <row r="498" spans="1:12">
      <c r="A498" s="216"/>
      <c r="B498" s="10"/>
      <c r="C498" s="11"/>
      <c r="D498" s="12"/>
      <c r="E498" s="13"/>
      <c r="F498" s="14"/>
      <c r="G498" s="14"/>
      <c r="H498" s="14"/>
      <c r="I498" s="14"/>
      <c r="J498" s="15"/>
      <c r="K498" s="15"/>
      <c r="L498" s="163"/>
    </row>
    <row r="499" spans="1:12" ht="67.5" customHeight="1">
      <c r="A499" s="248">
        <v>13.12</v>
      </c>
      <c r="B499" s="341" t="s">
        <v>392</v>
      </c>
      <c r="C499" s="342"/>
      <c r="D499" s="171" t="s">
        <v>820</v>
      </c>
      <c r="E499" s="252"/>
      <c r="F499" s="172"/>
      <c r="G499" s="172"/>
      <c r="H499" s="172"/>
      <c r="I499" s="172"/>
      <c r="J499" s="194">
        <v>2</v>
      </c>
      <c r="K499" s="247">
        <f>J499</f>
        <v>2</v>
      </c>
      <c r="L499" s="251" t="s">
        <v>713</v>
      </c>
    </row>
    <row r="500" spans="1:12">
      <c r="A500" s="216"/>
      <c r="B500" s="10"/>
      <c r="C500" s="11"/>
      <c r="D500" s="12"/>
      <c r="E500" s="13"/>
      <c r="F500" s="14"/>
      <c r="G500" s="14"/>
      <c r="H500" s="14"/>
      <c r="I500" s="14"/>
      <c r="J500" s="15"/>
      <c r="K500" s="15"/>
      <c r="L500" s="163"/>
    </row>
    <row r="501" spans="1:12" ht="64.5" customHeight="1">
      <c r="A501" s="248">
        <v>13.13</v>
      </c>
      <c r="B501" s="341" t="s">
        <v>829</v>
      </c>
      <c r="C501" s="342"/>
      <c r="D501" s="171" t="s">
        <v>820</v>
      </c>
      <c r="E501" s="252"/>
      <c r="F501" s="172"/>
      <c r="G501" s="172"/>
      <c r="H501" s="172"/>
      <c r="I501" s="172"/>
      <c r="J501" s="194">
        <v>1</v>
      </c>
      <c r="K501" s="247">
        <f>J501</f>
        <v>1</v>
      </c>
      <c r="L501" s="251" t="s">
        <v>713</v>
      </c>
    </row>
    <row r="502" spans="1:12">
      <c r="A502" s="216"/>
      <c r="B502" s="10"/>
      <c r="C502" s="11"/>
      <c r="D502" s="12"/>
      <c r="E502" s="13"/>
      <c r="F502" s="14"/>
      <c r="G502" s="14"/>
      <c r="H502" s="14"/>
      <c r="I502" s="14"/>
      <c r="J502" s="15"/>
      <c r="K502" s="15"/>
      <c r="L502" s="163"/>
    </row>
    <row r="503" spans="1:12" ht="57.75" customHeight="1">
      <c r="A503" s="248">
        <v>13.14</v>
      </c>
      <c r="B503" s="341" t="s">
        <v>830</v>
      </c>
      <c r="C503" s="342"/>
      <c r="D503" s="171" t="s">
        <v>820</v>
      </c>
      <c r="E503" s="252"/>
      <c r="F503" s="172"/>
      <c r="G503" s="172"/>
      <c r="H503" s="172"/>
      <c r="I503" s="172"/>
      <c r="J503" s="194">
        <v>9</v>
      </c>
      <c r="K503" s="247">
        <f>J503</f>
        <v>9</v>
      </c>
      <c r="L503" s="251" t="s">
        <v>713</v>
      </c>
    </row>
    <row r="504" spans="1:12">
      <c r="A504" s="216"/>
      <c r="B504" s="10"/>
      <c r="C504" s="11"/>
      <c r="D504" s="12"/>
      <c r="E504" s="13"/>
      <c r="F504" s="14"/>
      <c r="G504" s="14"/>
      <c r="H504" s="14"/>
      <c r="I504" s="14"/>
      <c r="J504" s="15"/>
      <c r="K504" s="15"/>
      <c r="L504" s="163"/>
    </row>
    <row r="505" spans="1:12" ht="90.75" customHeight="1">
      <c r="A505" s="248">
        <v>13.15</v>
      </c>
      <c r="B505" s="341" t="s">
        <v>831</v>
      </c>
      <c r="C505" s="342"/>
      <c r="D505" s="171" t="s">
        <v>820</v>
      </c>
      <c r="E505" s="252"/>
      <c r="F505" s="172"/>
      <c r="G505" s="172"/>
      <c r="H505" s="172"/>
      <c r="I505" s="172"/>
      <c r="J505" s="194">
        <v>4</v>
      </c>
      <c r="K505" s="247">
        <f>J505</f>
        <v>4</v>
      </c>
      <c r="L505" s="251" t="s">
        <v>713</v>
      </c>
    </row>
    <row r="506" spans="1:12">
      <c r="A506" s="216"/>
      <c r="B506" s="10"/>
      <c r="C506" s="11"/>
      <c r="D506" s="12"/>
      <c r="E506" s="13"/>
      <c r="F506" s="14"/>
      <c r="G506" s="14"/>
      <c r="H506" s="14"/>
      <c r="I506" s="14"/>
      <c r="J506" s="15"/>
      <c r="K506" s="15"/>
      <c r="L506" s="163"/>
    </row>
    <row r="507" spans="1:12" ht="90.75" customHeight="1">
      <c r="A507" s="248">
        <v>13.16</v>
      </c>
      <c r="B507" s="341" t="s">
        <v>832</v>
      </c>
      <c r="C507" s="342"/>
      <c r="D507" s="171" t="s">
        <v>820</v>
      </c>
      <c r="E507" s="252"/>
      <c r="F507" s="172"/>
      <c r="G507" s="172"/>
      <c r="H507" s="172"/>
      <c r="I507" s="172"/>
      <c r="J507" s="194">
        <v>4</v>
      </c>
      <c r="K507" s="247">
        <f>J507</f>
        <v>4</v>
      </c>
      <c r="L507" s="251" t="s">
        <v>713</v>
      </c>
    </row>
    <row r="508" spans="1:12">
      <c r="A508" s="216"/>
      <c r="B508" s="10"/>
      <c r="C508" s="11"/>
      <c r="D508" s="12"/>
      <c r="E508" s="13"/>
      <c r="F508" s="14"/>
      <c r="G508" s="14"/>
      <c r="H508" s="14"/>
      <c r="I508" s="14"/>
      <c r="J508" s="15"/>
      <c r="K508" s="15"/>
      <c r="L508" s="163"/>
    </row>
    <row r="509" spans="1:12" ht="90.75" customHeight="1">
      <c r="A509" s="248">
        <v>13.17</v>
      </c>
      <c r="B509" s="341" t="s">
        <v>833</v>
      </c>
      <c r="C509" s="342"/>
      <c r="D509" s="171" t="s">
        <v>820</v>
      </c>
      <c r="E509" s="252"/>
      <c r="F509" s="172"/>
      <c r="G509" s="172"/>
      <c r="H509" s="172"/>
      <c r="I509" s="172"/>
      <c r="J509" s="194">
        <v>8</v>
      </c>
      <c r="K509" s="247">
        <f>J509</f>
        <v>8</v>
      </c>
      <c r="L509" s="251" t="s">
        <v>713</v>
      </c>
    </row>
    <row r="510" spans="1:12">
      <c r="A510" s="216"/>
      <c r="B510" s="10"/>
      <c r="C510" s="11"/>
      <c r="D510" s="12"/>
      <c r="E510" s="13"/>
      <c r="F510" s="14"/>
      <c r="G510" s="14"/>
      <c r="H510" s="14"/>
      <c r="I510" s="14"/>
      <c r="J510" s="15"/>
      <c r="K510" s="15"/>
      <c r="L510" s="163"/>
    </row>
    <row r="511" spans="1:12" ht="90.75" customHeight="1">
      <c r="A511" s="248">
        <v>13.18</v>
      </c>
      <c r="B511" s="341" t="s">
        <v>834</v>
      </c>
      <c r="C511" s="342"/>
      <c r="D511" s="171" t="s">
        <v>820</v>
      </c>
      <c r="E511" s="252"/>
      <c r="F511" s="172"/>
      <c r="G511" s="172"/>
      <c r="H511" s="172"/>
      <c r="I511" s="172"/>
      <c r="J511" s="194">
        <v>4</v>
      </c>
      <c r="K511" s="247">
        <f>J511</f>
        <v>4</v>
      </c>
      <c r="L511" s="251" t="s">
        <v>713</v>
      </c>
    </row>
    <row r="512" spans="1:12">
      <c r="A512" s="216"/>
      <c r="B512" s="10"/>
      <c r="C512" s="11"/>
      <c r="D512" s="12"/>
      <c r="E512" s="13"/>
      <c r="F512" s="14"/>
      <c r="G512" s="14"/>
      <c r="H512" s="14"/>
      <c r="I512" s="14"/>
      <c r="J512" s="15"/>
      <c r="K512" s="15"/>
      <c r="L512" s="163"/>
    </row>
    <row r="513" spans="1:12" ht="65.25" customHeight="1">
      <c r="A513" s="248">
        <v>13.19</v>
      </c>
      <c r="B513" s="341" t="s">
        <v>835</v>
      </c>
      <c r="C513" s="342"/>
      <c r="D513" s="171" t="s">
        <v>820</v>
      </c>
      <c r="E513" s="252"/>
      <c r="F513" s="172"/>
      <c r="G513" s="172"/>
      <c r="H513" s="172"/>
      <c r="I513" s="172"/>
      <c r="J513" s="194">
        <v>6</v>
      </c>
      <c r="K513" s="247">
        <f>J513</f>
        <v>6</v>
      </c>
      <c r="L513" s="251" t="s">
        <v>713</v>
      </c>
    </row>
    <row r="514" spans="1:12">
      <c r="A514" s="216"/>
      <c r="B514" s="10"/>
      <c r="C514" s="11"/>
      <c r="D514" s="12"/>
      <c r="E514" s="13"/>
      <c r="F514" s="14"/>
      <c r="G514" s="14"/>
      <c r="H514" s="14"/>
      <c r="I514" s="14"/>
      <c r="J514" s="15"/>
      <c r="K514" s="15"/>
      <c r="L514" s="163"/>
    </row>
    <row r="515" spans="1:12" ht="67.5" customHeight="1">
      <c r="A515" s="248">
        <v>13.2</v>
      </c>
      <c r="B515" s="341" t="s">
        <v>836</v>
      </c>
      <c r="C515" s="342"/>
      <c r="D515" s="171" t="s">
        <v>820</v>
      </c>
      <c r="E515" s="252"/>
      <c r="F515" s="172"/>
      <c r="G515" s="172"/>
      <c r="H515" s="172"/>
      <c r="I515" s="172"/>
      <c r="J515" s="194">
        <v>4</v>
      </c>
      <c r="K515" s="247">
        <f>J515</f>
        <v>4</v>
      </c>
      <c r="L515" s="251" t="s">
        <v>713</v>
      </c>
    </row>
    <row r="516" spans="1:12">
      <c r="A516" s="216"/>
      <c r="B516" s="10"/>
      <c r="C516" s="11"/>
      <c r="D516" s="12"/>
      <c r="E516" s="13"/>
      <c r="F516" s="14"/>
      <c r="G516" s="14"/>
      <c r="H516" s="14"/>
      <c r="I516" s="14"/>
      <c r="J516" s="15"/>
      <c r="K516" s="15"/>
      <c r="L516" s="163"/>
    </row>
    <row r="517" spans="1:12" ht="56.25" customHeight="1">
      <c r="A517" s="248">
        <v>13.21</v>
      </c>
      <c r="B517" s="341" t="s">
        <v>837</v>
      </c>
      <c r="C517" s="342"/>
      <c r="D517" s="171" t="s">
        <v>820</v>
      </c>
      <c r="E517" s="252"/>
      <c r="F517" s="172"/>
      <c r="G517" s="172"/>
      <c r="H517" s="172"/>
      <c r="I517" s="172"/>
      <c r="J517" s="194">
        <v>4</v>
      </c>
      <c r="K517" s="247">
        <f>J517</f>
        <v>4</v>
      </c>
      <c r="L517" s="251" t="s">
        <v>713</v>
      </c>
    </row>
    <row r="518" spans="1:12">
      <c r="A518" s="216"/>
      <c r="B518" s="10"/>
      <c r="C518" s="11"/>
      <c r="D518" s="12"/>
      <c r="E518" s="13"/>
      <c r="F518" s="14"/>
      <c r="G518" s="14"/>
      <c r="H518" s="14"/>
      <c r="I518" s="14"/>
      <c r="J518" s="15"/>
      <c r="K518" s="15"/>
      <c r="L518" s="163"/>
    </row>
    <row r="519" spans="1:12" ht="60" customHeight="1">
      <c r="A519" s="248">
        <v>13.22</v>
      </c>
      <c r="B519" s="341" t="s">
        <v>838</v>
      </c>
      <c r="C519" s="342"/>
      <c r="D519" s="171" t="s">
        <v>820</v>
      </c>
      <c r="E519" s="252"/>
      <c r="F519" s="172"/>
      <c r="G519" s="172"/>
      <c r="H519" s="172"/>
      <c r="I519" s="172"/>
      <c r="J519" s="177">
        <v>1.2</v>
      </c>
      <c r="K519" s="247">
        <f>J519</f>
        <v>1.2</v>
      </c>
      <c r="L519" s="251" t="s">
        <v>500</v>
      </c>
    </row>
    <row r="520" spans="1:12">
      <c r="A520" s="216"/>
      <c r="B520" s="10"/>
      <c r="C520" s="11"/>
      <c r="D520" s="12"/>
      <c r="E520" s="13"/>
      <c r="F520" s="14"/>
      <c r="G520" s="14"/>
      <c r="H520" s="14"/>
      <c r="I520" s="14"/>
      <c r="J520" s="15"/>
      <c r="K520" s="15"/>
      <c r="L520" s="163"/>
    </row>
    <row r="521" spans="1:12" ht="90.75" customHeight="1">
      <c r="A521" s="248">
        <v>13.23</v>
      </c>
      <c r="B521" s="341" t="s">
        <v>839</v>
      </c>
      <c r="C521" s="342"/>
      <c r="D521" s="171" t="s">
        <v>820</v>
      </c>
      <c r="E521" s="252"/>
      <c r="F521" s="172"/>
      <c r="G521" s="172"/>
      <c r="H521" s="172"/>
      <c r="I521" s="172"/>
      <c r="J521" s="194">
        <v>4</v>
      </c>
      <c r="K521" s="247">
        <f>J521</f>
        <v>4</v>
      </c>
      <c r="L521" s="251" t="s">
        <v>713</v>
      </c>
    </row>
    <row r="522" spans="1:12">
      <c r="A522" s="216"/>
      <c r="B522" s="10"/>
      <c r="C522" s="11"/>
      <c r="D522" s="12"/>
      <c r="E522" s="13"/>
      <c r="F522" s="14"/>
      <c r="G522" s="14"/>
      <c r="H522" s="14"/>
      <c r="I522" s="14"/>
      <c r="J522" s="15"/>
      <c r="K522" s="15"/>
      <c r="L522" s="163"/>
    </row>
    <row r="523" spans="1:12" ht="63.75" customHeight="1">
      <c r="A523" s="248">
        <v>13.24</v>
      </c>
      <c r="B523" s="341" t="s">
        <v>840</v>
      </c>
      <c r="C523" s="342"/>
      <c r="D523" s="171" t="s">
        <v>820</v>
      </c>
      <c r="E523" s="252"/>
      <c r="F523" s="172"/>
      <c r="G523" s="172"/>
      <c r="H523" s="172"/>
      <c r="I523" s="172"/>
      <c r="J523" s="194">
        <v>7</v>
      </c>
      <c r="K523" s="247">
        <f>J523</f>
        <v>7</v>
      </c>
      <c r="L523" s="251" t="s">
        <v>665</v>
      </c>
    </row>
    <row r="524" spans="1:12">
      <c r="A524" s="216"/>
      <c r="B524" s="10"/>
      <c r="C524" s="11"/>
      <c r="D524" s="12"/>
      <c r="E524" s="13"/>
      <c r="F524" s="14"/>
      <c r="G524" s="14"/>
      <c r="H524" s="14"/>
      <c r="I524" s="14"/>
      <c r="J524" s="15"/>
      <c r="K524" s="15"/>
      <c r="L524" s="163"/>
    </row>
    <row r="525" spans="1:12" ht="63" customHeight="1">
      <c r="A525" s="248">
        <v>13.25</v>
      </c>
      <c r="B525" s="341" t="s">
        <v>841</v>
      </c>
      <c r="C525" s="342"/>
      <c r="D525" s="171" t="s">
        <v>820</v>
      </c>
      <c r="E525" s="252"/>
      <c r="F525" s="172"/>
      <c r="G525" s="172"/>
      <c r="H525" s="172"/>
      <c r="I525" s="172"/>
      <c r="J525" s="194">
        <v>2</v>
      </c>
      <c r="K525" s="247">
        <f>J525</f>
        <v>2</v>
      </c>
      <c r="L525" s="251" t="s">
        <v>713</v>
      </c>
    </row>
    <row r="526" spans="1:12">
      <c r="A526" s="216"/>
      <c r="B526" s="10"/>
      <c r="C526" s="11"/>
      <c r="D526" s="12"/>
      <c r="E526" s="13"/>
      <c r="F526" s="14"/>
      <c r="G526" s="14"/>
      <c r="H526" s="14"/>
      <c r="I526" s="14"/>
      <c r="J526" s="15"/>
      <c r="K526" s="15"/>
      <c r="L526" s="163"/>
    </row>
    <row r="527" spans="1:12" ht="52.5" customHeight="1">
      <c r="A527" s="248">
        <v>13.26</v>
      </c>
      <c r="B527" s="341" t="s">
        <v>842</v>
      </c>
      <c r="C527" s="342"/>
      <c r="D527" s="171" t="s">
        <v>820</v>
      </c>
      <c r="E527" s="252"/>
      <c r="F527" s="172"/>
      <c r="G527" s="172"/>
      <c r="H527" s="172"/>
      <c r="I527" s="172"/>
      <c r="J527" s="194">
        <v>9</v>
      </c>
      <c r="K527" s="247">
        <f>J527</f>
        <v>9</v>
      </c>
      <c r="L527" s="251" t="s">
        <v>713</v>
      </c>
    </row>
    <row r="528" spans="1:12">
      <c r="A528" s="216"/>
      <c r="B528" s="10"/>
      <c r="C528" s="11"/>
      <c r="D528" s="12"/>
      <c r="E528" s="13"/>
      <c r="F528" s="14"/>
      <c r="G528" s="14"/>
      <c r="H528" s="14"/>
      <c r="I528" s="14"/>
      <c r="J528" s="15"/>
      <c r="K528" s="15"/>
      <c r="L528" s="163"/>
    </row>
    <row r="529" spans="1:12" ht="71.25" customHeight="1">
      <c r="A529" s="248">
        <v>13.27</v>
      </c>
      <c r="B529" s="341" t="s">
        <v>843</v>
      </c>
      <c r="C529" s="342"/>
      <c r="D529" s="171" t="s">
        <v>820</v>
      </c>
      <c r="E529" s="252"/>
      <c r="F529" s="172"/>
      <c r="G529" s="172"/>
      <c r="H529" s="172"/>
      <c r="I529" s="172"/>
      <c r="J529" s="194">
        <v>8</v>
      </c>
      <c r="K529" s="247">
        <f>J529</f>
        <v>8</v>
      </c>
      <c r="L529" s="251" t="s">
        <v>713</v>
      </c>
    </row>
    <row r="530" spans="1:12">
      <c r="A530" s="216"/>
      <c r="B530" s="10"/>
      <c r="C530" s="11"/>
      <c r="D530" s="12"/>
      <c r="E530" s="13"/>
      <c r="F530" s="14"/>
      <c r="G530" s="14"/>
      <c r="H530" s="14"/>
      <c r="I530" s="14"/>
      <c r="J530" s="15"/>
      <c r="K530" s="15"/>
      <c r="L530" s="163"/>
    </row>
    <row r="531" spans="1:12" ht="63.75" customHeight="1">
      <c r="A531" s="248">
        <v>13.28</v>
      </c>
      <c r="B531" s="341" t="s">
        <v>844</v>
      </c>
      <c r="C531" s="342"/>
      <c r="D531" s="171" t="s">
        <v>820</v>
      </c>
      <c r="E531" s="252"/>
      <c r="F531" s="172"/>
      <c r="G531" s="172"/>
      <c r="H531" s="172"/>
      <c r="I531" s="172"/>
      <c r="J531" s="194">
        <v>6</v>
      </c>
      <c r="K531" s="247">
        <f>J531</f>
        <v>6</v>
      </c>
      <c r="L531" s="251" t="s">
        <v>713</v>
      </c>
    </row>
    <row r="532" spans="1:12" ht="15" thickBot="1">
      <c r="A532" s="216"/>
      <c r="B532" s="10"/>
      <c r="C532" s="11"/>
      <c r="D532" s="12"/>
      <c r="E532" s="13"/>
      <c r="F532" s="14"/>
      <c r="G532" s="14"/>
      <c r="H532" s="14"/>
      <c r="I532" s="14"/>
      <c r="J532" s="15"/>
      <c r="K532" s="15"/>
      <c r="L532" s="163"/>
    </row>
    <row r="533" spans="1:12" ht="16.2" thickBot="1">
      <c r="A533" s="179">
        <v>14</v>
      </c>
      <c r="B533" s="343" t="s">
        <v>442</v>
      </c>
      <c r="C533" s="343"/>
      <c r="D533" s="343"/>
      <c r="E533" s="343"/>
      <c r="F533" s="343"/>
      <c r="G533" s="343"/>
      <c r="H533" s="343"/>
      <c r="I533" s="343"/>
      <c r="J533" s="343"/>
      <c r="K533" s="343"/>
      <c r="L533" s="344"/>
    </row>
    <row r="534" spans="1:12">
      <c r="A534" s="216"/>
      <c r="B534" s="10"/>
      <c r="C534" s="11"/>
      <c r="D534" s="12"/>
      <c r="E534" s="13"/>
      <c r="F534" s="14"/>
      <c r="G534" s="14"/>
      <c r="H534" s="14"/>
      <c r="I534" s="14"/>
      <c r="J534" s="15"/>
      <c r="K534" s="15"/>
      <c r="L534" s="163"/>
    </row>
    <row r="535" spans="1:12" ht="65.25" customHeight="1">
      <c r="A535" s="248">
        <v>14.01</v>
      </c>
      <c r="B535" s="341" t="s">
        <v>845</v>
      </c>
      <c r="C535" s="342"/>
      <c r="D535" s="171" t="s">
        <v>771</v>
      </c>
      <c r="E535" s="252">
        <v>11.5</v>
      </c>
      <c r="F535" s="172"/>
      <c r="G535" s="172"/>
      <c r="H535" s="172"/>
      <c r="I535" s="172"/>
      <c r="J535" s="177">
        <v>11.5</v>
      </c>
      <c r="K535" s="247">
        <f>J535</f>
        <v>11.5</v>
      </c>
      <c r="L535" s="251" t="s">
        <v>665</v>
      </c>
    </row>
    <row r="536" spans="1:12">
      <c r="A536" s="216"/>
      <c r="B536" s="10"/>
      <c r="C536" s="11"/>
      <c r="D536" s="12"/>
      <c r="E536" s="13"/>
      <c r="F536" s="14"/>
      <c r="G536" s="14"/>
      <c r="H536" s="14"/>
      <c r="I536" s="14"/>
      <c r="J536" s="15"/>
      <c r="K536" s="15"/>
      <c r="L536" s="163"/>
    </row>
    <row r="537" spans="1:12" ht="59.25" customHeight="1">
      <c r="A537" s="248">
        <v>14.02</v>
      </c>
      <c r="B537" s="341" t="s">
        <v>846</v>
      </c>
      <c r="C537" s="342"/>
      <c r="D537" s="171" t="s">
        <v>771</v>
      </c>
      <c r="E537" s="252">
        <v>20.399999999999999</v>
      </c>
      <c r="F537" s="172"/>
      <c r="G537" s="172"/>
      <c r="H537" s="172"/>
      <c r="I537" s="172"/>
      <c r="J537" s="177">
        <v>20.399999999999999</v>
      </c>
      <c r="K537" s="247">
        <f>J537</f>
        <v>20.399999999999999</v>
      </c>
      <c r="L537" s="251" t="s">
        <v>665</v>
      </c>
    </row>
    <row r="538" spans="1:12">
      <c r="A538" s="216"/>
      <c r="B538" s="10"/>
      <c r="C538" s="11"/>
      <c r="D538" s="12"/>
      <c r="E538" s="13"/>
      <c r="F538" s="14"/>
      <c r="G538" s="14"/>
      <c r="H538" s="14"/>
      <c r="I538" s="14"/>
      <c r="J538" s="15"/>
      <c r="K538" s="15"/>
      <c r="L538" s="163"/>
    </row>
    <row r="539" spans="1:12">
      <c r="A539" s="248">
        <v>14.03</v>
      </c>
      <c r="B539" s="341" t="s">
        <v>513</v>
      </c>
      <c r="C539" s="342"/>
      <c r="D539" s="171" t="s">
        <v>771</v>
      </c>
      <c r="E539" s="252"/>
      <c r="F539" s="172"/>
      <c r="G539" s="172"/>
      <c r="H539" s="172"/>
      <c r="I539" s="172"/>
      <c r="J539" s="177">
        <v>1</v>
      </c>
      <c r="K539" s="247">
        <f>J539</f>
        <v>1</v>
      </c>
      <c r="L539" s="251" t="s">
        <v>713</v>
      </c>
    </row>
    <row r="540" spans="1:12">
      <c r="A540" s="216"/>
      <c r="B540" s="10"/>
      <c r="C540" s="11"/>
      <c r="D540" s="12"/>
      <c r="E540" s="13"/>
      <c r="F540" s="14"/>
      <c r="G540" s="14"/>
      <c r="H540" s="14"/>
      <c r="I540" s="14"/>
      <c r="J540" s="15"/>
      <c r="K540" s="15"/>
      <c r="L540" s="163"/>
    </row>
    <row r="541" spans="1:12" ht="60.75" customHeight="1">
      <c r="A541" s="248">
        <v>14.04</v>
      </c>
      <c r="B541" s="341" t="s">
        <v>847</v>
      </c>
      <c r="C541" s="342"/>
      <c r="D541" s="171" t="s">
        <v>848</v>
      </c>
      <c r="E541" s="252">
        <v>5.88</v>
      </c>
      <c r="F541" s="172"/>
      <c r="G541" s="172">
        <v>5.43</v>
      </c>
      <c r="H541" s="172"/>
      <c r="I541" s="172"/>
      <c r="J541" s="187">
        <f>G541*E541</f>
        <v>31.928399999999996</v>
      </c>
      <c r="K541" s="249">
        <f>J541</f>
        <v>31.928399999999996</v>
      </c>
      <c r="L541" s="251" t="s">
        <v>500</v>
      </c>
    </row>
    <row r="542" spans="1:12">
      <c r="A542" s="216"/>
      <c r="B542" s="10"/>
      <c r="C542" s="11"/>
      <c r="D542" s="12"/>
      <c r="E542" s="13"/>
      <c r="F542" s="14"/>
      <c r="G542" s="14"/>
      <c r="H542" s="14"/>
      <c r="I542" s="14"/>
      <c r="J542" s="15"/>
      <c r="K542" s="15"/>
      <c r="L542" s="163"/>
    </row>
    <row r="543" spans="1:12" ht="42.75" customHeight="1">
      <c r="A543" s="248">
        <v>14.05</v>
      </c>
      <c r="B543" s="341" t="s">
        <v>459</v>
      </c>
      <c r="C543" s="342"/>
      <c r="D543" s="171" t="s">
        <v>771</v>
      </c>
      <c r="E543" s="252"/>
      <c r="F543" s="172"/>
      <c r="G543" s="172"/>
      <c r="H543" s="172"/>
      <c r="I543" s="172"/>
      <c r="J543" s="177">
        <v>7</v>
      </c>
      <c r="K543" s="247">
        <f>J543</f>
        <v>7</v>
      </c>
      <c r="L543" s="251" t="s">
        <v>713</v>
      </c>
    </row>
    <row r="544" spans="1:12">
      <c r="A544" s="216"/>
      <c r="B544" s="10"/>
      <c r="C544" s="11"/>
      <c r="D544" s="12"/>
      <c r="E544" s="13"/>
      <c r="F544" s="14"/>
      <c r="G544" s="14"/>
      <c r="H544" s="14"/>
      <c r="I544" s="14"/>
      <c r="J544" s="15"/>
      <c r="K544" s="15"/>
      <c r="L544" s="163"/>
    </row>
    <row r="545" spans="1:12" ht="63.75" customHeight="1">
      <c r="A545" s="248">
        <v>14.06</v>
      </c>
      <c r="B545" s="341" t="s">
        <v>849</v>
      </c>
      <c r="C545" s="342"/>
      <c r="D545" s="171" t="s">
        <v>771</v>
      </c>
      <c r="E545" s="252"/>
      <c r="F545" s="172"/>
      <c r="G545" s="172"/>
      <c r="H545" s="172"/>
      <c r="I545" s="172"/>
      <c r="J545" s="177">
        <v>2</v>
      </c>
      <c r="K545" s="247">
        <f>J545</f>
        <v>2</v>
      </c>
      <c r="L545" s="251" t="s">
        <v>713</v>
      </c>
    </row>
    <row r="546" spans="1:12">
      <c r="A546" s="216"/>
      <c r="B546" s="10"/>
      <c r="C546" s="11"/>
      <c r="D546" s="12"/>
      <c r="E546" s="13"/>
      <c r="F546" s="14"/>
      <c r="G546" s="14"/>
      <c r="H546" s="14"/>
      <c r="I546" s="14"/>
      <c r="J546" s="15"/>
      <c r="K546" s="15"/>
      <c r="L546" s="163"/>
    </row>
    <row r="547" spans="1:12" ht="63.75" customHeight="1">
      <c r="A547" s="248">
        <v>14.07</v>
      </c>
      <c r="B547" s="341" t="s">
        <v>850</v>
      </c>
      <c r="C547" s="342"/>
      <c r="D547" s="171" t="s">
        <v>771</v>
      </c>
      <c r="E547" s="252"/>
      <c r="F547" s="172"/>
      <c r="G547" s="172"/>
      <c r="H547" s="172"/>
      <c r="I547" s="172"/>
      <c r="J547" s="177">
        <v>2</v>
      </c>
      <c r="K547" s="247">
        <f>J547</f>
        <v>2</v>
      </c>
      <c r="L547" s="251" t="s">
        <v>713</v>
      </c>
    </row>
    <row r="548" spans="1:12">
      <c r="A548" s="216"/>
      <c r="B548" s="10"/>
      <c r="C548" s="11"/>
      <c r="D548" s="12"/>
      <c r="E548" s="13"/>
      <c r="F548" s="14"/>
      <c r="G548" s="14"/>
      <c r="H548" s="14"/>
      <c r="I548" s="14"/>
      <c r="J548" s="15"/>
      <c r="K548" s="15"/>
      <c r="L548" s="163"/>
    </row>
    <row r="549" spans="1:12" ht="63.75" customHeight="1">
      <c r="A549" s="248">
        <v>14.08</v>
      </c>
      <c r="B549" s="341" t="s">
        <v>851</v>
      </c>
      <c r="C549" s="342"/>
      <c r="D549" s="171" t="s">
        <v>771</v>
      </c>
      <c r="E549" s="252"/>
      <c r="F549" s="172"/>
      <c r="G549" s="172"/>
      <c r="H549" s="172"/>
      <c r="I549" s="172"/>
      <c r="J549" s="177">
        <v>3</v>
      </c>
      <c r="K549" s="247">
        <f>J549</f>
        <v>3</v>
      </c>
      <c r="L549" s="251" t="s">
        <v>713</v>
      </c>
    </row>
    <row r="550" spans="1:12">
      <c r="A550" s="216"/>
      <c r="B550" s="10"/>
      <c r="C550" s="11"/>
      <c r="D550" s="12"/>
      <c r="E550" s="13"/>
      <c r="F550" s="14"/>
      <c r="G550" s="14"/>
      <c r="H550" s="14"/>
      <c r="I550" s="14"/>
      <c r="J550" s="15"/>
      <c r="K550" s="15"/>
      <c r="L550" s="163"/>
    </row>
    <row r="551" spans="1:12" ht="82.5" customHeight="1">
      <c r="A551" s="248">
        <v>14.09</v>
      </c>
      <c r="B551" s="341" t="s">
        <v>852</v>
      </c>
      <c r="C551" s="342"/>
      <c r="D551" s="171" t="s">
        <v>771</v>
      </c>
      <c r="E551" s="252"/>
      <c r="F551" s="172"/>
      <c r="G551" s="172"/>
      <c r="H551" s="172"/>
      <c r="I551" s="172"/>
      <c r="J551" s="177">
        <v>1</v>
      </c>
      <c r="K551" s="247">
        <f>J551</f>
        <v>1</v>
      </c>
      <c r="L551" s="251" t="s">
        <v>713</v>
      </c>
    </row>
    <row r="552" spans="1:12">
      <c r="A552" s="216"/>
      <c r="B552" s="10"/>
      <c r="C552" s="11"/>
      <c r="D552" s="12"/>
      <c r="E552" s="13"/>
      <c r="F552" s="14"/>
      <c r="G552" s="14"/>
      <c r="H552" s="14"/>
      <c r="I552" s="14"/>
      <c r="J552" s="15"/>
      <c r="K552" s="15"/>
      <c r="L552" s="163"/>
    </row>
    <row r="553" spans="1:12" ht="63.75" customHeight="1">
      <c r="A553" s="248">
        <v>14.1</v>
      </c>
      <c r="B553" s="341" t="s">
        <v>853</v>
      </c>
      <c r="C553" s="342"/>
      <c r="D553" s="171" t="s">
        <v>771</v>
      </c>
      <c r="E553" s="252"/>
      <c r="F553" s="172"/>
      <c r="G553" s="172"/>
      <c r="H553" s="172"/>
      <c r="I553" s="172"/>
      <c r="J553" s="177">
        <v>2</v>
      </c>
      <c r="K553" s="247">
        <f>J553</f>
        <v>2</v>
      </c>
      <c r="L553" s="251" t="s">
        <v>713</v>
      </c>
    </row>
    <row r="554" spans="1:12">
      <c r="A554" s="216"/>
      <c r="B554" s="10"/>
      <c r="C554" s="11"/>
      <c r="D554" s="12"/>
      <c r="E554" s="13"/>
      <c r="F554" s="14"/>
      <c r="G554" s="14"/>
      <c r="H554" s="14"/>
      <c r="I554" s="14"/>
      <c r="J554" s="15"/>
      <c r="K554" s="15"/>
      <c r="L554" s="163"/>
    </row>
    <row r="555" spans="1:12" ht="63.75" customHeight="1">
      <c r="A555" s="248">
        <v>14.11</v>
      </c>
      <c r="B555" s="341" t="s">
        <v>854</v>
      </c>
      <c r="C555" s="342"/>
      <c r="D555" s="171" t="s">
        <v>771</v>
      </c>
      <c r="E555" s="252"/>
      <c r="F555" s="172"/>
      <c r="G555" s="172"/>
      <c r="H555" s="172"/>
      <c r="I555" s="172"/>
      <c r="J555" s="177">
        <v>9</v>
      </c>
      <c r="K555" s="247">
        <f>J555</f>
        <v>9</v>
      </c>
      <c r="L555" s="251" t="s">
        <v>713</v>
      </c>
    </row>
    <row r="556" spans="1:12">
      <c r="A556" s="216"/>
      <c r="B556" s="10"/>
      <c r="C556" s="11"/>
      <c r="D556" s="12"/>
      <c r="E556" s="13"/>
      <c r="F556" s="14"/>
      <c r="G556" s="14"/>
      <c r="H556" s="14"/>
      <c r="I556" s="14"/>
      <c r="J556" s="15"/>
      <c r="K556" s="15"/>
      <c r="L556" s="163"/>
    </row>
    <row r="557" spans="1:12" ht="63.75" customHeight="1">
      <c r="A557" s="248">
        <v>14.12</v>
      </c>
      <c r="B557" s="341" t="s">
        <v>855</v>
      </c>
      <c r="C557" s="342"/>
      <c r="D557" s="171" t="s">
        <v>771</v>
      </c>
      <c r="E557" s="252"/>
      <c r="F557" s="172"/>
      <c r="G557" s="172"/>
      <c r="H557" s="172"/>
      <c r="I557" s="172"/>
      <c r="J557" s="177">
        <v>15</v>
      </c>
      <c r="K557" s="247">
        <f>J557</f>
        <v>15</v>
      </c>
      <c r="L557" s="251" t="s">
        <v>713</v>
      </c>
    </row>
    <row r="558" spans="1:12">
      <c r="A558" s="216"/>
      <c r="B558" s="10"/>
      <c r="C558" s="11"/>
      <c r="D558" s="12"/>
      <c r="E558" s="13"/>
      <c r="F558" s="14"/>
      <c r="G558" s="14"/>
      <c r="H558" s="14"/>
      <c r="I558" s="14"/>
      <c r="J558" s="15"/>
      <c r="K558" s="15"/>
      <c r="L558" s="163"/>
    </row>
    <row r="559" spans="1:12" ht="63.75" customHeight="1">
      <c r="A559" s="248">
        <v>14.13</v>
      </c>
      <c r="B559" s="341" t="s">
        <v>856</v>
      </c>
      <c r="C559" s="342"/>
      <c r="D559" s="171" t="s">
        <v>771</v>
      </c>
      <c r="E559" s="252"/>
      <c r="F559" s="172"/>
      <c r="G559" s="172"/>
      <c r="H559" s="172"/>
      <c r="I559" s="172"/>
      <c r="J559" s="177">
        <v>7</v>
      </c>
      <c r="K559" s="247">
        <f>J559</f>
        <v>7</v>
      </c>
      <c r="L559" s="251" t="s">
        <v>713</v>
      </c>
    </row>
    <row r="560" spans="1:12">
      <c r="A560" s="216"/>
      <c r="B560" s="10"/>
      <c r="C560" s="11"/>
      <c r="D560" s="12"/>
      <c r="E560" s="13"/>
      <c r="F560" s="14"/>
      <c r="G560" s="14"/>
      <c r="H560" s="14"/>
      <c r="I560" s="14"/>
      <c r="J560" s="15"/>
      <c r="K560" s="15"/>
      <c r="L560" s="163"/>
    </row>
    <row r="561" spans="1:12" ht="63.75" customHeight="1">
      <c r="A561" s="248">
        <v>14.14</v>
      </c>
      <c r="B561" s="341" t="s">
        <v>857</v>
      </c>
      <c r="C561" s="342"/>
      <c r="D561" s="171" t="s">
        <v>771</v>
      </c>
      <c r="E561" s="252"/>
      <c r="F561" s="172"/>
      <c r="G561" s="172"/>
      <c r="H561" s="172"/>
      <c r="I561" s="172"/>
      <c r="J561" s="177">
        <v>1</v>
      </c>
      <c r="K561" s="247">
        <f>J561</f>
        <v>1</v>
      </c>
      <c r="L561" s="251" t="s">
        <v>713</v>
      </c>
    </row>
    <row r="562" spans="1:12">
      <c r="A562" s="216"/>
      <c r="B562" s="10"/>
      <c r="C562" s="11"/>
      <c r="D562" s="12"/>
      <c r="E562" s="13"/>
      <c r="F562" s="14"/>
      <c r="G562" s="14"/>
      <c r="H562" s="14"/>
      <c r="I562" s="14"/>
      <c r="J562" s="15"/>
      <c r="K562" s="15"/>
      <c r="L562" s="163"/>
    </row>
    <row r="563" spans="1:12" ht="63.75" customHeight="1" thickBot="1">
      <c r="A563" s="227">
        <v>14.15</v>
      </c>
      <c r="B563" s="406" t="s">
        <v>489</v>
      </c>
      <c r="C563" s="407"/>
      <c r="D563" s="228" t="s">
        <v>771</v>
      </c>
      <c r="E563" s="229"/>
      <c r="F563" s="230"/>
      <c r="G563" s="230"/>
      <c r="H563" s="230"/>
      <c r="I563" s="230"/>
      <c r="J563" s="231">
        <v>566.95000000000005</v>
      </c>
      <c r="K563" s="232">
        <f>J563</f>
        <v>566.95000000000005</v>
      </c>
      <c r="L563" s="233" t="s">
        <v>500</v>
      </c>
    </row>
    <row r="65536" spans="9:9">
      <c r="I65536" s="176"/>
    </row>
  </sheetData>
  <mergeCells count="281">
    <mergeCell ref="A2:D9"/>
    <mergeCell ref="E2:J7"/>
    <mergeCell ref="K2:K3"/>
    <mergeCell ref="K6:L6"/>
    <mergeCell ref="K7:L7"/>
    <mergeCell ref="E8:J9"/>
    <mergeCell ref="K8:L8"/>
    <mergeCell ref="K9:L9"/>
    <mergeCell ref="A10:A11"/>
    <mergeCell ref="B10:C11"/>
    <mergeCell ref="D10:D11"/>
    <mergeCell ref="E10:E11"/>
    <mergeCell ref="F10:F11"/>
    <mergeCell ref="G10:G11"/>
    <mergeCell ref="H10:H11"/>
    <mergeCell ref="I10:I11"/>
    <mergeCell ref="J10:J11"/>
    <mergeCell ref="K10:K11"/>
    <mergeCell ref="L10:L11"/>
    <mergeCell ref="K12:L12"/>
    <mergeCell ref="B13:C13"/>
    <mergeCell ref="K13:L13"/>
    <mergeCell ref="B14:C14"/>
    <mergeCell ref="K14:L14"/>
    <mergeCell ref="B15:C15"/>
    <mergeCell ref="K15:L15"/>
    <mergeCell ref="B17:L17"/>
    <mergeCell ref="A19:A31"/>
    <mergeCell ref="B19:C31"/>
    <mergeCell ref="K19:K31"/>
    <mergeCell ref="L19:L31"/>
    <mergeCell ref="A33:A40"/>
    <mergeCell ref="B33:C40"/>
    <mergeCell ref="K33:K40"/>
    <mergeCell ref="L33:L40"/>
    <mergeCell ref="A42:A54"/>
    <mergeCell ref="B42:C54"/>
    <mergeCell ref="K42:K54"/>
    <mergeCell ref="L42:L54"/>
    <mergeCell ref="B56:C56"/>
    <mergeCell ref="A58:A70"/>
    <mergeCell ref="B58:C70"/>
    <mergeCell ref="K58:K70"/>
    <mergeCell ref="L58:L70"/>
    <mergeCell ref="A72:A84"/>
    <mergeCell ref="B72:C84"/>
    <mergeCell ref="K72:K84"/>
    <mergeCell ref="L72:L84"/>
    <mergeCell ref="B86:C86"/>
    <mergeCell ref="B88:C88"/>
    <mergeCell ref="B90:C90"/>
    <mergeCell ref="A92:A97"/>
    <mergeCell ref="B92:C97"/>
    <mergeCell ref="K92:K97"/>
    <mergeCell ref="L92:L97"/>
    <mergeCell ref="A99:A102"/>
    <mergeCell ref="B99:C102"/>
    <mergeCell ref="K99:K102"/>
    <mergeCell ref="L99:L102"/>
    <mergeCell ref="B104:C104"/>
    <mergeCell ref="B106:C106"/>
    <mergeCell ref="B108:L108"/>
    <mergeCell ref="A110:A124"/>
    <mergeCell ref="B110:C124"/>
    <mergeCell ref="K110:K124"/>
    <mergeCell ref="L110:L124"/>
    <mergeCell ref="A126:A129"/>
    <mergeCell ref="B126:C129"/>
    <mergeCell ref="K126:K129"/>
    <mergeCell ref="L126:L129"/>
    <mergeCell ref="A131:A134"/>
    <mergeCell ref="B131:C134"/>
    <mergeCell ref="K131:K134"/>
    <mergeCell ref="L131:L134"/>
    <mergeCell ref="A136:A142"/>
    <mergeCell ref="B136:C142"/>
    <mergeCell ref="D136:D142"/>
    <mergeCell ref="K136:K142"/>
    <mergeCell ref="L136:L142"/>
    <mergeCell ref="A144:A147"/>
    <mergeCell ref="B144:C147"/>
    <mergeCell ref="D144:D147"/>
    <mergeCell ref="K144:K147"/>
    <mergeCell ref="L144:L147"/>
    <mergeCell ref="B149:L149"/>
    <mergeCell ref="A151:A157"/>
    <mergeCell ref="B151:C157"/>
    <mergeCell ref="D151:D153"/>
    <mergeCell ref="K151:K157"/>
    <mergeCell ref="L151:L157"/>
    <mergeCell ref="D154:D157"/>
    <mergeCell ref="A159:A166"/>
    <mergeCell ref="B159:C166"/>
    <mergeCell ref="D159:D166"/>
    <mergeCell ref="K159:K166"/>
    <mergeCell ref="L159:L166"/>
    <mergeCell ref="B168:C168"/>
    <mergeCell ref="B170:C170"/>
    <mergeCell ref="A172:A178"/>
    <mergeCell ref="B172:C178"/>
    <mergeCell ref="K172:K178"/>
    <mergeCell ref="L172:L178"/>
    <mergeCell ref="A180:A192"/>
    <mergeCell ref="B180:C192"/>
    <mergeCell ref="K180:K192"/>
    <mergeCell ref="L180:L192"/>
    <mergeCell ref="A194:A197"/>
    <mergeCell ref="B194:C197"/>
    <mergeCell ref="K194:K197"/>
    <mergeCell ref="L194:L197"/>
    <mergeCell ref="A199:A206"/>
    <mergeCell ref="B199:C206"/>
    <mergeCell ref="K199:K206"/>
    <mergeCell ref="L199:L206"/>
    <mergeCell ref="A208:A215"/>
    <mergeCell ref="B208:C215"/>
    <mergeCell ref="K208:K215"/>
    <mergeCell ref="L208:L215"/>
    <mergeCell ref="B218:C218"/>
    <mergeCell ref="B220:L220"/>
    <mergeCell ref="A222:A229"/>
    <mergeCell ref="B222:C229"/>
    <mergeCell ref="K222:K229"/>
    <mergeCell ref="L222:L229"/>
    <mergeCell ref="B231:C231"/>
    <mergeCell ref="A233:A236"/>
    <mergeCell ref="B233:C236"/>
    <mergeCell ref="K233:K236"/>
    <mergeCell ref="L233:L236"/>
    <mergeCell ref="A238:A241"/>
    <mergeCell ref="B238:C241"/>
    <mergeCell ref="K238:K241"/>
    <mergeCell ref="L238:L241"/>
    <mergeCell ref="A243:A246"/>
    <mergeCell ref="B243:C246"/>
    <mergeCell ref="K243:K246"/>
    <mergeCell ref="L243:L246"/>
    <mergeCell ref="B248:C248"/>
    <mergeCell ref="B250:C250"/>
    <mergeCell ref="B252:C252"/>
    <mergeCell ref="A254:A272"/>
    <mergeCell ref="B254:C272"/>
    <mergeCell ref="D254:D258"/>
    <mergeCell ref="K254:K272"/>
    <mergeCell ref="L254:L272"/>
    <mergeCell ref="D259:D265"/>
    <mergeCell ref="D266:D272"/>
    <mergeCell ref="A274:A281"/>
    <mergeCell ref="B274:C281"/>
    <mergeCell ref="K274:K281"/>
    <mergeCell ref="L274:L281"/>
    <mergeCell ref="B283:L283"/>
    <mergeCell ref="B285:C285"/>
    <mergeCell ref="B287:C287"/>
    <mergeCell ref="B289:L289"/>
    <mergeCell ref="A291:A299"/>
    <mergeCell ref="B291:C299"/>
    <mergeCell ref="K291:K299"/>
    <mergeCell ref="L291:L299"/>
    <mergeCell ref="A301:A311"/>
    <mergeCell ref="B301:C311"/>
    <mergeCell ref="K301:K311"/>
    <mergeCell ref="L301:L311"/>
    <mergeCell ref="B313:L313"/>
    <mergeCell ref="A315:A323"/>
    <mergeCell ref="B315:C323"/>
    <mergeCell ref="K315:K323"/>
    <mergeCell ref="L315:L323"/>
    <mergeCell ref="A325:A329"/>
    <mergeCell ref="B325:C329"/>
    <mergeCell ref="K325:K329"/>
    <mergeCell ref="L325:L329"/>
    <mergeCell ref="A331:A363"/>
    <mergeCell ref="B331:C363"/>
    <mergeCell ref="K331:K363"/>
    <mergeCell ref="L331:L363"/>
    <mergeCell ref="B365:C365"/>
    <mergeCell ref="B366:C366"/>
    <mergeCell ref="B367:L367"/>
    <mergeCell ref="B369:C369"/>
    <mergeCell ref="B371:C371"/>
    <mergeCell ref="B373:C373"/>
    <mergeCell ref="B375:C375"/>
    <mergeCell ref="B377:C377"/>
    <mergeCell ref="B379:C379"/>
    <mergeCell ref="B381:C381"/>
    <mergeCell ref="B382:C382"/>
    <mergeCell ref="B383:L383"/>
    <mergeCell ref="B385:C385"/>
    <mergeCell ref="B387:C387"/>
    <mergeCell ref="B389:C389"/>
    <mergeCell ref="B391:C391"/>
    <mergeCell ref="B393:C393"/>
    <mergeCell ref="B395:C395"/>
    <mergeCell ref="B397:C397"/>
    <mergeCell ref="B399:C399"/>
    <mergeCell ref="B401:C401"/>
    <mergeCell ref="B403:C403"/>
    <mergeCell ref="B405:C405"/>
    <mergeCell ref="B407:C407"/>
    <mergeCell ref="B409:C409"/>
    <mergeCell ref="B411:C411"/>
    <mergeCell ref="B413:C413"/>
    <mergeCell ref="B415:C415"/>
    <mergeCell ref="B417:C417"/>
    <mergeCell ref="B419:C419"/>
    <mergeCell ref="B421:C421"/>
    <mergeCell ref="B423:C423"/>
    <mergeCell ref="B425:C425"/>
    <mergeCell ref="B427:C427"/>
    <mergeCell ref="B429:C429"/>
    <mergeCell ref="B431:C431"/>
    <mergeCell ref="B433:C433"/>
    <mergeCell ref="B435:C435"/>
    <mergeCell ref="B437:C437"/>
    <mergeCell ref="B439:C439"/>
    <mergeCell ref="B441:C441"/>
    <mergeCell ref="B443:C443"/>
    <mergeCell ref="B445:C445"/>
    <mergeCell ref="B447:C447"/>
    <mergeCell ref="B449:C449"/>
    <mergeCell ref="B451:C451"/>
    <mergeCell ref="B453:C453"/>
    <mergeCell ref="B455:C455"/>
    <mergeCell ref="B457:C457"/>
    <mergeCell ref="B459:C459"/>
    <mergeCell ref="B461:C461"/>
    <mergeCell ref="B463:L463"/>
    <mergeCell ref="B465:C465"/>
    <mergeCell ref="B467:C467"/>
    <mergeCell ref="B469:C469"/>
    <mergeCell ref="B471:C471"/>
    <mergeCell ref="B473:C473"/>
    <mergeCell ref="B474:C474"/>
    <mergeCell ref="B475:L475"/>
    <mergeCell ref="B477:C477"/>
    <mergeCell ref="B479:C479"/>
    <mergeCell ref="B481:C481"/>
    <mergeCell ref="B483:C483"/>
    <mergeCell ref="B485:C485"/>
    <mergeCell ref="B513:C513"/>
    <mergeCell ref="B537:C537"/>
    <mergeCell ref="B515:C515"/>
    <mergeCell ref="B517:C517"/>
    <mergeCell ref="B519:C519"/>
    <mergeCell ref="B521:C521"/>
    <mergeCell ref="B523:C523"/>
    <mergeCell ref="B525:C525"/>
    <mergeCell ref="B487:C487"/>
    <mergeCell ref="B489:C489"/>
    <mergeCell ref="B491:C491"/>
    <mergeCell ref="B493:C493"/>
    <mergeCell ref="B495:C495"/>
    <mergeCell ref="B497:C497"/>
    <mergeCell ref="B499:C499"/>
    <mergeCell ref="B501:C501"/>
    <mergeCell ref="B503:C503"/>
    <mergeCell ref="B563:C563"/>
    <mergeCell ref="B386:C386"/>
    <mergeCell ref="B404:C404"/>
    <mergeCell ref="B551:C551"/>
    <mergeCell ref="B553:C553"/>
    <mergeCell ref="B555:C555"/>
    <mergeCell ref="B557:C557"/>
    <mergeCell ref="B559:C559"/>
    <mergeCell ref="B561:C561"/>
    <mergeCell ref="B539:C539"/>
    <mergeCell ref="B541:C541"/>
    <mergeCell ref="B543:C543"/>
    <mergeCell ref="B545:C545"/>
    <mergeCell ref="B547:C547"/>
    <mergeCell ref="B549:C549"/>
    <mergeCell ref="B527:C527"/>
    <mergeCell ref="B529:C529"/>
    <mergeCell ref="B531:C531"/>
    <mergeCell ref="B533:L533"/>
    <mergeCell ref="B535:C535"/>
    <mergeCell ref="B505:C505"/>
    <mergeCell ref="B507:C507"/>
    <mergeCell ref="B509:C509"/>
    <mergeCell ref="B511:C511"/>
  </mergeCells>
  <pageMargins left="0.51181102362204722" right="0.51181102362204722" top="0.78740157480314965" bottom="0.78740157480314965" header="0.31496062992125984" footer="0.31496062992125984"/>
  <pageSetup paperSize="9" scale="61" orientation="portrait" horizontalDpi="0" verticalDpi="0" r:id="rId1"/>
  <colBreaks count="1" manualBreakCount="1">
    <brk id="12"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10</vt:i4>
      </vt:variant>
    </vt:vector>
  </HeadingPairs>
  <TitlesOfParts>
    <vt:vector size="22" baseType="lpstr">
      <vt:lpstr>Planilha2</vt:lpstr>
      <vt:lpstr>ORÇAMENTO ANALITICO</vt:lpstr>
      <vt:lpstr>LEVANT.</vt:lpstr>
      <vt:lpstr>Plan2</vt:lpstr>
      <vt:lpstr>ORÇAMENTO SINTÉTICO</vt:lpstr>
      <vt:lpstr>CRON. FISICO-FINAC</vt:lpstr>
      <vt:lpstr>BDI</vt:lpstr>
      <vt:lpstr>MEMORIA - CALCULO</vt:lpstr>
      <vt:lpstr> COTAÇÃO.</vt:lpstr>
      <vt:lpstr>Plan5</vt:lpstr>
      <vt:lpstr>BDI CALCULO</vt:lpstr>
      <vt:lpstr>MEMORIA CALCULO</vt:lpstr>
      <vt:lpstr>BDI!Area_de_impressao</vt:lpstr>
      <vt:lpstr>'CRON. FISICO-FINAC'!Area_de_impressao</vt:lpstr>
      <vt:lpstr>'MEMORIA - CALCULO'!Area_de_impressao</vt:lpstr>
      <vt:lpstr>'MEMORIA CALCULO'!Area_de_impressao</vt:lpstr>
      <vt:lpstr>'ORÇAMENTO ANALITICO'!Area_de_impressao</vt:lpstr>
      <vt:lpstr>'ORÇAMENTO SINTÉTICO'!Area_de_impressao</vt:lpstr>
      <vt:lpstr>'CRON. FISICO-FINAC'!Excel_BuiltIn_Print_Area</vt:lpstr>
      <vt:lpstr>'MEMORIA - CALCULO'!Titulos_de_impressao</vt:lpstr>
      <vt:lpstr>'MEMORIA CALCULO'!Titulos_de_impressao</vt:lpstr>
      <vt:lpstr>'ORÇAMENTO ANALITICO'!Titulos_de_impressao</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Wallas</dc:creator>
  <cp:lastModifiedBy>andreia</cp:lastModifiedBy>
  <cp:revision/>
  <dcterms:created xsi:type="dcterms:W3CDTF">2024-05-10T16:38:40Z</dcterms:created>
  <dcterms:modified xsi:type="dcterms:W3CDTF">2026-03-23T15:57:48Z</dcterms:modified>
</cp:coreProperties>
</file>