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updateLinks="never" defaultThemeVersion="124226"/>
  <mc:AlternateContent xmlns:mc="http://schemas.openxmlformats.org/markup-compatibility/2006">
    <mc:Choice Requires="x15">
      <x15ac:absPath xmlns:x15ac="http://schemas.microsoft.com/office/spreadsheetml/2010/11/ac" url="C:\Users\PICHAU\Desktop\Licitação 2026\Processo 077.2026 Reforma praças\"/>
    </mc:Choice>
  </mc:AlternateContent>
  <xr:revisionPtr revIDLastSave="0" documentId="8_{10090206-1D83-493C-9405-8AC012F61A9D}" xr6:coauthVersionLast="47" xr6:coauthVersionMax="47" xr10:uidLastSave="{00000000-0000-0000-0000-000000000000}"/>
  <bookViews>
    <workbookView xWindow="-120" yWindow="-120" windowWidth="29040" windowHeight="15720" tabRatio="662" xr2:uid="{00000000-000D-0000-FFFF-FFFF00000000}"/>
  </bookViews>
  <sheets>
    <sheet name="PLANILHA ORÇAMENTÁRIA" sheetId="13" r:id="rId1"/>
    <sheet name="MEM. CÁLCULO" sheetId="30" r:id="rId2"/>
    <sheet name="CRONOGRAMA FF" sheetId="25" r:id="rId3"/>
    <sheet name="COMPOSIÇÃO BDI" sheetId="27" r:id="rId4"/>
    <sheet name="CPU-001" sheetId="31" r:id="rId5"/>
  </sheets>
  <externalReferences>
    <externalReference r:id="rId6"/>
    <externalReference r:id="rId7"/>
    <externalReference r:id="rId8"/>
  </externalReferences>
  <definedNames>
    <definedName name="ACOMPANHAMENTO" hidden="1">IF(VALUE([1]MENU!$O$4)=2,"BM","PLE")</definedName>
    <definedName name="_xlnm.Print_Area" localSheetId="0">'PLANILHA ORÇAMENTÁRIA'!$A$1:$I$52</definedName>
    <definedName name="AUTOEVENTO" hidden="1">[1]CÁLCULO!$A$12</definedName>
    <definedName name="BDI.Opcao" hidden="1">[2]DADOS!$F$18</definedName>
    <definedName name="BDI.TipoObra" hidden="1">[2]BDI!$A$138:$A$146</definedName>
    <definedName name="BM.AFAcumulado" hidden="1">[1]BM!$R1</definedName>
    <definedName name="BM.AFAnterior" hidden="1">[1]BM!$Q1</definedName>
    <definedName name="BM.MaxMed" hidden="1">IF([0]!RegimeExecucao="Global",1,[1]BM!$G1)</definedName>
    <definedName name="BM.MEDAcumulado" hidden="1">IF(COUNTIF([1]BM!$AB$13:$AM$13,BM.medicao)&gt;0,SUM(OFFSET([1]BM!$AB1,0,0,1,MATCH(BM.medicao,[1]BM!$AB$13:$AM$13,0))),0)</definedName>
    <definedName name="BM.MEDAnterior" hidden="1">IF(COUNTIF([1]BM!$AB$13:$AM$13,BM.medicao-1)&gt;0,SUM(OFFSET([1]BM!$AB1,0,0,1,MATCH(BM.medicao-1,[1]BM!$AB$13:$AM$13,0))),0)</definedName>
    <definedName name="BM.medicao" hidden="1">OFFSET([1]BM!$O$7,1,0)</definedName>
    <definedName name="BM.MinMed" hidden="1">IF([0]!RegimeExecucao="Global",-1,-[1]BM!$G1)</definedName>
    <definedName name="CAIXA.Modo" hidden="1">[1]BM!$A$3</definedName>
    <definedName name="CÁLCULO.NúmeroDeEventos" hidden="1">IF(AUTOEVENTO&lt;&gt;"manual",MAX([1]CÁLCULO!$M$15:$M$32),MAX(OFFSET([1]EVENTOS!$C$14:$C$20,1,0)))</definedName>
    <definedName name="CÁLCULO.NúmeroDeFrentes" hidden="1">COLUMN([1]CÁLCULO!$AA$15)-COLUMN([1]CÁLCULO!$Q$15)</definedName>
    <definedName name="CÁLCULO.TotalAdmLocal" hidden="1">IF(AUTOEVENTO="manual",SUMIF([1]CÁLCULO!$M$15:$M$32,1,[1]ORÇAMENTO!$X$15:$X$32),0)</definedName>
    <definedName name="CRONO.ColunaPadrão" hidden="1">#REF!</definedName>
    <definedName name="CRONO.Filtro" hidden="1">#REF!</definedName>
    <definedName name="CRONO.FirstCol" hidden="1">#REF!</definedName>
    <definedName name="CRONO.firstrow" hidden="1">#REF!</definedName>
    <definedName name="CRONO.Frenterow" hidden="1">#REF!</definedName>
    <definedName name="CRONO.LastCol" hidden="1">#REF!</definedName>
    <definedName name="CRONO.lastrow" hidden="1">#REF!</definedName>
    <definedName name="CRONO.LinhaPadrão" hidden="1">#REF!</definedName>
    <definedName name="CRONO.LinhasNecessarias" hidden="1">COUNTIF([1]QCI!$B$13:$B$15,"Manual")+COUNTIF([1]QCI!$B$13:$B$15,"SemiAuto")+COUNT(ORÇAMENTO.ListaCrono)</definedName>
    <definedName name="CRONO.margemrow" hidden="1">#REF!</definedName>
    <definedName name="CRONO.MaxParc" hidden="1">#REF!+#REF!</definedName>
    <definedName name="CRONO.NivelExibicao" hidden="1">#REF!</definedName>
    <definedName name="CRONO.Parcela1" hidden="1">#REF!</definedName>
    <definedName name="CRONOPLE.ValorDoEvento" hidden="1">SUMIF([1]CÁLCULO!$M$15:$M$32,[1]CRONOPLE!$B1,OFFSET([1]CÁLCULO!$AA$15:$AA$32,0,[1]CRONOPLE!A$12))</definedName>
    <definedName name="DESONERACAO" hidden="1">IF(OR(Import.Desoneracao="DESONERADO",Import.Desoneracao="SIM"),"SIM","NÃO")</definedName>
    <definedName name="ÉServiço">[3]BM!$E1&lt;&gt;""</definedName>
    <definedName name="EVENTOS.Lista" hidden="1">[1]EVENTOS!$C$15:OFFSET([1]EVENTOS!$C$20,-1,0)</definedName>
    <definedName name="EVENTOS.ListaValidacao" hidden="1">[1]EVENTOS!$B$15:OFFSET([1]EVENTOS!$B$20,-1,0)</definedName>
    <definedName name="Excel_BuiltIn_Database">#REF!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9">#REF!</definedName>
    <definedName name="Excel_BuiltIn_Print_Area_2_1">#REF!</definedName>
    <definedName name="Excel_BuiltIn_Print_Area_8_1_1_1">#REF!</definedName>
    <definedName name="Excel_BuiltIn_Print_Area_9">#REF!</definedName>
    <definedName name="Excel_BuiltIn_Print_Area_9_1">#REF!</definedName>
    <definedName name="Excel_BuiltIn_Print_Titles_1_1">#REF!</definedName>
    <definedName name="Excel_BuiltIn_Print_Titles_2">#REF!</definedName>
    <definedName name="Excel_BuiltIn_Print_Titles_9">#REF!</definedName>
    <definedName name="Import.Apelido" hidden="1">[2]DADOS!$F$16</definedName>
    <definedName name="Import.BMAFAcumulado" hidden="1">OFFSET([1]BM!$R$15,1,0):OFFSET([1]BM!$R$32,-1,0)</definedName>
    <definedName name="Import.CNPJ" hidden="1">[1]DADOS!$F$38</definedName>
    <definedName name="Import.Código" hidden="1">OFFSET([1]ORÇAMENTO!$Q$15,1,0):OFFSET([1]ORÇAMENTO!$Q$32,-1,0)</definedName>
    <definedName name="Import.Contrapartida" hidden="1">[1]DADOS!$F$10</definedName>
    <definedName name="Import.CPMaxPerc" hidden="1">[1]DADOS!$F$13</definedName>
    <definedName name="Import.CPMinAbsoluta" hidden="1">[1]DADOS!$F$12</definedName>
    <definedName name="Import.CPMinPerc" hidden="1">[1]DADOS!$F$11</definedName>
    <definedName name="Import.CR" hidden="1">[1]DADOS!$F$7</definedName>
    <definedName name="Import.CRONOPLE" hidden="1">OFFSET([1]CRONOPLE!$F$15,1,1):OFFSET([1]CRONOPLE!$AF$20,-1,-1)</definedName>
    <definedName name="Import.CTEF" hidden="1">[1]DADOS!$F$36</definedName>
    <definedName name="Import.CustoUnitário" hidden="1">OFFSET([1]ORÇAMENTO!$U$15,1,0):OFFSET([1]ORÇAMENTO!$U$32,-1,0)</definedName>
    <definedName name="Import.DataBase" hidden="1">OFFSET([1]DADOS!$G$19,0,-1)</definedName>
    <definedName name="Import.DataBaseLicit" hidden="1">OFFSET([1]DADOS!$G$40,0,-1)</definedName>
    <definedName name="Import.DataInicioObra" hidden="1">[1]DADOS!$F$46</definedName>
    <definedName name="Import.DescLote" hidden="1">[2]DADOS!$F$17</definedName>
    <definedName name="Import.Descrição" hidden="1">OFFSET([1]ORÇAMENTO!$R$15,1,0):OFFSET([1]ORÇAMENTO!$R$32,-1,0)</definedName>
    <definedName name="Import.Desoneracao" hidden="1">OFFSET([2]DADOS!$G$18,0,-1)</definedName>
    <definedName name="Import.empresa" hidden="1">[1]DADOS!$F$37</definedName>
    <definedName name="Import.Eventos.Nomes" hidden="1">OFFSET([1]EVENTOS!$D$15,1,0):OFFSET([1]EVENTOS!$D$20,-1,0)</definedName>
    <definedName name="Import.Fonte" hidden="1">OFFSET([1]ORÇAMENTO!$P$15,1,0):OFFSET([1]ORÇAMENTO!$P$32,-1,0)</definedName>
    <definedName name="Import.FrenteDeObra" hidden="1">[1]CÁLCULO!$Q$12:OFFSET([1]CÁLCULO!$AA$12,0,-1)</definedName>
    <definedName name="Import.Município" hidden="1">[2]DADOS!$F$6</definedName>
    <definedName name="Import.Nível" hidden="1">OFFSET([1]ORÇAMENTO!$M$15,1,0):OFFSET([1]ORÇAMENTO!$M$32,-1,0)</definedName>
    <definedName name="Import.OpcaoBDI" hidden="1">OFFSET([1]ORÇAMENTO!$V$15,1,0):OFFSET([1]ORÇAMENTO!$V$32,-1,0)</definedName>
    <definedName name="Import.ORÇAMENTO.DivRecurso" hidden="1">OFFSET([1]ORÇAMENTO!$Y$15,1,0):OFFSET([1]ORÇAMENTO!$Y$32,-1,0)</definedName>
    <definedName name="Import.PLE" hidden="1">OFFSET([1]PLE!$G$15,1,1):OFFSET([1]PLE!$AG$20,-1,-1)</definedName>
    <definedName name="Import.PLQ" hidden="1">OFFSET([1]CÁLCULO!$P$15,1,1):OFFSET([1]CÁLCULO!$AA$32,-1,-1)</definedName>
    <definedName name="Import.PLQ.MemCalc" hidden="1">OFFSET([1]CÁLCULO!$I$15,1,0):OFFSET([1]CÁLCULO!$I$32,-1,0)</definedName>
    <definedName name="Import.Proponente" hidden="1">[1]DADOS!$F$5</definedName>
    <definedName name="Import.QCI.Divisao" hidden="1">OFFSET([1]QCI!$V$13,1,0):OFFSET([1]QCI!$V$15,-1,0)</definedName>
    <definedName name="Import.QCI.ItemInv" hidden="1">OFFSET([1]QCI!$E$13,1,0):OFFSET([1]QCI!$E$15,-1,0)</definedName>
    <definedName name="Import.QCI.Qtde" hidden="1">OFFSET([1]QCI!$I$13,1,0):OFFSET([1]QCI!$I$15,-1,0)</definedName>
    <definedName name="Import.QCI.Situacao" hidden="1">OFFSET([1]QCI!$H$13,1,0):OFFSET([1]QCI!$H$15,-1,0)</definedName>
    <definedName name="Import.QCI.SubItemInv" hidden="1">OFFSET([1]QCI!$F$13,1,0):OFFSET([1]QCI!$F$15,-1,0)</definedName>
    <definedName name="Import.QCICP" hidden="1">OFFSET([1]QCI!$W$13,1,0):OFFSET([1]QCI!$W$15,-1,0)</definedName>
    <definedName name="Import.QCIDesc" hidden="1">OFFSET([1]QCI!$R$13,1,0):OFFSET([1]QCI!$R$15,-1,0)</definedName>
    <definedName name="Import.QCIInv" hidden="1">OFFSET([1]QCI!$U$13,1,0):OFFSET([1]QCI!$U$15,-1,0)</definedName>
    <definedName name="Import.QCILote" hidden="1">OFFSET([1]QCI!$T$13,1,0):OFFSET([1]QCI!$T$15,-1,0)</definedName>
    <definedName name="Import.QCIOutros" hidden="1">OFFSET([1]QCI!$X$13,1,0):OFFSET([1]QCI!$X$15,-1,0)</definedName>
    <definedName name="Import.Quantidade" hidden="1">OFFSET([1]ORÇAMENTO!$AJ$15,1,0):OFFSET([1]ORÇAMENTO!$AJ$32,-1,0)</definedName>
    <definedName name="import.recurso" hidden="1">[1]DADOS!$F$4</definedName>
    <definedName name="Import.RegimeExecução" hidden="1">OFFSET([1]DADOS!$G$39,0,-1)</definedName>
    <definedName name="Import.Repasse" hidden="1">[1]DADOS!$F$9</definedName>
    <definedName name="Import.RespFiscalização" hidden="1">[1]DADOS!$F$50:$F$53</definedName>
    <definedName name="Import.RespOrçamento" hidden="1">[2]DADOS!$F$22:$F$24</definedName>
    <definedName name="Import.SICONV" hidden="1">[1]DADOS!$F$8</definedName>
    <definedName name="Import.Unidade" hidden="1">OFFSET([1]ORÇAMENTO!$S$15,1,0):OFFSET([1]ORÇAMENTO!$S$32,-1,0)</definedName>
    <definedName name="Import.UnitarioLicitado" hidden="1">OFFSET([1]ORÇAMENTO!$AL$15,1,0):OFFSET([1]ORÇAMENTO!$AL$32,-1,0)</definedName>
    <definedName name="MENU.CRONO" hidden="1">OFFSET(#REF!,1,0)</definedName>
    <definedName name="Objeto" hidden="1">[1]MENU!$J$1</definedName>
    <definedName name="ORÇAMENTO.BancoRef" hidden="1">[1]ORÇAMENTO!$F$8</definedName>
    <definedName name="ORÇAMENTO.CodBarra" hidden="1">IF(ORÇAMENTO.Fonte="Sinapi",SUBSTITUTE(SUBSTITUTE(ORÇAMENTO.Codigo,"/00","/"),"/0","/"),ORÇAMENTO.Codigo)</definedName>
    <definedName name="ORÇAMENTO.Codigo" hidden="1">[1]ORÇAMENTO!$Q1</definedName>
    <definedName name="ORÇAMENTO.CustoUnitario" hidden="1">ROUND([1]ORÇAMENTO!$U1,15-13*[1]ORÇAMENTO!$AF$8)</definedName>
    <definedName name="ORÇAMENTO.Descricao" hidden="1">[1]ORÇAMENTO!$R1</definedName>
    <definedName name="ORÇAMENTO.Fonte" hidden="1">[1]ORÇAMENTO!$P1</definedName>
    <definedName name="ORÇAMENTO.ListaCrono" hidden="1">OFFSET([1]ORÇAMENTO!$AD$15,1,0):OFFSET([1]ORÇAMENTO!$AD$32,-1,0)</definedName>
    <definedName name="ORÇAMENTO.MáximoListaCrono" hidden="1">MAX(ORÇAMENTO.ListaCrono)</definedName>
    <definedName name="ORÇAMENTO.Nivel" hidden="1">[1]ORÇAMENTO!$M1</definedName>
    <definedName name="ORÇAMENTO.OpcaoBDI" hidden="1">[1]ORÇAMENTO!$V1</definedName>
    <definedName name="ORÇAMENTO.PasteFormat1" hidden="1">OFFSET([1]ORÇAMENTO!$P$15,1,0):OFFSET([1]ORÇAMENTO!$S$32,-1,0)</definedName>
    <definedName name="ORÇAMENTO.PasteFormat2" hidden="1">OFFSET([1]ORÇAMENTO!$U$15,1,0):OFFSET([1]ORÇAMENTO!$V$32,-1,0)</definedName>
    <definedName name="ORÇAMENTO.PrecoUnitarioLicitado" hidden="1">[1]ORÇAMENTO!$AL1</definedName>
    <definedName name="ORÇAMENTO.RangeQuant" hidden="1">OFFSET([1]ORÇAMENTO!$T$15,1,0):OFFSET([1]ORÇAMENTO!$T$32,-1,0)</definedName>
    <definedName name="ORÇAMENTO.SumCPMANUAL" hidden="1">SUMIF([1]ORÇAMENTO!$Z$15:$Z$32,"CP",[1]ORÇAMENTO!$AA$15:$AA$32)</definedName>
    <definedName name="ORÇAMENTO.SumINVMANUAL" hidden="1">SUMIF([1]ORÇAMENTO!$Z$15:$Z$32,"RP",[1]ORÇAMENTO!$X$15:$X$32)+SUMIF([1]ORÇAMENTO!$Z$15:$Z$32,"CP",[1]ORÇAMENTO!$X$15:$X$32)+SUMIF([1]ORÇAMENTO!$Z$15:$Z$32,"OU",[1]ORÇAMENTO!$X$15:$X$32)</definedName>
    <definedName name="ORÇAMENTO.SumOUTROSMANUAL" hidden="1">SUMIF([1]ORÇAMENTO!$Z$15:$Z$32,"OU",[1]ORÇAMENTO!$AB$15:$AB$32)</definedName>
    <definedName name="ORÇAMENTO.SumREPASSEMANUAL" hidden="1">ORÇAMENTO.SumINVMANUAL-ORÇAMENTO.SumCPMANUAL-ORÇAMENTO.SumOUTROSMANUAL</definedName>
    <definedName name="ORÇAMENTO.Unidade" hidden="1">[1]ORÇAMENTO!$S1</definedName>
    <definedName name="PLE.firstrow" hidden="1">[1]PLE!$15:$15</definedName>
    <definedName name="PLE.lastrow" hidden="1">[1]PLE!$20:$20</definedName>
    <definedName name="PLE.Medicao" hidden="1">[1]PLE!$J$9</definedName>
    <definedName name="PLE.ValorDoEvento" hidden="1">SUMIF([1]CÁLCULO!$M$15:$M$32,[1]PLE!$B1,OFFSET([1]CÁLCULO!$AA$15:$AA$32,0,[1]PLE!A$12))</definedName>
    <definedName name="PO.ValoresBDI" hidden="1">OFFSET([1]ORÇAMENTO!$AH$15,1,0):OFFSET([1]ORÇAMENTO!$AH$32,-1,0)</definedName>
    <definedName name="QCI.CPManual" hidden="1">ROUND([1]QCI!$W1,2)</definedName>
    <definedName name="QCI.DescManual" hidden="1">[1]QCI!$R1</definedName>
    <definedName name="QCI.Divisao" hidden="1">[1]QCI!$V1</definedName>
    <definedName name="QCI.ExisteManual" hidden="1">(COUNTIF([1]QCI!$B$13:$B$15,"Manual")+COUNTIF([1]QCI!$B$13:$B$15,"SemiAuto"))&gt;0</definedName>
    <definedName name="QCI.InvManual" hidden="1">ROUND([1]QCI!$U1,2)</definedName>
    <definedName name="QCI.ItemInvestimento" hidden="1">OFFSET([1]DADOS!$J$2,1,0,COUNTA([1]DADOS!$J:$J)-1,1)</definedName>
    <definedName name="QCI.LoteManual" hidden="1">[1]QCI!$T1</definedName>
    <definedName name="QCI.MaxCPManual" hidden="1">[1]QCI!$O1-[1]QCI!$X1</definedName>
    <definedName name="QCI.MaxOUManual" hidden="1">[1]QCI!$O1-[1]QCI!$W1</definedName>
    <definedName name="QCI.OutrosManual" hidden="1">ROUND([1]QCI!$X1,2)</definedName>
    <definedName name="QCI.SubItemInvestimento" hidden="1">OFFSET([1]DADOS!$A$2,1,MATCH([1]QCI!$E1,[1]DADOS!$2:$2,0)-1,INDEX([1]DADOS!$2:$2,MATCH([1]QCI!$E1,[1]DADOS!$2:$2,0)+1))</definedName>
    <definedName name="QCI.SumCPMANUAL" hidden="1">SUMIF([1]QCI!$B$13:$B$15,"Manual",[1]QCI!$AA$13:$AA$15)</definedName>
    <definedName name="QCI.SumINVMANUAL" hidden="1">SUMIF([1]QCI!$B$13:$B$15,"Manual",[1]QCI!$O$13:$O$15)</definedName>
    <definedName name="QCI.SumOUTROSMANUAL" hidden="1">SUMIF([1]QCI!$B$13:$B$15,"Manual",[1]QCI!$AB$13:$AB$15)</definedName>
    <definedName name="QCI.SumREPASSEMANUAL" hidden="1">QCI.SumINVMANUAL-QCI.CPManual-QCI.OutrosManual</definedName>
    <definedName name="REFERENCIA.Descricao" hidden="1">IF(ISNUMBER([1]ORÇAMENTO!$AF1),OFFSET(INDIRECT(ORÇAMENTO.BancoRef),[1]ORÇAMENTO!$AF1-1,3,1),[1]ORÇAMENTO!$AF1)</definedName>
    <definedName name="REFERENCIA.Desonerado" hidden="1">IF(ISNUMBER([1]ORÇAMENTO!$AF1),VALUE(OFFSET(INDIRECT(ORÇAMENTO.BancoRef),[1]ORÇAMENTO!$AF1-1,5,1)),0)</definedName>
    <definedName name="REFERENCIA.NaoDesonerado" hidden="1">IF(ISNUMBER([1]ORÇAMENTO!$AF1),VALUE(OFFSET(INDIRECT(ORÇAMENTO.BancoRef),[1]ORÇAMENTO!$AF1-1,6,1)),0)</definedName>
    <definedName name="REFERENCIA.Unidade" hidden="1">IF(ISNUMBER([1]ORÇAMENTO!$AF1),OFFSET(INDIRECT(ORÇAMENTO.BancoRef),[1]ORÇAMENTO!$AF1-1,4,1),"-")</definedName>
    <definedName name="RegimeExecucao">IF(OR([3]DADOS!$A$33="Empreitada Preço Global",[3]DADOS!$A$33="Empreitada Integral"),"Global","Unitário")</definedName>
    <definedName name="RRE.MaxCPAcum" hidden="1">[1]RRE!$AD$17</definedName>
    <definedName name="RRE.MaxCPAnt" hidden="1">[1]RRE!$AC$17</definedName>
    <definedName name="RRE.MaxOUAcum" hidden="1">[1]RRE!$AD$18</definedName>
    <definedName name="RRE.MaxOUAnt" hidden="1">[1]RRE!$AC$18</definedName>
    <definedName name="RRE.Numero" hidden="1">OFFSET([1]RRE!$O$7,0,1)</definedName>
    <definedName name="RRE.VIMeta" hidden="1">[1]RRE!$L1</definedName>
    <definedName name="SENHAGT" hidden="1">"PM3CAIXA"</definedName>
    <definedName name="SomaAgrup" hidden="1">SUMIF(OFFSET([1]ORÇAMENTO!$C1,1,0,[1]ORÇAMENTO!$D1),"S",OFFSET([1]ORÇAMENTO!A1,1,0,[1]ORÇAMENTO!$D1))</definedName>
    <definedName name="SomaAgrupBM" hidden="1">SUMIF(OFFSET([1]BM!$A1,1,0,[1]BM!$B1),"S",OFFSET([1]BM!A1,1,0,[1]BM!$B1))</definedName>
    <definedName name="TIPOORCAMENTO" hidden="1">IF(VALUE([1]MENU!$O$3)=2,"Licitado","Proposto")</definedName>
    <definedName name="_xlnm.Print_Titles" localSheetId="0">'PLANILHA ORÇAMENTÁRIA'!$1:$9</definedName>
    <definedName name="Versao" hidden="1">[1]MENU!$J$2</definedName>
    <definedName name="VTOTAL1" hidden="1">ROUND([1]ORÇAMENTO!$T1*[1]ORÇAMENTO!$W1,15-13*[1]ORÇAMENTO!$AF$11)</definedName>
    <definedName name="VTOTALBM" hidden="1">IF([1]BM!$I1=0,0,CHOOSE(MATCH([0]!RegimeExecucao,{"Global","Unitário"},0),ROUND(ROUND([1]BM!XFB1,15-13*[1]BM!$A$9)/100*[1]BM!$I1,15-13*[1]ORÇAMENTO!$AF$11),ROUND(ROUND([1]BM!XFB1,15-13*[1]BM!$A$9)*ROUND([1]BM!$H1,15-13*[1]ORÇAMENTO!$AF$10),15-13*[1]ORÇAMENTO!$AF$11)))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21" i="25" l="1"/>
  <c r="O62" i="30" l="1"/>
  <c r="O63" i="30"/>
  <c r="O64" i="30"/>
  <c r="O61" i="30"/>
  <c r="C61" i="30"/>
  <c r="B61" i="30"/>
  <c r="A61" i="30"/>
  <c r="G32" i="13"/>
  <c r="H32" i="13" s="1"/>
  <c r="H33" i="31"/>
  <c r="H27" i="31"/>
  <c r="D61" i="30" l="1"/>
  <c r="F32" i="13" s="1"/>
  <c r="I32" i="13" s="1"/>
  <c r="O84" i="30"/>
  <c r="O83" i="30"/>
  <c r="C83" i="30"/>
  <c r="B83" i="30"/>
  <c r="A83" i="30"/>
  <c r="H40" i="13"/>
  <c r="A47" i="30"/>
  <c r="B47" i="30"/>
  <c r="C47" i="30"/>
  <c r="P91" i="30"/>
  <c r="D91" i="30" s="1"/>
  <c r="F47" i="13" s="1"/>
  <c r="D90" i="30"/>
  <c r="F46" i="13" s="1"/>
  <c r="D88" i="30"/>
  <c r="F44" i="13" s="1"/>
  <c r="D87" i="30"/>
  <c r="F43" i="13" s="1"/>
  <c r="D86" i="30"/>
  <c r="C90" i="30"/>
  <c r="B90" i="30"/>
  <c r="A90" i="30"/>
  <c r="A89" i="30"/>
  <c r="A87" i="30"/>
  <c r="B87" i="30"/>
  <c r="C87" i="30"/>
  <c r="A88" i="30"/>
  <c r="B88" i="30"/>
  <c r="C88" i="30"/>
  <c r="O78" i="30"/>
  <c r="O77" i="30"/>
  <c r="O76" i="30"/>
  <c r="O75" i="30"/>
  <c r="O74" i="30"/>
  <c r="O73" i="30"/>
  <c r="A73" i="30"/>
  <c r="B73" i="30"/>
  <c r="C73" i="30"/>
  <c r="A79" i="30"/>
  <c r="B79" i="30"/>
  <c r="C79" i="30"/>
  <c r="A72" i="30"/>
  <c r="B72" i="30"/>
  <c r="C72" i="30"/>
  <c r="C71" i="30"/>
  <c r="B71" i="30"/>
  <c r="A71" i="30"/>
  <c r="O70" i="30"/>
  <c r="O43" i="30"/>
  <c r="O67" i="30"/>
  <c r="O66" i="30"/>
  <c r="Q59" i="30"/>
  <c r="Q60" i="30"/>
  <c r="Q58" i="30"/>
  <c r="P54" i="30"/>
  <c r="P53" i="30"/>
  <c r="H51" i="30"/>
  <c r="H48" i="30"/>
  <c r="A53" i="30"/>
  <c r="B53" i="30"/>
  <c r="C53" i="30"/>
  <c r="O42" i="30"/>
  <c r="C42" i="30"/>
  <c r="B42" i="30"/>
  <c r="A42" i="30"/>
  <c r="I41" i="30"/>
  <c r="J41" i="30"/>
  <c r="K41" i="30"/>
  <c r="J40" i="30"/>
  <c r="K40" i="30"/>
  <c r="I40" i="30"/>
  <c r="C40" i="30"/>
  <c r="B40" i="30"/>
  <c r="A40" i="30"/>
  <c r="E39" i="30"/>
  <c r="I39" i="30"/>
  <c r="E33" i="30"/>
  <c r="E38" i="30"/>
  <c r="E36" i="30"/>
  <c r="I38" i="30"/>
  <c r="C38" i="30"/>
  <c r="B38" i="30"/>
  <c r="A38" i="30"/>
  <c r="N37" i="30"/>
  <c r="K36" i="30"/>
  <c r="N35" i="30"/>
  <c r="N34" i="30"/>
  <c r="K33" i="30"/>
  <c r="N32" i="30"/>
  <c r="J31" i="30"/>
  <c r="J30" i="30"/>
  <c r="I31" i="30"/>
  <c r="I30" i="30"/>
  <c r="Q29" i="30"/>
  <c r="Q28" i="30"/>
  <c r="P24" i="30"/>
  <c r="Q24" i="30" s="1"/>
  <c r="P25" i="30"/>
  <c r="Q25" i="30" s="1"/>
  <c r="P23" i="30"/>
  <c r="Q23" i="30" s="1"/>
  <c r="K22" i="30"/>
  <c r="Q22" i="30" s="1"/>
  <c r="P20" i="30"/>
  <c r="P26" i="30" s="1"/>
  <c r="Q26" i="30" s="1"/>
  <c r="A21" i="30"/>
  <c r="A17" i="30"/>
  <c r="B17" i="30"/>
  <c r="C17" i="30"/>
  <c r="Q13" i="30"/>
  <c r="O16" i="30"/>
  <c r="O15" i="30"/>
  <c r="C15" i="30"/>
  <c r="B15" i="30"/>
  <c r="A15" i="30"/>
  <c r="Q14" i="30"/>
  <c r="Q12" i="30"/>
  <c r="Q11" i="30"/>
  <c r="Q10" i="30"/>
  <c r="Q9" i="30"/>
  <c r="Q8" i="30"/>
  <c r="D6" i="30"/>
  <c r="H47" i="13"/>
  <c r="H46" i="13"/>
  <c r="H44" i="13"/>
  <c r="H43" i="13"/>
  <c r="H42" i="13"/>
  <c r="D83" i="30" l="1"/>
  <c r="F40" i="13" s="1"/>
  <c r="I40" i="13" s="1"/>
  <c r="D53" i="30"/>
  <c r="F30" i="13" s="1"/>
  <c r="D47" i="30"/>
  <c r="D73" i="30"/>
  <c r="D58" i="30"/>
  <c r="D42" i="30"/>
  <c r="F27" i="13" s="1"/>
  <c r="N36" i="30"/>
  <c r="Q41" i="30"/>
  <c r="N33" i="30"/>
  <c r="Q40" i="30"/>
  <c r="N38" i="30"/>
  <c r="O30" i="30"/>
  <c r="O31" i="30"/>
  <c r="N39" i="30"/>
  <c r="D28" i="30"/>
  <c r="D17" i="30"/>
  <c r="F17" i="13" s="1"/>
  <c r="D23" i="30"/>
  <c r="D15" i="30"/>
  <c r="I47" i="13"/>
  <c r="I46" i="13"/>
  <c r="I44" i="13"/>
  <c r="H38" i="13"/>
  <c r="H37" i="13"/>
  <c r="H36" i="13"/>
  <c r="H35" i="13"/>
  <c r="H31" i="13"/>
  <c r="H30" i="13"/>
  <c r="H27" i="13"/>
  <c r="H26" i="13"/>
  <c r="H25" i="13"/>
  <c r="H17" i="13"/>
  <c r="H16" i="13"/>
  <c r="D32" i="30" l="1"/>
  <c r="I17" i="13"/>
  <c r="I45" i="13"/>
  <c r="D22" i="25" s="1"/>
  <c r="G22" i="25" s="1"/>
  <c r="F37" i="13"/>
  <c r="I37" i="13" s="1"/>
  <c r="P79" i="30"/>
  <c r="F16" i="13"/>
  <c r="I16" i="13" s="1"/>
  <c r="O72" i="30"/>
  <c r="D72" i="30" s="1"/>
  <c r="D40" i="30"/>
  <c r="F26" i="13" s="1"/>
  <c r="I26" i="13" s="1"/>
  <c r="D38" i="30"/>
  <c r="F25" i="13" s="1"/>
  <c r="I25" i="13" s="1"/>
  <c r="D30" i="30"/>
  <c r="I30" i="13"/>
  <c r="I27" i="13"/>
  <c r="F36" i="13" l="1"/>
  <c r="I36" i="13" s="1"/>
  <c r="P81" i="30"/>
  <c r="A19" i="25" l="1"/>
  <c r="A17" i="25"/>
  <c r="A15" i="25"/>
  <c r="A13" i="25"/>
  <c r="A11" i="25"/>
  <c r="A9" i="25"/>
  <c r="A7" i="25"/>
  <c r="H39" i="13"/>
  <c r="H34" i="13"/>
  <c r="H29" i="13"/>
  <c r="H24" i="13"/>
  <c r="H23" i="13"/>
  <c r="H22" i="13"/>
  <c r="H20" i="13"/>
  <c r="H19" i="13"/>
  <c r="H15" i="13"/>
  <c r="H14" i="13"/>
  <c r="H12" i="13"/>
  <c r="H28" i="31" l="1"/>
  <c r="G29" i="31" s="1"/>
  <c r="G38" i="31"/>
  <c r="H34" i="31"/>
  <c r="H32" i="31"/>
  <c r="G35" i="31" l="1"/>
  <c r="G22" i="31"/>
  <c r="G24" i="31" s="1"/>
  <c r="G40" i="31" l="1"/>
  <c r="I43" i="13" l="1"/>
  <c r="F42" i="13"/>
  <c r="I42" i="13" s="1"/>
  <c r="A85" i="30"/>
  <c r="C91" i="30"/>
  <c r="B91" i="30"/>
  <c r="A91" i="30"/>
  <c r="C86" i="30"/>
  <c r="B86" i="30"/>
  <c r="A86" i="30"/>
  <c r="C82" i="30"/>
  <c r="B82" i="30"/>
  <c r="A82" i="30"/>
  <c r="C66" i="30"/>
  <c r="B66" i="30"/>
  <c r="A66" i="30"/>
  <c r="A65" i="30"/>
  <c r="F29" i="13"/>
  <c r="I29" i="13" s="1"/>
  <c r="C58" i="30"/>
  <c r="B58" i="30"/>
  <c r="A58" i="30"/>
  <c r="A46" i="30"/>
  <c r="C32" i="30"/>
  <c r="B32" i="30"/>
  <c r="A32" i="30"/>
  <c r="C30" i="30"/>
  <c r="B30" i="30"/>
  <c r="A30" i="30"/>
  <c r="C28" i="30"/>
  <c r="B28" i="30"/>
  <c r="A28" i="30"/>
  <c r="A27" i="30"/>
  <c r="C23" i="30"/>
  <c r="B23" i="30"/>
  <c r="A23" i="30"/>
  <c r="D22" i="30"/>
  <c r="C22" i="30"/>
  <c r="B22" i="30"/>
  <c r="A22" i="30"/>
  <c r="A8" i="30"/>
  <c r="B8" i="30"/>
  <c r="C8" i="30"/>
  <c r="C6" i="30"/>
  <c r="B6" i="30"/>
  <c r="A6" i="30"/>
  <c r="A5" i="30"/>
  <c r="O4" i="30"/>
  <c r="I41" i="13" l="1"/>
  <c r="D20" i="25" s="1"/>
  <c r="D4" i="30"/>
  <c r="F12" i="13" s="1"/>
  <c r="I12" i="13" s="1"/>
  <c r="F31" i="13"/>
  <c r="I31" i="13" s="1"/>
  <c r="I28" i="13" s="1"/>
  <c r="F19" i="13"/>
  <c r="I19" i="13" s="1"/>
  <c r="F14" i="13"/>
  <c r="I14" i="13" s="1"/>
  <c r="D8" i="30"/>
  <c r="F15" i="13" s="1"/>
  <c r="I15" i="13" s="1"/>
  <c r="D66" i="30"/>
  <c r="P80" i="30" s="1"/>
  <c r="D79" i="30" s="1"/>
  <c r="F23" i="13"/>
  <c r="I23" i="13" s="1"/>
  <c r="F22" i="13"/>
  <c r="I22" i="13" s="1"/>
  <c r="F20" i="13"/>
  <c r="I20" i="13" s="1"/>
  <c r="C4" i="30"/>
  <c r="B4" i="30"/>
  <c r="A4" i="30"/>
  <c r="G20" i="25" l="1"/>
  <c r="F20" i="25"/>
  <c r="D16" i="25"/>
  <c r="I13" i="13"/>
  <c r="D10" i="25" s="1"/>
  <c r="I18" i="13"/>
  <c r="F38" i="13"/>
  <c r="I38" i="13" s="1"/>
  <c r="P82" i="30"/>
  <c r="D82" i="30" s="1"/>
  <c r="F39" i="13" s="1"/>
  <c r="I39" i="13" s="1"/>
  <c r="F34" i="13"/>
  <c r="I34" i="13" s="1"/>
  <c r="O71" i="30"/>
  <c r="D71" i="30" s="1"/>
  <c r="F35" i="13" s="1"/>
  <c r="I35" i="13" s="1"/>
  <c r="F24" i="13"/>
  <c r="F16" i="25" l="1"/>
  <c r="G16" i="25"/>
  <c r="E16" i="25"/>
  <c r="E10" i="25"/>
  <c r="F10" i="25"/>
  <c r="I33" i="13"/>
  <c r="D18" i="25" s="1"/>
  <c r="D12" i="25"/>
  <c r="E12" i="25" s="1"/>
  <c r="I24" i="13"/>
  <c r="G18" i="25" l="1"/>
  <c r="G24" i="25" s="1"/>
  <c r="F18" i="25"/>
  <c r="I21" i="13"/>
  <c r="D14" i="25" s="1"/>
  <c r="F14" i="25" l="1"/>
  <c r="F24" i="25" s="1"/>
  <c r="E14" i="25"/>
  <c r="A3" i="30"/>
  <c r="A31" i="27" l="1"/>
  <c r="J20" i="27"/>
  <c r="J17" i="27"/>
  <c r="J25" i="27" l="1"/>
  <c r="I11" i="13"/>
  <c r="G48" i="13" s="1"/>
  <c r="P15" i="27"/>
  <c r="Q15" i="27"/>
  <c r="Q16" i="27"/>
  <c r="D8" i="25" l="1"/>
  <c r="D24" i="25" s="1"/>
  <c r="D21" i="25" s="1"/>
  <c r="O18" i="27"/>
  <c r="P18" i="27"/>
  <c r="Q17" i="27"/>
  <c r="P14" i="27"/>
  <c r="Q18" i="27"/>
  <c r="O14" i="27"/>
  <c r="Q14" i="27"/>
  <c r="P16" i="27"/>
  <c r="P17" i="27"/>
  <c r="O16" i="27"/>
  <c r="O17" i="27"/>
  <c r="O15" i="27"/>
  <c r="F23" i="25" l="1"/>
  <c r="G23" i="25"/>
  <c r="E8" i="25"/>
  <c r="E24" i="25" s="1"/>
  <c r="A5" i="25"/>
  <c r="A4" i="25"/>
  <c r="A3" i="25"/>
  <c r="D13" i="25" l="1"/>
  <c r="D15" i="25"/>
  <c r="D17" i="25"/>
  <c r="D11" i="25"/>
  <c r="D7" i="25" l="1"/>
  <c r="E23" i="25" l="1"/>
  <c r="D9" i="25"/>
  <c r="D3" i="25"/>
  <c r="D19" i="25"/>
  <c r="D23" i="25" l="1"/>
</calcChain>
</file>

<file path=xl/sharedStrings.xml><?xml version="1.0" encoding="utf-8"?>
<sst xmlns="http://schemas.openxmlformats.org/spreadsheetml/2006/main" count="437" uniqueCount="320">
  <si>
    <t>ITEM</t>
  </si>
  <si>
    <t>DESCRIÇÃO</t>
  </si>
  <si>
    <t>PLANILHA ORÇAMENTÁRIA DE CUSTOS</t>
  </si>
  <si>
    <t>CÓDIGO</t>
  </si>
  <si>
    <t>DIRETA</t>
  </si>
  <si>
    <t>INDIRETA</t>
  </si>
  <si>
    <t>(    )</t>
  </si>
  <si>
    <t xml:space="preserve">FORMA DE EXECUÇÃO: </t>
  </si>
  <si>
    <t>m²</t>
  </si>
  <si>
    <t>m</t>
  </si>
  <si>
    <t>Físico %</t>
  </si>
  <si>
    <t>Financeiro</t>
  </si>
  <si>
    <t>UNID.</t>
  </si>
  <si>
    <t>TOTAL</t>
  </si>
  <si>
    <t>QUANT.</t>
  </si>
  <si>
    <t>Engenheiro Civil</t>
  </si>
  <si>
    <t>PREÇO UNITÁRIO S/ BDI</t>
  </si>
  <si>
    <t xml:space="preserve">CUSTO TOTAL </t>
  </si>
  <si>
    <t>CUSTO UNITÁRIO C/ BDI</t>
  </si>
  <si>
    <t xml:space="preserve">VALOR TOTAL </t>
  </si>
  <si>
    <t>DATA:</t>
  </si>
  <si>
    <t>( X )</t>
  </si>
  <si>
    <t>COMPOSIÇÃO/DEMONSTRATIVO DE BDI - EM ANEXO</t>
  </si>
  <si>
    <t>% ISS MUNICIPAL:</t>
  </si>
  <si>
    <t>BDI:</t>
  </si>
  <si>
    <t>FONTE</t>
  </si>
  <si>
    <t>SEINFRA</t>
  </si>
  <si>
    <t>CRONOGRAMA FÍSICO-FINANCEIRO</t>
  </si>
  <si>
    <t>ETAPAS/DESCRIÇÃO</t>
  </si>
  <si>
    <t>FÍSICO/ FINANCEIRO</t>
  </si>
  <si>
    <t>TOTAL  ETAPAS</t>
  </si>
  <si>
    <t>MÊS 1</t>
  </si>
  <si>
    <t>MÊS 2</t>
  </si>
  <si>
    <t>MÊS 3</t>
  </si>
  <si>
    <t>MÊS 4</t>
  </si>
  <si>
    <t>Observações:</t>
  </si>
  <si>
    <t>Flávio Lucas Greco Santos</t>
  </si>
  <si>
    <t>CREA MG 64.880</t>
  </si>
  <si>
    <t xml:space="preserve">Nº DE FOLHAS: </t>
  </si>
  <si>
    <t>VALOR DA OBRA:</t>
  </si>
  <si>
    <t>COMPOSIÇÃO DO BDI</t>
  </si>
  <si>
    <t>L</t>
  </si>
  <si>
    <t>SG</t>
  </si>
  <si>
    <t>R</t>
  </si>
  <si>
    <t>Conforme legislação tributária municipal, definir estimativa de percentual da base de cálculo para o ISS:</t>
  </si>
  <si>
    <t>DF</t>
  </si>
  <si>
    <t>Sobre a base de cálculo, definir a respectiva alíquota do ISS (entre 2% e 5%):</t>
  </si>
  <si>
    <t>TIPO DE OBRA</t>
  </si>
  <si>
    <t>Itens</t>
  </si>
  <si>
    <t>Siglas</t>
  </si>
  <si>
    <t>% Adotado</t>
  </si>
  <si>
    <t>Situação</t>
  </si>
  <si>
    <t>1º Quartil</t>
  </si>
  <si>
    <t>Médio</t>
  </si>
  <si>
    <t>3º Quartil</t>
  </si>
  <si>
    <t>AC</t>
  </si>
  <si>
    <t>Administração Central</t>
  </si>
  <si>
    <t>-</t>
  </si>
  <si>
    <t>Lucro</t>
  </si>
  <si>
    <t>Despesas Financeiras</t>
  </si>
  <si>
    <t>Seguros, Garantia e Risco</t>
  </si>
  <si>
    <t>Seguros e Garantia</t>
  </si>
  <si>
    <t>Riscos</t>
  </si>
  <si>
    <t>Tributos</t>
  </si>
  <si>
    <t>I</t>
  </si>
  <si>
    <t>ISS</t>
  </si>
  <si>
    <t>PIS</t>
  </si>
  <si>
    <t>COFINS</t>
  </si>
  <si>
    <t>COF.</t>
  </si>
  <si>
    <t>CPRB (0 OU 4,5% - DESONERAÇÃO)</t>
  </si>
  <si>
    <t>BDI sem desoneração</t>
  </si>
  <si>
    <t>BDI</t>
  </si>
  <si>
    <t>Os valores de BDI foram calculados com o emprego da fórmula:</t>
  </si>
  <si>
    <t>BDI =</t>
  </si>
  <si>
    <t>(1 + AC + S+ R + G)*(1 + DF)*(1 + L)</t>
  </si>
  <si>
    <t xml:space="preserve"> - 1</t>
  </si>
  <si>
    <t>(1-CP-ISS-CRPB)</t>
  </si>
  <si>
    <t>Local</t>
  </si>
  <si>
    <t>Data</t>
  </si>
  <si>
    <t>Responsável Técnico</t>
  </si>
  <si>
    <t>Nome:</t>
  </si>
  <si>
    <t>FLÁVIO L. GRECO SANTOS</t>
  </si>
  <si>
    <t>CREA-MG:</t>
  </si>
  <si>
    <t>64.880/D</t>
  </si>
  <si>
    <t>S+R+G</t>
  </si>
  <si>
    <t>CRPB</t>
  </si>
  <si>
    <t>Eng.º Civil - CREA-MG 64.880/D</t>
  </si>
  <si>
    <t>SUBTOTAL:</t>
  </si>
  <si>
    <t>MEMÓRIA DE CÁLCULO</t>
  </si>
  <si>
    <t>UND.</t>
  </si>
  <si>
    <t>QNT.</t>
  </si>
  <si>
    <t>COMP.</t>
  </si>
  <si>
    <t>LARGURA</t>
  </si>
  <si>
    <t>ALTURA</t>
  </si>
  <si>
    <t>DESCONTOS</t>
  </si>
  <si>
    <t>ÁREA (M²)</t>
  </si>
  <si>
    <t>VOLUME (M³)</t>
  </si>
  <si>
    <t>LOCAIS E DETALHES</t>
  </si>
  <si>
    <t xml:space="preserve">            Flávio L. Greco S.</t>
  </si>
  <si>
    <t>RAIO</t>
  </si>
  <si>
    <t>SERVIÇOS PRELIMINARES</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</si>
  <si>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</si>
  <si>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</si>
  <si>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m³</t>
  </si>
  <si>
    <t>ED-51093</t>
  </si>
  <si>
    <t>APILOAMENTO MANUAL EM FUNDO DE VALA COM SOQUETE, EXCLUSIVE ESCAVAÇÃO</t>
  </si>
  <si>
    <t>Kg</t>
  </si>
  <si>
    <t>Nº FACES/PEÇAS</t>
  </si>
  <si>
    <t>Nº GERAL</t>
  </si>
  <si>
    <t>Estado de Minas Gerais</t>
  </si>
  <si>
    <t>COMPOSIÇÃO Nº. 001</t>
  </si>
  <si>
    <t>(A) Equipamento</t>
  </si>
  <si>
    <t>Código</t>
  </si>
  <si>
    <t>Ut. Pr.</t>
  </si>
  <si>
    <t>Ut. Impr</t>
  </si>
  <si>
    <t>Vl. Hr. Prod</t>
  </si>
  <si>
    <t>Vl. Hr Imp.</t>
  </si>
  <si>
    <t>Consumo</t>
  </si>
  <si>
    <t>Custo Horário</t>
  </si>
  <si>
    <t>(A) Total:</t>
  </si>
  <si>
    <t>(B) Mão-de-obra</t>
  </si>
  <si>
    <t>Eq. Salarial</t>
  </si>
  <si>
    <t>Sal/Hora</t>
  </si>
  <si>
    <t>Encargos (%)</t>
  </si>
  <si>
    <t>(B) Total:</t>
  </si>
  <si>
    <t>(C) Itens de Incidência</t>
  </si>
  <si>
    <t>%</t>
  </si>
  <si>
    <t>M.O.</t>
  </si>
  <si>
    <t>Equip.</t>
  </si>
  <si>
    <t>Mat.</t>
  </si>
  <si>
    <t>Custo</t>
  </si>
  <si>
    <t>(C) Total:</t>
  </si>
  <si>
    <t xml:space="preserve">Custo Horário da Execução (A) + (B) + (C) </t>
  </si>
  <si>
    <t>(D) Produção da Equipe</t>
  </si>
  <si>
    <t>(E) Custo Unitário da Execução [(A) + (B) + (C)] / (D)</t>
  </si>
  <si>
    <t>(F) Materiais</t>
  </si>
  <si>
    <t>Unid.</t>
  </si>
  <si>
    <t>Custo Unitário</t>
  </si>
  <si>
    <t>Custo Geral</t>
  </si>
  <si>
    <t>(F) Total:</t>
  </si>
  <si>
    <t>(G) Serviços</t>
  </si>
  <si>
    <t>(G) Total:</t>
  </si>
  <si>
    <t>(H) Itens de Transporte</t>
  </si>
  <si>
    <t>Fórmula</t>
  </si>
  <si>
    <t>X1 X2 X3</t>
  </si>
  <si>
    <t>(H) Total:</t>
  </si>
  <si>
    <t>Custo Direto Total (E) + (F) + (G) + (H):</t>
  </si>
  <si>
    <t>Flávio L. Greco S.</t>
  </si>
  <si>
    <t>SERVENTE COM ENCARGOS COMPLEMENTARES</t>
  </si>
  <si>
    <t>ED-50367
SEINFRA</t>
  </si>
  <si>
    <t>H</t>
  </si>
  <si>
    <t>PEDREIRO COM ENCARGOS COMPLEMENTARES</t>
  </si>
  <si>
    <t>ED-50381
SEINFRA</t>
  </si>
  <si>
    <r>
      <rPr>
        <b/>
        <sz val="9"/>
        <rFont val="Arial Nova"/>
        <family val="2"/>
      </rPr>
      <t>FOLHA N</t>
    </r>
    <r>
      <rPr>
        <b/>
        <sz val="9"/>
        <rFont val="Calibri"/>
        <family val="2"/>
        <scheme val="minor"/>
      </rPr>
      <t>º</t>
    </r>
    <r>
      <rPr>
        <b/>
        <sz val="9"/>
        <rFont val="Arial Nova"/>
        <family val="2"/>
      </rPr>
      <t>:</t>
    </r>
    <r>
      <rPr>
        <sz val="9"/>
        <rFont val="Arial Nova"/>
        <family val="2"/>
      </rPr>
      <t xml:space="preserve"> 01/01</t>
    </r>
  </si>
  <si>
    <t>PREFEITURA MUNICIPAL DE MARAVILHAS</t>
  </si>
  <si>
    <t>ED-48479</t>
  </si>
  <si>
    <t>DEMOLIÇÃO MANUAL DE PISO CIMENTADO OU CONTRAPISO DE ARGAMASSA, COM ESPESSURA MÁXIMA DE 10CM, INCLUSIVE AFASTAMENTO E EMPILHAMENTO, EXCLUSIVE TRANSPORTE E RETIRADA DO MATERIAL DEMOLIDO</t>
  </si>
  <si>
    <t>DEMOLIÇÃO / REMOÇÃO</t>
  </si>
  <si>
    <t>ED-48435</t>
  </si>
  <si>
    <t>DEMOLIÇÃO MANUAL DE ALVENARIA DE TIJOLO CERÂMICO OU BLOCO DE CONCRETO, INCLUSIVE AFASTAMENTO E EMPILHAMENTO, EXCLUSIVE TRANSPORTE E RETIRADA DO MATERIAL DEMOLIDO</t>
  </si>
  <si>
    <t>ED-48501</t>
  </si>
  <si>
    <t>DEMOLIÇÃO MANUAL DE REBOCO OU EMBOÇO, COM ESPESSURA DE ATÉ 55MM, INCLUSIVE AFASTAMENTO E EMPILHAMENTO, EXCLUSIVE TRANSPORTE E RETIRADA DO MATERIAL DEMOLIDO</t>
  </si>
  <si>
    <t>MOVIMENTAÇÃO DE TERRA</t>
  </si>
  <si>
    <t>ED-51110</t>
  </si>
  <si>
    <t>ESCAVAÇÃO MANUAL DE TERRA (DESATERRO MANUAL), INCLUSIVE DESCARGA LATERAL, EXCLUSIVE RETIRADA E TRANSPORTE DO MATERIAL ESCAVADO</t>
  </si>
  <si>
    <t>ED-51121</t>
  </si>
  <si>
    <t>REATERRO MANUAL DE VALA, INCLUSIVE ESPALHAMENTO E COMPACTAÇÃO MECANIZADA COM PLACA VIBRATÓRIA</t>
  </si>
  <si>
    <t>MURO DE ARRIMO</t>
  </si>
  <si>
    <t>ED-51107</t>
  </si>
  <si>
    <t>ESCAVAÇÃO MANUAL DE VALA COM PROFUNDIDADE MENOR OU IGUAL A 1,5M, INCLUSIVE DESCARGA LATERAL</t>
  </si>
  <si>
    <t>ED-49786</t>
  </si>
  <si>
    <t>FORNECIMENTO DE CONCRETO ESTRUTURAL, PREPARADO EM OBRA COM BETONEIRA, COM FCK 20MPA, INCLUSIVE LANÇAMENTO, ADENSAMENTO E ACABAMENTO (FUNDAÇÃO)</t>
  </si>
  <si>
    <t>ED-48220</t>
  </si>
  <si>
    <t>ALVENARIA DE BLOCO DE CONCRETO CHEIO SEM ARMAÇÃO, EM CONCRETO COM FCK DE 20MPA , ESP. 19CM, PARA REVESTIMENTO, INCLUSIVE ARGAMASSA PARA ASSENTAMENTO (DETALHE D - CADERNO SEDS)</t>
  </si>
  <si>
    <t>PISOS</t>
  </si>
  <si>
    <t>ED-51139</t>
  </si>
  <si>
    <t>GUIA DE MEIO-FIO, EM CONCRETO COM FCK 20MPA, PRÉ-MOLDADA, MFC-01 PADRÃO DER-MG, DIMENSÕES (12X16,7X35)CM, EXCLUSIVE SARJETA, INCLUSIVE ESCAVAÇÃO, APILOAMENTO E TRANSPORTE COM RETIRADA DO MATERIAL ESCAVADO (EM CAÇAMBA)</t>
  </si>
  <si>
    <t>ED-8915</t>
  </si>
  <si>
    <t>EXECUÇÃO DE PAVIMENTO COM PISO INTERTRAVADO, TIPO RETANGULAR, ESP. 6CM, COM FCK DE 35MPA, INCLUSIVE COLCHÃO DE AREIA, ESP. 6CM, PARA ASSENTAMENTO, COMPACTAÇÃO MECANIZADA, CARGA E DESCARGA MECÂNICA EM CAMINHÃO, EXCLUSIVE TRANSPORTE DE PISO INTERTRAVADO</t>
  </si>
  <si>
    <t>ED-50846</t>
  </si>
  <si>
    <t>ESCADA DE CONCRETO 20 MPa, APARENTE, ESPELHO = 15 A 18 CM, ARMAÇÃO, FÔRMA PLASTIFICADA, ESCORAMENTO E DESFORMA</t>
  </si>
  <si>
    <t>ED-50727</t>
  </si>
  <si>
    <t>CHAPISCO COM ARGAMASSA, TRAÇO 1:3 (CIMENTO E AREIA), ESP. 5MM, APLICADO EM ALVENARIA/ESTRUTURA DE CONCRETO COM COLHER, INCLUSIVE ARGAMASSA COM PREPARO MECANIZADO</t>
  </si>
  <si>
    <t>ED-6282</t>
  </si>
  <si>
    <t>REBOCO COM ARGAMASSA, TRAÇO 1:2:8 (CIMENTO, CAL E AREIA), ESP. 25MM, APLICAÇÃO MANUAL, INCLUSIVE ARGAMASSA COM PREPARO MECANIZADO</t>
  </si>
  <si>
    <t>ED-6288</t>
  </si>
  <si>
    <r>
      <t xml:space="preserve">REBOCO COM ARGAMASSA, TRAÇO 1:2:8 (CIMENTO, CAL E AREIA), ESP. 40MM, APLICAÇÃO MANUAL, INCLUSIVE ARGAMASSA COM PREPARO MECANIZADO </t>
    </r>
    <r>
      <rPr>
        <b/>
        <sz val="12"/>
        <rFont val="Arial"/>
        <family val="2"/>
      </rPr>
      <t>(PREENCHIMENTO)</t>
    </r>
  </si>
  <si>
    <t>ED-50505</t>
  </si>
  <si>
    <t>LIXAMENTO MANUAL EM PAREDE PARA REMOÇÃO DE TINTA</t>
  </si>
  <si>
    <t>ED-50514</t>
  </si>
  <si>
    <t>PREPARAÇÃO PARA EMASSAMENTO OU PINTURA (LÁTEX/ACRÍLICA) EM PAREDE, INCLUSIVE UMA (1) DEMÃO DE SELADOR ACRÍLICO</t>
  </si>
  <si>
    <t>ED-50451</t>
  </si>
  <si>
    <t>PINTURA ACRÍLICA EM PAREDE, DUAS (2) DEMÃOS, COM APLICAÇÃO MANUAL, EXCLUSIVE SELADOR ACRÍLICO E MASSA ACRÍLICA/CORRIDA (PVA)</t>
  </si>
  <si>
    <t>REVESTIMENTOS E PINTURA</t>
  </si>
  <si>
    <t>MOBILIÁRIO URBANO E ILUMINAÇÃO</t>
  </si>
  <si>
    <t>SINAPI</t>
  </si>
  <si>
    <t>101654</t>
  </si>
  <si>
    <t>LUMINÁRIA DE LED PARA ILUMINAÇÃO PÚBLICA, DE 33 W ATÉ 50 W - FORNECIMENTO E INSTALAÇÃO. AF_02/2025_PS</t>
  </si>
  <si>
    <t>ED-22380</t>
  </si>
  <si>
    <t>POSTE DE AÇO GALVANIZADO, ALTURA LIVRE MÍNIMA DE 6M, COM 2 REFLETORES DE LED, POTÊNCIA DE 200W CADA, INCLUSIVE FIAÇÃO, SUPORTE E FUNDAÇÃO</t>
  </si>
  <si>
    <t>ED-15447</t>
  </si>
  <si>
    <t>BANCO EM CONCRETO APARENTE, TIPO-1, PADRÃO SEE-MG, SEM ENCOSTO, POLIDO COM ACABAMENTO EM VERNIZ, ESP. 5CM, COMPRIMENTO 130CM, LARGURA 40CM, ALTURA 45CM, INCLUSIVE CORTE NO PISO PARA FIXAÇÃO COM CONCRETO NÃO ESTRUTURAL, PREPARADO EM OBRA COM BETONEIRA, COM FCK 15 MPA</t>
  </si>
  <si>
    <t>ENTREGA DE OBRA</t>
  </si>
  <si>
    <t>ED-50634</t>
  </si>
  <si>
    <t>PLACA DE ALUMÍNIO FUNDIDO, DIMENSÃO (60X40)CM, PARA INAUGURAÇÃO, INCLUSIVE FIXAÇÃO</t>
  </si>
  <si>
    <t>ED-50266</t>
  </si>
  <si>
    <t>LIMPEZA FINAL PARA ENTREGA DA OBRA</t>
  </si>
  <si>
    <t>ÁREA (M²)
POLYLINES</t>
  </si>
  <si>
    <t>PLACA DE 2,40X1,20, PADRÃO DO MUNICÍPIO</t>
  </si>
  <si>
    <t>PERÍMETRO</t>
  </si>
  <si>
    <t>ÁREA DA CALÇADA CONTÍGUA À PRAÇA, CONFORME POLYLINE CAD</t>
  </si>
  <si>
    <t>ÁREA DA ESCADA EXISTENTE, CONFORME POLYLINE CAD</t>
  </si>
  <si>
    <t>GUIA EXISTENTE ONDE SERÁ EXECUTADO O CALÇADÃO LADO ESQ.</t>
  </si>
  <si>
    <t>GUIA EXISTENTE ONDE SERÁ EXECUTADO O CALÇADÃO LADO DIR.</t>
  </si>
  <si>
    <t>MURETA NO ACESSO AO CALÇADÃO INFERIOR LADO ESQ. (ALT. ESTIMADA)</t>
  </si>
  <si>
    <t>MURETA NO ACESSO AO CALÇADÃO INFERIOR LADO DIR. (ALT. ESTIMADA)</t>
  </si>
  <si>
    <t>MURETA NO ACESSO AO CALÇADÃO SUPERIOR LADO ESQ. (ALT. ESTIMADA)</t>
  </si>
  <si>
    <t>MURETA NO ACESSO AO CALÇADÃO SUPERIOR LADO DIR. (ALT. ESTIMADA)</t>
  </si>
  <si>
    <t>REBOCO A SER DEMOLIDO NA MURETA ONDE SERÁ EXECUTADO O CALÇADÃO LADO ESQ.</t>
  </si>
  <si>
    <t>REBOCO A SER DEMOLIDO NA MURETA ONDE SERÁ EXECUTADO O CALÇADÃO LADO DIR.</t>
  </si>
  <si>
    <t>PLACA DE INAUGURAÇÃO</t>
  </si>
  <si>
    <t>ED-50702</t>
  </si>
  <si>
    <t>DESMATAMENTO, DESTOCAMENTO E LIMPEZA, INCLUSIVE TRANSPORTE ATÉ CINQUENTA (50) METROS</t>
  </si>
  <si>
    <t>ÁREA CALÇADÃO SUPERIOR (DESCONTANDO ESCADA) CONFORME POLYLINE</t>
  </si>
  <si>
    <t>ÁREA CALÇADÃO INFERIOR LADO ESQ. CONFORME POLYLINE</t>
  </si>
  <si>
    <t>ÁREA CALÇADÃO INFERIOR LADO DIR. CONFORME POLYLINE</t>
  </si>
  <si>
    <t>CANTEIROS EM SEÇÃO CIRCULAR NOS CANTOS INFERIORES DA PRAÇA</t>
  </si>
  <si>
    <t>ÁREA A SER ESCAVADA ONDE SERÃO EXECUTADAS AS ESCADAS DE ACESSO AOS CALÇADÕES INFERIORES</t>
  </si>
  <si>
    <t>ÁREA DO CALÇADÃO SUPERIOR, ALTURA A SER ATERRADA ESTIMADA DE 40CM</t>
  </si>
  <si>
    <t>ÁREA DO CALÇADÃO INFERIOR LADO ESQ., ALTURA A SER ATERRADA ESTIMADA DE 20CM</t>
  </si>
  <si>
    <t>ÁREA DO CALÇADÃO INFERIOR LADO DIR., ALTURA A SER ATERRADA ESTIMADA DE 20CM</t>
  </si>
  <si>
    <t>CANTEIROS EM SEÇÃO CIRCULAR NOS CANTOS INFERIORES DA PRAÇA, ALTURA A SER ATERRADA ESTIMADA DE 10CM</t>
  </si>
  <si>
    <t>ESCAVAÇÃO EM SEÇÃO DE 20X20cm PARA EXECUÇÃO DE BALDRAME NO CALÇADÃO SUPERIOR LADO ESQ.</t>
  </si>
  <si>
    <t>ESCAVAÇÃO EM SEÇÃO DE 20X20cm PARA EXECUÇÃO DE BALDRAME NO CALÇADÃO SUPERIOR LADO DIR.</t>
  </si>
  <si>
    <t>APILOAMENTO DA ÁREA ESCAVADA, CALÇADÃO SUPERIOR LADO ESQ.</t>
  </si>
  <si>
    <t>APILOAMENTO DA ÁREA ESCAVADA, CALÇADÃO SUPERIOR LADO DIR.</t>
  </si>
  <si>
    <t>ED-48295</t>
  </si>
  <si>
    <t>CORTE, DOBRA E MONTAGEM DE AÇO CA-50, DIÂMETRO (6,3MM A 12,5MM), INCLUSIVE ESPAÇADOR</t>
  </si>
  <si>
    <t>ED-48297</t>
  </si>
  <si>
    <t>CORTE, DOBRA E MONTAGEM DE AÇO CA-60, DIÂMETRO (4,2MM A 5,0MM), INCLUSIVE ESPAÇADOR</t>
  </si>
  <si>
    <t>PESO NOMINAL
(KG/M)</t>
  </si>
  <si>
    <t>PESO TOTAL (KG)</t>
  </si>
  <si>
    <t>MURO DE ARRIMO LADO ESQ.: ARMAÇÃO DA VIGA BALDRAME COM CA50 DN6.3, 4X ESTRIBOS</t>
  </si>
  <si>
    <t>MURO DE ARRIMO LADO ESQ.: ARMAÇÃO VERTICAL NOS FUROS DOS BLOCOS C/ ESPAÇAMENTO DE 19CM, ALTURA 60(MURO) + 20(BALDRAME) CM, AÇO CA50 DN6.3</t>
  </si>
  <si>
    <t>MURO DE ARRIMO LADO ESQ.: ARMAÇÃO HORIZONTAL ENTRE OS BLOCOS E BALDRAME, AÇO CA50 DN6.3</t>
  </si>
  <si>
    <t>MURO DE ARRIMO LADO DIR.: ARMAÇÃO DA VIGA BALDRAME COM CA50 DN6.3, 4X ESTRIBOS</t>
  </si>
  <si>
    <t>MURO DE ARRIMO LADO DIR.: ARMAÇÃO VERTICAL NOS FUROS DOS BLOCOS C/ ESPAÇAMENTO DE 19CM, ALTURA 50(MURO) + 20(BALDRAME) CM, AÇO CA50 DN6.3</t>
  </si>
  <si>
    <t>MURO DE ARRIMO LADO DIR.: ARMAÇÃO HORIZONTAL ENTRE OS BLOCOS E BALDRAME, AÇO CA50 DN6.3</t>
  </si>
  <si>
    <t>MURO DE ARRIMO LADO ESQ.: ESTRIBOS COM 0,66CM, ESPAÇAMENTO DE 20CM EM AÇO CA60 DN5.0</t>
  </si>
  <si>
    <t>MURO DE ARRIMO LADO DIR.: ESTRIBOS COM 0,66CM, ESPAÇAMENTO DE 20CM EM AÇO CA60 DN5.0</t>
  </si>
  <si>
    <t>VIGA BALDRAME NO MURO DE ARRIMO LADO ESQ., SEÇÃO DE 20X20CM</t>
  </si>
  <si>
    <t>VIGA BALDRAME NO MURO DE ARRIMO LADO DIR., SEÇÃO DE 20X20CM</t>
  </si>
  <si>
    <t>MURO DE ARRIMO LADO ESQ., ALTURA ADOTADA = (75+51CM) / 2 = 63 -&gt; 60CM</t>
  </si>
  <si>
    <t>MURO DE ARRIMO LADO DIR., ALTURA ADOTADA = (64+33CM) / 2 = 48,5 -&gt; 50CM</t>
  </si>
  <si>
    <t>EXTENSÃO A SER ACRESCIDA NO CALÇADÃO LADO ESQ. CONFORME PROJETO</t>
  </si>
  <si>
    <t>GUIAS A SEREM ACRESCIDAS NO CALÇADÃO LADO ESQ., NO ENTORNO DAS ÁRVORES, CONFORME PROJETO</t>
  </si>
  <si>
    <t>GUIAS A SEREM ACRESCIDAS ENTRE O CALÇADÃO LADO ESQ. E TALUDE, MEDIDAS CONFORME PROJETO</t>
  </si>
  <si>
    <t>EXTENSÃO A SER ACRESCIDA NO CALÇADÃO LADO DIR. CONFORME PROJETO</t>
  </si>
  <si>
    <t>GUIAS A SEREM ACRESCIDAS NO CALÇADÃO LADO DIR., NO ENTORNO DAS ÁRVORES, CONFORME PROJETO</t>
  </si>
  <si>
    <t>GUIAS A SEREM ACRESCIDAS ENTRE O CALÇADÃO LADO DIR. E TALUDE, MEDIDAS CONFORME PROJETO</t>
  </si>
  <si>
    <t>CALÇADÃO INFERIOR LADO ESQ., CONFORME POLYLINE CAD (DESCONTANDO CANTEIROS)</t>
  </si>
  <si>
    <t>CALÇADÃO INFERIOR LADO DIR., CONFORME POLYLINE CAD (DESCONTANDO CANTEIROS)</t>
  </si>
  <si>
    <t>CALÇADÃO SUPERIOR, CONFORME POLYLINE CAD</t>
  </si>
  <si>
    <t>ESCADA PRINCIPAL, PERÍMETRO CONFORME POLYLINE CAD</t>
  </si>
  <si>
    <t>ESCADA ACESSO CALÇADÃO LADO ESQ.</t>
  </si>
  <si>
    <t>ESCADA ACESSO CALÇADÃO LADO DIR.</t>
  </si>
  <si>
    <t>MURO DE ARRIMO LADO ESQ.</t>
  </si>
  <si>
    <t>MURO DE ARRIMO LADO DIR.</t>
  </si>
  <si>
    <t>FAIXA DEMOLIDA DAS MURETAS PARA EXECUÇÃO DAS ESCADAS</t>
  </si>
  <si>
    <t>MURETA NA LATERAL DA ESCADA DE ACESSO AO CALÇADÃO LADO ESQ.</t>
  </si>
  <si>
    <t>MURETA NA LATERAL DA ESCADA DE ACESSO AO CALÇADÃO LADO DIR.</t>
  </si>
  <si>
    <t>MESMO QUE A ÁREA DE CHAPISCO</t>
  </si>
  <si>
    <t>MESMO QUE A ÁREA DE DEMOLIÇÃO DO REBOCO PARA PREENCHIMENTO</t>
  </si>
  <si>
    <t>FAIXA DA MURETA FRONTAL LADO ESQ. ACIMA DO REBOCO PREENCHIDO</t>
  </si>
  <si>
    <t>FAIXA DA MURETA FRONTAL LADO DIR. ACIMA DO REBOCO PREENCHIDO</t>
  </si>
  <si>
    <t>PONTA CIRCULAR LAT. ESQ.</t>
  </si>
  <si>
    <t>MESMO QUE A ÁREA DE LIXAMENTO</t>
  </si>
  <si>
    <t>MESMO QUE A ÁREA DE CHAPISCO/REBOCO</t>
  </si>
  <si>
    <t>MESMO QUE A ÁREA DE PREENCHIMENTO DO REBOCO</t>
  </si>
  <si>
    <t>MESMO QUE A ÁREA DE PINTURA</t>
  </si>
  <si>
    <t>32 UNIDADES, 2 LUMINÁRIAS POR PALMEIRA, CONFORME PROJETO</t>
  </si>
  <si>
    <t>10 UNIDADES, SENDO 4 NO CALÇADÃO SUPERIOR, 3 NO CALÇADÃO LADO ESQ. E 3 NO CALÇADÃO LADO DIR.</t>
  </si>
  <si>
    <t>11 UNIDADES, SENDO 6 NO CALÇADÃO LADO DIR. E 5 NO CALÇADÃO LADO ESQ. CONFORME PROJETO</t>
  </si>
  <si>
    <t>UMA UNIDADE</t>
  </si>
  <si>
    <t>ÁREA DA CALÇADA CONTÍGUA À PRAÇA + ÁREAS DOS CALÇADÕES + ÁREAS DAS ESCADAS, NÃO FORAM CONSIDERADAS AS ÁREAS DOS TALUDES GRAMADOS, POLYLINES CONFORME CAD</t>
  </si>
  <si>
    <t>03</t>
  </si>
  <si>
    <t>CNPJ: 18.313.841/0001-14</t>
  </si>
  <si>
    <t>MURETAS CONTÍGUAS À ESCADA PRINCIPAL, POLYINE CONFORME CAD (FACES VOLTADAS P/ ESCADA)</t>
  </si>
  <si>
    <t>MURETAS CONTÍGUAS À ESCADA PRINCIPAL, POLYINE CONFORME CAD (FACES VOLTADAS P/ TALUDES)</t>
  </si>
  <si>
    <t>RO-13906</t>
  </si>
  <si>
    <t>CAIAÇÃO MANUAL, TRÊS DEMÃOS (EXECUÇÃO, INCLUI FORNECIMENTO E APLICAÇÃO DA CAL HIDRATADA PARA CAIAÇÃO)</t>
  </si>
  <si>
    <t>GUIA DE MEIO-FIO EXISTENTE, PERÍMETRO EXTERNO DA CALÇADA, ALTURA E LARGURA DE 15CM ESTIMADAS</t>
  </si>
  <si>
    <t>GUIA DE MEIO-FIO EXISTENTE, PERÍMETRO INTERNO DA CALÇADA, ALTURA E LARGURA DE 15CM ESTIMADAS</t>
  </si>
  <si>
    <t>Município de Maravilhas</t>
  </si>
  <si>
    <t>UNIDADE: m² (Metro quadrado)</t>
  </si>
  <si>
    <t>DATA: 06/07/2026</t>
  </si>
  <si>
    <t>ARGAMASSA COLANTE (TIPO: AC-III|UTILIZAÇÃO: AMBIENTES INTERNOS E EXTERNOS)</t>
  </si>
  <si>
    <t>MATED-12352
SEINFRA</t>
  </si>
  <si>
    <t>REVESTIMENTO DE PISO COM PEDRA MIRACEMA NA COR CINZA, PEÇAS COM 11,5X23CM, ESP. 1CM, ACABAMENTO NATURAL, INCLUSIVE FORNECIMENTO DO MATERIAL DE REVESTIMENTO, ASSENTAMENTO COM ARGAMASSA INDUSTRIALIZADA E REJUNTAMENTO</t>
  </si>
  <si>
    <t>PEDRA MIRACEMA PARA REVESTIMENTO EM PISO, COR: CINZA | COMPRIMENTO: 23CM | LARGURA 11,5CM | ESPESSURA: 1CM</t>
  </si>
  <si>
    <t>COTAÇÃO</t>
  </si>
  <si>
    <t>APLICAÇÃO DE REJUNTE CIMENTÍCIO COLORIDO INDUSTRIALIZADO PARA REVESTIMENTOS DE PAREDE/PISO COM JUNTAS DE ATÉ 3MM DE ESPESSURA</t>
  </si>
  <si>
    <t>ED-50718
SEINFRA</t>
  </si>
  <si>
    <t>COMPOSIÇÃO</t>
  </si>
  <si>
    <t>CPU-001</t>
  </si>
  <si>
    <t>ESCADA PRINCIPAL</t>
  </si>
  <si>
    <t>ESCADA DE ACESSO AO CALÇADÃO LADO ESQ.</t>
  </si>
  <si>
    <t>ESCADA DE ACESSO AO CALÇADÃO LADO DIR.</t>
  </si>
  <si>
    <t>PATAMAR NO NIVEL +0,19 ENTRE AS TRÊS ESCADAS</t>
  </si>
  <si>
    <r>
      <rPr>
        <b/>
        <sz val="12"/>
        <rFont val="Arial"/>
        <family val="2"/>
      </rPr>
      <t>REGIÃO/MÊS DE REFERÊNCIA:</t>
    </r>
    <r>
      <rPr>
        <sz val="12"/>
        <rFont val="Arial"/>
        <family val="2"/>
      </rPr>
      <t xml:space="preserve"> SEINFRA/Região Central - Abril/2026 - Sem Desoneração; SINAPI-MG - Maio/2026 - Não Desonerada</t>
    </r>
  </si>
  <si>
    <t>MUNICÍPIO DE MARAVILHAS</t>
  </si>
  <si>
    <r>
      <t xml:space="preserve">DATA: </t>
    </r>
    <r>
      <rPr>
        <sz val="9"/>
        <rFont val="Arial Nova"/>
        <family val="2"/>
      </rPr>
      <t>06/07/2026</t>
    </r>
  </si>
  <si>
    <t>PREVISÃO DE EXECUÇÃO DAS OBRAS: 03 MESES</t>
  </si>
  <si>
    <t>Obra de paisagismo</t>
  </si>
  <si>
    <t>MARAVILHAS-MG</t>
  </si>
  <si>
    <t>Segunda-feira, 06 de julho de 2026</t>
  </si>
  <si>
    <r>
      <rPr>
        <b/>
        <sz val="12"/>
        <rFont val="Arial"/>
        <family val="2"/>
      </rPr>
      <t>OBRA:</t>
    </r>
    <r>
      <rPr>
        <sz val="12"/>
        <rFont val="Arial"/>
        <family val="2"/>
      </rPr>
      <t xml:space="preserve"> Intervenção Paisagística na Praça 13 de junho</t>
    </r>
  </si>
  <si>
    <r>
      <rPr>
        <b/>
        <sz val="12"/>
        <color theme="1"/>
        <rFont val="Arial"/>
        <family val="2"/>
      </rPr>
      <t>LOCAL:</t>
    </r>
    <r>
      <rPr>
        <sz val="12"/>
        <color theme="1"/>
        <rFont val="Arial"/>
        <family val="2"/>
      </rPr>
      <t xml:space="preserve"> Praça 13 de junho, bairro Centro, Município de Maravilhas-MG.</t>
    </r>
  </si>
  <si>
    <t>INTERVENÇÃO PAISAGÍSTICA NA PRAÇA 13 JUNHO, BAIRRO CENTRO,                                               MUNICÍPIO DE MARAVILHAS-MG</t>
  </si>
  <si>
    <t>INTERVENÇÃO PAISAGÍSTICA NA PRAÇA 13 JUNHO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</si>
</sst>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4" formatCode="_-&quot;R$&quot;\ * #,##0.00_-;\-&quot;R$&quot;\ * #,##0.00_-;_-&quot;R$&quot;\ * &quot;-&quot;??_-;_-@_-"/>
    <numFmt numFmtId="43" formatCode="_-* #,##0.00_-;\-* #,##0.00_-;_-* &quot;-&quot;??_-;_-@_-"/>
    <numFmt numFmtId="164" formatCode="_-&quot;R$&quot;* #,##0.00_-;\-&quot;R$&quot;* #,##0.00_-;_-&quot;R$&quot;* &quot;-&quot;??_-;_-@_-"/>
    <numFmt numFmtId="165" formatCode="_(* #,##0.00_);_(* \(#,##0.00\);_(* &quot;-&quot;??_);_(@_)"/>
    <numFmt numFmtId="166" formatCode="_(* #,##0.00_);_(* \(#,##0.00\);_(* \-??_);_(@_)"/>
    <numFmt numFmtId="167" formatCode="&quot;R$&quot;#,##0.00"/>
    <numFmt numFmtId="168" formatCode="&quot;R$&quot;\ #,##0.00"/>
    <numFmt numFmtId="169" formatCode="_(&quot;R$ &quot;* #,##0.00_);_(&quot;R$ &quot;* \(#,##0.00\);_(&quot;R$ &quot;* \-??_);_(@_)"/>
    <numFmt numFmtId="170" formatCode="General;General"/>
    <numFmt numFmtId="171" formatCode="[$-F800]dddd\,\ mmmm\ dd\,\ yyyy"/>
    <numFmt numFmtId="172" formatCode="dd&quot; de &quot;mmmm&quot; de &quot;yyyy"/>
    <numFmt numFmtId="173" formatCode="0.000"/>
  </numFmts>
  <fonts count="37" x14ac:knownFonts="1">
    <font>
      <sz val="10"/>
      <name val="Arial"/>
    </font>
    <font>
      <sz val="11"/>
      <color theme="1"/>
      <name val="Calibri"/>
      <family val="2"/>
      <scheme val="minor"/>
    </font>
    <font>
      <sz val="10"/>
      <name val="Arial"/>
      <family val="2"/>
    </font>
    <font>
      <sz val="8"/>
      <name val="Arial"/>
      <family val="2"/>
    </font>
    <font>
      <b/>
      <sz val="10"/>
      <name val="Arial"/>
      <family val="2"/>
    </font>
    <font>
      <b/>
      <sz val="12"/>
      <name val="Arial"/>
      <family val="2"/>
    </font>
    <font>
      <sz val="10"/>
      <name val="Arial"/>
      <family val="2"/>
    </font>
    <font>
      <sz val="12"/>
      <name val="Arial"/>
      <family val="2"/>
    </font>
    <font>
      <b/>
      <sz val="11"/>
      <name val="Arial"/>
      <family val="2"/>
    </font>
    <font>
      <sz val="11"/>
      <name val="Arial"/>
      <family val="2"/>
    </font>
    <font>
      <b/>
      <sz val="10"/>
      <color indexed="8"/>
      <name val="Arial"/>
      <family val="2"/>
    </font>
    <font>
      <u/>
      <sz val="10"/>
      <color indexed="12"/>
      <name val="Arial"/>
      <family val="2"/>
    </font>
    <font>
      <b/>
      <sz val="12"/>
      <color indexed="8"/>
      <name val="Arial"/>
      <family val="2"/>
    </font>
    <font>
      <sz val="10"/>
      <name val="Arial"/>
      <family val="2"/>
    </font>
    <font>
      <sz val="10"/>
      <name val="Arial Nova"/>
      <family val="2"/>
    </font>
    <font>
      <b/>
      <sz val="10"/>
      <name val="Arial Nova"/>
      <family val="2"/>
    </font>
    <font>
      <b/>
      <u/>
      <sz val="10"/>
      <name val="Arial Nova"/>
      <family val="2"/>
    </font>
    <font>
      <b/>
      <sz val="9"/>
      <name val="Arial Nova"/>
      <family val="2"/>
    </font>
    <font>
      <sz val="9"/>
      <name val="Arial Nova"/>
      <family val="2"/>
    </font>
    <font>
      <b/>
      <u/>
      <sz val="12"/>
      <name val="Arial"/>
      <family val="2"/>
    </font>
    <font>
      <sz val="12"/>
      <color theme="1"/>
      <name val="Arial"/>
      <family val="2"/>
    </font>
    <font>
      <b/>
      <sz val="12"/>
      <color theme="1"/>
      <name val="Arial"/>
      <family val="2"/>
    </font>
    <font>
      <b/>
      <sz val="28"/>
      <name val="Arial"/>
      <family val="2"/>
    </font>
    <font>
      <b/>
      <sz val="17"/>
      <name val="Arial"/>
      <family val="2"/>
    </font>
    <font>
      <sz val="9"/>
      <name val="Arial"/>
      <family val="2"/>
    </font>
    <font>
      <i/>
      <sz val="12"/>
      <name val="Calibri"/>
      <family val="2"/>
    </font>
    <font>
      <i/>
      <u/>
      <sz val="12"/>
      <name val="Calibri"/>
      <family val="2"/>
    </font>
    <font>
      <u/>
      <sz val="10"/>
      <name val="Arial"/>
      <family val="2"/>
    </font>
    <font>
      <sz val="10"/>
      <color theme="1"/>
      <name val="Arial"/>
      <family val="2"/>
    </font>
    <font>
      <b/>
      <sz val="11"/>
      <color theme="1"/>
      <name val="Arial"/>
      <family val="2"/>
    </font>
    <font>
      <sz val="8"/>
      <color theme="1"/>
      <name val="Arial"/>
      <family val="2"/>
    </font>
    <font>
      <b/>
      <sz val="9"/>
      <color theme="1"/>
      <name val="Arial"/>
      <family val="2"/>
    </font>
    <font>
      <b/>
      <sz val="26"/>
      <name val="Arial Nova"/>
      <family val="2"/>
    </font>
    <font>
      <b/>
      <sz val="26"/>
      <name val="Times New Roman"/>
      <family val="1"/>
    </font>
    <font>
      <b/>
      <sz val="14"/>
      <name val="Times New Roman"/>
      <family val="1"/>
    </font>
    <font>
      <b/>
      <sz val="12"/>
      <name val="Times New Roman"/>
      <family val="1"/>
    </font>
    <font>
      <b/>
      <sz val="9"/>
      <name val="Calibri"/>
      <family val="2"/>
      <scheme val="minor"/>
    </font>
  </fonts>
  <fills count="14">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theme="6" tint="0.39997558519241921"/>
        <bgColor indexed="64"/>
      </patternFill>
    </fill>
    <fill>
      <patternFill patternType="solid">
        <fgColor theme="6" tint="0.79998168889431442"/>
        <bgColor indexed="64"/>
      </patternFill>
    </fill>
    <fill>
      <patternFill patternType="solid">
        <fgColor indexed="43"/>
        <bgColor indexed="26"/>
      </patternFill>
    </fill>
    <fill>
      <patternFill patternType="solid">
        <fgColor theme="0"/>
        <bgColor indexed="42"/>
      </patternFill>
    </fill>
    <fill>
      <patternFill patternType="solid">
        <fgColor indexed="22"/>
        <bgColor indexed="4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tint="-0.499984740745262"/>
        <bgColor indexed="64"/>
      </patternFill>
    </fill>
  </fills>
  <borders count="68">
    <border>
      <left/>
      <right/>
      <top/>
      <bottom/>
      <diagonal/>
    </border>
    <border>
      <left/>
      <right/>
      <top style="thin">
        <color indexed="62"/>
      </top>
      <bottom style="double">
        <color indexed="62"/>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bottom/>
      <diagonal/>
    </border>
    <border>
      <left style="medium">
        <color indexed="64"/>
      </left>
      <right/>
      <top style="medium">
        <color indexed="64"/>
      </top>
      <bottom/>
      <diagonal/>
    </border>
    <border>
      <left/>
      <right style="thin">
        <color indexed="64"/>
      </right>
      <top/>
      <bottom/>
      <diagonal/>
    </border>
    <border>
      <left/>
      <right style="thin">
        <color indexed="64"/>
      </right>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top style="thin">
        <color indexed="64"/>
      </top>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64"/>
      </left>
      <right style="thin">
        <color indexed="8"/>
      </right>
      <top style="thin">
        <color indexed="64"/>
      </top>
      <bottom/>
      <diagonal/>
    </border>
    <border>
      <left style="thin">
        <color indexed="8"/>
      </left>
      <right style="thin">
        <color indexed="8"/>
      </right>
      <top style="thin">
        <color indexed="64"/>
      </top>
      <bottom/>
      <diagonal/>
    </border>
    <border>
      <left style="thin">
        <color indexed="8"/>
      </left>
      <right style="medium">
        <color indexed="64"/>
      </right>
      <top style="thin">
        <color indexed="64"/>
      </top>
      <bottom/>
      <diagonal/>
    </border>
    <border>
      <left style="medium">
        <color indexed="64"/>
      </left>
      <right style="thin">
        <color indexed="8"/>
      </right>
      <top/>
      <bottom/>
      <diagonal/>
    </border>
    <border>
      <left style="thin">
        <color indexed="8"/>
      </left>
      <right style="thin">
        <color indexed="8"/>
      </right>
      <top/>
      <bottom/>
      <diagonal/>
    </border>
    <border>
      <left style="thin">
        <color indexed="8"/>
      </left>
      <right style="medium">
        <color indexed="64"/>
      </right>
      <top/>
      <bottom/>
      <diagonal/>
    </border>
    <border>
      <left style="medium">
        <color indexed="64"/>
      </left>
      <right/>
      <top/>
      <bottom style="thin">
        <color indexed="8"/>
      </bottom>
      <diagonal/>
    </border>
    <border>
      <left/>
      <right/>
      <top/>
      <bottom style="thin">
        <color indexed="8"/>
      </bottom>
      <diagonal/>
    </border>
    <border>
      <left/>
      <right style="medium">
        <color indexed="64"/>
      </right>
      <top/>
      <bottom style="thin">
        <color indexed="8"/>
      </bottom>
      <diagonal/>
    </border>
    <border>
      <left style="medium">
        <color indexed="64"/>
      </left>
      <right/>
      <top style="thin">
        <color indexed="8"/>
      </top>
      <bottom/>
      <diagonal/>
    </border>
    <border>
      <left/>
      <right/>
      <top style="thin">
        <color indexed="8"/>
      </top>
      <bottom/>
      <diagonal/>
    </border>
    <border>
      <left/>
      <right style="medium">
        <color indexed="64"/>
      </right>
      <top style="thin">
        <color indexed="8"/>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thin">
        <color indexed="64"/>
      </top>
      <bottom/>
      <diagonal/>
    </border>
  </borders>
  <cellStyleXfs count="18">
    <xf numFmtId="0" fontId="0" fillId="0" borderId="0"/>
    <xf numFmtId="0" fontId="11" fillId="0" borderId="0" applyNumberFormat="0" applyFill="0" applyBorder="0" applyAlignment="0" applyProtection="0">
      <alignment vertical="top"/>
      <protection locked="0"/>
    </xf>
    <xf numFmtId="164" fontId="6" fillId="0" borderId="0" applyFont="0" applyFill="0" applyBorder="0" applyAlignment="0" applyProtection="0"/>
    <xf numFmtId="0" fontId="6" fillId="0" borderId="0"/>
    <xf numFmtId="0" fontId="6" fillId="0" borderId="0"/>
    <xf numFmtId="9" fontId="2" fillId="0" borderId="0" applyFont="0" applyFill="0" applyBorder="0" applyAlignment="0" applyProtection="0"/>
    <xf numFmtId="9" fontId="6" fillId="0" borderId="0" applyFont="0" applyFill="0" applyBorder="0" applyAlignment="0" applyProtection="0"/>
    <xf numFmtId="166" fontId="6" fillId="0" borderId="0" applyFill="0" applyBorder="0" applyAlignment="0" applyProtection="0"/>
    <xf numFmtId="0" fontId="10" fillId="0" borderId="1" applyNumberFormat="0" applyFill="0" applyAlignment="0" applyProtection="0"/>
    <xf numFmtId="165" fontId="2" fillId="0" borderId="0" applyFont="0" applyFill="0" applyBorder="0" applyAlignment="0" applyProtection="0"/>
    <xf numFmtId="166" fontId="6" fillId="0" borderId="0" applyFill="0" applyBorder="0" applyAlignment="0" applyProtection="0"/>
    <xf numFmtId="43" fontId="6" fillId="0" borderId="0" applyFont="0" applyFill="0" applyBorder="0" applyAlignment="0" applyProtection="0"/>
    <xf numFmtId="0" fontId="2" fillId="0" borderId="0"/>
    <xf numFmtId="0" fontId="1" fillId="0" borderId="0"/>
    <xf numFmtId="165" fontId="2" fillId="0" borderId="0" applyFont="0" applyFill="0" applyBorder="0" applyAlignment="0" applyProtection="0"/>
    <xf numFmtId="44" fontId="13" fillId="0" borderId="0" applyFont="0" applyFill="0" applyBorder="0" applyAlignment="0" applyProtection="0"/>
    <xf numFmtId="0" fontId="24" fillId="0" borderId="0"/>
    <xf numFmtId="169" fontId="2" fillId="0" borderId="0" applyFill="0" applyBorder="0" applyAlignment="0" applyProtection="0"/>
  </cellStyleXfs>
  <cellXfs count="402">
    <xf numFmtId="0" fontId="0" fillId="0" borderId="0" xfId="0"/>
    <xf numFmtId="0" fontId="5" fillId="5" borderId="5" xfId="0" applyFont="1" applyFill="1" applyBorder="1" applyAlignment="1">
      <alignment horizontal="center" vertical="center"/>
    </xf>
    <xf numFmtId="0" fontId="5" fillId="5" borderId="6" xfId="0" applyFont="1" applyFill="1" applyBorder="1" applyAlignment="1">
      <alignment horizontal="center" vertical="center"/>
    </xf>
    <xf numFmtId="0" fontId="12" fillId="5" borderId="6" xfId="0" applyFont="1" applyFill="1" applyBorder="1" applyAlignment="1">
      <alignment horizontal="center" vertical="center"/>
    </xf>
    <xf numFmtId="0" fontId="7" fillId="4" borderId="25" xfId="0" applyFont="1" applyFill="1" applyBorder="1" applyAlignment="1" applyProtection="1">
      <alignment horizontal="center" vertical="center" wrapText="1"/>
      <protection locked="0"/>
    </xf>
    <xf numFmtId="0" fontId="7" fillId="0" borderId="0" xfId="0" applyFont="1" applyAlignment="1">
      <alignment horizontal="center" vertical="center"/>
    </xf>
    <xf numFmtId="165" fontId="5" fillId="5" borderId="6" xfId="9" applyFont="1" applyFill="1" applyBorder="1" applyAlignment="1">
      <alignment horizontal="center" vertical="center" wrapText="1"/>
    </xf>
    <xf numFmtId="165" fontId="5" fillId="5" borderId="8" xfId="9" applyFont="1" applyFill="1" applyBorder="1" applyAlignment="1">
      <alignment horizontal="center" vertical="center" wrapText="1"/>
    </xf>
    <xf numFmtId="0" fontId="7" fillId="0" borderId="13" xfId="0" applyFont="1" applyBorder="1" applyAlignment="1">
      <alignment horizontal="center" vertical="center"/>
    </xf>
    <xf numFmtId="0" fontId="5" fillId="5" borderId="7" xfId="0" applyFont="1" applyFill="1" applyBorder="1" applyAlignment="1">
      <alignment horizontal="center" vertical="center"/>
    </xf>
    <xf numFmtId="0" fontId="7" fillId="0" borderId="0" xfId="0" applyFont="1" applyAlignment="1">
      <alignment vertical="center"/>
    </xf>
    <xf numFmtId="0" fontId="7" fillId="5" borderId="0" xfId="0" applyFont="1" applyFill="1" applyAlignment="1">
      <alignment vertical="center"/>
    </xf>
    <xf numFmtId="0" fontId="7" fillId="4" borderId="0" xfId="0" applyFont="1" applyFill="1" applyAlignment="1">
      <alignment vertical="center"/>
    </xf>
    <xf numFmtId="0" fontId="7" fillId="4" borderId="25" xfId="0" applyFont="1" applyFill="1" applyBorder="1" applyAlignment="1" applyProtection="1">
      <alignment horizontal="justify" vertical="center" wrapText="1"/>
      <protection locked="0"/>
    </xf>
    <xf numFmtId="165" fontId="7" fillId="0" borderId="0" xfId="9" applyFont="1" applyBorder="1" applyAlignment="1">
      <alignment vertical="center"/>
    </xf>
    <xf numFmtId="165" fontId="7" fillId="0" borderId="17" xfId="9" applyFont="1" applyBorder="1" applyAlignment="1">
      <alignment vertical="center"/>
    </xf>
    <xf numFmtId="165" fontId="7" fillId="0" borderId="0" xfId="9" applyFont="1" applyAlignment="1">
      <alignment vertical="center"/>
    </xf>
    <xf numFmtId="0" fontId="17" fillId="3" borderId="4" xfId="3" applyFont="1" applyFill="1" applyBorder="1" applyAlignment="1">
      <alignment horizontal="center" vertical="center"/>
    </xf>
    <xf numFmtId="0" fontId="17" fillId="3" borderId="4" xfId="3" applyFont="1" applyFill="1" applyBorder="1" applyAlignment="1">
      <alignment horizontal="center" vertical="center" wrapText="1"/>
    </xf>
    <xf numFmtId="49" fontId="17" fillId="3" borderId="4" xfId="3" applyNumberFormat="1" applyFont="1" applyFill="1" applyBorder="1" applyAlignment="1">
      <alignment horizontal="center" vertical="center" wrapText="1"/>
    </xf>
    <xf numFmtId="49" fontId="18" fillId="3" borderId="4" xfId="3" applyNumberFormat="1" applyFont="1" applyFill="1" applyBorder="1" applyAlignment="1">
      <alignment horizontal="center" vertical="center" wrapText="1"/>
    </xf>
    <xf numFmtId="0" fontId="15" fillId="3" borderId="36" xfId="3" applyFont="1" applyFill="1" applyBorder="1" applyAlignment="1">
      <alignment wrapText="1"/>
    </xf>
    <xf numFmtId="0" fontId="17" fillId="0" borderId="29" xfId="3" applyFont="1" applyBorder="1" applyAlignment="1">
      <alignment vertical="center"/>
    </xf>
    <xf numFmtId="0" fontId="14" fillId="3" borderId="15" xfId="3" applyFont="1" applyFill="1" applyBorder="1"/>
    <xf numFmtId="0" fontId="14" fillId="0" borderId="38" xfId="3" applyFont="1" applyBorder="1" applyAlignment="1">
      <alignment vertical="center"/>
    </xf>
    <xf numFmtId="0" fontId="14" fillId="3" borderId="36" xfId="3" applyFont="1" applyFill="1" applyBorder="1"/>
    <xf numFmtId="0" fontId="17" fillId="3" borderId="36" xfId="3" applyFont="1" applyFill="1" applyBorder="1"/>
    <xf numFmtId="0" fontId="17" fillId="0" borderId="37" xfId="3" applyFont="1" applyBorder="1" applyAlignment="1">
      <alignment horizontal="center" vertical="center"/>
    </xf>
    <xf numFmtId="0" fontId="17" fillId="0" borderId="36" xfId="3" applyFont="1" applyBorder="1" applyAlignment="1">
      <alignment vertical="center"/>
    </xf>
    <xf numFmtId="0" fontId="18" fillId="0" borderId="15" xfId="3" applyFont="1" applyBorder="1" applyAlignment="1">
      <alignment vertical="center"/>
    </xf>
    <xf numFmtId="0" fontId="18" fillId="3" borderId="36" xfId="3" applyFont="1" applyFill="1" applyBorder="1"/>
    <xf numFmtId="0" fontId="18" fillId="3" borderId="15" xfId="3" applyFont="1" applyFill="1" applyBorder="1"/>
    <xf numFmtId="0" fontId="14" fillId="0" borderId="38" xfId="3" applyFont="1" applyBorder="1" applyAlignment="1">
      <alignment horizontal="center" vertical="center"/>
    </xf>
    <xf numFmtId="0" fontId="14" fillId="3" borderId="26" xfId="3" applyFont="1" applyFill="1" applyBorder="1"/>
    <xf numFmtId="0" fontId="14" fillId="3" borderId="38" xfId="3" applyFont="1" applyFill="1" applyBorder="1"/>
    <xf numFmtId="0" fontId="14" fillId="3" borderId="38" xfId="3" applyFont="1" applyFill="1" applyBorder="1" applyAlignment="1">
      <alignment wrapText="1"/>
    </xf>
    <xf numFmtId="0" fontId="14" fillId="3" borderId="16" xfId="3" applyFont="1" applyFill="1" applyBorder="1"/>
    <xf numFmtId="10" fontId="17" fillId="5" borderId="4" xfId="3" applyNumberFormat="1" applyFont="1" applyFill="1" applyBorder="1" applyAlignment="1">
      <alignment horizontal="center" vertical="center" wrapText="1"/>
    </xf>
    <xf numFmtId="167" fontId="18" fillId="3" borderId="4" xfId="15" applyNumberFormat="1" applyFont="1" applyFill="1" applyBorder="1" applyAlignment="1">
      <alignment horizontal="center" vertical="center" wrapText="1"/>
    </xf>
    <xf numFmtId="167" fontId="17" fillId="3" borderId="4" xfId="3" applyNumberFormat="1" applyFont="1" applyFill="1" applyBorder="1" applyAlignment="1">
      <alignment horizontal="center" vertical="center" wrapText="1"/>
    </xf>
    <xf numFmtId="4" fontId="5" fillId="0" borderId="4" xfId="0" applyNumberFormat="1" applyFont="1" applyBorder="1" applyAlignment="1">
      <alignment horizontal="center" vertical="center"/>
    </xf>
    <xf numFmtId="0" fontId="5" fillId="0" borderId="4" xfId="0" applyFont="1" applyBorder="1" applyAlignment="1">
      <alignment horizontal="center" vertical="center" wrapText="1"/>
    </xf>
    <xf numFmtId="49" fontId="7" fillId="0" borderId="25" xfId="0" applyNumberFormat="1" applyFont="1" applyBorder="1" applyAlignment="1" applyProtection="1">
      <alignment horizontal="center" vertical="center" wrapText="1"/>
      <protection locked="0"/>
    </xf>
    <xf numFmtId="0" fontId="5" fillId="0" borderId="4" xfId="0" applyFont="1" applyBorder="1" applyAlignment="1">
      <alignment horizontal="center" vertical="center"/>
    </xf>
    <xf numFmtId="0" fontId="5" fillId="0" borderId="9" xfId="0" applyFont="1" applyBorder="1" applyAlignment="1">
      <alignment horizontal="center" vertical="center"/>
    </xf>
    <xf numFmtId="0" fontId="7" fillId="4" borderId="32" xfId="0" applyFont="1" applyFill="1" applyBorder="1" applyAlignment="1" applyProtection="1">
      <alignment horizontal="center" vertical="center" wrapText="1"/>
      <protection locked="0"/>
    </xf>
    <xf numFmtId="49" fontId="17" fillId="5" borderId="4" xfId="3" applyNumberFormat="1" applyFont="1" applyFill="1" applyBorder="1" applyAlignment="1">
      <alignment horizontal="center" vertical="center" wrapText="1"/>
    </xf>
    <xf numFmtId="0" fontId="0" fillId="0" borderId="0" xfId="3" applyFont="1"/>
    <xf numFmtId="0" fontId="6" fillId="0" borderId="0" xfId="3"/>
    <xf numFmtId="0" fontId="9" fillId="0" borderId="20" xfId="3" applyFont="1" applyBorder="1" applyAlignment="1">
      <alignment horizontal="center" vertical="center"/>
    </xf>
    <xf numFmtId="10" fontId="9" fillId="0" borderId="43" xfId="3" applyNumberFormat="1" applyFont="1" applyBorder="1" applyAlignment="1">
      <alignment horizontal="center" vertical="center"/>
    </xf>
    <xf numFmtId="0" fontId="9" fillId="0" borderId="4" xfId="3" applyFont="1" applyBorder="1" applyAlignment="1">
      <alignment horizontal="center" vertical="center"/>
    </xf>
    <xf numFmtId="10" fontId="9" fillId="0" borderId="43" xfId="3" applyNumberFormat="1" applyFont="1" applyBorder="1" applyAlignment="1">
      <alignment horizontal="center" vertical="center" wrapText="1"/>
    </xf>
    <xf numFmtId="0" fontId="9" fillId="10" borderId="6" xfId="3" applyFont="1" applyFill="1" applyBorder="1" applyAlignment="1">
      <alignment horizontal="center" vertical="center" wrapText="1"/>
    </xf>
    <xf numFmtId="10" fontId="8" fillId="10" borderId="8" xfId="3" applyNumberFormat="1" applyFont="1" applyFill="1" applyBorder="1" applyAlignment="1">
      <alignment horizontal="center" vertical="center"/>
    </xf>
    <xf numFmtId="0" fontId="0" fillId="0" borderId="13" xfId="3" applyFont="1" applyBorder="1"/>
    <xf numFmtId="0" fontId="0" fillId="0" borderId="17" xfId="3" applyFont="1" applyBorder="1"/>
    <xf numFmtId="0" fontId="0" fillId="0" borderId="0" xfId="3" applyFont="1" applyAlignment="1">
      <alignment horizontal="center" vertical="top"/>
    </xf>
    <xf numFmtId="0" fontId="25" fillId="0" borderId="0" xfId="3" applyFont="1" applyAlignment="1">
      <alignment vertical="center"/>
    </xf>
    <xf numFmtId="0" fontId="0" fillId="0" borderId="17" xfId="3" applyFont="1" applyBorder="1" applyAlignment="1">
      <alignment horizontal="center" vertical="top"/>
    </xf>
    <xf numFmtId="0" fontId="27" fillId="0" borderId="13" xfId="3" applyFont="1" applyBorder="1" applyAlignment="1">
      <alignment horizontal="center" vertical="top"/>
    </xf>
    <xf numFmtId="0" fontId="27" fillId="0" borderId="0" xfId="3" applyFont="1" applyAlignment="1">
      <alignment horizontal="center" vertical="top"/>
    </xf>
    <xf numFmtId="0" fontId="27" fillId="0" borderId="17" xfId="3" applyFont="1" applyBorder="1" applyAlignment="1">
      <alignment horizontal="center" vertical="top"/>
    </xf>
    <xf numFmtId="0" fontId="6" fillId="0" borderId="17" xfId="3" applyBorder="1"/>
    <xf numFmtId="172" fontId="0" fillId="0" borderId="0" xfId="3" applyNumberFormat="1" applyFont="1"/>
    <xf numFmtId="0" fontId="4" fillId="0" borderId="54" xfId="3" applyFont="1" applyBorder="1" applyAlignment="1">
      <alignment horizontal="left"/>
    </xf>
    <xf numFmtId="0" fontId="0" fillId="0" borderId="54" xfId="3" applyFont="1" applyBorder="1"/>
    <xf numFmtId="0" fontId="0" fillId="0" borderId="55" xfId="3" applyFont="1" applyBorder="1"/>
    <xf numFmtId="0" fontId="9" fillId="0" borderId="0" xfId="3" applyFont="1"/>
    <xf numFmtId="0" fontId="4" fillId="0" borderId="13" xfId="16" applyFont="1" applyBorder="1" applyAlignment="1">
      <alignment horizontal="left" vertical="top"/>
    </xf>
    <xf numFmtId="0" fontId="0" fillId="0" borderId="0" xfId="3" applyFont="1" applyAlignment="1">
      <alignment vertical="top"/>
    </xf>
    <xf numFmtId="170" fontId="0" fillId="0" borderId="0" xfId="3" applyNumberFormat="1" applyFont="1"/>
    <xf numFmtId="0" fontId="4" fillId="0" borderId="34" xfId="16" applyFont="1" applyBorder="1" applyAlignment="1">
      <alignment horizontal="left" vertical="top"/>
    </xf>
    <xf numFmtId="170" fontId="0" fillId="0" borderId="33" xfId="3" applyNumberFormat="1" applyFont="1" applyBorder="1" applyAlignment="1">
      <alignment vertical="top"/>
    </xf>
    <xf numFmtId="170" fontId="0" fillId="0" borderId="33" xfId="3" applyNumberFormat="1" applyFont="1" applyBorder="1"/>
    <xf numFmtId="0" fontId="9" fillId="0" borderId="33" xfId="3" applyFont="1" applyBorder="1"/>
    <xf numFmtId="0" fontId="0" fillId="0" borderId="33" xfId="3" applyFont="1" applyBorder="1"/>
    <xf numFmtId="0" fontId="0" fillId="0" borderId="35" xfId="3" applyFont="1" applyBorder="1"/>
    <xf numFmtId="0" fontId="5" fillId="0" borderId="0" xfId="3" applyFont="1"/>
    <xf numFmtId="0" fontId="2" fillId="0" borderId="0" xfId="0" applyFont="1" applyAlignment="1">
      <alignment horizontal="left" vertical="center" wrapText="1"/>
    </xf>
    <xf numFmtId="0" fontId="2" fillId="0" borderId="4" xfId="0" applyFont="1" applyBorder="1" applyAlignment="1">
      <alignment horizontal="center" vertical="center" wrapText="1"/>
    </xf>
    <xf numFmtId="10" fontId="7" fillId="4" borderId="4" xfId="0" applyNumberFormat="1" applyFont="1" applyFill="1" applyBorder="1" applyAlignment="1">
      <alignment horizontal="center" vertical="center"/>
    </xf>
    <xf numFmtId="10" fontId="7" fillId="0" borderId="9" xfId="5" applyNumberFormat="1" applyFont="1" applyFill="1" applyBorder="1" applyAlignment="1">
      <alignment horizontal="center" vertical="center"/>
    </xf>
    <xf numFmtId="0" fontId="29" fillId="0" borderId="0" xfId="0" applyFont="1" applyAlignment="1">
      <alignment horizontal="center" vertical="center" wrapText="1"/>
    </xf>
    <xf numFmtId="0" fontId="2" fillId="0" borderId="0" xfId="0" applyFont="1" applyAlignment="1">
      <alignment horizontal="center" vertical="center" wrapText="1"/>
    </xf>
    <xf numFmtId="0" fontId="28" fillId="0" borderId="0" xfId="0" applyFont="1" applyAlignment="1">
      <alignment horizontal="center" vertical="center" wrapText="1"/>
    </xf>
    <xf numFmtId="0" fontId="30" fillId="0" borderId="0" xfId="0" applyFont="1" applyAlignment="1">
      <alignment horizontal="center" vertical="center" wrapText="1"/>
    </xf>
    <xf numFmtId="0" fontId="31" fillId="12" borderId="4" xfId="0" applyFont="1" applyFill="1" applyBorder="1" applyAlignment="1">
      <alignment horizontal="center" vertical="center" wrapText="1"/>
    </xf>
    <xf numFmtId="1" fontId="2" fillId="0" borderId="4" xfId="0" applyNumberFormat="1" applyFont="1" applyBorder="1" applyAlignment="1">
      <alignment horizontal="center" vertical="center" wrapText="1"/>
    </xf>
    <xf numFmtId="0" fontId="31" fillId="12" borderId="18" xfId="0" applyFont="1" applyFill="1" applyBorder="1" applyAlignment="1">
      <alignment horizontal="center" vertical="center" wrapText="1"/>
    </xf>
    <xf numFmtId="0" fontId="31" fillId="12" borderId="9" xfId="0" applyFont="1" applyFill="1" applyBorder="1" applyAlignment="1">
      <alignment horizontal="center" vertical="center" wrapText="1"/>
    </xf>
    <xf numFmtId="0" fontId="30" fillId="0" borderId="23" xfId="0" applyFont="1" applyBorder="1" applyAlignment="1">
      <alignment horizontal="center" vertical="center" wrapText="1"/>
    </xf>
    <xf numFmtId="2" fontId="2" fillId="0" borderId="12" xfId="0" applyNumberFormat="1" applyFont="1" applyBorder="1" applyAlignment="1">
      <alignment horizontal="center" vertical="center" wrapText="1"/>
    </xf>
    <xf numFmtId="0" fontId="30" fillId="0" borderId="9" xfId="0" applyFont="1" applyBorder="1" applyAlignment="1">
      <alignment horizontal="center" vertical="center" wrapText="1"/>
    </xf>
    <xf numFmtId="2" fontId="2" fillId="0" borderId="4" xfId="0" applyNumberFormat="1" applyFont="1" applyBorder="1" applyAlignment="1">
      <alignment horizontal="center" vertical="center" wrapText="1"/>
    </xf>
    <xf numFmtId="1" fontId="2" fillId="0" borderId="12" xfId="0" applyNumberFormat="1" applyFont="1" applyBorder="1" applyAlignment="1">
      <alignment horizontal="center" vertical="center" wrapText="1"/>
    </xf>
    <xf numFmtId="0" fontId="2" fillId="0" borderId="18" xfId="0" applyFont="1" applyBorder="1" applyAlignment="1">
      <alignment horizontal="center" vertical="center" wrapText="1"/>
    </xf>
    <xf numFmtId="0" fontId="2" fillId="0" borderId="4" xfId="0" applyFont="1" applyBorder="1" applyAlignment="1">
      <alignment vertical="center" wrapText="1"/>
    </xf>
    <xf numFmtId="173" fontId="2" fillId="0" borderId="4" xfId="0" applyNumberFormat="1" applyFont="1" applyBorder="1" applyAlignment="1">
      <alignment horizontal="center" vertical="center" wrapText="1"/>
    </xf>
    <xf numFmtId="0" fontId="2" fillId="0" borderId="22" xfId="0" applyFont="1" applyBorder="1" applyAlignment="1">
      <alignment horizontal="center" vertical="center" wrapText="1"/>
    </xf>
    <xf numFmtId="0" fontId="2" fillId="0" borderId="12" xfId="0" applyFont="1" applyBorder="1" applyAlignment="1">
      <alignment horizontal="center" vertical="center" wrapText="1"/>
    </xf>
    <xf numFmtId="173" fontId="2" fillId="0" borderId="12" xfId="0" applyNumberFormat="1" applyFont="1" applyBorder="1" applyAlignment="1">
      <alignment horizontal="center" vertical="center" wrapText="1"/>
    </xf>
    <xf numFmtId="0" fontId="4" fillId="5" borderId="4" xfId="0" applyFont="1" applyFill="1" applyBorder="1" applyAlignment="1">
      <alignment horizontal="center" vertical="top"/>
    </xf>
    <xf numFmtId="0" fontId="4" fillId="5" borderId="4" xfId="0" applyFont="1" applyFill="1" applyBorder="1" applyAlignment="1">
      <alignment horizontal="center" vertical="top" wrapText="1"/>
    </xf>
    <xf numFmtId="0" fontId="0" fillId="0" borderId="0" xfId="0" applyAlignment="1">
      <alignment vertical="top"/>
    </xf>
    <xf numFmtId="0" fontId="4" fillId="5" borderId="4" xfId="0" applyFont="1" applyFill="1" applyBorder="1"/>
    <xf numFmtId="0" fontId="4" fillId="5" borderId="4" xfId="0" applyFont="1" applyFill="1" applyBorder="1" applyAlignment="1">
      <alignment horizontal="center"/>
    </xf>
    <xf numFmtId="0" fontId="0" fillId="0" borderId="0" xfId="0" applyAlignment="1">
      <alignment horizontal="left"/>
    </xf>
    <xf numFmtId="0" fontId="0" fillId="0" borderId="0" xfId="0" applyAlignment="1">
      <alignment vertical="center"/>
    </xf>
    <xf numFmtId="0" fontId="4" fillId="5" borderId="4" xfId="0" applyFont="1" applyFill="1" applyBorder="1" applyAlignment="1">
      <alignment horizontal="right"/>
    </xf>
    <xf numFmtId="0" fontId="2" fillId="0" borderId="4" xfId="0" applyFont="1" applyBorder="1" applyAlignment="1">
      <alignment horizontal="center" vertical="center"/>
    </xf>
    <xf numFmtId="0" fontId="4" fillId="5" borderId="4" xfId="0" applyFont="1" applyFill="1" applyBorder="1" applyAlignment="1">
      <alignment vertical="center"/>
    </xf>
    <xf numFmtId="0" fontId="4" fillId="5" borderId="4" xfId="0" applyFont="1" applyFill="1" applyBorder="1" applyAlignment="1">
      <alignment horizontal="right" vertical="center"/>
    </xf>
    <xf numFmtId="168" fontId="7" fillId="0" borderId="25" xfId="9" applyNumberFormat="1" applyFont="1" applyFill="1" applyBorder="1" applyAlignment="1" applyProtection="1">
      <alignment horizontal="center" vertical="center" wrapText="1"/>
      <protection locked="0"/>
    </xf>
    <xf numFmtId="168" fontId="7" fillId="0" borderId="4" xfId="9" applyNumberFormat="1" applyFont="1" applyFill="1" applyBorder="1" applyAlignment="1">
      <alignment horizontal="center" vertical="center" wrapText="1"/>
    </xf>
    <xf numFmtId="168" fontId="7" fillId="0" borderId="9" xfId="9" applyNumberFormat="1" applyFont="1" applyFill="1" applyBorder="1" applyAlignment="1">
      <alignment horizontal="center" vertical="center" wrapText="1"/>
    </xf>
    <xf numFmtId="167" fontId="18" fillId="0" borderId="4" xfId="15" applyNumberFormat="1" applyFont="1" applyFill="1" applyBorder="1" applyAlignment="1">
      <alignment horizontal="center" vertical="center" wrapText="1"/>
    </xf>
    <xf numFmtId="2" fontId="2" fillId="7" borderId="4" xfId="0" applyNumberFormat="1" applyFont="1" applyFill="1" applyBorder="1" applyAlignment="1">
      <alignment horizontal="center" vertical="center" wrapText="1"/>
    </xf>
    <xf numFmtId="2" fontId="2" fillId="7" borderId="60" xfId="0" applyNumberFormat="1" applyFont="1" applyFill="1" applyBorder="1" applyAlignment="1">
      <alignment horizontal="center" vertical="center" wrapText="1"/>
    </xf>
    <xf numFmtId="0" fontId="30" fillId="0" borderId="63" xfId="0" applyFont="1" applyBorder="1" applyAlignment="1">
      <alignment horizontal="center" vertical="center" wrapText="1"/>
    </xf>
    <xf numFmtId="1" fontId="2" fillId="0" borderId="60" xfId="0" applyNumberFormat="1" applyFont="1" applyBorder="1" applyAlignment="1">
      <alignment horizontal="center" vertical="center" wrapText="1"/>
    </xf>
    <xf numFmtId="173" fontId="2" fillId="0" borderId="60" xfId="0" applyNumberFormat="1" applyFont="1" applyBorder="1" applyAlignment="1">
      <alignment horizontal="center" vertical="center" wrapText="1"/>
    </xf>
    <xf numFmtId="2" fontId="2" fillId="0" borderId="60" xfId="0" applyNumberFormat="1" applyFont="1" applyBorder="1" applyAlignment="1">
      <alignment horizontal="center" vertical="center" wrapText="1"/>
    </xf>
    <xf numFmtId="2" fontId="2" fillId="7" borderId="12" xfId="0" applyNumberFormat="1" applyFont="1" applyFill="1" applyBorder="1" applyAlignment="1">
      <alignment horizontal="center" vertical="center" wrapText="1"/>
    </xf>
    <xf numFmtId="0" fontId="5" fillId="0" borderId="0" xfId="0" applyFont="1" applyAlignment="1">
      <alignment vertical="center"/>
    </xf>
    <xf numFmtId="0" fontId="7" fillId="4" borderId="64" xfId="0" applyFont="1" applyFill="1" applyBorder="1" applyAlignment="1" applyProtection="1">
      <alignment horizontal="center" vertical="center" wrapText="1"/>
      <protection locked="0"/>
    </xf>
    <xf numFmtId="49" fontId="7" fillId="0" borderId="26" xfId="0" applyNumberFormat="1" applyFont="1" applyBorder="1" applyAlignment="1" applyProtection="1">
      <alignment horizontal="center" vertical="center" wrapText="1"/>
      <protection locked="0"/>
    </xf>
    <xf numFmtId="0" fontId="7" fillId="4" borderId="26" xfId="0" applyFont="1" applyFill="1" applyBorder="1" applyAlignment="1" applyProtection="1">
      <alignment horizontal="justify" vertical="center" wrapText="1"/>
      <protection locked="0"/>
    </xf>
    <xf numFmtId="0" fontId="7" fillId="4" borderId="26" xfId="0" applyFont="1" applyFill="1" applyBorder="1" applyAlignment="1" applyProtection="1">
      <alignment horizontal="center" vertical="center" wrapText="1"/>
      <protection locked="0"/>
    </xf>
    <xf numFmtId="168" fontId="7" fillId="0" borderId="26" xfId="9" applyNumberFormat="1" applyFont="1" applyFill="1" applyBorder="1" applyAlignment="1" applyProtection="1">
      <alignment horizontal="center" vertical="center" wrapText="1"/>
      <protection locked="0"/>
    </xf>
    <xf numFmtId="168" fontId="7" fillId="0" borderId="20" xfId="9" applyNumberFormat="1" applyFont="1" applyFill="1" applyBorder="1" applyAlignment="1">
      <alignment horizontal="center" vertical="center" wrapText="1"/>
    </xf>
    <xf numFmtId="168" fontId="7" fillId="0" borderId="21" xfId="9" applyNumberFormat="1" applyFont="1" applyFill="1" applyBorder="1" applyAlignment="1">
      <alignment horizontal="center" vertical="center" wrapText="1"/>
    </xf>
    <xf numFmtId="168" fontId="5" fillId="2" borderId="8" xfId="9" applyNumberFormat="1" applyFont="1" applyFill="1" applyBorder="1" applyAlignment="1">
      <alignment horizontal="center" vertical="center" wrapText="1"/>
    </xf>
    <xf numFmtId="0" fontId="7" fillId="4" borderId="67" xfId="0" applyFont="1" applyFill="1" applyBorder="1" applyAlignment="1" applyProtection="1">
      <alignment horizontal="center" vertical="center" wrapText="1"/>
      <protection locked="0"/>
    </xf>
    <xf numFmtId="49" fontId="7" fillId="0" borderId="29" xfId="0" applyNumberFormat="1" applyFont="1" applyBorder="1" applyAlignment="1" applyProtection="1">
      <alignment horizontal="center" vertical="center" wrapText="1"/>
      <protection locked="0"/>
    </xf>
    <xf numFmtId="0" fontId="7" fillId="4" borderId="29" xfId="0" applyFont="1" applyFill="1" applyBorder="1" applyAlignment="1" applyProtection="1">
      <alignment horizontal="justify" vertical="center" wrapText="1"/>
      <protection locked="0"/>
    </xf>
    <xf numFmtId="0" fontId="7" fillId="4" borderId="29" xfId="0" applyFont="1" applyFill="1" applyBorder="1" applyAlignment="1" applyProtection="1">
      <alignment horizontal="center" vertical="center" wrapText="1"/>
      <protection locked="0"/>
    </xf>
    <xf numFmtId="168" fontId="7" fillId="0" borderId="29" xfId="9" applyNumberFormat="1" applyFont="1" applyFill="1" applyBorder="1" applyAlignment="1" applyProtection="1">
      <alignment horizontal="center" vertical="center" wrapText="1"/>
      <protection locked="0"/>
    </xf>
    <xf numFmtId="168" fontId="7" fillId="0" borderId="60" xfId="9" applyNumberFormat="1" applyFont="1" applyFill="1" applyBorder="1" applyAlignment="1">
      <alignment horizontal="center" vertical="center" wrapText="1"/>
    </xf>
    <xf numFmtId="168" fontId="7" fillId="0" borderId="63" xfId="9" applyNumberFormat="1" applyFont="1" applyFill="1" applyBorder="1" applyAlignment="1">
      <alignment horizontal="center" vertical="center" wrapText="1"/>
    </xf>
    <xf numFmtId="0" fontId="7" fillId="0" borderId="32" xfId="0" applyFont="1" applyBorder="1" applyAlignment="1" applyProtection="1">
      <alignment horizontal="center" vertical="center" wrapText="1"/>
      <protection locked="0"/>
    </xf>
    <xf numFmtId="0" fontId="7" fillId="0" borderId="25" xfId="0" applyFont="1" applyBorder="1" applyAlignment="1" applyProtection="1">
      <alignment horizontal="justify" vertical="center" wrapText="1"/>
      <protection locked="0"/>
    </xf>
    <xf numFmtId="0" fontId="7" fillId="0" borderId="25" xfId="0" applyFont="1" applyBorder="1" applyAlignment="1" applyProtection="1">
      <alignment horizontal="center" vertical="center" wrapText="1"/>
      <protection locked="0"/>
    </xf>
    <xf numFmtId="4" fontId="7" fillId="0" borderId="4" xfId="0" applyNumberFormat="1" applyFont="1" applyBorder="1" applyAlignment="1">
      <alignment horizontal="center" vertical="center" wrapText="1"/>
    </xf>
    <xf numFmtId="173" fontId="0" fillId="0" borderId="4" xfId="0" applyNumberFormat="1" applyBorder="1" applyAlignment="1">
      <alignment horizontal="center" vertical="center"/>
    </xf>
    <xf numFmtId="4" fontId="7" fillId="0" borderId="20" xfId="0" applyNumberFormat="1" applyFont="1" applyBorder="1" applyAlignment="1">
      <alignment horizontal="center" vertical="center" wrapText="1"/>
    </xf>
    <xf numFmtId="4" fontId="7" fillId="0" borderId="60" xfId="0" applyNumberFormat="1" applyFont="1" applyBorder="1" applyAlignment="1">
      <alignment horizontal="center" vertical="center" wrapText="1"/>
    </xf>
    <xf numFmtId="10" fontId="9" fillId="0" borderId="21" xfId="3" applyNumberFormat="1" applyFont="1" applyBorder="1" applyAlignment="1" applyProtection="1">
      <alignment horizontal="center" vertical="center"/>
      <protection locked="0"/>
    </xf>
    <xf numFmtId="10" fontId="9" fillId="0" borderId="9" xfId="3" applyNumberFormat="1" applyFont="1" applyBorder="1" applyAlignment="1" applyProtection="1">
      <alignment horizontal="center" vertical="center"/>
      <protection locked="0"/>
    </xf>
    <xf numFmtId="10" fontId="9" fillId="0" borderId="9" xfId="3" applyNumberFormat="1" applyFont="1" applyBorder="1" applyAlignment="1">
      <alignment horizontal="center" vertical="center"/>
    </xf>
    <xf numFmtId="0" fontId="15" fillId="3" borderId="29" xfId="3" applyFont="1" applyFill="1" applyBorder="1" applyAlignment="1">
      <alignment wrapText="1"/>
    </xf>
    <xf numFmtId="0" fontId="15" fillId="3" borderId="37" xfId="3" applyFont="1" applyFill="1" applyBorder="1" applyAlignment="1">
      <alignment wrapText="1"/>
    </xf>
    <xf numFmtId="0" fontId="14" fillId="3" borderId="28" xfId="3" applyFont="1" applyFill="1" applyBorder="1"/>
    <xf numFmtId="0" fontId="15" fillId="3" borderId="0" xfId="3" applyFont="1" applyFill="1" applyAlignment="1">
      <alignment wrapText="1"/>
    </xf>
    <xf numFmtId="0" fontId="14" fillId="3" borderId="0" xfId="3" applyFont="1" applyFill="1" applyAlignment="1">
      <alignment wrapText="1"/>
    </xf>
    <xf numFmtId="0" fontId="14" fillId="3" borderId="0" xfId="3" applyFont="1" applyFill="1"/>
    <xf numFmtId="0" fontId="18" fillId="3" borderId="0" xfId="3" applyFont="1" applyFill="1" applyAlignment="1">
      <alignment wrapText="1"/>
    </xf>
    <xf numFmtId="0" fontId="17" fillId="0" borderId="0" xfId="3" applyFont="1" applyAlignment="1">
      <alignment vertical="center"/>
    </xf>
    <xf numFmtId="0" fontId="18" fillId="0" borderId="0" xfId="3" applyFont="1" applyAlignment="1">
      <alignment horizontal="center" vertical="center"/>
    </xf>
    <xf numFmtId="0" fontId="18" fillId="3" borderId="0" xfId="3" applyFont="1" applyFill="1"/>
    <xf numFmtId="0" fontId="4" fillId="5" borderId="18" xfId="0" applyFont="1" applyFill="1" applyBorder="1" applyAlignment="1">
      <alignment horizontal="center" vertical="top"/>
    </xf>
    <xf numFmtId="0" fontId="4" fillId="5" borderId="9" xfId="0" applyFont="1" applyFill="1" applyBorder="1" applyAlignment="1">
      <alignment horizontal="center" vertical="top"/>
    </xf>
    <xf numFmtId="0" fontId="4" fillId="0" borderId="13" xfId="0" applyFont="1" applyBorder="1" applyAlignment="1">
      <alignment horizontal="left" vertical="top"/>
    </xf>
    <xf numFmtId="0" fontId="4" fillId="0" borderId="0" xfId="0" applyFont="1" applyAlignment="1">
      <alignment horizontal="left" vertical="top"/>
    </xf>
    <xf numFmtId="0" fontId="4" fillId="0" borderId="0" xfId="0" applyFont="1" applyAlignment="1">
      <alignment vertical="top"/>
    </xf>
    <xf numFmtId="0" fontId="4" fillId="0" borderId="0" xfId="0" applyFont="1" applyAlignment="1">
      <alignment horizontal="center" vertical="top" wrapText="1"/>
    </xf>
    <xf numFmtId="0" fontId="4" fillId="0" borderId="0" xfId="0" applyFont="1" applyAlignment="1">
      <alignment horizontal="right" vertical="top"/>
    </xf>
    <xf numFmtId="0" fontId="0" fillId="0" borderId="13" xfId="0" applyBorder="1" applyAlignment="1">
      <alignment horizontal="left"/>
    </xf>
    <xf numFmtId="0" fontId="0" fillId="0" borderId="17" xfId="0" applyBorder="1"/>
    <xf numFmtId="0" fontId="4" fillId="5" borderId="9" xfId="0" applyFont="1" applyFill="1" applyBorder="1"/>
    <xf numFmtId="2" fontId="2" fillId="0" borderId="0" xfId="0" applyNumberFormat="1" applyFont="1" applyAlignment="1">
      <alignment horizontal="right" vertical="top"/>
    </xf>
    <xf numFmtId="2" fontId="2" fillId="0" borderId="17" xfId="0" applyNumberFormat="1" applyFont="1" applyBorder="1" applyAlignment="1">
      <alignment horizontal="right" vertical="top"/>
    </xf>
    <xf numFmtId="0" fontId="4" fillId="5" borderId="9" xfId="0" applyFont="1" applyFill="1" applyBorder="1" applyAlignment="1">
      <alignment horizontal="center"/>
    </xf>
    <xf numFmtId="2" fontId="0" fillId="0" borderId="9" xfId="0" applyNumberFormat="1" applyBorder="1" applyAlignment="1">
      <alignment horizontal="center" vertical="center"/>
    </xf>
    <xf numFmtId="0" fontId="4" fillId="5" borderId="9" xfId="0" applyFont="1" applyFill="1" applyBorder="1" applyAlignment="1">
      <alignment horizontal="right"/>
    </xf>
    <xf numFmtId="0" fontId="0" fillId="0" borderId="17" xfId="0" applyBorder="1" applyAlignment="1">
      <alignment vertical="center"/>
    </xf>
    <xf numFmtId="0" fontId="4" fillId="5" borderId="18" xfId="0" applyFont="1" applyFill="1" applyBorder="1" applyAlignment="1">
      <alignment vertical="center" wrapText="1"/>
    </xf>
    <xf numFmtId="0" fontId="4" fillId="5" borderId="9" xfId="0" applyFont="1" applyFill="1" applyBorder="1" applyAlignment="1">
      <alignment horizontal="right" vertical="center"/>
    </xf>
    <xf numFmtId="0" fontId="0" fillId="0" borderId="33" xfId="0" applyBorder="1" applyAlignment="1">
      <alignment vertical="center"/>
    </xf>
    <xf numFmtId="0" fontId="0" fillId="0" borderId="35" xfId="0" applyBorder="1" applyAlignment="1">
      <alignment vertical="center"/>
    </xf>
    <xf numFmtId="0" fontId="2" fillId="0" borderId="32" xfId="0" applyFont="1" applyBorder="1" applyAlignment="1">
      <alignment vertical="center" wrapText="1"/>
    </xf>
    <xf numFmtId="0" fontId="2" fillId="0" borderId="27" xfId="0" applyFont="1" applyBorder="1" applyAlignment="1">
      <alignment vertical="center" wrapText="1"/>
    </xf>
    <xf numFmtId="2" fontId="0" fillId="0" borderId="25" xfId="0" applyNumberFormat="1" applyBorder="1" applyAlignment="1">
      <alignment horizontal="center" vertical="center"/>
    </xf>
    <xf numFmtId="2" fontId="0" fillId="0" borderId="27" xfId="0" applyNumberFormat="1" applyBorder="1" applyAlignment="1">
      <alignment horizontal="center" vertical="center"/>
    </xf>
    <xf numFmtId="0" fontId="2" fillId="0" borderId="18" xfId="0" applyFont="1" applyBorder="1" applyAlignment="1">
      <alignment vertical="center" wrapText="1"/>
    </xf>
    <xf numFmtId="0" fontId="0" fillId="0" borderId="4" xfId="0" applyBorder="1" applyAlignment="1">
      <alignment vertical="center" wrapText="1"/>
    </xf>
    <xf numFmtId="173" fontId="0" fillId="0" borderId="4" xfId="0" applyNumberFormat="1" applyBorder="1" applyAlignment="1">
      <alignment horizontal="center" vertical="center"/>
    </xf>
    <xf numFmtId="4" fontId="4" fillId="5" borderId="25" xfId="0" applyNumberFormat="1" applyFont="1" applyFill="1" applyBorder="1" applyAlignment="1">
      <alignment horizontal="right" vertical="top"/>
    </xf>
    <xf numFmtId="4" fontId="4" fillId="5" borderId="2" xfId="0" applyNumberFormat="1" applyFont="1" applyFill="1" applyBorder="1" applyAlignment="1">
      <alignment horizontal="right" vertical="top"/>
    </xf>
    <xf numFmtId="0" fontId="0" fillId="0" borderId="13" xfId="0" applyBorder="1"/>
    <xf numFmtId="0" fontId="0" fillId="0" borderId="0" xfId="0"/>
    <xf numFmtId="0" fontId="4" fillId="5" borderId="18" xfId="0" applyFont="1" applyFill="1" applyBorder="1"/>
    <xf numFmtId="0" fontId="4" fillId="5" borderId="4" xfId="0" applyFont="1" applyFill="1" applyBorder="1"/>
    <xf numFmtId="0" fontId="4" fillId="5" borderId="4" xfId="0" applyFont="1" applyFill="1" applyBorder="1" applyAlignment="1">
      <alignment horizontal="right"/>
    </xf>
    <xf numFmtId="0" fontId="0" fillId="0" borderId="0" xfId="0" applyAlignment="1">
      <alignment horizontal="center" vertical="center"/>
    </xf>
    <xf numFmtId="2" fontId="4" fillId="5" borderId="4" xfId="0" applyNumberFormat="1" applyFont="1" applyFill="1" applyBorder="1" applyAlignment="1">
      <alignment horizontal="right" vertical="top"/>
    </xf>
    <xf numFmtId="2" fontId="4" fillId="5" borderId="9" xfId="0" applyNumberFormat="1" applyFont="1" applyFill="1" applyBorder="1" applyAlignment="1">
      <alignment horizontal="right" vertical="top"/>
    </xf>
    <xf numFmtId="0" fontId="0" fillId="0" borderId="13" xfId="0" applyBorder="1" applyAlignment="1">
      <alignment vertical="center"/>
    </xf>
    <xf numFmtId="0" fontId="0" fillId="0" borderId="0" xfId="0" applyAlignment="1">
      <alignment vertical="center"/>
    </xf>
    <xf numFmtId="0" fontId="4" fillId="0" borderId="18" xfId="0" applyFont="1" applyBorder="1" applyAlignment="1">
      <alignment horizontal="right" vertical="top"/>
    </xf>
    <xf numFmtId="0" fontId="4" fillId="0" borderId="4" xfId="0" applyFont="1" applyBorder="1" applyAlignment="1">
      <alignment horizontal="right" vertical="top"/>
    </xf>
    <xf numFmtId="168" fontId="4" fillId="5" borderId="4" xfId="0" applyNumberFormat="1" applyFont="1" applyFill="1" applyBorder="1" applyAlignment="1">
      <alignment horizontal="right" vertical="top"/>
    </xf>
    <xf numFmtId="168" fontId="4" fillId="5" borderId="9" xfId="0" applyNumberFormat="1" applyFont="1" applyFill="1" applyBorder="1" applyAlignment="1">
      <alignment horizontal="right" vertical="top"/>
    </xf>
    <xf numFmtId="0" fontId="4" fillId="0" borderId="13" xfId="0" applyFont="1" applyBorder="1" applyAlignment="1">
      <alignment horizontal="center" vertical="center"/>
    </xf>
    <xf numFmtId="0" fontId="0" fillId="0" borderId="17" xfId="0" applyBorder="1" applyAlignment="1">
      <alignment horizontal="center" vertical="center"/>
    </xf>
    <xf numFmtId="0" fontId="2" fillId="0" borderId="13" xfId="0" applyFont="1" applyBorder="1" applyAlignment="1">
      <alignment horizontal="center" vertical="center"/>
    </xf>
    <xf numFmtId="0" fontId="0" fillId="0" borderId="34" xfId="0" applyBorder="1" applyAlignment="1">
      <alignment vertical="center"/>
    </xf>
    <xf numFmtId="0" fontId="0" fillId="0" borderId="33" xfId="0" applyBorder="1" applyAlignment="1">
      <alignment vertical="center"/>
    </xf>
    <xf numFmtId="0" fontId="0" fillId="0" borderId="33" xfId="0" applyBorder="1" applyAlignment="1">
      <alignment horizontal="center" vertical="center"/>
    </xf>
    <xf numFmtId="4" fontId="4" fillId="5" borderId="4" xfId="0" applyNumberFormat="1" applyFont="1" applyFill="1" applyBorder="1" applyAlignment="1">
      <alignment horizontal="right" vertical="top"/>
    </xf>
    <xf numFmtId="4" fontId="4" fillId="5" borderId="9" xfId="0" applyNumberFormat="1" applyFont="1" applyFill="1" applyBorder="1" applyAlignment="1">
      <alignment horizontal="right" vertical="top"/>
    </xf>
    <xf numFmtId="0" fontId="0" fillId="0" borderId="13" xfId="0" applyBorder="1" applyAlignment="1">
      <alignment horizontal="left"/>
    </xf>
    <xf numFmtId="0" fontId="0" fillId="0" borderId="0" xfId="0" applyAlignment="1">
      <alignment horizontal="left"/>
    </xf>
    <xf numFmtId="0" fontId="4" fillId="5" borderId="25" xfId="0" applyFont="1" applyFill="1" applyBorder="1" applyAlignment="1">
      <alignment horizontal="center"/>
    </xf>
    <xf numFmtId="0" fontId="4" fillId="5" borderId="27" xfId="0" applyFont="1" applyFill="1" applyBorder="1" applyAlignment="1">
      <alignment horizontal="center"/>
    </xf>
    <xf numFmtId="2" fontId="2" fillId="5" borderId="4" xfId="0" applyNumberFormat="1" applyFont="1" applyFill="1" applyBorder="1" applyAlignment="1">
      <alignment horizontal="right" vertical="top"/>
    </xf>
    <xf numFmtId="2" fontId="2" fillId="5" borderId="9" xfId="0" applyNumberFormat="1" applyFont="1" applyFill="1" applyBorder="1" applyAlignment="1">
      <alignment horizontal="right" vertical="top"/>
    </xf>
    <xf numFmtId="4" fontId="2" fillId="5" borderId="4" xfId="0" applyNumberFormat="1" applyFont="1" applyFill="1" applyBorder="1" applyAlignment="1">
      <alignment horizontal="right" vertical="top"/>
    </xf>
    <xf numFmtId="4" fontId="2" fillId="5" borderId="9" xfId="0" applyNumberFormat="1" applyFont="1" applyFill="1" applyBorder="1" applyAlignment="1">
      <alignment horizontal="right" vertical="top"/>
    </xf>
    <xf numFmtId="0" fontId="0" fillId="0" borderId="13" xfId="0" applyBorder="1" applyAlignment="1">
      <alignment horizontal="center"/>
    </xf>
    <xf numFmtId="0" fontId="0" fillId="0" borderId="0" xfId="0" applyAlignment="1">
      <alignment horizontal="center"/>
    </xf>
    <xf numFmtId="0" fontId="0" fillId="0" borderId="17" xfId="0" applyBorder="1" applyAlignment="1">
      <alignment horizontal="center"/>
    </xf>
    <xf numFmtId="0" fontId="4" fillId="5" borderId="18" xfId="0" applyFont="1" applyFill="1" applyBorder="1" applyAlignment="1">
      <alignment horizontal="left"/>
    </xf>
    <xf numFmtId="0" fontId="4" fillId="5" borderId="4" xfId="0" applyFont="1" applyFill="1" applyBorder="1" applyAlignment="1">
      <alignment horizontal="left"/>
    </xf>
    <xf numFmtId="0" fontId="2" fillId="0" borderId="13" xfId="0" applyFont="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right" vertical="center" wrapText="1"/>
    </xf>
    <xf numFmtId="0" fontId="2" fillId="0" borderId="17" xfId="0" applyFont="1" applyBorder="1" applyAlignment="1">
      <alignment horizontal="right" vertical="center" wrapText="1"/>
    </xf>
    <xf numFmtId="0" fontId="0" fillId="0" borderId="14" xfId="0" applyBorder="1" applyAlignment="1">
      <alignment horizontal="center"/>
    </xf>
    <xf numFmtId="0" fontId="33" fillId="0" borderId="30" xfId="0" applyFont="1" applyBorder="1" applyAlignment="1">
      <alignment horizontal="right" vertical="center"/>
    </xf>
    <xf numFmtId="0" fontId="33" fillId="0" borderId="31" xfId="0" applyFont="1" applyBorder="1" applyAlignment="1">
      <alignment horizontal="right" vertical="center"/>
    </xf>
    <xf numFmtId="0" fontId="34" fillId="0" borderId="0" xfId="0" applyFont="1" applyAlignment="1">
      <alignment horizontal="right" vertical="center"/>
    </xf>
    <xf numFmtId="0" fontId="34" fillId="0" borderId="17" xfId="0" applyFont="1" applyBorder="1" applyAlignment="1">
      <alignment horizontal="right" vertical="center"/>
    </xf>
    <xf numFmtId="0" fontId="35" fillId="0" borderId="0" xfId="0" applyFont="1" applyAlignment="1">
      <alignment horizontal="right" vertical="center"/>
    </xf>
    <xf numFmtId="0" fontId="35" fillId="0" borderId="17" xfId="0" applyFont="1" applyBorder="1" applyAlignment="1">
      <alignment horizontal="right" vertical="center"/>
    </xf>
    <xf numFmtId="0" fontId="0" fillId="0" borderId="34" xfId="0" applyBorder="1" applyAlignment="1">
      <alignment horizontal="center"/>
    </xf>
    <xf numFmtId="0" fontId="0" fillId="0" borderId="33" xfId="0" applyBorder="1" applyAlignment="1">
      <alignment horizontal="center"/>
    </xf>
    <xf numFmtId="0" fontId="0" fillId="0" borderId="35" xfId="0" applyBorder="1" applyAlignment="1">
      <alignment horizontal="center"/>
    </xf>
    <xf numFmtId="0" fontId="0" fillId="0" borderId="30" xfId="0" applyBorder="1" applyAlignment="1">
      <alignment horizontal="center"/>
    </xf>
    <xf numFmtId="0" fontId="0" fillId="0" borderId="31" xfId="0" applyBorder="1" applyAlignment="1">
      <alignment horizontal="center"/>
    </xf>
    <xf numFmtId="0" fontId="4" fillId="0" borderId="13" xfId="0" applyFont="1" applyBorder="1" applyAlignment="1">
      <alignment horizontal="center"/>
    </xf>
    <xf numFmtId="0" fontId="4" fillId="0" borderId="0" xfId="0" applyFont="1" applyAlignment="1">
      <alignment horizontal="center"/>
    </xf>
    <xf numFmtId="0" fontId="4" fillId="0" borderId="17" xfId="0" applyFont="1" applyBorder="1" applyAlignment="1">
      <alignment horizontal="center"/>
    </xf>
    <xf numFmtId="0" fontId="2" fillId="0" borderId="17" xfId="0" applyFont="1" applyBorder="1" applyAlignment="1">
      <alignment horizontal="left" vertical="center" wrapText="1"/>
    </xf>
    <xf numFmtId="0" fontId="5" fillId="2" borderId="65" xfId="0" applyFont="1" applyFill="1" applyBorder="1" applyAlignment="1">
      <alignment horizontal="center" vertical="center"/>
    </xf>
    <xf numFmtId="0" fontId="5" fillId="2" borderId="66" xfId="0" applyFont="1" applyFill="1" applyBorder="1" applyAlignment="1">
      <alignment horizontal="center" vertical="center"/>
    </xf>
    <xf numFmtId="0" fontId="5" fillId="2" borderId="7" xfId="0" applyFont="1" applyFill="1" applyBorder="1" applyAlignment="1">
      <alignment horizontal="center" vertical="center"/>
    </xf>
    <xf numFmtId="165" fontId="5" fillId="2" borderId="24" xfId="9" applyFont="1" applyFill="1" applyBorder="1" applyAlignment="1">
      <alignment horizontal="center" vertical="center" wrapText="1"/>
    </xf>
    <xf numFmtId="165" fontId="5" fillId="2" borderId="7" xfId="9" applyFont="1" applyFill="1" applyBorder="1" applyAlignment="1">
      <alignment horizontal="center" vertical="center" wrapText="1"/>
    </xf>
    <xf numFmtId="0" fontId="5" fillId="0" borderId="14"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31" xfId="0" applyFont="1" applyBorder="1" applyAlignment="1">
      <alignment horizontal="center" vertical="center" wrapText="1"/>
    </xf>
    <xf numFmtId="0" fontId="7" fillId="0" borderId="34" xfId="0" applyFont="1" applyBorder="1" applyAlignment="1">
      <alignment horizontal="center" vertical="center"/>
    </xf>
    <xf numFmtId="0" fontId="7" fillId="0" borderId="33" xfId="0" applyFont="1" applyBorder="1" applyAlignment="1">
      <alignment horizontal="center" vertical="center"/>
    </xf>
    <xf numFmtId="0" fontId="7" fillId="0" borderId="35" xfId="0" applyFont="1" applyBorder="1" applyAlignment="1">
      <alignment horizontal="center" vertical="center"/>
    </xf>
    <xf numFmtId="168" fontId="5" fillId="6" borderId="5" xfId="9" applyNumberFormat="1" applyFont="1" applyFill="1" applyBorder="1" applyAlignment="1">
      <alignment horizontal="center" vertical="center"/>
    </xf>
    <xf numFmtId="168" fontId="5" fillId="6" borderId="6" xfId="9" applyNumberFormat="1" applyFont="1" applyFill="1" applyBorder="1" applyAlignment="1">
      <alignment horizontal="center" vertical="center"/>
    </xf>
    <xf numFmtId="168" fontId="5" fillId="6" borderId="8" xfId="9" applyNumberFormat="1" applyFont="1" applyFill="1" applyBorder="1" applyAlignment="1">
      <alignment horizontal="center" vertical="center"/>
    </xf>
    <xf numFmtId="0" fontId="5" fillId="6" borderId="5" xfId="0" applyFont="1" applyFill="1" applyBorder="1" applyAlignment="1">
      <alignment horizontal="center" vertical="center"/>
    </xf>
    <xf numFmtId="0" fontId="5" fillId="6" borderId="7" xfId="0" applyFont="1" applyFill="1" applyBorder="1" applyAlignment="1">
      <alignment horizontal="center" vertical="center"/>
    </xf>
    <xf numFmtId="0" fontId="5" fillId="6" borderId="6" xfId="0" applyFont="1" applyFill="1" applyBorder="1" applyAlignment="1">
      <alignment horizontal="center" vertical="center"/>
    </xf>
    <xf numFmtId="0" fontId="5" fillId="6" borderId="24" xfId="0" applyFont="1" applyFill="1" applyBorder="1" applyAlignment="1">
      <alignment horizontal="center" vertical="center"/>
    </xf>
    <xf numFmtId="0" fontId="5" fillId="0" borderId="0" xfId="0" applyFont="1" applyAlignment="1">
      <alignment horizontal="center" vertical="center"/>
    </xf>
    <xf numFmtId="0" fontId="7" fillId="0" borderId="0" xfId="0" applyFont="1" applyAlignment="1">
      <alignment horizontal="center" vertical="center"/>
    </xf>
    <xf numFmtId="0" fontId="22" fillId="0" borderId="40" xfId="0" applyFont="1" applyBorder="1" applyAlignment="1">
      <alignment horizontal="center" vertical="center" wrapText="1"/>
    </xf>
    <xf numFmtId="0" fontId="22" fillId="0" borderId="41" xfId="0" applyFont="1" applyBorder="1" applyAlignment="1">
      <alignment horizontal="center" vertical="center"/>
    </xf>
    <xf numFmtId="0" fontId="22" fillId="0" borderId="42" xfId="0" applyFont="1" applyBorder="1" applyAlignment="1">
      <alignment horizontal="center" vertical="center"/>
    </xf>
    <xf numFmtId="0" fontId="5" fillId="0" borderId="25" xfId="0" applyFont="1" applyBorder="1" applyAlignment="1">
      <alignment horizontal="center" vertical="center"/>
    </xf>
    <xf numFmtId="0" fontId="5" fillId="0" borderId="27" xfId="0" applyFont="1" applyBorder="1" applyAlignment="1">
      <alignment horizontal="center" vertical="center"/>
    </xf>
    <xf numFmtId="49" fontId="7" fillId="0" borderId="3" xfId="0" applyNumberFormat="1" applyFont="1" applyBorder="1" applyAlignment="1">
      <alignment horizontal="center" vertical="center"/>
    </xf>
    <xf numFmtId="49" fontId="7" fillId="0" borderId="2" xfId="0" applyNumberFormat="1" applyFont="1" applyBorder="1" applyAlignment="1">
      <alignment horizontal="center" vertical="center"/>
    </xf>
    <xf numFmtId="0" fontId="7" fillId="4" borderId="32" xfId="0" applyFont="1" applyFill="1" applyBorder="1" applyAlignment="1">
      <alignment horizontal="left" vertical="center" wrapText="1"/>
    </xf>
    <xf numFmtId="0" fontId="7" fillId="4" borderId="3" xfId="0" applyFont="1" applyFill="1" applyBorder="1" applyAlignment="1">
      <alignment horizontal="left" vertical="center" wrapText="1"/>
    </xf>
    <xf numFmtId="0" fontId="7" fillId="4" borderId="27" xfId="0" applyFont="1" applyFill="1" applyBorder="1" applyAlignment="1">
      <alignment horizontal="left" vertical="center" wrapText="1"/>
    </xf>
    <xf numFmtId="0" fontId="17" fillId="0" borderId="22" xfId="0" applyFont="1" applyBorder="1" applyAlignment="1">
      <alignment horizontal="center" vertical="center" wrapText="1"/>
    </xf>
    <xf numFmtId="0" fontId="17" fillId="0" borderId="12" xfId="0" applyFont="1" applyBorder="1" applyAlignment="1">
      <alignment horizontal="center" vertical="center" wrapText="1"/>
    </xf>
    <xf numFmtId="0" fontId="17" fillId="0" borderId="23" xfId="0" applyFont="1" applyBorder="1" applyAlignment="1">
      <alignment horizontal="center" vertical="center" wrapText="1"/>
    </xf>
    <xf numFmtId="0" fontId="7" fillId="0" borderId="32" xfId="0" applyFont="1" applyBorder="1" applyAlignment="1">
      <alignment horizontal="left" vertical="center"/>
    </xf>
    <xf numFmtId="0" fontId="7" fillId="0" borderId="3" xfId="0" applyFont="1" applyBorder="1" applyAlignment="1">
      <alignment horizontal="left" vertical="center"/>
    </xf>
    <xf numFmtId="0" fontId="7" fillId="0" borderId="27" xfId="0" applyFont="1" applyBorder="1" applyAlignment="1">
      <alignment horizontal="left" vertical="center"/>
    </xf>
    <xf numFmtId="14" fontId="7" fillId="0" borderId="3" xfId="0" applyNumberFormat="1" applyFont="1" applyBorder="1" applyAlignment="1">
      <alignment horizontal="center" vertical="center"/>
    </xf>
    <xf numFmtId="14" fontId="7" fillId="0" borderId="2" xfId="0" applyNumberFormat="1" applyFont="1" applyBorder="1" applyAlignment="1">
      <alignment horizontal="center" vertical="center"/>
    </xf>
    <xf numFmtId="0" fontId="20" fillId="0" borderId="18" xfId="0" applyFont="1" applyBorder="1" applyAlignment="1">
      <alignment horizontal="left" vertical="center" wrapText="1"/>
    </xf>
    <xf numFmtId="0" fontId="20" fillId="0" borderId="4" xfId="0" applyFont="1" applyBorder="1" applyAlignment="1">
      <alignment horizontal="left" vertical="center" wrapText="1"/>
    </xf>
    <xf numFmtId="0" fontId="5" fillId="0" borderId="4" xfId="0" applyFont="1" applyBorder="1" applyAlignment="1">
      <alignment horizontal="center" vertical="center"/>
    </xf>
    <xf numFmtId="0" fontId="5" fillId="0" borderId="9" xfId="0" applyFont="1" applyBorder="1" applyAlignment="1">
      <alignment horizontal="center" vertical="center"/>
    </xf>
    <xf numFmtId="0" fontId="5" fillId="4" borderId="14" xfId="0" applyFont="1" applyFill="1" applyBorder="1" applyAlignment="1">
      <alignment horizontal="center" vertical="center"/>
    </xf>
    <xf numFmtId="0" fontId="5" fillId="4" borderId="30" xfId="0" applyFont="1" applyFill="1" applyBorder="1" applyAlignment="1">
      <alignment horizontal="center" vertical="center"/>
    </xf>
    <xf numFmtId="0" fontId="5" fillId="4" borderId="31" xfId="0" applyFont="1" applyFill="1" applyBorder="1" applyAlignment="1">
      <alignment horizontal="center" vertical="center"/>
    </xf>
    <xf numFmtId="0" fontId="19" fillId="0" borderId="32" xfId="0" applyFont="1" applyBorder="1" applyAlignment="1">
      <alignment horizontal="center" vertical="center"/>
    </xf>
    <xf numFmtId="0" fontId="19" fillId="0" borderId="3" xfId="0" applyFont="1" applyBorder="1" applyAlignment="1">
      <alignment horizontal="center" vertical="center"/>
    </xf>
    <xf numFmtId="0" fontId="5" fillId="0" borderId="3" xfId="0" applyFont="1" applyBorder="1" applyAlignment="1">
      <alignment horizontal="center" vertical="center"/>
    </xf>
    <xf numFmtId="0" fontId="5" fillId="0" borderId="2" xfId="0" applyFont="1" applyBorder="1" applyAlignment="1">
      <alignment horizontal="center" vertical="center"/>
    </xf>
    <xf numFmtId="0" fontId="5" fillId="0" borderId="32" xfId="0" applyFont="1" applyBorder="1" applyAlignment="1">
      <alignment horizontal="left" vertical="center"/>
    </xf>
    <xf numFmtId="0" fontId="5" fillId="0" borderId="3" xfId="0" applyFont="1" applyBorder="1" applyAlignment="1">
      <alignment horizontal="left" vertical="center"/>
    </xf>
    <xf numFmtId="0" fontId="5" fillId="0" borderId="27" xfId="0" applyFont="1" applyBorder="1" applyAlignment="1">
      <alignment horizontal="left" vertical="center"/>
    </xf>
    <xf numFmtId="0" fontId="29" fillId="11" borderId="18" xfId="0" applyFont="1" applyFill="1" applyBorder="1" applyAlignment="1">
      <alignment horizontal="center" vertical="center" wrapText="1"/>
    </xf>
    <xf numFmtId="0" fontId="29" fillId="11" borderId="4" xfId="0" applyFont="1" applyFill="1" applyBorder="1" applyAlignment="1">
      <alignment horizontal="center" vertical="center" wrapText="1"/>
    </xf>
    <xf numFmtId="0" fontId="29" fillId="11" borderId="9" xfId="0" applyFont="1" applyFill="1" applyBorder="1" applyAlignment="1">
      <alignment horizontal="center" vertical="center" wrapText="1"/>
    </xf>
    <xf numFmtId="2" fontId="2" fillId="7" borderId="4" xfId="0" applyNumberFormat="1" applyFont="1" applyFill="1" applyBorder="1" applyAlignment="1">
      <alignment horizontal="center" vertical="center" wrapText="1"/>
    </xf>
    <xf numFmtId="0" fontId="2" fillId="0" borderId="4"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59" xfId="0" applyFont="1" applyBorder="1" applyAlignment="1">
      <alignment horizontal="center" vertical="center" wrapText="1"/>
    </xf>
    <xf numFmtId="0" fontId="2" fillId="0" borderId="61"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60" xfId="0" applyFont="1" applyBorder="1" applyAlignment="1">
      <alignment horizontal="center" vertical="center" wrapText="1"/>
    </xf>
    <xf numFmtId="0" fontId="2" fillId="0" borderId="62" xfId="0" applyFont="1" applyBorder="1" applyAlignment="1">
      <alignment horizontal="center" vertical="center" wrapText="1"/>
    </xf>
    <xf numFmtId="0" fontId="2" fillId="0" borderId="20" xfId="0" applyFont="1" applyBorder="1" applyAlignment="1">
      <alignment horizontal="center" vertical="center" wrapText="1"/>
    </xf>
    <xf numFmtId="2" fontId="2" fillId="7" borderId="60" xfId="0" applyNumberFormat="1" applyFont="1" applyFill="1" applyBorder="1" applyAlignment="1">
      <alignment horizontal="center" vertical="center" wrapText="1"/>
    </xf>
    <xf numFmtId="2" fontId="2" fillId="7" borderId="62" xfId="0" applyNumberFormat="1" applyFont="1" applyFill="1" applyBorder="1" applyAlignment="1">
      <alignment horizontal="center" vertical="center" wrapText="1"/>
    </xf>
    <xf numFmtId="2" fontId="2" fillId="7" borderId="20" xfId="0" applyNumberFormat="1" applyFont="1" applyFill="1" applyBorder="1" applyAlignment="1">
      <alignment horizontal="center" vertical="center" wrapText="1"/>
    </xf>
    <xf numFmtId="0" fontId="29" fillId="13" borderId="39" xfId="0" applyFont="1" applyFill="1" applyBorder="1" applyAlignment="1">
      <alignment horizontal="center" vertical="center" wrapText="1"/>
    </xf>
    <xf numFmtId="0" fontId="29" fillId="13" borderId="10" xfId="0" applyFont="1" applyFill="1" applyBorder="1" applyAlignment="1">
      <alignment horizontal="center" vertical="center" wrapText="1"/>
    </xf>
    <xf numFmtId="0" fontId="29" fillId="13" borderId="11" xfId="0" applyFont="1" applyFill="1" applyBorder="1" applyAlignment="1">
      <alignment horizontal="center" vertical="center" wrapText="1"/>
    </xf>
    <xf numFmtId="0" fontId="32" fillId="0" borderId="25" xfId="0" applyFont="1" applyBorder="1" applyAlignment="1">
      <alignment horizontal="center" vertical="center"/>
    </xf>
    <xf numFmtId="0" fontId="32" fillId="0" borderId="3" xfId="0" applyFont="1" applyBorder="1" applyAlignment="1">
      <alignment horizontal="center" vertical="center"/>
    </xf>
    <xf numFmtId="0" fontId="32" fillId="0" borderId="27" xfId="0" applyFont="1" applyBorder="1" applyAlignment="1">
      <alignment horizontal="center" vertical="center"/>
    </xf>
    <xf numFmtId="0" fontId="17" fillId="3" borderId="4" xfId="3" applyFont="1" applyFill="1" applyBorder="1" applyAlignment="1">
      <alignment horizontal="center" vertical="center" wrapText="1"/>
    </xf>
    <xf numFmtId="0" fontId="16" fillId="3" borderId="25" xfId="3" applyFont="1" applyFill="1" applyBorder="1" applyAlignment="1">
      <alignment horizontal="center" vertical="center"/>
    </xf>
    <xf numFmtId="0" fontId="16" fillId="3" borderId="3" xfId="3" applyFont="1" applyFill="1" applyBorder="1" applyAlignment="1">
      <alignment horizontal="center" vertical="center"/>
    </xf>
    <xf numFmtId="0" fontId="16" fillId="3" borderId="27" xfId="3" applyFont="1" applyFill="1" applyBorder="1" applyAlignment="1">
      <alignment horizontal="center" vertical="center"/>
    </xf>
    <xf numFmtId="0" fontId="17" fillId="3" borderId="4" xfId="3" applyFont="1" applyFill="1" applyBorder="1" applyAlignment="1">
      <alignment horizontal="left" vertical="center"/>
    </xf>
    <xf numFmtId="167" fontId="18" fillId="3" borderId="4" xfId="3" applyNumberFormat="1" applyFont="1" applyFill="1" applyBorder="1" applyAlignment="1">
      <alignment horizontal="center" vertical="center" wrapText="1"/>
    </xf>
    <xf numFmtId="0" fontId="18" fillId="3" borderId="4" xfId="3" applyFont="1" applyFill="1" applyBorder="1" applyAlignment="1">
      <alignment horizontal="left" vertical="center" wrapText="1"/>
    </xf>
    <xf numFmtId="0" fontId="17" fillId="3" borderId="25" xfId="3" applyFont="1" applyFill="1" applyBorder="1" applyAlignment="1">
      <alignment horizontal="center" vertical="center"/>
    </xf>
    <xf numFmtId="0" fontId="17" fillId="3" borderId="27" xfId="3" applyFont="1" applyFill="1" applyBorder="1" applyAlignment="1">
      <alignment horizontal="center" vertical="center"/>
    </xf>
    <xf numFmtId="0" fontId="17" fillId="3" borderId="29" xfId="3" applyFont="1" applyFill="1" applyBorder="1" applyAlignment="1">
      <alignment horizontal="center" vertical="center" wrapText="1"/>
    </xf>
    <xf numFmtId="0" fontId="17" fillId="3" borderId="28" xfId="3" applyFont="1" applyFill="1" applyBorder="1" applyAlignment="1">
      <alignment horizontal="center" vertical="center" wrapText="1"/>
    </xf>
    <xf numFmtId="0" fontId="17" fillId="3" borderId="26" xfId="3" applyFont="1" applyFill="1" applyBorder="1" applyAlignment="1">
      <alignment horizontal="center" vertical="center" wrapText="1"/>
    </xf>
    <xf numFmtId="0" fontId="17" fillId="3" borderId="16" xfId="3" applyFont="1" applyFill="1" applyBorder="1" applyAlignment="1">
      <alignment horizontal="center" vertical="center" wrapText="1"/>
    </xf>
    <xf numFmtId="0" fontId="18" fillId="3" borderId="25" xfId="3" applyFont="1" applyFill="1" applyBorder="1" applyAlignment="1">
      <alignment horizontal="left" vertical="center" wrapText="1"/>
    </xf>
    <xf numFmtId="0" fontId="18" fillId="3" borderId="27" xfId="3" applyFont="1" applyFill="1" applyBorder="1" applyAlignment="1">
      <alignment horizontal="left" vertical="center" wrapText="1"/>
    </xf>
    <xf numFmtId="0" fontId="17" fillId="3" borderId="4" xfId="3" applyFont="1" applyFill="1" applyBorder="1" applyAlignment="1">
      <alignment horizontal="center" vertical="center"/>
    </xf>
    <xf numFmtId="0" fontId="18" fillId="3" borderId="4" xfId="3" applyFont="1" applyFill="1" applyBorder="1" applyAlignment="1">
      <alignment horizontal="center" vertical="center" wrapText="1"/>
    </xf>
    <xf numFmtId="0" fontId="23" fillId="0" borderId="39" xfId="3" applyFont="1" applyBorder="1" applyAlignment="1">
      <alignment horizontal="center" vertical="center"/>
    </xf>
    <xf numFmtId="0" fontId="23" fillId="0" borderId="10" xfId="3" applyFont="1" applyBorder="1" applyAlignment="1">
      <alignment horizontal="center" vertical="center"/>
    </xf>
    <xf numFmtId="0" fontId="23" fillId="0" borderId="11" xfId="3" applyFont="1" applyBorder="1" applyAlignment="1">
      <alignment horizontal="center" vertical="center"/>
    </xf>
    <xf numFmtId="0" fontId="5" fillId="0" borderId="18" xfId="3" applyFont="1" applyBorder="1" applyAlignment="1">
      <alignment horizontal="center" vertical="center"/>
    </xf>
    <xf numFmtId="0" fontId="5" fillId="0" borderId="4" xfId="3" applyFont="1" applyBorder="1" applyAlignment="1">
      <alignment horizontal="center" vertical="center"/>
    </xf>
    <xf numFmtId="0" fontId="5" fillId="0" borderId="9" xfId="3" applyFont="1" applyBorder="1" applyAlignment="1">
      <alignment horizontal="center" vertical="center"/>
    </xf>
    <xf numFmtId="0" fontId="4" fillId="5" borderId="39" xfId="3" applyFont="1" applyFill="1" applyBorder="1" applyAlignment="1">
      <alignment horizontal="center" vertical="center" wrapText="1"/>
    </xf>
    <xf numFmtId="0" fontId="4" fillId="5" borderId="10" xfId="3" applyFont="1" applyFill="1" applyBorder="1" applyAlignment="1">
      <alignment horizontal="center" vertical="center" wrapText="1"/>
    </xf>
    <xf numFmtId="0" fontId="4" fillId="5" borderId="11" xfId="3" applyFont="1" applyFill="1" applyBorder="1" applyAlignment="1">
      <alignment horizontal="center" vertical="center" wrapText="1"/>
    </xf>
    <xf numFmtId="0" fontId="4" fillId="5" borderId="22" xfId="3" applyFont="1" applyFill="1" applyBorder="1" applyAlignment="1">
      <alignment horizontal="center" vertical="center" wrapText="1"/>
    </xf>
    <xf numFmtId="0" fontId="4" fillId="5" borderId="12" xfId="3" applyFont="1" applyFill="1" applyBorder="1" applyAlignment="1">
      <alignment horizontal="center" vertical="center" wrapText="1"/>
    </xf>
    <xf numFmtId="0" fontId="4" fillId="5" borderId="23" xfId="3" applyFont="1" applyFill="1" applyBorder="1" applyAlignment="1">
      <alignment horizontal="center" vertical="center" wrapText="1"/>
    </xf>
    <xf numFmtId="0" fontId="24" fillId="0" borderId="19" xfId="3" applyFont="1" applyBorder="1" applyAlignment="1">
      <alignment horizontal="left" vertical="center" wrapText="1"/>
    </xf>
    <xf numFmtId="0" fontId="24" fillId="0" borderId="20" xfId="3" applyFont="1" applyBorder="1" applyAlignment="1">
      <alignment horizontal="left" vertical="center" wrapText="1"/>
    </xf>
    <xf numFmtId="10" fontId="24" fillId="8" borderId="20" xfId="3" applyNumberFormat="1" applyFont="1" applyFill="1" applyBorder="1" applyAlignment="1" applyProtection="1">
      <alignment horizontal="center" vertical="center"/>
      <protection locked="0"/>
    </xf>
    <xf numFmtId="10" fontId="24" fillId="8" borderId="21" xfId="3" applyNumberFormat="1" applyFont="1" applyFill="1" applyBorder="1" applyAlignment="1" applyProtection="1">
      <alignment horizontal="center" vertical="center"/>
      <protection locked="0"/>
    </xf>
    <xf numFmtId="0" fontId="24" fillId="0" borderId="56" xfId="3" applyFont="1" applyBorder="1" applyAlignment="1">
      <alignment horizontal="center"/>
    </xf>
    <xf numFmtId="0" fontId="24" fillId="0" borderId="57" xfId="3" applyFont="1" applyBorder="1" applyAlignment="1">
      <alignment horizontal="center"/>
    </xf>
    <xf numFmtId="0" fontId="24" fillId="0" borderId="58" xfId="3" applyFont="1" applyBorder="1" applyAlignment="1">
      <alignment horizontal="center"/>
    </xf>
    <xf numFmtId="0" fontId="24" fillId="0" borderId="32" xfId="3" applyFont="1" applyBorder="1" applyAlignment="1">
      <alignment horizontal="center"/>
    </xf>
    <xf numFmtId="0" fontId="24" fillId="0" borderId="3" xfId="3" applyFont="1" applyBorder="1" applyAlignment="1">
      <alignment horizontal="center"/>
    </xf>
    <xf numFmtId="0" fontId="24" fillId="0" borderId="2" xfId="3" applyFont="1" applyBorder="1" applyAlignment="1">
      <alignment horizontal="center"/>
    </xf>
    <xf numFmtId="0" fontId="24" fillId="0" borderId="18" xfId="3" applyFont="1" applyBorder="1" applyAlignment="1">
      <alignment horizontal="left" vertical="center"/>
    </xf>
    <xf numFmtId="0" fontId="24" fillId="0" borderId="4" xfId="3" applyFont="1" applyBorder="1" applyAlignment="1">
      <alignment horizontal="left" vertical="center"/>
    </xf>
    <xf numFmtId="10" fontId="24" fillId="8" borderId="4" xfId="3" applyNumberFormat="1" applyFont="1" applyFill="1" applyBorder="1" applyAlignment="1" applyProtection="1">
      <alignment horizontal="center" vertical="center"/>
      <protection locked="0"/>
    </xf>
    <xf numFmtId="10" fontId="24" fillId="8" borderId="9" xfId="3" applyNumberFormat="1" applyFont="1" applyFill="1" applyBorder="1" applyAlignment="1" applyProtection="1">
      <alignment horizontal="center" vertical="center"/>
      <protection locked="0"/>
    </xf>
    <xf numFmtId="0" fontId="4" fillId="0" borderId="44" xfId="16" applyFont="1" applyBorder="1" applyAlignment="1">
      <alignment horizontal="left" vertical="top"/>
    </xf>
    <xf numFmtId="0" fontId="4" fillId="0" borderId="45" xfId="16" applyFont="1" applyBorder="1" applyAlignment="1">
      <alignment horizontal="left" vertical="top"/>
    </xf>
    <xf numFmtId="0" fontId="4" fillId="0" borderId="46" xfId="16" applyFont="1" applyBorder="1" applyAlignment="1">
      <alignment horizontal="left" vertical="top"/>
    </xf>
    <xf numFmtId="169" fontId="2" fillId="9" borderId="47" xfId="17" applyFill="1" applyBorder="1" applyAlignment="1" applyProtection="1">
      <alignment horizontal="left"/>
      <protection locked="0"/>
    </xf>
    <xf numFmtId="169" fontId="2" fillId="9" borderId="48" xfId="17" applyFill="1" applyBorder="1" applyAlignment="1" applyProtection="1">
      <alignment horizontal="left"/>
      <protection locked="0"/>
    </xf>
    <xf numFmtId="169" fontId="2" fillId="9" borderId="49" xfId="17" applyFill="1" applyBorder="1" applyAlignment="1" applyProtection="1">
      <alignment horizontal="left"/>
      <protection locked="0"/>
    </xf>
    <xf numFmtId="0" fontId="8" fillId="5" borderId="39" xfId="3" applyFont="1" applyFill="1" applyBorder="1" applyAlignment="1">
      <alignment horizontal="center" vertical="center"/>
    </xf>
    <xf numFmtId="0" fontId="8" fillId="5" borderId="10" xfId="3" applyFont="1" applyFill="1" applyBorder="1" applyAlignment="1">
      <alignment horizontal="center" vertical="center"/>
    </xf>
    <xf numFmtId="0" fontId="8" fillId="5" borderId="22" xfId="3" applyFont="1" applyFill="1" applyBorder="1" applyAlignment="1">
      <alignment horizontal="center" vertical="center"/>
    </xf>
    <xf numFmtId="0" fontId="8" fillId="5" borderId="12" xfId="3" applyFont="1" applyFill="1" applyBorder="1" applyAlignment="1">
      <alignment horizontal="center" vertical="center"/>
    </xf>
    <xf numFmtId="4" fontId="8" fillId="5" borderId="11" xfId="3" applyNumberFormat="1" applyFont="1" applyFill="1" applyBorder="1" applyAlignment="1">
      <alignment horizontal="center" vertical="center" wrapText="1"/>
    </xf>
    <xf numFmtId="4" fontId="8" fillId="5" borderId="23" xfId="3" applyNumberFormat="1" applyFont="1" applyFill="1" applyBorder="1" applyAlignment="1">
      <alignment horizontal="center" vertical="center" wrapText="1"/>
    </xf>
    <xf numFmtId="4" fontId="8" fillId="0" borderId="43" xfId="3" applyNumberFormat="1" applyFont="1" applyBorder="1" applyAlignment="1">
      <alignment horizontal="center" vertical="center" wrapText="1"/>
    </xf>
    <xf numFmtId="0" fontId="4" fillId="0" borderId="43" xfId="3" applyFont="1" applyBorder="1" applyAlignment="1">
      <alignment horizontal="center" vertical="center"/>
    </xf>
    <xf numFmtId="0" fontId="2" fillId="0" borderId="19" xfId="3" applyFont="1" applyBorder="1" applyAlignment="1">
      <alignment horizontal="left" vertical="center" wrapText="1"/>
    </xf>
    <xf numFmtId="0" fontId="0" fillId="0" borderId="20" xfId="3" applyFont="1" applyBorder="1" applyAlignment="1">
      <alignment horizontal="left" vertical="center" wrapText="1"/>
    </xf>
    <xf numFmtId="4" fontId="8" fillId="0" borderId="43" xfId="3" applyNumberFormat="1" applyFont="1" applyBorder="1" applyAlignment="1">
      <alignment horizontal="center" vertical="center"/>
    </xf>
    <xf numFmtId="0" fontId="2" fillId="0" borderId="18" xfId="3" applyFont="1" applyBorder="1" applyAlignment="1">
      <alignment horizontal="left" vertical="center" wrapText="1"/>
    </xf>
    <xf numFmtId="0" fontId="0" fillId="0" borderId="4" xfId="3" applyFont="1" applyBorder="1" applyAlignment="1">
      <alignment horizontal="left" vertical="center" wrapText="1"/>
    </xf>
    <xf numFmtId="0" fontId="0" fillId="0" borderId="18" xfId="3" applyFont="1" applyBorder="1" applyAlignment="1">
      <alignment horizontal="left" vertical="center" wrapText="1"/>
    </xf>
    <xf numFmtId="0" fontId="0" fillId="0" borderId="53" xfId="3" applyFont="1" applyBorder="1" applyAlignment="1">
      <alignment horizontal="left" vertical="center"/>
    </xf>
    <xf numFmtId="0" fontId="0" fillId="0" borderId="54" xfId="3" applyFont="1" applyBorder="1" applyAlignment="1">
      <alignment horizontal="left" vertical="center"/>
    </xf>
    <xf numFmtId="0" fontId="9" fillId="10" borderId="5" xfId="3" applyFont="1" applyFill="1" applyBorder="1" applyAlignment="1">
      <alignment horizontal="center" vertical="center" wrapText="1"/>
    </xf>
    <xf numFmtId="0" fontId="9" fillId="10" borderId="6" xfId="3" applyFont="1" applyFill="1" applyBorder="1" applyAlignment="1">
      <alignment horizontal="center" vertical="center" wrapText="1"/>
    </xf>
    <xf numFmtId="0" fontId="0" fillId="0" borderId="13" xfId="3" applyFont="1" applyBorder="1" applyAlignment="1">
      <alignment horizontal="center" vertical="center"/>
    </xf>
    <xf numFmtId="0" fontId="0" fillId="0" borderId="0" xfId="3" applyFont="1" applyAlignment="1">
      <alignment horizontal="center" vertical="center"/>
    </xf>
    <xf numFmtId="0" fontId="0" fillId="0" borderId="17" xfId="3" applyFont="1" applyBorder="1" applyAlignment="1">
      <alignment horizontal="center" vertical="center"/>
    </xf>
    <xf numFmtId="0" fontId="25" fillId="0" borderId="13" xfId="3" applyFont="1" applyBorder="1" applyAlignment="1">
      <alignment horizontal="right" vertical="center"/>
    </xf>
    <xf numFmtId="0" fontId="26" fillId="0" borderId="0" xfId="3" applyFont="1" applyAlignment="1">
      <alignment horizontal="center"/>
    </xf>
    <xf numFmtId="0" fontId="25" fillId="0" borderId="0" xfId="3" applyFont="1" applyAlignment="1">
      <alignment horizontal="center" vertical="top"/>
    </xf>
    <xf numFmtId="0" fontId="24" fillId="0" borderId="5" xfId="3" applyFont="1" applyBorder="1" applyAlignment="1">
      <alignment horizontal="left" vertical="center" wrapText="1"/>
    </xf>
    <xf numFmtId="0" fontId="24" fillId="0" borderId="6" xfId="3" applyFont="1" applyBorder="1" applyAlignment="1">
      <alignment horizontal="left" vertical="center" wrapText="1"/>
    </xf>
    <xf numFmtId="0" fontId="24" fillId="0" borderId="8" xfId="3" applyFont="1" applyBorder="1" applyAlignment="1">
      <alignment horizontal="left" vertical="center" wrapText="1"/>
    </xf>
    <xf numFmtId="170" fontId="0" fillId="0" borderId="50" xfId="3" applyNumberFormat="1" applyFont="1" applyBorder="1" applyAlignment="1">
      <alignment horizontal="left"/>
    </xf>
    <xf numFmtId="170" fontId="0" fillId="0" borderId="51" xfId="3" applyNumberFormat="1" applyFont="1" applyBorder="1" applyAlignment="1">
      <alignment horizontal="left"/>
    </xf>
    <xf numFmtId="171" fontId="2" fillId="0" borderId="51" xfId="3" applyNumberFormat="1" applyFont="1" applyBorder="1" applyAlignment="1">
      <alignment horizontal="left"/>
    </xf>
    <xf numFmtId="171" fontId="0" fillId="0" borderId="51" xfId="3" applyNumberFormat="1" applyFont="1" applyBorder="1" applyAlignment="1">
      <alignment horizontal="left"/>
    </xf>
    <xf numFmtId="171" fontId="0" fillId="0" borderId="52" xfId="3" applyNumberFormat="1" applyFont="1" applyBorder="1" applyAlignment="1">
      <alignment horizontal="left"/>
    </xf>
    <xf numFmtId="0" fontId="4" fillId="0" borderId="53" xfId="3" applyFont="1" applyBorder="1" applyAlignment="1">
      <alignment horizontal="left" vertical="center"/>
    </xf>
    <xf numFmtId="0" fontId="4" fillId="0" borderId="54" xfId="3" applyFont="1" applyBorder="1" applyAlignment="1">
      <alignment horizontal="left" vertical="center"/>
    </xf>
    <xf numFmtId="0" fontId="8" fillId="0" borderId="50" xfId="3" applyFont="1" applyBorder="1" applyAlignment="1">
      <alignment horizontal="left" vertical="center"/>
    </xf>
    <xf numFmtId="0" fontId="8" fillId="0" borderId="51" xfId="3" applyFont="1" applyBorder="1" applyAlignment="1">
      <alignment horizontal="left" vertical="center"/>
    </xf>
  </cellXfs>
  <cellStyles count="18">
    <cellStyle name="Hiperlink 2" xfId="1" xr:uid="{00000000-0005-0000-0000-000000000000}"/>
    <cellStyle name="Moeda" xfId="15" builtinId="4"/>
    <cellStyle name="Moeda 2" xfId="2" xr:uid="{00000000-0005-0000-0000-000002000000}"/>
    <cellStyle name="Moeda_Composicao BDI v2.1" xfId="17" xr:uid="{00000000-0005-0000-0000-000003000000}"/>
    <cellStyle name="Normal" xfId="0" builtinId="0"/>
    <cellStyle name="Normal 2" xfId="3" xr:uid="{00000000-0005-0000-0000-000005000000}"/>
    <cellStyle name="Normal 2 2" xfId="13" xr:uid="{00000000-0005-0000-0000-000006000000}"/>
    <cellStyle name="Normal 3" xfId="4" xr:uid="{00000000-0005-0000-0000-000007000000}"/>
    <cellStyle name="Normal 4" xfId="12" xr:uid="{00000000-0005-0000-0000-000008000000}"/>
    <cellStyle name="Normal_FICHA DE VERIFICAÇÃO PRELIMINAR - Plano R" xfId="16" xr:uid="{00000000-0005-0000-0000-000009000000}"/>
    <cellStyle name="Porcentagem" xfId="5" builtinId="5"/>
    <cellStyle name="Porcentagem 2" xfId="6" xr:uid="{00000000-0005-0000-0000-00000B000000}"/>
    <cellStyle name="Separador de milhares 2 2" xfId="7" xr:uid="{00000000-0005-0000-0000-00000C000000}"/>
    <cellStyle name="Total 2" xfId="8" xr:uid="{00000000-0005-0000-0000-00000D000000}"/>
    <cellStyle name="Vírgula" xfId="9" builtinId="3"/>
    <cellStyle name="Vírgula 2" xfId="10" xr:uid="{00000000-0005-0000-0000-00000F000000}"/>
    <cellStyle name="Vírgula 2 2" xfId="14" xr:uid="{00000000-0005-0000-0000-000010000000}"/>
    <cellStyle name="Vírgula 3" xfId="11" xr:uid="{00000000-0005-0000-0000-000011000000}"/>
  </cellStyles>
  <dxfs count="1">
    <dxf>
      <font>
        <b/>
        <i val="0"/>
        <condense val="0"/>
        <extend val="0"/>
        <color indexed="9"/>
      </font>
      <fill>
        <patternFill patternType="none">
          <fgColor indexed="64"/>
          <bgColor indexed="65"/>
        </patternFill>
      </fill>
      <border>
        <left/>
        <right/>
        <top style="thin">
          <color indexed="64"/>
        </top>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0</xdr:col>
      <xdr:colOff>239486</xdr:colOff>
      <xdr:row>0</xdr:row>
      <xdr:rowOff>87086</xdr:rowOff>
    </xdr:from>
    <xdr:to>
      <xdr:col>1</xdr:col>
      <xdr:colOff>419100</xdr:colOff>
      <xdr:row>0</xdr:row>
      <xdr:rowOff>744343</xdr:rowOff>
    </xdr:to>
    <xdr:pic>
      <xdr:nvPicPr>
        <xdr:cNvPr id="3" name="Imagem 1">
          <a:extLst>
            <a:ext uri="{FF2B5EF4-FFF2-40B4-BE49-F238E27FC236}">
              <a16:creationId xmlns:a16="http://schemas.microsoft.com/office/drawing/2014/main" id="{B27F6B5B-AB34-4C7C-9751-DA1F79627D9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662" r="1662"/>
        <a:stretch/>
      </xdr:blipFill>
      <xdr:spPr bwMode="auto">
        <a:xfrm>
          <a:off x="239486" y="87086"/>
          <a:ext cx="653143" cy="6572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495300</xdr:colOff>
      <xdr:row>0</xdr:row>
      <xdr:rowOff>161925</xdr:rowOff>
    </xdr:from>
    <xdr:to>
      <xdr:col>1</xdr:col>
      <xdr:colOff>390939</xdr:colOff>
      <xdr:row>0</xdr:row>
      <xdr:rowOff>748386</xdr:rowOff>
    </xdr:to>
    <xdr:pic>
      <xdr:nvPicPr>
        <xdr:cNvPr id="4" name="Imagem 3">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877" r="877"/>
        <a:stretch/>
      </xdr:blipFill>
      <xdr:spPr bwMode="auto">
        <a:xfrm>
          <a:off x="495300" y="161925"/>
          <a:ext cx="591378" cy="5864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85659</xdr:colOff>
      <xdr:row>0</xdr:row>
      <xdr:rowOff>111935</xdr:rowOff>
    </xdr:from>
    <xdr:to>
      <xdr:col>0</xdr:col>
      <xdr:colOff>702878</xdr:colOff>
      <xdr:row>0</xdr:row>
      <xdr:rowOff>739400</xdr:rowOff>
    </xdr:to>
    <xdr:pic>
      <xdr:nvPicPr>
        <xdr:cNvPr id="2" name="Imagem 1">
          <a:extLst>
            <a:ext uri="{FF2B5EF4-FFF2-40B4-BE49-F238E27FC236}">
              <a16:creationId xmlns:a16="http://schemas.microsoft.com/office/drawing/2014/main" id="{4566851C-6EC7-4DF6-84A8-86ED44157F7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367" r="1367"/>
        <a:stretch/>
      </xdr:blipFill>
      <xdr:spPr bwMode="auto">
        <a:xfrm>
          <a:off x="85659" y="111935"/>
          <a:ext cx="617219" cy="627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171450</xdr:colOff>
      <xdr:row>0</xdr:row>
      <xdr:rowOff>66675</xdr:rowOff>
    </xdr:from>
    <xdr:to>
      <xdr:col>0</xdr:col>
      <xdr:colOff>904875</xdr:colOff>
      <xdr:row>2</xdr:row>
      <xdr:rowOff>180975</xdr:rowOff>
    </xdr:to>
    <xdr:pic>
      <xdr:nvPicPr>
        <xdr:cNvPr id="2" name="Imagem 1">
          <a:extLst>
            <a:ext uri="{FF2B5EF4-FFF2-40B4-BE49-F238E27FC236}">
              <a16:creationId xmlns:a16="http://schemas.microsoft.com/office/drawing/2014/main" id="{1C788A32-2BA5-43C3-A431-8A3756B63F0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662" r="1662"/>
        <a:stretch/>
      </xdr:blipFill>
      <xdr:spPr bwMode="auto">
        <a:xfrm>
          <a:off x="171450" y="66675"/>
          <a:ext cx="733425" cy="739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SERVI&#199;O%20-%20PAVIMENTA&#199;&#195;O%20DE%20LIMAS/NOVO/Planilha%20Or&#231;ament&#225;ria%20-%20Licitado.xls" TargetMode="External"/><Relationship Id="rId1" Type="http://schemas.openxmlformats.org/officeDocument/2006/relationships/externalLinkPath" Target="/SERVI&#199;O%20-%20PAVIMENTA&#199;&#195;O%20DE%20LIMAS/NOVO/Planilha%20Or&#231;ament&#225;ria%20-%20Licitad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FLAVIO%20LUKIM%20GRECO/PMLF/PMLF/2019%20-%20LEANDRO%20FERREIRA/005%20-%20PAVIMENTACAO%20MCID%20-%202018/PAVIMENTA&#199;&#195;O%20CT%201053.056-80-2018%20-%20SICONV%20866837-2018/2-CAIXA/PLANILHA%20M&#218;LTIPLA%20V3.0.5%20MOD-13.0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about:blank"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row r="1">
          <cell r="J1" t="str">
            <v>PM</v>
          </cell>
        </row>
        <row r="2">
          <cell r="J2" t="str">
            <v>v3.0.5</v>
          </cell>
        </row>
        <row r="3">
          <cell r="O3">
            <v>1</v>
          </cell>
        </row>
        <row r="4">
          <cell r="O4">
            <v>1</v>
          </cell>
        </row>
      </sheetData>
      <sheetData sheetId="1">
        <row r="2">
          <cell r="J2" t="str">
            <v>Itens de Investimento</v>
          </cell>
          <cell r="K2" t="str">
            <v>Unidades habitacionais</v>
          </cell>
          <cell r="L2">
            <v>3</v>
          </cell>
          <cell r="M2" t="str">
            <v>Equipamentos comunitários</v>
          </cell>
          <cell r="N2">
            <v>6</v>
          </cell>
          <cell r="O2" t="str">
            <v>Pavimentação</v>
          </cell>
          <cell r="P2">
            <v>6</v>
          </cell>
          <cell r="Q2" t="str">
            <v xml:space="preserve">Drenagem </v>
          </cell>
          <cell r="R2">
            <v>6</v>
          </cell>
          <cell r="S2" t="str">
            <v>Abastecimento de água</v>
          </cell>
          <cell r="T2">
            <v>11</v>
          </cell>
          <cell r="U2" t="str">
            <v>Esgotamento sanitário</v>
          </cell>
          <cell r="V2">
            <v>8</v>
          </cell>
          <cell r="W2" t="str">
            <v>Energia elétrica e iluminação pública</v>
          </cell>
          <cell r="X2">
            <v>4</v>
          </cell>
          <cell r="Y2" t="str">
            <v>Coleta e tratamento de resíduos sólidos</v>
          </cell>
          <cell r="Z2">
            <v>6</v>
          </cell>
          <cell r="AA2" t="str">
            <v xml:space="preserve">Contenção e estabilização de encostas </v>
          </cell>
          <cell r="AB2">
            <v>2</v>
          </cell>
          <cell r="AC2" t="str">
            <v>Regularização fundiária</v>
          </cell>
          <cell r="AD2">
            <v>2</v>
          </cell>
          <cell r="AE2" t="str">
            <v>Aquisição de terreno</v>
          </cell>
          <cell r="AF2">
            <v>2</v>
          </cell>
          <cell r="AG2" t="str">
            <v>Aquisição de equipamentos e insumos</v>
          </cell>
          <cell r="AH2">
            <v>1</v>
          </cell>
          <cell r="AI2" t="str">
            <v>Elaboração de estudos e projetos</v>
          </cell>
          <cell r="AJ2">
            <v>1</v>
          </cell>
          <cell r="AK2" t="str">
            <v>Instrumentos e ações em planejamento e gestão pública</v>
          </cell>
          <cell r="AL2">
            <v>1</v>
          </cell>
          <cell r="AM2" t="str">
            <v>Ações complementares às obras</v>
          </cell>
          <cell r="AN2">
            <v>3</v>
          </cell>
          <cell r="AO2" t="str">
            <v>Gerenciamento</v>
          </cell>
          <cell r="AP2">
            <v>1</v>
          </cell>
          <cell r="AQ2" t="str">
            <v>Trabalho social</v>
          </cell>
          <cell r="AR2">
            <v>4</v>
          </cell>
        </row>
        <row r="3">
          <cell r="J3" t="str">
            <v>Unidades habitacionais</v>
          </cell>
        </row>
        <row r="4">
          <cell r="F4" t="str">
            <v>OGU</v>
          </cell>
          <cell r="J4" t="str">
            <v>Equipamentos comunitários</v>
          </cell>
        </row>
        <row r="5">
          <cell r="F5" t="str">
            <v>MUNICÍPIO DE IGARATINGA</v>
          </cell>
          <cell r="J5" t="str">
            <v>Pavimentação</v>
          </cell>
        </row>
        <row r="6">
          <cell r="J6" t="str">
            <v xml:space="preserve">Drenagem </v>
          </cell>
        </row>
        <row r="7">
          <cell r="F7" t="str">
            <v>1068.628-95/2019</v>
          </cell>
          <cell r="J7" t="str">
            <v>Abastecimento de água</v>
          </cell>
        </row>
        <row r="8">
          <cell r="F8" t="str">
            <v>893948/2019</v>
          </cell>
          <cell r="J8" t="str">
            <v>Esgotamento sanitário</v>
          </cell>
        </row>
        <row r="9">
          <cell r="F9">
            <v>481104</v>
          </cell>
          <cell r="J9" t="str">
            <v>Energia elétrica e iluminação pública</v>
          </cell>
        </row>
        <row r="10">
          <cell r="F10">
            <v>55366.95</v>
          </cell>
          <cell r="J10" t="str">
            <v>Coleta e tratamento de resíduos sólidos</v>
          </cell>
        </row>
        <row r="11">
          <cell r="J11" t="str">
            <v xml:space="preserve">Contenção e estabilização de encostas </v>
          </cell>
        </row>
        <row r="12">
          <cell r="J12" t="str">
            <v>Regularização fundiária</v>
          </cell>
        </row>
        <row r="13">
          <cell r="J13" t="str">
            <v>Aquisição de terreno</v>
          </cell>
        </row>
        <row r="14">
          <cell r="J14" t="str">
            <v>Aquisição de equipamentos e insumos</v>
          </cell>
        </row>
        <row r="15">
          <cell r="J15" t="str">
            <v>Elaboração de estudos e projetos</v>
          </cell>
        </row>
        <row r="16">
          <cell r="J16" t="str">
            <v>Instrumentos e ações em planejamento e gestão pública</v>
          </cell>
        </row>
        <row r="17">
          <cell r="J17" t="str">
            <v>Ações complementares às obras</v>
          </cell>
        </row>
        <row r="18">
          <cell r="J18" t="str">
            <v>Gerenciamento</v>
          </cell>
        </row>
        <row r="19">
          <cell r="J19" t="str">
            <v>Trabalho social</v>
          </cell>
        </row>
        <row r="50">
          <cell r="F50" t="str">
            <v>FLÁVIO LUCAS GRECO SANTOS</v>
          </cell>
        </row>
        <row r="51">
          <cell r="F51" t="str">
            <v>ENGENHEIRO CIVIL</v>
          </cell>
        </row>
        <row r="52">
          <cell r="F52" t="str">
            <v>64880/D</v>
          </cell>
        </row>
        <row r="53">
          <cell r="F53" t="str">
            <v>20210089897</v>
          </cell>
        </row>
      </sheetData>
      <sheetData sheetId="2"/>
      <sheetData sheetId="3"/>
      <sheetData sheetId="4">
        <row r="8">
          <cell r="F8" t="str">
            <v>'[Referência 01-2021.xls]Banco'!$a5:$a$65536</v>
          </cell>
          <cell r="AF8" t="b">
            <v>1</v>
          </cell>
        </row>
        <row r="10">
          <cell r="AF10" t="b">
            <v>1</v>
          </cell>
        </row>
        <row r="11">
          <cell r="AF11" t="b">
            <v>1</v>
          </cell>
        </row>
        <row r="15">
          <cell r="M15" t="str">
            <v>LOTE</v>
          </cell>
          <cell r="X15">
            <v>536780.38</v>
          </cell>
          <cell r="Z15" t="str">
            <v/>
          </cell>
          <cell r="AA15">
            <v>55676.38</v>
          </cell>
          <cell r="AB15">
            <v>0</v>
          </cell>
        </row>
        <row r="16">
          <cell r="X16">
            <v>536780.38</v>
          </cell>
          <cell r="Z16" t="str">
            <v/>
          </cell>
          <cell r="AA16">
            <v>55676.38</v>
          </cell>
          <cell r="AB16">
            <v>0</v>
          </cell>
        </row>
        <row r="17">
          <cell r="X17">
            <v>641.46</v>
          </cell>
          <cell r="Z17" t="str">
            <v/>
          </cell>
          <cell r="AA17">
            <v>66.534046409818487</v>
          </cell>
          <cell r="AB17">
            <v>0</v>
          </cell>
        </row>
        <row r="18">
          <cell r="X18">
            <v>641.46</v>
          </cell>
          <cell r="Z18" t="str">
            <v>RA</v>
          </cell>
          <cell r="AA18">
            <v>66.534046409818487</v>
          </cell>
          <cell r="AB18">
            <v>0</v>
          </cell>
        </row>
        <row r="19">
          <cell r="X19">
            <v>512480.65</v>
          </cell>
          <cell r="Z19" t="str">
            <v/>
          </cell>
          <cell r="AA19">
            <v>53155.943240784989</v>
          </cell>
          <cell r="AB19">
            <v>0</v>
          </cell>
        </row>
        <row r="20">
          <cell r="X20">
            <v>27106.31</v>
          </cell>
          <cell r="Z20" t="str">
            <v>RA</v>
          </cell>
          <cell r="AA20">
            <v>2811.5431789027016</v>
          </cell>
          <cell r="AB20">
            <v>0</v>
          </cell>
        </row>
        <row r="21">
          <cell r="X21">
            <v>466762.01</v>
          </cell>
          <cell r="Z21" t="str">
            <v>RA</v>
          </cell>
          <cell r="AA21">
            <v>48413.876524927757</v>
          </cell>
          <cell r="AB21">
            <v>0</v>
          </cell>
        </row>
        <row r="22">
          <cell r="X22">
            <v>14640.8</v>
          </cell>
          <cell r="Z22" t="str">
            <v>RA</v>
          </cell>
          <cell r="AA22">
            <v>1518.5852066798716</v>
          </cell>
          <cell r="AB22">
            <v>0</v>
          </cell>
        </row>
        <row r="23">
          <cell r="X23">
            <v>3971.53</v>
          </cell>
          <cell r="Z23" t="str">
            <v>RA</v>
          </cell>
          <cell r="AA23">
            <v>411.93833027466468</v>
          </cell>
          <cell r="AB23">
            <v>0</v>
          </cell>
        </row>
        <row r="24">
          <cell r="X24">
            <v>23658.27</v>
          </cell>
          <cell r="Z24" t="str">
            <v/>
          </cell>
          <cell r="AA24">
            <v>2453.9027128051885</v>
          </cell>
          <cell r="AB24">
            <v>0</v>
          </cell>
        </row>
        <row r="25">
          <cell r="X25">
            <v>18467.419999999998</v>
          </cell>
          <cell r="Z25" t="str">
            <v>RA</v>
          </cell>
          <cell r="AA25">
            <v>1915.4930616867925</v>
          </cell>
          <cell r="AB25">
            <v>0</v>
          </cell>
        </row>
        <row r="26">
          <cell r="X26">
            <v>5190.8500000000004</v>
          </cell>
          <cell r="Z26" t="str">
            <v>RA</v>
          </cell>
          <cell r="AA26">
            <v>538.40965111839603</v>
          </cell>
          <cell r="AB26">
            <v>0</v>
          </cell>
        </row>
        <row r="27">
          <cell r="X27">
            <v>0</v>
          </cell>
          <cell r="Z27" t="str">
            <v/>
          </cell>
          <cell r="AA27">
            <v>0</v>
          </cell>
          <cell r="AB27">
            <v>0</v>
          </cell>
        </row>
        <row r="28">
          <cell r="X28">
            <v>0</v>
          </cell>
          <cell r="Z28" t="str">
            <v/>
          </cell>
          <cell r="AA28">
            <v>0</v>
          </cell>
          <cell r="AB28">
            <v>0</v>
          </cell>
        </row>
        <row r="29">
          <cell r="X29">
            <v>0</v>
          </cell>
          <cell r="Z29" t="str">
            <v/>
          </cell>
          <cell r="AA29">
            <v>0</v>
          </cell>
          <cell r="AB29">
            <v>0</v>
          </cell>
        </row>
        <row r="30">
          <cell r="X30">
            <v>0</v>
          </cell>
          <cell r="Z30" t="str">
            <v/>
          </cell>
          <cell r="AA30">
            <v>0</v>
          </cell>
          <cell r="AB30">
            <v>0</v>
          </cell>
        </row>
        <row r="31">
          <cell r="X31">
            <v>0</v>
          </cell>
          <cell r="Z31" t="str">
            <v/>
          </cell>
          <cell r="AA31">
            <v>0</v>
          </cell>
          <cell r="AB31">
            <v>0</v>
          </cell>
        </row>
      </sheetData>
      <sheetData sheetId="5">
        <row r="12">
          <cell r="A12">
            <v>2</v>
          </cell>
          <cell r="Q12" t="str">
            <v>SERVIÇOS PRELIMINARES</v>
          </cell>
          <cell r="AA12" t="str">
            <v>.</v>
          </cell>
        </row>
        <row r="15">
          <cell r="M15">
            <v>1</v>
          </cell>
          <cell r="Q15">
            <v>641.46</v>
          </cell>
        </row>
        <row r="16">
          <cell r="M16" t="str">
            <v/>
          </cell>
        </row>
        <row r="17">
          <cell r="M17" t="str">
            <v/>
          </cell>
        </row>
        <row r="18">
          <cell r="M18">
            <v>2</v>
          </cell>
        </row>
        <row r="19">
          <cell r="M19" t="str">
            <v/>
          </cell>
        </row>
        <row r="20">
          <cell r="M20">
            <v>3</v>
          </cell>
        </row>
        <row r="21">
          <cell r="M21">
            <v>3</v>
          </cell>
        </row>
        <row r="22">
          <cell r="M22">
            <v>3</v>
          </cell>
        </row>
        <row r="23">
          <cell r="M23">
            <v>3</v>
          </cell>
        </row>
        <row r="24">
          <cell r="M24" t="str">
            <v/>
          </cell>
        </row>
        <row r="25">
          <cell r="M25">
            <v>4</v>
          </cell>
        </row>
        <row r="26">
          <cell r="M26">
            <v>4</v>
          </cell>
        </row>
        <row r="27">
          <cell r="M27">
            <v>4</v>
          </cell>
        </row>
        <row r="28">
          <cell r="M28" t="str">
            <v/>
          </cell>
        </row>
        <row r="29">
          <cell r="M29">
            <v>5</v>
          </cell>
        </row>
        <row r="30">
          <cell r="M30">
            <v>5</v>
          </cell>
        </row>
        <row r="31">
          <cell r="M31">
            <v>5</v>
          </cell>
        </row>
      </sheetData>
      <sheetData sheetId="6">
        <row r="14">
          <cell r="C14" t="e">
            <v>#VALUE!</v>
          </cell>
        </row>
        <row r="15">
          <cell r="B15" t="str">
            <v>1.Administração Local</v>
          </cell>
          <cell r="C15">
            <v>1</v>
          </cell>
          <cell r="D15" t="str">
            <v>Administração Local</v>
          </cell>
        </row>
        <row r="16">
          <cell r="C16">
            <v>2</v>
          </cell>
        </row>
        <row r="17">
          <cell r="C17">
            <v>3</v>
          </cell>
        </row>
        <row r="18">
          <cell r="C18">
            <v>4</v>
          </cell>
        </row>
        <row r="19">
          <cell r="C19">
            <v>5</v>
          </cell>
        </row>
      </sheetData>
      <sheetData sheetId="7"/>
      <sheetData sheetId="8"/>
      <sheetData sheetId="9">
        <row r="9">
          <cell r="J9">
            <v>1</v>
          </cell>
        </row>
        <row r="15">
          <cell r="A15" t="str">
            <v/>
          </cell>
          <cell r="B15">
            <v>1</v>
          </cell>
          <cell r="C15" t="str">
            <v>Administração Local</v>
          </cell>
          <cell r="H15" t="str">
            <v>Para aplicação de Adm. Local é necessário definir os eventos manualmente.</v>
          </cell>
        </row>
        <row r="20">
          <cell r="A20" t="str">
            <v>F</v>
          </cell>
        </row>
      </sheetData>
      <sheetData sheetId="10">
        <row r="13">
          <cell r="B13" t="str">
            <v>Busca</v>
          </cell>
          <cell r="E13" t="str">
            <v>Item de Investimento</v>
          </cell>
          <cell r="F13" t="str">
            <v>Subitem de Investimento</v>
          </cell>
          <cell r="H13" t="str">
            <v>Situação</v>
          </cell>
          <cell r="I13" t="str">
            <v>Quantidade</v>
          </cell>
          <cell r="O13" t="str">
            <v>Investimento (R$)</v>
          </cell>
          <cell r="R13" t="str">
            <v>Descrição da Meta</v>
          </cell>
          <cell r="T13" t="str">
            <v>Lote de Licitação / nº do CTEF</v>
          </cell>
          <cell r="U13" t="str">
            <v>Investimento (R$)</v>
          </cell>
          <cell r="V13" t="str">
            <v>Divisão do Investimento</v>
          </cell>
          <cell r="W13" t="str">
            <v>Contrapartida Financeira (R$)</v>
          </cell>
          <cell r="X13" t="str">
            <v>Outros (R$)</v>
          </cell>
        </row>
        <row r="14">
          <cell r="B14" t="str">
            <v>Automático</v>
          </cell>
          <cell r="O14">
            <v>536780.38</v>
          </cell>
          <cell r="AA14">
            <v>55676.38</v>
          </cell>
          <cell r="AB14">
            <v>0</v>
          </cell>
        </row>
        <row r="15">
          <cell r="B15" t="str">
            <v>TR$</v>
          </cell>
          <cell r="O15">
            <v>536780.38</v>
          </cell>
          <cell r="AA15">
            <v>55676.38</v>
          </cell>
          <cell r="AB15">
            <v>0</v>
          </cell>
        </row>
      </sheetData>
      <sheetData sheetId="11">
        <row r="3">
          <cell r="A3" t="b">
            <v>0</v>
          </cell>
        </row>
        <row r="7">
          <cell r="O7" t="str">
            <v>Nº MEDIÇÃO</v>
          </cell>
        </row>
        <row r="9">
          <cell r="A9" t="b">
            <v>1</v>
          </cell>
        </row>
        <row r="13">
          <cell r="AB13">
            <v>1</v>
          </cell>
          <cell r="AC13">
            <v>2</v>
          </cell>
          <cell r="AD13">
            <v>3</v>
          </cell>
          <cell r="AE13">
            <v>4</v>
          </cell>
          <cell r="AF13">
            <v>5</v>
          </cell>
          <cell r="AG13">
            <v>6</v>
          </cell>
          <cell r="AH13">
            <v>7</v>
          </cell>
          <cell r="AI13">
            <v>8</v>
          </cell>
          <cell r="AJ13">
            <v>9</v>
          </cell>
          <cell r="AK13">
            <v>10</v>
          </cell>
          <cell r="AL13">
            <v>11</v>
          </cell>
          <cell r="AM13">
            <v>12</v>
          </cell>
        </row>
      </sheetData>
      <sheetData sheetId="12">
        <row r="7">
          <cell r="O7">
            <v>536470.94999999995</v>
          </cell>
        </row>
        <row r="17">
          <cell r="AC17">
            <v>0</v>
          </cell>
          <cell r="AD17">
            <v>0</v>
          </cell>
        </row>
        <row r="18">
          <cell r="AC18">
            <v>0</v>
          </cell>
          <cell r="AD18">
            <v>0</v>
          </cell>
        </row>
      </sheetData>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sheetData sheetId="1" refreshError="1">
        <row r="6">
          <cell r="F6" t="str">
            <v>Leandro Ferreira/MG</v>
          </cell>
        </row>
        <row r="16">
          <cell r="F16" t="str">
            <v>Pavimentação e/ou recapeamento de vias públicas nos Bairros Centro, Bela Vista e Sumare</v>
          </cell>
        </row>
        <row r="17">
          <cell r="F17" t="str">
            <v>Pavimentação e/ou recapeamento de vias públicas nos Bairros Centro, Bela Vista e Sumare</v>
          </cell>
        </row>
        <row r="18">
          <cell r="F18" t="str">
            <v>DESONERADO</v>
          </cell>
        </row>
        <row r="22">
          <cell r="F22" t="str">
            <v>Flávio Lucas Greco Santos</v>
          </cell>
        </row>
        <row r="23">
          <cell r="F23" t="str">
            <v>64.880/D</v>
          </cell>
        </row>
        <row r="24">
          <cell r="F24" t="str">
            <v>4557755</v>
          </cell>
        </row>
      </sheetData>
      <sheetData sheetId="2"/>
      <sheetData sheetId="3" refreshError="1">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sheetData sheetId="6"/>
      <sheetData sheetId="7"/>
      <sheetData sheetId="8"/>
      <sheetData sheetId="9"/>
      <sheetData sheetId="10"/>
      <sheetData sheetId="11"/>
      <sheetData sheetId="12"/>
      <sheetData sheetId="1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_2_3"/>
      <sheetName val="5_1_1"/>
      <sheetName val="5_1_2"/>
      <sheetName val="19_1_1"/>
      <sheetName val="21_5_1"/>
      <sheetName val="21_36_1"/>
      <sheetName val="MEMÓRIA  (2)"/>
      <sheetName val="MEMÓRIA "/>
      <sheetName val="1ª MEDIÇÃO"/>
      <sheetName val="DADOS"/>
      <sheetName val="BM"/>
      <sheetName val="Plan1"/>
      <sheetName val="BDI"/>
      <sheetName val="CÁLCULO DE BDI"/>
      <sheetName val="PLANILHA "/>
      <sheetName val="MEMÓRIA DE CÁLCULO"/>
      <sheetName val="CRONOGRAMA FÍSICO FINANCEIRO"/>
      <sheetName val="QUANTITATIVOS"/>
      <sheetName val="calcamento-pro-municipio"/>
      <sheetName val="cronograma ff"/>
      <sheetName val="Modelo Planilha Orcamentaria"/>
      <sheetName val="DIVISAO RECURSO"/>
      <sheetName val="PLANILHA ORÇAMENTÁRIA"/>
      <sheetName val="MEMÓRIA DE CÁLCULO "/>
      <sheetName val="MEMORIAL"/>
      <sheetName val="ORÇ SINT."/>
      <sheetName val="BASE SINT."/>
      <sheetName val="COMP UNIT DE PRECO - "/>
      <sheetName val="Orçamento Analítico"/>
      <sheetName val="COMP. UNIT "/>
      <sheetName val="COMP AUX."/>
      <sheetName val="Composição de Custo - 176H"/>
      <sheetName val="Comp. de Custo - 220H"/>
      <sheetName val="Comp. de Custo - 176H SEM SEG"/>
      <sheetName val="Planilha3"/>
      <sheetName val="CUSTO FIXO"/>
      <sheetName val="PLANILHA QUANTITATIVA"/>
      <sheetName val="COMPOSIÇAO DE CUSTO"/>
      <sheetName val="RESUMO REAL"/>
      <sheetName val="ORDEM DE SERVIÇO"/>
    </sheetNames>
    <sheetDataSet>
      <sheetData sheetId="0"/>
      <sheetData sheetId="1"/>
      <sheetData sheetId="2"/>
      <sheetData sheetId="3"/>
      <sheetData sheetId="4"/>
      <sheetData sheetId="5"/>
      <sheetData sheetId="6" refreshError="1"/>
      <sheetData sheetId="7"/>
      <sheetData sheetId="8" refreshError="1"/>
      <sheetData sheetId="9">
        <row r="33">
          <cell r="A33" t="str">
            <v>Empreitada Preço Global</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row r="3">
          <cell r="A3" t="str">
            <v xml:space="preserve">OBRA: PAVIMENTAÇÃO ASFÁLTICA, DRENAGEM  E SINALIZAÇÃO NA ESTRADA DENOMINADA QUILOMBO DO GAIA. </v>
          </cell>
        </row>
      </sheetData>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I52"/>
  <sheetViews>
    <sheetView tabSelected="1" view="pageBreakPreview" topLeftCell="A34" zoomScale="85" zoomScaleNormal="100" zoomScaleSheetLayoutView="85" workbookViewId="0">
      <selection activeCell="D16" sqref="D16"/>
    </sheetView>
  </sheetViews>
  <sheetFormatPr defaultColWidth="8.85546875" defaultRowHeight="15" x14ac:dyDescent="0.2"/>
  <cols>
    <col min="1" max="1" width="6.85546875" style="5" bestFit="1" customWidth="1"/>
    <col min="2" max="2" width="17.140625" style="5" customWidth="1"/>
    <col min="3" max="3" width="11.85546875" style="5" bestFit="1" customWidth="1"/>
    <col min="4" max="4" width="105.5703125" style="10" customWidth="1"/>
    <col min="5" max="5" width="7.5703125" style="10" bestFit="1" customWidth="1"/>
    <col min="6" max="6" width="15.7109375" style="10" bestFit="1" customWidth="1"/>
    <col min="7" max="7" width="14" style="16" customWidth="1"/>
    <col min="8" max="8" width="14.28515625" style="16" customWidth="1"/>
    <col min="9" max="9" width="17.140625" style="16" bestFit="1" customWidth="1"/>
    <col min="10" max="10" width="29.28515625" style="10" customWidth="1"/>
    <col min="11" max="11" width="12.7109375" style="10" bestFit="1" customWidth="1"/>
    <col min="12" max="12" width="9.140625" style="10" customWidth="1"/>
    <col min="13" max="13" width="12.7109375" style="10" bestFit="1" customWidth="1"/>
    <col min="14" max="22" width="9.140625" style="10" customWidth="1"/>
    <col min="23" max="23" width="10.140625" style="10" bestFit="1" customWidth="1"/>
    <col min="24" max="24" width="23.85546875" style="10" customWidth="1"/>
    <col min="25" max="25" width="10.140625" style="10" bestFit="1" customWidth="1"/>
    <col min="26" max="16384" width="8.85546875" style="10"/>
  </cols>
  <sheetData>
    <row r="1" spans="1:9" ht="63" customHeight="1" x14ac:dyDescent="0.2">
      <c r="A1" s="264" t="s">
        <v>310</v>
      </c>
      <c r="B1" s="265"/>
      <c r="C1" s="265"/>
      <c r="D1" s="265"/>
      <c r="E1" s="265"/>
      <c r="F1" s="265"/>
      <c r="G1" s="265"/>
      <c r="H1" s="265"/>
      <c r="I1" s="266"/>
    </row>
    <row r="2" spans="1:9" ht="15.75" x14ac:dyDescent="0.2">
      <c r="A2" s="289" t="s">
        <v>2</v>
      </c>
      <c r="B2" s="290"/>
      <c r="C2" s="291"/>
      <c r="D2" s="291"/>
      <c r="E2" s="291"/>
      <c r="F2" s="291"/>
      <c r="G2" s="291"/>
      <c r="H2" s="291"/>
      <c r="I2" s="292"/>
    </row>
    <row r="3" spans="1:9" ht="15.75" x14ac:dyDescent="0.2">
      <c r="A3" s="293" t="s">
        <v>154</v>
      </c>
      <c r="B3" s="294"/>
      <c r="C3" s="294"/>
      <c r="D3" s="294"/>
      <c r="E3" s="295"/>
      <c r="F3" s="267" t="s">
        <v>38</v>
      </c>
      <c r="G3" s="268"/>
      <c r="H3" s="269" t="s">
        <v>285</v>
      </c>
      <c r="I3" s="270"/>
    </row>
    <row r="4" spans="1:9" ht="15.75" x14ac:dyDescent="0.2">
      <c r="A4" s="277" t="s">
        <v>316</v>
      </c>
      <c r="B4" s="278"/>
      <c r="C4" s="278"/>
      <c r="D4" s="278"/>
      <c r="E4" s="279"/>
      <c r="F4" s="267" t="s">
        <v>20</v>
      </c>
      <c r="G4" s="268"/>
      <c r="H4" s="280">
        <v>46209</v>
      </c>
      <c r="I4" s="281"/>
    </row>
    <row r="5" spans="1:9" ht="15.75" x14ac:dyDescent="0.2">
      <c r="A5" s="282" t="s">
        <v>317</v>
      </c>
      <c r="B5" s="283"/>
      <c r="C5" s="283"/>
      <c r="D5" s="283"/>
      <c r="E5" s="283"/>
      <c r="F5" s="284" t="s">
        <v>7</v>
      </c>
      <c r="G5" s="284"/>
      <c r="H5" s="284"/>
      <c r="I5" s="285"/>
    </row>
    <row r="6" spans="1:9" ht="15.75" x14ac:dyDescent="0.2">
      <c r="A6" s="271" t="s">
        <v>309</v>
      </c>
      <c r="B6" s="272"/>
      <c r="C6" s="272"/>
      <c r="D6" s="272"/>
      <c r="E6" s="273"/>
      <c r="F6" s="43" t="s">
        <v>6</v>
      </c>
      <c r="G6" s="40" t="s">
        <v>4</v>
      </c>
      <c r="H6" s="43" t="s">
        <v>21</v>
      </c>
      <c r="I6" s="44" t="s">
        <v>5</v>
      </c>
    </row>
    <row r="7" spans="1:9" ht="33" customHeight="1" x14ac:dyDescent="0.2">
      <c r="A7" s="271" t="s">
        <v>22</v>
      </c>
      <c r="B7" s="272"/>
      <c r="C7" s="272"/>
      <c r="D7" s="272"/>
      <c r="E7" s="273"/>
      <c r="F7" s="41" t="s">
        <v>23</v>
      </c>
      <c r="G7" s="81">
        <v>0.03</v>
      </c>
      <c r="H7" s="43" t="s">
        <v>24</v>
      </c>
      <c r="I7" s="82">
        <v>0.23749999999999999</v>
      </c>
    </row>
    <row r="8" spans="1:9" ht="2.25" customHeight="1" thickBot="1" x14ac:dyDescent="0.25">
      <c r="A8" s="274"/>
      <c r="B8" s="275"/>
      <c r="C8" s="275"/>
      <c r="D8" s="275"/>
      <c r="E8" s="275"/>
      <c r="F8" s="275"/>
      <c r="G8" s="275"/>
      <c r="H8" s="275"/>
      <c r="I8" s="276"/>
    </row>
    <row r="9" spans="1:9" s="11" customFormat="1" ht="44.25" customHeight="1" thickBot="1" x14ac:dyDescent="0.25">
      <c r="A9" s="1" t="s">
        <v>0</v>
      </c>
      <c r="B9" s="9" t="s">
        <v>25</v>
      </c>
      <c r="C9" s="3" t="s">
        <v>3</v>
      </c>
      <c r="D9" s="2" t="s">
        <v>1</v>
      </c>
      <c r="E9" s="2" t="s">
        <v>12</v>
      </c>
      <c r="F9" s="2" t="s">
        <v>14</v>
      </c>
      <c r="G9" s="6" t="s">
        <v>16</v>
      </c>
      <c r="H9" s="6" t="s">
        <v>18</v>
      </c>
      <c r="I9" s="7" t="s">
        <v>17</v>
      </c>
    </row>
    <row r="10" spans="1:9" s="12" customFormat="1" ht="2.25" customHeight="1" thickBot="1" x14ac:dyDescent="0.25">
      <c r="A10" s="286"/>
      <c r="B10" s="287"/>
      <c r="C10" s="287"/>
      <c r="D10" s="287"/>
      <c r="E10" s="287"/>
      <c r="F10" s="287"/>
      <c r="G10" s="287"/>
      <c r="H10" s="287"/>
      <c r="I10" s="288"/>
    </row>
    <row r="11" spans="1:9" ht="18.75" customHeight="1" thickBot="1" x14ac:dyDescent="0.25">
      <c r="A11" s="244" t="s">
        <v>100</v>
      </c>
      <c r="B11" s="245"/>
      <c r="C11" s="245"/>
      <c r="D11" s="245"/>
      <c r="E11" s="245"/>
      <c r="F11" s="246"/>
      <c r="G11" s="247" t="s">
        <v>87</v>
      </c>
      <c r="H11" s="248"/>
      <c r="I11" s="132">
        <f>SUM(I12:I12)</f>
        <v>948.78</v>
      </c>
    </row>
    <row r="12" spans="1:9" ht="60.75" thickBot="1" x14ac:dyDescent="0.25">
      <c r="A12" s="125">
        <v>1</v>
      </c>
      <c r="B12" s="126" t="s">
        <v>26</v>
      </c>
      <c r="C12" s="126" t="s">
        <v>101</v>
      </c>
      <c r="D12" s="127" t="s">
        <v>102</v>
      </c>
      <c r="E12" s="128" t="s">
        <v>8</v>
      </c>
      <c r="F12" s="145">
        <f>'MEM. CÁLCULO'!D4</f>
        <v>2.88</v>
      </c>
      <c r="G12" s="129">
        <v>266.22000000000003</v>
      </c>
      <c r="H12" s="130">
        <f>TRUNC((G12)+(G12*$I$7),2)</f>
        <v>329.44</v>
      </c>
      <c r="I12" s="131">
        <f>TRUNC(F12*H12,2)</f>
        <v>948.78</v>
      </c>
    </row>
    <row r="13" spans="1:9" ht="18.75" customHeight="1" thickBot="1" x14ac:dyDescent="0.25">
      <c r="A13" s="244" t="s">
        <v>157</v>
      </c>
      <c r="B13" s="245"/>
      <c r="C13" s="245"/>
      <c r="D13" s="245"/>
      <c r="E13" s="245"/>
      <c r="F13" s="246"/>
      <c r="G13" s="247" t="s">
        <v>87</v>
      </c>
      <c r="H13" s="248"/>
      <c r="I13" s="132">
        <f>SUM(I14:I17)</f>
        <v>12926.35</v>
      </c>
    </row>
    <row r="14" spans="1:9" ht="45" x14ac:dyDescent="0.2">
      <c r="A14" s="125">
        <v>2</v>
      </c>
      <c r="B14" s="126" t="s">
        <v>26</v>
      </c>
      <c r="C14" s="126" t="s">
        <v>155</v>
      </c>
      <c r="D14" s="127" t="s">
        <v>156</v>
      </c>
      <c r="E14" s="128" t="s">
        <v>8</v>
      </c>
      <c r="F14" s="145">
        <f>'MEM. CÁLCULO'!D6</f>
        <v>403.26</v>
      </c>
      <c r="G14" s="129">
        <v>21.85</v>
      </c>
      <c r="H14" s="130">
        <f t="shared" ref="H14:H15" si="0">TRUNC((G14)+(G14*$I$7),2)</f>
        <v>27.03</v>
      </c>
      <c r="I14" s="131">
        <f>TRUNC(F14*H14,2)</f>
        <v>10900.11</v>
      </c>
    </row>
    <row r="15" spans="1:9" ht="45" x14ac:dyDescent="0.2">
      <c r="A15" s="45">
        <v>3</v>
      </c>
      <c r="B15" s="42" t="s">
        <v>26</v>
      </c>
      <c r="C15" s="42" t="s">
        <v>158</v>
      </c>
      <c r="D15" s="13" t="s">
        <v>159</v>
      </c>
      <c r="E15" s="4" t="s">
        <v>103</v>
      </c>
      <c r="F15" s="143">
        <f>'MEM. CÁLCULO'!D8</f>
        <v>3.9899999999999998</v>
      </c>
      <c r="G15" s="113">
        <v>129.49</v>
      </c>
      <c r="H15" s="114">
        <f t="shared" si="0"/>
        <v>160.24</v>
      </c>
      <c r="I15" s="115">
        <f t="shared" ref="I15:I22" si="1">TRUNC(F15*H15,2)</f>
        <v>639.35</v>
      </c>
    </row>
    <row r="16" spans="1:9" ht="45" x14ac:dyDescent="0.2">
      <c r="A16" s="45">
        <v>4</v>
      </c>
      <c r="B16" s="42" t="s">
        <v>26</v>
      </c>
      <c r="C16" s="42" t="s">
        <v>160</v>
      </c>
      <c r="D16" s="13" t="s">
        <v>161</v>
      </c>
      <c r="E16" s="4" t="s">
        <v>8</v>
      </c>
      <c r="F16" s="143">
        <f>'MEM. CÁLCULO'!D15</f>
        <v>74.31</v>
      </c>
      <c r="G16" s="113">
        <v>12.23</v>
      </c>
      <c r="H16" s="114">
        <f t="shared" ref="H16" si="2">TRUNC((G16)+(G16*$I$7),2)</f>
        <v>15.13</v>
      </c>
      <c r="I16" s="115">
        <f t="shared" si="1"/>
        <v>1124.31</v>
      </c>
    </row>
    <row r="17" spans="1:9" ht="30.75" thickBot="1" x14ac:dyDescent="0.25">
      <c r="A17" s="133">
        <v>5</v>
      </c>
      <c r="B17" s="134" t="s">
        <v>26</v>
      </c>
      <c r="C17" s="134" t="s">
        <v>221</v>
      </c>
      <c r="D17" s="135" t="s">
        <v>222</v>
      </c>
      <c r="E17" s="136" t="s">
        <v>8</v>
      </c>
      <c r="F17" s="146">
        <f>'MEM. CÁLCULO'!D17</f>
        <v>332.39</v>
      </c>
      <c r="G17" s="137">
        <v>0.64</v>
      </c>
      <c r="H17" s="138">
        <f t="shared" ref="H17" si="3">TRUNC((G17)+(G17*$I$7),2)</f>
        <v>0.79</v>
      </c>
      <c r="I17" s="139">
        <f t="shared" si="1"/>
        <v>262.58</v>
      </c>
    </row>
    <row r="18" spans="1:9" ht="18.75" customHeight="1" thickBot="1" x14ac:dyDescent="0.25">
      <c r="A18" s="244" t="s">
        <v>162</v>
      </c>
      <c r="B18" s="245"/>
      <c r="C18" s="245"/>
      <c r="D18" s="245"/>
      <c r="E18" s="245"/>
      <c r="F18" s="246"/>
      <c r="G18" s="247" t="s">
        <v>87</v>
      </c>
      <c r="H18" s="248"/>
      <c r="I18" s="132">
        <f>SUM(I19:I20)</f>
        <v>5446.0199999999995</v>
      </c>
    </row>
    <row r="19" spans="1:9" ht="30" x14ac:dyDescent="0.2">
      <c r="A19" s="125">
        <v>6</v>
      </c>
      <c r="B19" s="126" t="s">
        <v>26</v>
      </c>
      <c r="C19" s="126" t="s">
        <v>163</v>
      </c>
      <c r="D19" s="127" t="s">
        <v>164</v>
      </c>
      <c r="E19" s="128" t="s">
        <v>103</v>
      </c>
      <c r="F19" s="145">
        <f>'MEM. CÁLCULO'!D22</f>
        <v>2.35</v>
      </c>
      <c r="G19" s="129">
        <v>49.73</v>
      </c>
      <c r="H19" s="130">
        <f t="shared" ref="H19:H20" si="4">TRUNC((G19)+(G19*$I$7),2)</f>
        <v>61.54</v>
      </c>
      <c r="I19" s="131">
        <f t="shared" si="1"/>
        <v>144.61000000000001</v>
      </c>
    </row>
    <row r="20" spans="1:9" ht="30.75" thickBot="1" x14ac:dyDescent="0.25">
      <c r="A20" s="133">
        <v>7</v>
      </c>
      <c r="B20" s="134" t="s">
        <v>26</v>
      </c>
      <c r="C20" s="134" t="s">
        <v>165</v>
      </c>
      <c r="D20" s="135" t="s">
        <v>166</v>
      </c>
      <c r="E20" s="136" t="s">
        <v>103</v>
      </c>
      <c r="F20" s="146">
        <f>'MEM. CÁLCULO'!D23</f>
        <v>81.510000000000005</v>
      </c>
      <c r="G20" s="137">
        <v>52.56</v>
      </c>
      <c r="H20" s="138">
        <f t="shared" si="4"/>
        <v>65.040000000000006</v>
      </c>
      <c r="I20" s="139">
        <f t="shared" si="1"/>
        <v>5301.41</v>
      </c>
    </row>
    <row r="21" spans="1:9" ht="18.75" customHeight="1" thickBot="1" x14ac:dyDescent="0.25">
      <c r="A21" s="244" t="s">
        <v>167</v>
      </c>
      <c r="B21" s="245"/>
      <c r="C21" s="245"/>
      <c r="D21" s="245"/>
      <c r="E21" s="245"/>
      <c r="F21" s="246"/>
      <c r="G21" s="247" t="s">
        <v>87</v>
      </c>
      <c r="H21" s="248"/>
      <c r="I21" s="132">
        <f>SUM(I22:I27)</f>
        <v>8757.98</v>
      </c>
    </row>
    <row r="22" spans="1:9" ht="30" x14ac:dyDescent="0.2">
      <c r="A22" s="125">
        <v>8</v>
      </c>
      <c r="B22" s="126" t="s">
        <v>26</v>
      </c>
      <c r="C22" s="126" t="s">
        <v>168</v>
      </c>
      <c r="D22" s="127" t="s">
        <v>169</v>
      </c>
      <c r="E22" s="128" t="s">
        <v>103</v>
      </c>
      <c r="F22" s="145">
        <f>'MEM. CÁLCULO'!D28</f>
        <v>1.4100000000000001</v>
      </c>
      <c r="G22" s="129">
        <v>84.9</v>
      </c>
      <c r="H22" s="130">
        <f t="shared" ref="H22:H24" si="5">TRUNC((G22)+(G22*$I$7),2)</f>
        <v>105.06</v>
      </c>
      <c r="I22" s="131">
        <f t="shared" si="1"/>
        <v>148.13</v>
      </c>
    </row>
    <row r="23" spans="1:9" x14ac:dyDescent="0.2">
      <c r="A23" s="45">
        <v>9</v>
      </c>
      <c r="B23" s="42" t="s">
        <v>26</v>
      </c>
      <c r="C23" s="42" t="s">
        <v>104</v>
      </c>
      <c r="D23" s="13" t="s">
        <v>105</v>
      </c>
      <c r="E23" s="4" t="s">
        <v>8</v>
      </c>
      <c r="F23" s="143">
        <f>'MEM. CÁLCULO'!D30</f>
        <v>7.07</v>
      </c>
      <c r="G23" s="113">
        <v>28.62</v>
      </c>
      <c r="H23" s="114">
        <f t="shared" si="5"/>
        <v>35.409999999999997</v>
      </c>
      <c r="I23" s="115">
        <f t="shared" ref="I23:I29" si="6">TRUNC(F23*H23,2)</f>
        <v>250.34</v>
      </c>
    </row>
    <row r="24" spans="1:9" ht="30" x14ac:dyDescent="0.2">
      <c r="A24" s="45">
        <v>10</v>
      </c>
      <c r="B24" s="42" t="s">
        <v>26</v>
      </c>
      <c r="C24" s="42" t="s">
        <v>236</v>
      </c>
      <c r="D24" s="13" t="s">
        <v>237</v>
      </c>
      <c r="E24" s="4" t="s">
        <v>106</v>
      </c>
      <c r="F24" s="143">
        <f>'MEM. CÁLCULO'!D32</f>
        <v>95.070000000000007</v>
      </c>
      <c r="G24" s="113">
        <v>13.47</v>
      </c>
      <c r="H24" s="114">
        <f t="shared" si="5"/>
        <v>16.66</v>
      </c>
      <c r="I24" s="115">
        <f t="shared" si="6"/>
        <v>1583.86</v>
      </c>
    </row>
    <row r="25" spans="1:9" ht="30" x14ac:dyDescent="0.2">
      <c r="A25" s="45">
        <v>11</v>
      </c>
      <c r="B25" s="42" t="s">
        <v>26</v>
      </c>
      <c r="C25" s="42" t="s">
        <v>238</v>
      </c>
      <c r="D25" s="13" t="s">
        <v>239</v>
      </c>
      <c r="E25" s="4" t="s">
        <v>106</v>
      </c>
      <c r="F25" s="143">
        <f>'MEM. CÁLCULO'!D38</f>
        <v>17.990000000000002</v>
      </c>
      <c r="G25" s="113">
        <v>14.19</v>
      </c>
      <c r="H25" s="114">
        <f t="shared" ref="H25:H27" si="7">TRUNC((G25)+(G25*$I$7),2)</f>
        <v>17.559999999999999</v>
      </c>
      <c r="I25" s="115">
        <f t="shared" ref="I25:I27" si="8">TRUNC(F25*H25,2)</f>
        <v>315.89999999999998</v>
      </c>
    </row>
    <row r="26" spans="1:9" ht="30" x14ac:dyDescent="0.2">
      <c r="A26" s="45">
        <v>12</v>
      </c>
      <c r="B26" s="42" t="s">
        <v>26</v>
      </c>
      <c r="C26" s="42" t="s">
        <v>170</v>
      </c>
      <c r="D26" s="13" t="s">
        <v>171</v>
      </c>
      <c r="E26" s="4" t="s">
        <v>103</v>
      </c>
      <c r="F26" s="143">
        <f>'MEM. CÁLCULO'!D40</f>
        <v>1.4100000000000001</v>
      </c>
      <c r="G26" s="113">
        <v>816.37</v>
      </c>
      <c r="H26" s="114">
        <f t="shared" si="7"/>
        <v>1010.25</v>
      </c>
      <c r="I26" s="115">
        <f t="shared" si="8"/>
        <v>1424.45</v>
      </c>
    </row>
    <row r="27" spans="1:9" ht="45.75" thickBot="1" x14ac:dyDescent="0.25">
      <c r="A27" s="133">
        <v>13</v>
      </c>
      <c r="B27" s="134" t="s">
        <v>26</v>
      </c>
      <c r="C27" s="134" t="s">
        <v>172</v>
      </c>
      <c r="D27" s="135" t="s">
        <v>173</v>
      </c>
      <c r="E27" s="136" t="s">
        <v>8</v>
      </c>
      <c r="F27" s="146">
        <f>'MEM. CÁLCULO'!D42</f>
        <v>20.580000000000002</v>
      </c>
      <c r="G27" s="137">
        <v>197.72</v>
      </c>
      <c r="H27" s="138">
        <f t="shared" si="7"/>
        <v>244.67</v>
      </c>
      <c r="I27" s="139">
        <f t="shared" si="8"/>
        <v>5035.3</v>
      </c>
    </row>
    <row r="28" spans="1:9" ht="18.75" customHeight="1" thickBot="1" x14ac:dyDescent="0.25">
      <c r="A28" s="244" t="s">
        <v>174</v>
      </c>
      <c r="B28" s="245"/>
      <c r="C28" s="245"/>
      <c r="D28" s="245"/>
      <c r="E28" s="245"/>
      <c r="F28" s="246"/>
      <c r="G28" s="247" t="s">
        <v>87</v>
      </c>
      <c r="H28" s="248"/>
      <c r="I28" s="132">
        <f>SUM(I29:I32)</f>
        <v>131157.74</v>
      </c>
    </row>
    <row r="29" spans="1:9" ht="45" x14ac:dyDescent="0.2">
      <c r="A29" s="125">
        <v>14</v>
      </c>
      <c r="B29" s="126" t="s">
        <v>26</v>
      </c>
      <c r="C29" s="126" t="s">
        <v>175</v>
      </c>
      <c r="D29" s="127" t="s">
        <v>176</v>
      </c>
      <c r="E29" s="128" t="s">
        <v>9</v>
      </c>
      <c r="F29" s="145">
        <f>'MEM. CÁLCULO'!D47</f>
        <v>207.83</v>
      </c>
      <c r="G29" s="129">
        <v>81.430000000000007</v>
      </c>
      <c r="H29" s="130">
        <f>TRUNC((G29)+(G29*$I$7),2)</f>
        <v>100.76</v>
      </c>
      <c r="I29" s="131">
        <f t="shared" si="6"/>
        <v>20940.95</v>
      </c>
    </row>
    <row r="30" spans="1:9" ht="60" x14ac:dyDescent="0.2">
      <c r="A30" s="140">
        <v>15</v>
      </c>
      <c r="B30" s="42" t="s">
        <v>26</v>
      </c>
      <c r="C30" s="42" t="s">
        <v>177</v>
      </c>
      <c r="D30" s="141" t="s">
        <v>178</v>
      </c>
      <c r="E30" s="142" t="s">
        <v>8</v>
      </c>
      <c r="F30" s="143">
        <f>'MEM. CÁLCULO'!D53</f>
        <v>600.21</v>
      </c>
      <c r="G30" s="113">
        <v>91.52</v>
      </c>
      <c r="H30" s="114">
        <f t="shared" ref="H30:H31" si="9">TRUNC((G30)+(G30*$I$7),2)</f>
        <v>113.25</v>
      </c>
      <c r="I30" s="115">
        <f t="shared" ref="I30" si="10">TRUNC(F30*H30,2)</f>
        <v>67973.78</v>
      </c>
    </row>
    <row r="31" spans="1:9" ht="30.6" customHeight="1" x14ac:dyDescent="0.2">
      <c r="A31" s="133">
        <v>16</v>
      </c>
      <c r="B31" s="134" t="s">
        <v>26</v>
      </c>
      <c r="C31" s="134" t="s">
        <v>179</v>
      </c>
      <c r="D31" s="135" t="s">
        <v>180</v>
      </c>
      <c r="E31" s="136" t="s">
        <v>103</v>
      </c>
      <c r="F31" s="146">
        <f>'MEM. CÁLCULO'!D58</f>
        <v>9.0799999999999983</v>
      </c>
      <c r="G31" s="137">
        <v>2807.82</v>
      </c>
      <c r="H31" s="138">
        <f t="shared" si="9"/>
        <v>3474.67</v>
      </c>
      <c r="I31" s="139">
        <f t="shared" ref="I31:I39" si="11">TRUNC(F31*H31,2)</f>
        <v>31550</v>
      </c>
    </row>
    <row r="32" spans="1:9" ht="45.75" thickBot="1" x14ac:dyDescent="0.25">
      <c r="A32" s="133">
        <v>17</v>
      </c>
      <c r="B32" s="134" t="s">
        <v>303</v>
      </c>
      <c r="C32" s="134" t="s">
        <v>304</v>
      </c>
      <c r="D32" s="135" t="s">
        <v>298</v>
      </c>
      <c r="E32" s="136" t="s">
        <v>8</v>
      </c>
      <c r="F32" s="146">
        <f>'MEM. CÁLCULO'!D61</f>
        <v>85.64</v>
      </c>
      <c r="G32" s="137">
        <f>'CPU-001'!G40</f>
        <v>100.9</v>
      </c>
      <c r="H32" s="138">
        <f t="shared" ref="H32" si="12">TRUNC((G32)+(G32*$I$7),2)</f>
        <v>124.86</v>
      </c>
      <c r="I32" s="139">
        <f t="shared" ref="I32" si="13">TRUNC(F32*H32,2)</f>
        <v>10693.01</v>
      </c>
    </row>
    <row r="33" spans="1:9" ht="18.75" customHeight="1" thickBot="1" x14ac:dyDescent="0.25">
      <c r="A33" s="244" t="s">
        <v>193</v>
      </c>
      <c r="B33" s="245"/>
      <c r="C33" s="245"/>
      <c r="D33" s="245"/>
      <c r="E33" s="245"/>
      <c r="F33" s="246"/>
      <c r="G33" s="247" t="s">
        <v>87</v>
      </c>
      <c r="H33" s="248"/>
      <c r="I33" s="132">
        <f>SUM(I34:I40)</f>
        <v>13428.67</v>
      </c>
    </row>
    <row r="34" spans="1:9" ht="45" x14ac:dyDescent="0.2">
      <c r="A34" s="125">
        <v>18</v>
      </c>
      <c r="B34" s="126" t="s">
        <v>26</v>
      </c>
      <c r="C34" s="126" t="s">
        <v>181</v>
      </c>
      <c r="D34" s="127" t="s">
        <v>182</v>
      </c>
      <c r="E34" s="128" t="s">
        <v>8</v>
      </c>
      <c r="F34" s="145">
        <f>'MEM. CÁLCULO'!D66</f>
        <v>22.020000000000003</v>
      </c>
      <c r="G34" s="129">
        <v>11.02</v>
      </c>
      <c r="H34" s="130">
        <f t="shared" ref="H34:H39" si="14">TRUNC((G34)+(G34*$I$7),2)</f>
        <v>13.63</v>
      </c>
      <c r="I34" s="131">
        <f t="shared" si="11"/>
        <v>300.13</v>
      </c>
    </row>
    <row r="35" spans="1:9" ht="30" x14ac:dyDescent="0.2">
      <c r="A35" s="45">
        <v>19</v>
      </c>
      <c r="B35" s="42" t="s">
        <v>26</v>
      </c>
      <c r="C35" s="42" t="s">
        <v>183</v>
      </c>
      <c r="D35" s="13" t="s">
        <v>184</v>
      </c>
      <c r="E35" s="4" t="s">
        <v>8</v>
      </c>
      <c r="F35" s="143">
        <f>'MEM. CÁLCULO'!D71</f>
        <v>22.020000000000003</v>
      </c>
      <c r="G35" s="113">
        <v>49.55</v>
      </c>
      <c r="H35" s="114">
        <f t="shared" ref="H35:H38" si="15">TRUNC((G35)+(G35*$I$7),2)</f>
        <v>61.31</v>
      </c>
      <c r="I35" s="115">
        <f t="shared" si="11"/>
        <v>1350.04</v>
      </c>
    </row>
    <row r="36" spans="1:9" ht="30.75" x14ac:dyDescent="0.2">
      <c r="A36" s="45">
        <v>20</v>
      </c>
      <c r="B36" s="42" t="s">
        <v>26</v>
      </c>
      <c r="C36" s="42" t="s">
        <v>185</v>
      </c>
      <c r="D36" s="13" t="s">
        <v>186</v>
      </c>
      <c r="E36" s="4" t="s">
        <v>8</v>
      </c>
      <c r="F36" s="143">
        <f>'MEM. CÁLCULO'!D72</f>
        <v>74.31</v>
      </c>
      <c r="G36" s="113">
        <v>69.260000000000005</v>
      </c>
      <c r="H36" s="114">
        <f t="shared" si="15"/>
        <v>85.7</v>
      </c>
      <c r="I36" s="115">
        <f t="shared" si="11"/>
        <v>6368.36</v>
      </c>
    </row>
    <row r="37" spans="1:9" x14ac:dyDescent="0.2">
      <c r="A37" s="45">
        <v>21</v>
      </c>
      <c r="B37" s="42" t="s">
        <v>26</v>
      </c>
      <c r="C37" s="42" t="s">
        <v>187</v>
      </c>
      <c r="D37" s="13" t="s">
        <v>188</v>
      </c>
      <c r="E37" s="4" t="s">
        <v>8</v>
      </c>
      <c r="F37" s="143">
        <f>'MEM. CÁLCULO'!D73</f>
        <v>44.77</v>
      </c>
      <c r="G37" s="113">
        <v>3.73</v>
      </c>
      <c r="H37" s="114">
        <f t="shared" si="15"/>
        <v>4.6100000000000003</v>
      </c>
      <c r="I37" s="115">
        <f t="shared" si="11"/>
        <v>206.38</v>
      </c>
    </row>
    <row r="38" spans="1:9" ht="30" x14ac:dyDescent="0.2">
      <c r="A38" s="45">
        <v>22</v>
      </c>
      <c r="B38" s="42" t="s">
        <v>26</v>
      </c>
      <c r="C38" s="42" t="s">
        <v>189</v>
      </c>
      <c r="D38" s="13" t="s">
        <v>190</v>
      </c>
      <c r="E38" s="4" t="s">
        <v>8</v>
      </c>
      <c r="F38" s="143">
        <f>'MEM. CÁLCULO'!D79</f>
        <v>141.10000000000002</v>
      </c>
      <c r="G38" s="113">
        <v>8.3000000000000007</v>
      </c>
      <c r="H38" s="114">
        <f t="shared" si="15"/>
        <v>10.27</v>
      </c>
      <c r="I38" s="115">
        <f t="shared" si="11"/>
        <v>1449.09</v>
      </c>
    </row>
    <row r="39" spans="1:9" ht="30" x14ac:dyDescent="0.2">
      <c r="A39" s="133">
        <v>23</v>
      </c>
      <c r="B39" s="134" t="s">
        <v>26</v>
      </c>
      <c r="C39" s="134" t="s">
        <v>191</v>
      </c>
      <c r="D39" s="135" t="s">
        <v>192</v>
      </c>
      <c r="E39" s="136" t="s">
        <v>8</v>
      </c>
      <c r="F39" s="146">
        <f>'MEM. CÁLCULO'!D82</f>
        <v>141.10000000000002</v>
      </c>
      <c r="G39" s="137">
        <v>17.77</v>
      </c>
      <c r="H39" s="138">
        <f t="shared" si="14"/>
        <v>21.99</v>
      </c>
      <c r="I39" s="139">
        <f t="shared" si="11"/>
        <v>3102.78</v>
      </c>
    </row>
    <row r="40" spans="1:9" ht="30.75" thickBot="1" x14ac:dyDescent="0.25">
      <c r="A40" s="133">
        <v>24</v>
      </c>
      <c r="B40" s="134" t="s">
        <v>26</v>
      </c>
      <c r="C40" s="134" t="s">
        <v>289</v>
      </c>
      <c r="D40" s="135" t="s">
        <v>290</v>
      </c>
      <c r="E40" s="136" t="s">
        <v>8</v>
      </c>
      <c r="F40" s="146">
        <f>'MEM. CÁLCULO'!D83</f>
        <v>89.300000000000011</v>
      </c>
      <c r="G40" s="137">
        <v>5.9</v>
      </c>
      <c r="H40" s="138">
        <f t="shared" ref="H40" si="16">TRUNC((G40)+(G40*$I$7),2)</f>
        <v>7.3</v>
      </c>
      <c r="I40" s="139">
        <f t="shared" ref="I40" si="17">TRUNC(F40*H40,2)</f>
        <v>651.89</v>
      </c>
    </row>
    <row r="41" spans="1:9" ht="18.75" customHeight="1" thickBot="1" x14ac:dyDescent="0.25">
      <c r="A41" s="244" t="s">
        <v>194</v>
      </c>
      <c r="B41" s="245"/>
      <c r="C41" s="245"/>
      <c r="D41" s="245"/>
      <c r="E41" s="245"/>
      <c r="F41" s="246"/>
      <c r="G41" s="247" t="s">
        <v>87</v>
      </c>
      <c r="H41" s="248"/>
      <c r="I41" s="132">
        <f>SUM(I42:I44)</f>
        <v>35719.5</v>
      </c>
    </row>
    <row r="42" spans="1:9" ht="30" customHeight="1" x14ac:dyDescent="0.2">
      <c r="A42" s="125">
        <v>25</v>
      </c>
      <c r="B42" s="126" t="s">
        <v>195</v>
      </c>
      <c r="C42" s="126" t="s">
        <v>196</v>
      </c>
      <c r="D42" s="127" t="s">
        <v>197</v>
      </c>
      <c r="E42" s="128" t="s">
        <v>136</v>
      </c>
      <c r="F42" s="145">
        <f>'MEM. CÁLCULO'!D86</f>
        <v>32</v>
      </c>
      <c r="G42" s="129">
        <v>207.12</v>
      </c>
      <c r="H42" s="130">
        <f t="shared" ref="H42:H47" si="18">TRUNC((G42)+(G42*$I$7),2)</f>
        <v>256.31</v>
      </c>
      <c r="I42" s="131">
        <f t="shared" ref="I42:I47" si="19">TRUNC(F42*H42,2)</f>
        <v>8201.92</v>
      </c>
    </row>
    <row r="43" spans="1:9" ht="30" customHeight="1" x14ac:dyDescent="0.2">
      <c r="A43" s="45">
        <v>26</v>
      </c>
      <c r="B43" s="42" t="s">
        <v>26</v>
      </c>
      <c r="C43" s="42" t="s">
        <v>198</v>
      </c>
      <c r="D43" s="13" t="s">
        <v>199</v>
      </c>
      <c r="E43" s="4" t="s">
        <v>136</v>
      </c>
      <c r="F43" s="143">
        <f>'MEM. CÁLCULO'!D87</f>
        <v>10</v>
      </c>
      <c r="G43" s="113">
        <v>1953.89</v>
      </c>
      <c r="H43" s="114">
        <f t="shared" si="18"/>
        <v>2417.9299999999998</v>
      </c>
      <c r="I43" s="115">
        <f t="shared" si="19"/>
        <v>24179.3</v>
      </c>
    </row>
    <row r="44" spans="1:9" ht="60.75" thickBot="1" x14ac:dyDescent="0.25">
      <c r="A44" s="45">
        <v>27</v>
      </c>
      <c r="B44" s="42" t="s">
        <v>26</v>
      </c>
      <c r="C44" s="42" t="s">
        <v>200</v>
      </c>
      <c r="D44" s="13" t="s">
        <v>201</v>
      </c>
      <c r="E44" s="4" t="s">
        <v>136</v>
      </c>
      <c r="F44" s="143">
        <f>'MEM. CÁLCULO'!D88</f>
        <v>11</v>
      </c>
      <c r="G44" s="113">
        <v>245.24</v>
      </c>
      <c r="H44" s="114">
        <f t="shared" si="18"/>
        <v>303.48</v>
      </c>
      <c r="I44" s="115">
        <f t="shared" si="19"/>
        <v>3338.28</v>
      </c>
    </row>
    <row r="45" spans="1:9" ht="18.75" customHeight="1" thickBot="1" x14ac:dyDescent="0.25">
      <c r="A45" s="244" t="s">
        <v>202</v>
      </c>
      <c r="B45" s="245"/>
      <c r="C45" s="245"/>
      <c r="D45" s="245"/>
      <c r="E45" s="245"/>
      <c r="F45" s="246"/>
      <c r="G45" s="247" t="s">
        <v>87</v>
      </c>
      <c r="H45" s="248"/>
      <c r="I45" s="132">
        <f>SUM(I46:I47)</f>
        <v>10389.14</v>
      </c>
    </row>
    <row r="46" spans="1:9" ht="22.9" customHeight="1" x14ac:dyDescent="0.2">
      <c r="A46" s="125">
        <v>28</v>
      </c>
      <c r="B46" s="126" t="s">
        <v>26</v>
      </c>
      <c r="C46" s="126" t="s">
        <v>203</v>
      </c>
      <c r="D46" s="127" t="s">
        <v>204</v>
      </c>
      <c r="E46" s="128" t="s">
        <v>136</v>
      </c>
      <c r="F46" s="145">
        <f>'MEM. CÁLCULO'!D90</f>
        <v>1</v>
      </c>
      <c r="G46" s="129">
        <v>1283.27</v>
      </c>
      <c r="H46" s="130">
        <f t="shared" si="18"/>
        <v>1588.04</v>
      </c>
      <c r="I46" s="131">
        <f t="shared" si="19"/>
        <v>1588.04</v>
      </c>
    </row>
    <row r="47" spans="1:9" ht="15.75" thickBot="1" x14ac:dyDescent="0.25">
      <c r="A47" s="45">
        <v>29</v>
      </c>
      <c r="B47" s="42" t="s">
        <v>26</v>
      </c>
      <c r="C47" s="42" t="s">
        <v>205</v>
      </c>
      <c r="D47" s="13" t="s">
        <v>206</v>
      </c>
      <c r="E47" s="4" t="s">
        <v>8</v>
      </c>
      <c r="F47" s="143">
        <f>'MEM. CÁLCULO'!D91</f>
        <v>780.2399999999999</v>
      </c>
      <c r="G47" s="113">
        <v>9.1199999999999992</v>
      </c>
      <c r="H47" s="114">
        <f t="shared" si="18"/>
        <v>11.28</v>
      </c>
      <c r="I47" s="115">
        <f t="shared" si="19"/>
        <v>8801.1</v>
      </c>
    </row>
    <row r="48" spans="1:9" ht="16.5" thickBot="1" x14ac:dyDescent="0.25">
      <c r="A48" s="258" t="s">
        <v>19</v>
      </c>
      <c r="B48" s="259"/>
      <c r="C48" s="260"/>
      <c r="D48" s="260"/>
      <c r="E48" s="260"/>
      <c r="F48" s="261"/>
      <c r="G48" s="255">
        <f>SUM(I11+I13+I18+I21+I28+I33+I41+I45)</f>
        <v>218774.18</v>
      </c>
      <c r="H48" s="256"/>
      <c r="I48" s="257"/>
    </row>
    <row r="49" spans="1:9" ht="48.6" customHeight="1" x14ac:dyDescent="0.2">
      <c r="A49" s="249"/>
      <c r="B49" s="250"/>
      <c r="C49" s="250"/>
      <c r="D49" s="250"/>
      <c r="E49" s="250"/>
      <c r="F49" s="250"/>
      <c r="G49" s="250"/>
      <c r="H49" s="250"/>
      <c r="I49" s="251"/>
    </row>
    <row r="50" spans="1:9" ht="15.75" customHeight="1" x14ac:dyDescent="0.2">
      <c r="A50" s="8"/>
      <c r="D50" s="124" t="s">
        <v>98</v>
      </c>
      <c r="E50" s="262"/>
      <c r="F50" s="262"/>
      <c r="G50" s="262"/>
      <c r="H50" s="14"/>
      <c r="I50" s="15"/>
    </row>
    <row r="51" spans="1:9" x14ac:dyDescent="0.2">
      <c r="A51" s="8"/>
      <c r="D51" s="10" t="s">
        <v>86</v>
      </c>
      <c r="E51" s="263"/>
      <c r="F51" s="263"/>
      <c r="G51" s="263"/>
      <c r="H51" s="14"/>
      <c r="I51" s="15"/>
    </row>
    <row r="52" spans="1:9" ht="15.75" thickBot="1" x14ac:dyDescent="0.25">
      <c r="A52" s="252"/>
      <c r="B52" s="253"/>
      <c r="C52" s="253"/>
      <c r="D52" s="253"/>
      <c r="E52" s="253"/>
      <c r="F52" s="253"/>
      <c r="G52" s="253"/>
      <c r="H52" s="253"/>
      <c r="I52" s="254"/>
    </row>
  </sheetData>
  <mergeCells count="36">
    <mergeCell ref="A1:I1"/>
    <mergeCell ref="G11:H11"/>
    <mergeCell ref="F3:G3"/>
    <mergeCell ref="H3:I3"/>
    <mergeCell ref="A6:E6"/>
    <mergeCell ref="A7:E7"/>
    <mergeCell ref="A8:I8"/>
    <mergeCell ref="A4:E4"/>
    <mergeCell ref="F4:G4"/>
    <mergeCell ref="H4:I4"/>
    <mergeCell ref="A5:E5"/>
    <mergeCell ref="F5:I5"/>
    <mergeCell ref="A10:I10"/>
    <mergeCell ref="A2:I2"/>
    <mergeCell ref="A3:E3"/>
    <mergeCell ref="A11:F11"/>
    <mergeCell ref="A52:I52"/>
    <mergeCell ref="G48:I48"/>
    <mergeCell ref="A48:F48"/>
    <mergeCell ref="E50:G50"/>
    <mergeCell ref="E51:G51"/>
    <mergeCell ref="A18:F18"/>
    <mergeCell ref="G18:H18"/>
    <mergeCell ref="A13:F13"/>
    <mergeCell ref="G13:H13"/>
    <mergeCell ref="A49:I49"/>
    <mergeCell ref="A41:F41"/>
    <mergeCell ref="G41:H41"/>
    <mergeCell ref="A33:F33"/>
    <mergeCell ref="G33:H33"/>
    <mergeCell ref="A45:F45"/>
    <mergeCell ref="G45:H45"/>
    <mergeCell ref="A21:F21"/>
    <mergeCell ref="G21:H21"/>
    <mergeCell ref="A28:F28"/>
    <mergeCell ref="G28:H28"/>
  </mergeCells>
  <phoneticPr fontId="3" type="noConversion"/>
  <printOptions horizontalCentered="1"/>
  <pageMargins left="0.23622047244094491" right="0.23622047244094491" top="0.74803149606299213" bottom="0.39370078740157483" header="0" footer="0"/>
  <pageSetup paperSize="9" scale="69" fitToHeight="0" orientation="landscape" r:id="rId1"/>
  <headerFooter>
    <oddFooter>&amp;R&amp;P</oddFooter>
  </headerFooter>
  <ignoredErrors>
    <ignoredError sqref="G32" unlocked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pageSetUpPr fitToPage="1"/>
  </sheetPr>
  <dimension ref="A1:S91"/>
  <sheetViews>
    <sheetView view="pageBreakPreview" topLeftCell="A10" zoomScale="85" zoomScaleNormal="100" zoomScaleSheetLayoutView="85" workbookViewId="0">
      <selection activeCell="B93" sqref="B92:B93"/>
    </sheetView>
  </sheetViews>
  <sheetFormatPr defaultColWidth="8.85546875" defaultRowHeight="12.75" x14ac:dyDescent="0.2"/>
  <cols>
    <col min="1" max="1" width="8.85546875" style="84"/>
    <col min="2" max="2" width="55.42578125" style="79" customWidth="1"/>
    <col min="3" max="3" width="8.28515625" style="84" bestFit="1" customWidth="1"/>
    <col min="4" max="11" width="12.85546875" style="84" customWidth="1"/>
    <col min="12" max="12" width="11.5703125" style="84" bestFit="1" customWidth="1"/>
    <col min="13" max="17" width="12.85546875" style="84" customWidth="1"/>
    <col min="18" max="18" width="20.85546875" style="86" customWidth="1"/>
    <col min="19" max="16384" width="8.85546875" style="84"/>
  </cols>
  <sheetData>
    <row r="1" spans="1:19" ht="15" x14ac:dyDescent="0.2">
      <c r="A1" s="311" t="s">
        <v>88</v>
      </c>
      <c r="B1" s="312"/>
      <c r="C1" s="312"/>
      <c r="D1" s="312"/>
      <c r="E1" s="312"/>
      <c r="F1" s="312"/>
      <c r="G1" s="312"/>
      <c r="H1" s="312"/>
      <c r="I1" s="312"/>
      <c r="J1" s="312"/>
      <c r="K1" s="312"/>
      <c r="L1" s="312"/>
      <c r="M1" s="312"/>
      <c r="N1" s="312"/>
      <c r="O1" s="312"/>
      <c r="P1" s="312"/>
      <c r="Q1" s="312"/>
      <c r="R1" s="313"/>
      <c r="S1" s="83"/>
    </row>
    <row r="2" spans="1:19" s="85" customFormat="1" ht="46.15" customHeight="1" x14ac:dyDescent="0.2">
      <c r="A2" s="89" t="s">
        <v>0</v>
      </c>
      <c r="B2" s="87" t="s">
        <v>1</v>
      </c>
      <c r="C2" s="87" t="s">
        <v>89</v>
      </c>
      <c r="D2" s="87" t="s">
        <v>90</v>
      </c>
      <c r="E2" s="87" t="s">
        <v>108</v>
      </c>
      <c r="F2" s="87" t="s">
        <v>107</v>
      </c>
      <c r="G2" s="87" t="s">
        <v>240</v>
      </c>
      <c r="H2" s="87" t="s">
        <v>209</v>
      </c>
      <c r="I2" s="87" t="s">
        <v>91</v>
      </c>
      <c r="J2" s="87" t="s">
        <v>92</v>
      </c>
      <c r="K2" s="87" t="s">
        <v>93</v>
      </c>
      <c r="L2" s="87" t="s">
        <v>94</v>
      </c>
      <c r="M2" s="87" t="s">
        <v>99</v>
      </c>
      <c r="N2" s="87" t="s">
        <v>241</v>
      </c>
      <c r="O2" s="87" t="s">
        <v>95</v>
      </c>
      <c r="P2" s="87" t="s">
        <v>207</v>
      </c>
      <c r="Q2" s="87" t="s">
        <v>96</v>
      </c>
      <c r="R2" s="90" t="s">
        <v>97</v>
      </c>
    </row>
    <row r="3" spans="1:19" ht="14.45" customHeight="1" x14ac:dyDescent="0.2">
      <c r="A3" s="296" t="str">
        <f>'PLANILHA ORÇAMENTÁRIA'!A11</f>
        <v>SERVIÇOS PRELIMINARES</v>
      </c>
      <c r="B3" s="297"/>
      <c r="C3" s="297"/>
      <c r="D3" s="297"/>
      <c r="E3" s="297"/>
      <c r="F3" s="297"/>
      <c r="G3" s="297"/>
      <c r="H3" s="297"/>
      <c r="I3" s="297"/>
      <c r="J3" s="297"/>
      <c r="K3" s="297"/>
      <c r="L3" s="297"/>
      <c r="M3" s="297"/>
      <c r="N3" s="297"/>
      <c r="O3" s="297"/>
      <c r="P3" s="297"/>
      <c r="Q3" s="297"/>
      <c r="R3" s="298"/>
      <c r="S3" s="83"/>
    </row>
    <row r="4" spans="1:19" ht="76.5" x14ac:dyDescent="0.2">
      <c r="A4" s="96">
        <f>'PLANILHA ORÇAMENTÁRIA'!A12</f>
        <v>1</v>
      </c>
      <c r="B4" s="80" t="str">
        <f>'PLANILHA ORÇAMENTÁRIA'!D12</f>
        <v>FORNECIMENTO E COLOCAÇÃO DE PLACA DE OBRA EM CHAPA GALVANIZADA #26, ESP. 0,45 MM, PLOTADA COM ADESIVO VINÍLICO, AFIXADA COM REBITES 4,8X40 MM, EM ESTRUTURA METÁLICA DE METALON 20X20 MM, ESP. 1,25 MM, INCLUSIVE SUPORTE EM EUCALIPTO AUTOCLAVADO PINTADO COM TINTA PVA DUAS (2) DEMÃOS</v>
      </c>
      <c r="C4" s="80" t="str">
        <f>'PLANILHA ORÇAMENTÁRIA'!E12</f>
        <v>m²</v>
      </c>
      <c r="D4" s="117">
        <f>O4</f>
        <v>2.88</v>
      </c>
      <c r="E4" s="94"/>
      <c r="F4" s="94"/>
      <c r="G4" s="94"/>
      <c r="H4" s="94"/>
      <c r="I4" s="94"/>
      <c r="J4" s="94">
        <v>2.4</v>
      </c>
      <c r="K4" s="94">
        <v>1.2</v>
      </c>
      <c r="L4" s="94"/>
      <c r="M4" s="94"/>
      <c r="N4" s="94"/>
      <c r="O4" s="94">
        <f>TRUNC(J4*K4,2)</f>
        <v>2.88</v>
      </c>
      <c r="P4" s="94"/>
      <c r="Q4" s="94"/>
      <c r="R4" s="93" t="s">
        <v>208</v>
      </c>
    </row>
    <row r="5" spans="1:19" ht="14.45" customHeight="1" x14ac:dyDescent="0.2">
      <c r="A5" s="296" t="str">
        <f>'PLANILHA ORÇAMENTÁRIA'!A13</f>
        <v>DEMOLIÇÃO / REMOÇÃO</v>
      </c>
      <c r="B5" s="297"/>
      <c r="C5" s="297"/>
      <c r="D5" s="297"/>
      <c r="E5" s="297"/>
      <c r="F5" s="297"/>
      <c r="G5" s="297"/>
      <c r="H5" s="297"/>
      <c r="I5" s="297"/>
      <c r="J5" s="297"/>
      <c r="K5" s="297"/>
      <c r="L5" s="297"/>
      <c r="M5" s="297"/>
      <c r="N5" s="297"/>
      <c r="O5" s="297"/>
      <c r="P5" s="297"/>
      <c r="Q5" s="297"/>
      <c r="R5" s="298"/>
      <c r="S5" s="83"/>
    </row>
    <row r="6" spans="1:19" ht="33.75" x14ac:dyDescent="0.2">
      <c r="A6" s="302">
        <f>'PLANILHA ORÇAMENTÁRIA'!A14</f>
        <v>2</v>
      </c>
      <c r="B6" s="305" t="str">
        <f>'PLANILHA ORÇAMENTÁRIA'!D14</f>
        <v>DEMOLIÇÃO MANUAL DE PISO CIMENTADO OU CONTRAPISO DE ARGAMASSA, COM ESPESSURA MÁXIMA DE 10CM, INCLUSIVE AFASTAMENTO E EMPILHAMENTO, EXCLUSIVE TRANSPORTE E RETIRADA DO MATERIAL DEMOLIDO</v>
      </c>
      <c r="C6" s="305" t="str">
        <f>'PLANILHA ORÇAMENTÁRIA'!E14</f>
        <v>m²</v>
      </c>
      <c r="D6" s="308">
        <f>SUM(P6:P7)</f>
        <v>403.26</v>
      </c>
      <c r="E6" s="88"/>
      <c r="F6" s="88"/>
      <c r="G6" s="94"/>
      <c r="H6" s="94"/>
      <c r="I6" s="94"/>
      <c r="J6" s="94"/>
      <c r="K6" s="94"/>
      <c r="L6" s="94"/>
      <c r="M6" s="94"/>
      <c r="N6" s="94"/>
      <c r="O6" s="94"/>
      <c r="P6" s="94">
        <v>305.3</v>
      </c>
      <c r="Q6" s="94"/>
      <c r="R6" s="93" t="s">
        <v>210</v>
      </c>
    </row>
    <row r="7" spans="1:19" ht="33.75" x14ac:dyDescent="0.2">
      <c r="A7" s="304"/>
      <c r="B7" s="307"/>
      <c r="C7" s="307"/>
      <c r="D7" s="310"/>
      <c r="E7" s="88"/>
      <c r="F7" s="88"/>
      <c r="G7" s="94"/>
      <c r="H7" s="94"/>
      <c r="I7" s="94"/>
      <c r="J7" s="94"/>
      <c r="K7" s="94"/>
      <c r="L7" s="94"/>
      <c r="M7" s="94"/>
      <c r="N7" s="94"/>
      <c r="O7" s="80"/>
      <c r="P7" s="80">
        <v>97.96</v>
      </c>
      <c r="Q7" s="94"/>
      <c r="R7" s="93" t="s">
        <v>211</v>
      </c>
    </row>
    <row r="8" spans="1:19" ht="34.5" customHeight="1" x14ac:dyDescent="0.2">
      <c r="A8" s="302">
        <f>'PLANILHA ORÇAMENTÁRIA'!A15</f>
        <v>3</v>
      </c>
      <c r="B8" s="305" t="str">
        <f>'PLANILHA ORÇAMENTÁRIA'!D15</f>
        <v>DEMOLIÇÃO MANUAL DE ALVENARIA DE TIJOLO CERÂMICO OU BLOCO DE CONCRETO, INCLUSIVE AFASTAMENTO E EMPILHAMENTO, EXCLUSIVE TRANSPORTE E RETIRADA DO MATERIAL DEMOLIDO</v>
      </c>
      <c r="C8" s="305" t="str">
        <f>'PLANILHA ORÇAMENTÁRIA'!E15</f>
        <v>m³</v>
      </c>
      <c r="D8" s="308">
        <f>SUM(Q8:Q14)</f>
        <v>3.9899999999999998</v>
      </c>
      <c r="E8" s="88"/>
      <c r="F8" s="88"/>
      <c r="G8" s="94"/>
      <c r="H8" s="94"/>
      <c r="I8" s="94">
        <v>2.0699999999999998</v>
      </c>
      <c r="J8" s="94">
        <v>0.3</v>
      </c>
      <c r="K8" s="94">
        <v>1.2</v>
      </c>
      <c r="L8" s="94"/>
      <c r="M8" s="94"/>
      <c r="N8" s="94"/>
      <c r="O8" s="80"/>
      <c r="P8" s="80"/>
      <c r="Q8" s="94">
        <f t="shared" ref="Q8:Q14" si="0">TRUNC(I8*J8*K8,2)</f>
        <v>0.74</v>
      </c>
      <c r="R8" s="93" t="s">
        <v>214</v>
      </c>
    </row>
    <row r="9" spans="1:19" ht="34.5" customHeight="1" x14ac:dyDescent="0.2">
      <c r="A9" s="303"/>
      <c r="B9" s="306"/>
      <c r="C9" s="306"/>
      <c r="D9" s="309"/>
      <c r="E9" s="88"/>
      <c r="F9" s="88"/>
      <c r="G9" s="94"/>
      <c r="H9" s="94"/>
      <c r="I9" s="94">
        <v>2.0699999999999998</v>
      </c>
      <c r="J9" s="94">
        <v>0.3</v>
      </c>
      <c r="K9" s="94">
        <v>1.2</v>
      </c>
      <c r="L9" s="94"/>
      <c r="M9" s="94"/>
      <c r="N9" s="94"/>
      <c r="O9" s="80"/>
      <c r="P9" s="80"/>
      <c r="Q9" s="94">
        <f t="shared" si="0"/>
        <v>0.74</v>
      </c>
      <c r="R9" s="93" t="s">
        <v>215</v>
      </c>
    </row>
    <row r="10" spans="1:19" ht="34.5" customHeight="1" x14ac:dyDescent="0.2">
      <c r="A10" s="303"/>
      <c r="B10" s="306"/>
      <c r="C10" s="306"/>
      <c r="D10" s="309"/>
      <c r="E10" s="88"/>
      <c r="F10" s="88"/>
      <c r="G10" s="94"/>
      <c r="H10" s="94"/>
      <c r="I10" s="94">
        <v>2.94</v>
      </c>
      <c r="J10" s="94">
        <v>0.3</v>
      </c>
      <c r="K10" s="94">
        <v>0.4</v>
      </c>
      <c r="L10" s="94"/>
      <c r="M10" s="94"/>
      <c r="N10" s="94"/>
      <c r="O10" s="80"/>
      <c r="P10" s="80"/>
      <c r="Q10" s="94">
        <f t="shared" si="0"/>
        <v>0.35</v>
      </c>
      <c r="R10" s="93" t="s">
        <v>216</v>
      </c>
    </row>
    <row r="11" spans="1:19" ht="34.5" customHeight="1" x14ac:dyDescent="0.2">
      <c r="A11" s="303"/>
      <c r="B11" s="306"/>
      <c r="C11" s="306"/>
      <c r="D11" s="309"/>
      <c r="E11" s="88"/>
      <c r="F11" s="88"/>
      <c r="G11" s="94"/>
      <c r="H11" s="94"/>
      <c r="I11" s="94">
        <v>3.09</v>
      </c>
      <c r="J11" s="94">
        <v>0.3</v>
      </c>
      <c r="K11" s="94">
        <v>0.4</v>
      </c>
      <c r="L11" s="94"/>
      <c r="M11" s="94"/>
      <c r="N11" s="94"/>
      <c r="O11" s="80"/>
      <c r="P11" s="80"/>
      <c r="Q11" s="94">
        <f t="shared" si="0"/>
        <v>0.37</v>
      </c>
      <c r="R11" s="93" t="s">
        <v>217</v>
      </c>
    </row>
    <row r="12" spans="1:19" ht="34.5" customHeight="1" x14ac:dyDescent="0.2">
      <c r="A12" s="303"/>
      <c r="B12" s="306"/>
      <c r="C12" s="306"/>
      <c r="D12" s="309"/>
      <c r="E12" s="88"/>
      <c r="F12" s="88"/>
      <c r="G12" s="94"/>
      <c r="H12" s="94"/>
      <c r="I12" s="94">
        <v>42.39</v>
      </c>
      <c r="J12" s="94">
        <v>0.1</v>
      </c>
      <c r="K12" s="94">
        <v>0.2</v>
      </c>
      <c r="L12" s="94"/>
      <c r="M12" s="94"/>
      <c r="N12" s="94"/>
      <c r="O12" s="80"/>
      <c r="P12" s="80"/>
      <c r="Q12" s="94">
        <f t="shared" si="0"/>
        <v>0.84</v>
      </c>
      <c r="R12" s="93" t="s">
        <v>212</v>
      </c>
    </row>
    <row r="13" spans="1:19" ht="34.5" customHeight="1" x14ac:dyDescent="0.2">
      <c r="A13" s="303"/>
      <c r="B13" s="306"/>
      <c r="C13" s="306"/>
      <c r="D13" s="309"/>
      <c r="E13" s="88"/>
      <c r="F13" s="88"/>
      <c r="G13" s="94"/>
      <c r="H13" s="94"/>
      <c r="I13" s="94">
        <v>38.47</v>
      </c>
      <c r="J13" s="94">
        <v>0.1</v>
      </c>
      <c r="K13" s="94">
        <v>0.2</v>
      </c>
      <c r="L13" s="94"/>
      <c r="M13" s="94"/>
      <c r="N13" s="94"/>
      <c r="O13" s="80"/>
      <c r="P13" s="80"/>
      <c r="Q13" s="94">
        <f t="shared" si="0"/>
        <v>0.76</v>
      </c>
      <c r="R13" s="93" t="s">
        <v>213</v>
      </c>
    </row>
    <row r="14" spans="1:19" ht="34.5" customHeight="1" x14ac:dyDescent="0.2">
      <c r="A14" s="303"/>
      <c r="B14" s="306"/>
      <c r="C14" s="306"/>
      <c r="D14" s="309"/>
      <c r="E14" s="88"/>
      <c r="F14" s="88"/>
      <c r="G14" s="94"/>
      <c r="H14" s="94"/>
      <c r="I14" s="94">
        <v>0.7</v>
      </c>
      <c r="J14" s="94">
        <v>0.55000000000000004</v>
      </c>
      <c r="K14" s="94">
        <v>0.5</v>
      </c>
      <c r="L14" s="94"/>
      <c r="M14" s="94"/>
      <c r="N14" s="94"/>
      <c r="O14" s="80"/>
      <c r="P14" s="80"/>
      <c r="Q14" s="94">
        <f t="shared" si="0"/>
        <v>0.19</v>
      </c>
      <c r="R14" s="93" t="s">
        <v>220</v>
      </c>
    </row>
    <row r="15" spans="1:19" ht="52.9" customHeight="1" x14ac:dyDescent="0.2">
      <c r="A15" s="302">
        <f>'PLANILHA ORÇAMENTÁRIA'!A16</f>
        <v>4</v>
      </c>
      <c r="B15" s="305" t="str">
        <f>'PLANILHA ORÇAMENTÁRIA'!D16</f>
        <v>DEMOLIÇÃO MANUAL DE REBOCO OU EMBOÇO, COM ESPESSURA DE ATÉ 55MM, INCLUSIVE AFASTAMENTO E EMPILHAMENTO, EXCLUSIVE TRANSPORTE E RETIRADA DO MATERIAL DEMOLIDO</v>
      </c>
      <c r="C15" s="305" t="str">
        <f>'PLANILHA ORÇAMENTÁRIA'!E16</f>
        <v>m²</v>
      </c>
      <c r="D15" s="308">
        <f>SUM(O15:O16)</f>
        <v>74.31</v>
      </c>
      <c r="E15" s="88"/>
      <c r="F15" s="88"/>
      <c r="G15" s="94"/>
      <c r="H15" s="94"/>
      <c r="I15" s="94">
        <v>43.27</v>
      </c>
      <c r="J15" s="94"/>
      <c r="K15" s="94">
        <v>0.9</v>
      </c>
      <c r="L15" s="94"/>
      <c r="M15" s="94"/>
      <c r="N15" s="94"/>
      <c r="O15" s="80">
        <f>TRUNC(I15*K15,2)</f>
        <v>38.94</v>
      </c>
      <c r="P15" s="80"/>
      <c r="Q15" s="94"/>
      <c r="R15" s="93" t="s">
        <v>218</v>
      </c>
    </row>
    <row r="16" spans="1:19" ht="45" x14ac:dyDescent="0.2">
      <c r="A16" s="304"/>
      <c r="B16" s="307"/>
      <c r="C16" s="307"/>
      <c r="D16" s="310"/>
      <c r="E16" s="88"/>
      <c r="F16" s="88"/>
      <c r="G16" s="94"/>
      <c r="H16" s="94"/>
      <c r="I16" s="94">
        <v>39.31</v>
      </c>
      <c r="J16" s="94"/>
      <c r="K16" s="94">
        <v>0.9</v>
      </c>
      <c r="L16" s="94"/>
      <c r="M16" s="94"/>
      <c r="N16" s="94"/>
      <c r="O16" s="80">
        <f>TRUNC(I16*K16,2)</f>
        <v>35.369999999999997</v>
      </c>
      <c r="P16" s="80"/>
      <c r="Q16" s="94"/>
      <c r="R16" s="93" t="s">
        <v>219</v>
      </c>
    </row>
    <row r="17" spans="1:19" ht="45" x14ac:dyDescent="0.2">
      <c r="A17" s="302">
        <f>'PLANILHA ORÇAMENTÁRIA'!A17</f>
        <v>5</v>
      </c>
      <c r="B17" s="305" t="str">
        <f>'PLANILHA ORÇAMENTÁRIA'!D17</f>
        <v>DESMATAMENTO, DESTOCAMENTO E LIMPEZA, INCLUSIVE TRANSPORTE ATÉ CINQUENTA (50) METROS</v>
      </c>
      <c r="C17" s="305" t="str">
        <f>'PLANILHA ORÇAMENTÁRIA'!E17</f>
        <v>m²</v>
      </c>
      <c r="D17" s="308">
        <f>SUM(P17:P20)</f>
        <v>332.39</v>
      </c>
      <c r="E17" s="88"/>
      <c r="F17" s="88"/>
      <c r="G17" s="94"/>
      <c r="H17" s="94"/>
      <c r="I17" s="94"/>
      <c r="J17" s="94"/>
      <c r="K17" s="94"/>
      <c r="L17" s="94"/>
      <c r="M17" s="94"/>
      <c r="N17" s="94"/>
      <c r="O17" s="80"/>
      <c r="P17" s="94">
        <v>75.64</v>
      </c>
      <c r="Q17" s="94"/>
      <c r="R17" s="93" t="s">
        <v>223</v>
      </c>
    </row>
    <row r="18" spans="1:19" ht="33.75" x14ac:dyDescent="0.2">
      <c r="A18" s="303"/>
      <c r="B18" s="306"/>
      <c r="C18" s="306"/>
      <c r="D18" s="309"/>
      <c r="E18" s="88"/>
      <c r="F18" s="88"/>
      <c r="G18" s="94"/>
      <c r="H18" s="94"/>
      <c r="I18" s="94"/>
      <c r="J18" s="94"/>
      <c r="K18" s="94"/>
      <c r="L18" s="94"/>
      <c r="M18" s="94"/>
      <c r="N18" s="94"/>
      <c r="O18" s="80"/>
      <c r="P18" s="94">
        <v>135.9</v>
      </c>
      <c r="Q18" s="94"/>
      <c r="R18" s="93" t="s">
        <v>224</v>
      </c>
    </row>
    <row r="19" spans="1:19" ht="33.75" x14ac:dyDescent="0.2">
      <c r="A19" s="303"/>
      <c r="B19" s="306"/>
      <c r="C19" s="306"/>
      <c r="D19" s="309"/>
      <c r="E19" s="88"/>
      <c r="F19" s="88"/>
      <c r="G19" s="94"/>
      <c r="H19" s="94"/>
      <c r="I19" s="94"/>
      <c r="J19" s="94"/>
      <c r="K19" s="94"/>
      <c r="L19" s="94"/>
      <c r="M19" s="94"/>
      <c r="N19" s="94"/>
      <c r="O19" s="80"/>
      <c r="P19" s="94">
        <v>119.95</v>
      </c>
      <c r="Q19" s="94"/>
      <c r="R19" s="93" t="s">
        <v>225</v>
      </c>
    </row>
    <row r="20" spans="1:19" ht="33.75" x14ac:dyDescent="0.2">
      <c r="A20" s="304"/>
      <c r="B20" s="307"/>
      <c r="C20" s="307"/>
      <c r="D20" s="310"/>
      <c r="E20" s="88"/>
      <c r="F20" s="88"/>
      <c r="G20" s="94"/>
      <c r="H20" s="94"/>
      <c r="I20" s="94"/>
      <c r="J20" s="94"/>
      <c r="K20" s="94"/>
      <c r="L20" s="94"/>
      <c r="M20" s="94"/>
      <c r="N20" s="94"/>
      <c r="O20" s="80"/>
      <c r="P20" s="94">
        <f>0.45*2</f>
        <v>0.9</v>
      </c>
      <c r="Q20" s="94"/>
      <c r="R20" s="93" t="s">
        <v>226</v>
      </c>
    </row>
    <row r="21" spans="1:19" ht="14.45" customHeight="1" x14ac:dyDescent="0.2">
      <c r="A21" s="296" t="str">
        <f>'PLANILHA ORÇAMENTÁRIA'!A18</f>
        <v>MOVIMENTAÇÃO DE TERRA</v>
      </c>
      <c r="B21" s="297"/>
      <c r="C21" s="297"/>
      <c r="D21" s="297"/>
      <c r="E21" s="297"/>
      <c r="F21" s="297"/>
      <c r="G21" s="297"/>
      <c r="H21" s="297"/>
      <c r="I21" s="297"/>
      <c r="J21" s="297"/>
      <c r="K21" s="297"/>
      <c r="L21" s="297"/>
      <c r="M21" s="297"/>
      <c r="N21" s="297"/>
      <c r="O21" s="297"/>
      <c r="P21" s="297"/>
      <c r="Q21" s="297"/>
      <c r="R21" s="298"/>
      <c r="S21" s="83"/>
    </row>
    <row r="22" spans="1:19" ht="67.5" x14ac:dyDescent="0.2">
      <c r="A22" s="96">
        <f>'PLANILHA ORÇAMENTÁRIA'!A19</f>
        <v>6</v>
      </c>
      <c r="B22" s="80" t="str">
        <f>'PLANILHA ORÇAMENTÁRIA'!D19</f>
        <v>ESCAVAÇÃO MANUAL DE TERRA (DESATERRO MANUAL), INCLUSIVE DESCARGA LATERAL, EXCLUSIVE RETIRADA E TRANSPORTE DO MATERIAL ESCAVADO</v>
      </c>
      <c r="C22" s="80" t="str">
        <f>'PLANILHA ORÇAMENTÁRIA'!E19</f>
        <v>m³</v>
      </c>
      <c r="D22" s="117">
        <f>Q22</f>
        <v>2.35</v>
      </c>
      <c r="E22" s="88">
        <v>2</v>
      </c>
      <c r="F22" s="88"/>
      <c r="G22" s="94"/>
      <c r="H22" s="94"/>
      <c r="I22" s="94">
        <v>1.2</v>
      </c>
      <c r="J22" s="94">
        <v>2.0699999999999998</v>
      </c>
      <c r="K22" s="94">
        <f>0.95/2</f>
        <v>0.47499999999999998</v>
      </c>
      <c r="L22" s="94"/>
      <c r="M22" s="94"/>
      <c r="N22" s="94"/>
      <c r="O22" s="80"/>
      <c r="P22" s="80"/>
      <c r="Q22" s="94">
        <f>TRUNC(I22*J22*K22*E22,2)</f>
        <v>2.35</v>
      </c>
      <c r="R22" s="93" t="s">
        <v>227</v>
      </c>
    </row>
    <row r="23" spans="1:19" ht="45" x14ac:dyDescent="0.2">
      <c r="A23" s="301">
        <f>'PLANILHA ORÇAMENTÁRIA'!A20</f>
        <v>7</v>
      </c>
      <c r="B23" s="300" t="str">
        <f>'PLANILHA ORÇAMENTÁRIA'!D20</f>
        <v>REATERRO MANUAL DE VALA, INCLUSIVE ESPALHAMENTO E COMPACTAÇÃO MECANIZADA COM PLACA VIBRATÓRIA</v>
      </c>
      <c r="C23" s="300" t="str">
        <f>'PLANILHA ORÇAMENTÁRIA'!E20</f>
        <v>m³</v>
      </c>
      <c r="D23" s="299">
        <f>SUM(Q23:Q26)</f>
        <v>81.510000000000005</v>
      </c>
      <c r="E23" s="88"/>
      <c r="F23" s="88"/>
      <c r="G23" s="94"/>
      <c r="H23" s="94"/>
      <c r="I23" s="94"/>
      <c r="J23" s="94"/>
      <c r="K23" s="94">
        <v>0.4</v>
      </c>
      <c r="L23" s="94"/>
      <c r="M23" s="94"/>
      <c r="N23" s="94"/>
      <c r="O23" s="80"/>
      <c r="P23" s="94">
        <f>P17</f>
        <v>75.64</v>
      </c>
      <c r="Q23" s="94">
        <f>TRUNC(P23*K23,2)</f>
        <v>30.25</v>
      </c>
      <c r="R23" s="93" t="s">
        <v>228</v>
      </c>
    </row>
    <row r="24" spans="1:19" ht="45" x14ac:dyDescent="0.2">
      <c r="A24" s="301"/>
      <c r="B24" s="300"/>
      <c r="C24" s="300"/>
      <c r="D24" s="299"/>
      <c r="E24" s="88"/>
      <c r="F24" s="88"/>
      <c r="G24" s="94"/>
      <c r="H24" s="94"/>
      <c r="I24" s="94"/>
      <c r="J24" s="94"/>
      <c r="K24" s="94">
        <v>0.2</v>
      </c>
      <c r="L24" s="94"/>
      <c r="M24" s="94"/>
      <c r="N24" s="94"/>
      <c r="O24" s="80"/>
      <c r="P24" s="94">
        <f t="shared" ref="P24:P25" si="1">P18</f>
        <v>135.9</v>
      </c>
      <c r="Q24" s="94">
        <f t="shared" ref="Q24:Q26" si="2">TRUNC(P24*K24,2)</f>
        <v>27.18</v>
      </c>
      <c r="R24" s="93" t="s">
        <v>229</v>
      </c>
    </row>
    <row r="25" spans="1:19" ht="45" x14ac:dyDescent="0.2">
      <c r="A25" s="301"/>
      <c r="B25" s="300"/>
      <c r="C25" s="300"/>
      <c r="D25" s="299"/>
      <c r="E25" s="88"/>
      <c r="F25" s="88"/>
      <c r="G25" s="94"/>
      <c r="H25" s="94"/>
      <c r="I25" s="94"/>
      <c r="J25" s="94"/>
      <c r="K25" s="94">
        <v>0.2</v>
      </c>
      <c r="L25" s="94"/>
      <c r="M25" s="94"/>
      <c r="N25" s="94"/>
      <c r="O25" s="80"/>
      <c r="P25" s="94">
        <f t="shared" si="1"/>
        <v>119.95</v>
      </c>
      <c r="Q25" s="94">
        <f t="shared" si="2"/>
        <v>23.99</v>
      </c>
      <c r="R25" s="93" t="s">
        <v>230</v>
      </c>
    </row>
    <row r="26" spans="1:19" ht="56.25" x14ac:dyDescent="0.2">
      <c r="A26" s="301"/>
      <c r="B26" s="300"/>
      <c r="C26" s="300"/>
      <c r="D26" s="299"/>
      <c r="E26" s="88"/>
      <c r="F26" s="88"/>
      <c r="G26" s="94"/>
      <c r="H26" s="94"/>
      <c r="I26" s="94"/>
      <c r="J26" s="94"/>
      <c r="K26" s="94">
        <v>0.1</v>
      </c>
      <c r="L26" s="94"/>
      <c r="M26" s="94"/>
      <c r="N26" s="94"/>
      <c r="O26" s="94"/>
      <c r="P26" s="94">
        <f>P20</f>
        <v>0.9</v>
      </c>
      <c r="Q26" s="94">
        <f t="shared" si="2"/>
        <v>0.09</v>
      </c>
      <c r="R26" s="93" t="s">
        <v>231</v>
      </c>
    </row>
    <row r="27" spans="1:19" ht="14.45" customHeight="1" x14ac:dyDescent="0.2">
      <c r="A27" s="296" t="str">
        <f>'PLANILHA ORÇAMENTÁRIA'!A21</f>
        <v>MURO DE ARRIMO</v>
      </c>
      <c r="B27" s="297"/>
      <c r="C27" s="297"/>
      <c r="D27" s="297"/>
      <c r="E27" s="297"/>
      <c r="F27" s="297"/>
      <c r="G27" s="297"/>
      <c r="H27" s="297"/>
      <c r="I27" s="297"/>
      <c r="J27" s="297"/>
      <c r="K27" s="297"/>
      <c r="L27" s="297"/>
      <c r="M27" s="297"/>
      <c r="N27" s="297"/>
      <c r="O27" s="297"/>
      <c r="P27" s="297"/>
      <c r="Q27" s="297"/>
      <c r="R27" s="298"/>
      <c r="S27" s="83"/>
    </row>
    <row r="28" spans="1:19" ht="56.25" x14ac:dyDescent="0.2">
      <c r="A28" s="301">
        <f>'PLANILHA ORÇAMENTÁRIA'!A22</f>
        <v>8</v>
      </c>
      <c r="B28" s="300" t="str">
        <f>'PLANILHA ORÇAMENTÁRIA'!D22</f>
        <v>ESCAVAÇÃO MANUAL DE VALA COM PROFUNDIDADE MENOR OU IGUAL A 1,5M, INCLUSIVE DESCARGA LATERAL</v>
      </c>
      <c r="C28" s="300" t="str">
        <f>'PLANILHA ORÇAMENTÁRIA'!E22</f>
        <v>m³</v>
      </c>
      <c r="D28" s="299">
        <f>SUM(Q28:Q29)</f>
        <v>1.4100000000000001</v>
      </c>
      <c r="E28" s="88"/>
      <c r="F28" s="88"/>
      <c r="G28" s="94"/>
      <c r="H28" s="94"/>
      <c r="I28" s="94">
        <v>18.54</v>
      </c>
      <c r="J28" s="94">
        <v>0.2</v>
      </c>
      <c r="K28" s="94">
        <v>0.2</v>
      </c>
      <c r="L28" s="94"/>
      <c r="M28" s="94"/>
      <c r="N28" s="94"/>
      <c r="O28" s="94"/>
      <c r="P28" s="94"/>
      <c r="Q28" s="94">
        <f>TRUNC(I28*J28*K28,2)</f>
        <v>0.74</v>
      </c>
      <c r="R28" s="93" t="s">
        <v>232</v>
      </c>
    </row>
    <row r="29" spans="1:19" ht="56.25" x14ac:dyDescent="0.2">
      <c r="A29" s="301"/>
      <c r="B29" s="300"/>
      <c r="C29" s="300"/>
      <c r="D29" s="299"/>
      <c r="E29" s="88"/>
      <c r="F29" s="88"/>
      <c r="G29" s="94"/>
      <c r="H29" s="94"/>
      <c r="I29" s="94">
        <v>16.88</v>
      </c>
      <c r="J29" s="94">
        <v>0.2</v>
      </c>
      <c r="K29" s="94">
        <v>0.2</v>
      </c>
      <c r="L29" s="94"/>
      <c r="M29" s="94"/>
      <c r="N29" s="94"/>
      <c r="O29" s="94"/>
      <c r="P29" s="94"/>
      <c r="Q29" s="94">
        <f>TRUNC(I29*J29*K29,2)</f>
        <v>0.67</v>
      </c>
      <c r="R29" s="93" t="s">
        <v>233</v>
      </c>
    </row>
    <row r="30" spans="1:19" ht="33.75" x14ac:dyDescent="0.2">
      <c r="A30" s="301">
        <f>'PLANILHA ORÇAMENTÁRIA'!A23</f>
        <v>9</v>
      </c>
      <c r="B30" s="300" t="str">
        <f>'PLANILHA ORÇAMENTÁRIA'!D23</f>
        <v>APILOAMENTO MANUAL EM FUNDO DE VALA COM SOQUETE, EXCLUSIVE ESCAVAÇÃO</v>
      </c>
      <c r="C30" s="300" t="str">
        <f>'PLANILHA ORÇAMENTÁRIA'!E23</f>
        <v>m²</v>
      </c>
      <c r="D30" s="299">
        <f>SUM(O30:O31)</f>
        <v>7.07</v>
      </c>
      <c r="E30" s="88"/>
      <c r="F30" s="88"/>
      <c r="G30" s="98"/>
      <c r="H30" s="94"/>
      <c r="I30" s="94">
        <f>I28</f>
        <v>18.54</v>
      </c>
      <c r="J30" s="94">
        <f>J28</f>
        <v>0.2</v>
      </c>
      <c r="K30" s="94"/>
      <c r="L30" s="94"/>
      <c r="M30" s="94"/>
      <c r="N30" s="94"/>
      <c r="O30" s="94">
        <f>TRUNC(I30*J30,2)</f>
        <v>3.7</v>
      </c>
      <c r="P30" s="80"/>
      <c r="Q30" s="94"/>
      <c r="R30" s="93" t="s">
        <v>234</v>
      </c>
    </row>
    <row r="31" spans="1:19" ht="33.75" x14ac:dyDescent="0.2">
      <c r="A31" s="301"/>
      <c r="B31" s="300"/>
      <c r="C31" s="300"/>
      <c r="D31" s="299"/>
      <c r="E31" s="88"/>
      <c r="F31" s="88"/>
      <c r="G31" s="98"/>
      <c r="H31" s="94"/>
      <c r="I31" s="94">
        <f>I29</f>
        <v>16.88</v>
      </c>
      <c r="J31" s="94">
        <f>J29</f>
        <v>0.2</v>
      </c>
      <c r="K31" s="94"/>
      <c r="L31" s="94"/>
      <c r="M31" s="94"/>
      <c r="N31" s="94"/>
      <c r="O31" s="94">
        <f>TRUNC(I31*J31,2)</f>
        <v>3.37</v>
      </c>
      <c r="P31" s="94"/>
      <c r="Q31" s="94"/>
      <c r="R31" s="93" t="s">
        <v>235</v>
      </c>
    </row>
    <row r="32" spans="1:19" ht="45" x14ac:dyDescent="0.2">
      <c r="A32" s="301">
        <f>'PLANILHA ORÇAMENTÁRIA'!A24</f>
        <v>10</v>
      </c>
      <c r="B32" s="300" t="str">
        <f>'PLANILHA ORÇAMENTÁRIA'!D24</f>
        <v>CORTE, DOBRA E MONTAGEM DE AÇO CA-50, DIÂMETRO (6,3MM A 12,5MM), INCLUSIVE ESPAÇADOR</v>
      </c>
      <c r="C32" s="300" t="str">
        <f>'PLANILHA ORÇAMENTÁRIA'!E24</f>
        <v>Kg</v>
      </c>
      <c r="D32" s="299">
        <f>SUM(N32:N37)</f>
        <v>95.070000000000007</v>
      </c>
      <c r="E32" s="88">
        <v>4</v>
      </c>
      <c r="F32" s="88"/>
      <c r="G32" s="98">
        <v>0.245</v>
      </c>
      <c r="H32" s="94"/>
      <c r="I32" s="94">
        <v>18.54</v>
      </c>
      <c r="J32" s="94"/>
      <c r="K32" s="94"/>
      <c r="L32" s="94"/>
      <c r="M32" s="94"/>
      <c r="N32" s="80">
        <f>TRUNC(E32*I32*G32,2)</f>
        <v>18.16</v>
      </c>
      <c r="O32" s="80"/>
      <c r="P32" s="80"/>
      <c r="Q32" s="94"/>
      <c r="R32" s="93" t="s">
        <v>242</v>
      </c>
    </row>
    <row r="33" spans="1:19" ht="78.75" x14ac:dyDescent="0.2">
      <c r="A33" s="301"/>
      <c r="B33" s="300"/>
      <c r="C33" s="300"/>
      <c r="D33" s="299"/>
      <c r="E33" s="94">
        <f>TRUNC(1854/19,2)</f>
        <v>97.57</v>
      </c>
      <c r="F33" s="88"/>
      <c r="G33" s="98">
        <v>0.245</v>
      </c>
      <c r="H33" s="94"/>
      <c r="I33" s="94"/>
      <c r="K33" s="94">
        <f>0.6+0.2</f>
        <v>0.8</v>
      </c>
      <c r="L33" s="94"/>
      <c r="M33" s="94"/>
      <c r="N33" s="94">
        <f>TRUNC(E33*K33*G33,2)</f>
        <v>19.12</v>
      </c>
      <c r="O33" s="94"/>
      <c r="P33" s="94"/>
      <c r="Q33" s="94"/>
      <c r="R33" s="93" t="s">
        <v>243</v>
      </c>
    </row>
    <row r="34" spans="1:19" ht="56.25" x14ac:dyDescent="0.2">
      <c r="A34" s="301"/>
      <c r="B34" s="300"/>
      <c r="C34" s="300"/>
      <c r="D34" s="299"/>
      <c r="E34" s="88">
        <v>3</v>
      </c>
      <c r="F34" s="88"/>
      <c r="G34" s="98">
        <v>0.245</v>
      </c>
      <c r="H34" s="94"/>
      <c r="I34" s="94">
        <v>18.54</v>
      </c>
      <c r="J34" s="94"/>
      <c r="K34" s="94"/>
      <c r="L34" s="94"/>
      <c r="M34" s="94"/>
      <c r="N34" s="80">
        <f>TRUNC(E34*I34*G34,2)</f>
        <v>13.62</v>
      </c>
      <c r="O34" s="94"/>
      <c r="P34" s="94"/>
      <c r="Q34" s="94"/>
      <c r="R34" s="93" t="s">
        <v>244</v>
      </c>
    </row>
    <row r="35" spans="1:19" ht="45" x14ac:dyDescent="0.2">
      <c r="A35" s="301"/>
      <c r="B35" s="300"/>
      <c r="C35" s="300"/>
      <c r="D35" s="299"/>
      <c r="E35" s="88">
        <v>4</v>
      </c>
      <c r="F35" s="88"/>
      <c r="G35" s="98">
        <v>0.245</v>
      </c>
      <c r="H35" s="94"/>
      <c r="I35" s="94">
        <v>16.88</v>
      </c>
      <c r="J35" s="94"/>
      <c r="K35" s="94"/>
      <c r="L35" s="94"/>
      <c r="M35" s="94"/>
      <c r="N35" s="80">
        <f>TRUNC(E35*I35*G35,2)</f>
        <v>16.54</v>
      </c>
      <c r="O35" s="94"/>
      <c r="P35" s="94"/>
      <c r="Q35" s="94"/>
      <c r="R35" s="93" t="s">
        <v>245</v>
      </c>
    </row>
    <row r="36" spans="1:19" ht="78.75" x14ac:dyDescent="0.2">
      <c r="A36" s="301"/>
      <c r="B36" s="300"/>
      <c r="C36" s="300"/>
      <c r="D36" s="299"/>
      <c r="E36" s="94">
        <f>TRUNC(1688/19,2)</f>
        <v>88.84</v>
      </c>
      <c r="F36" s="88"/>
      <c r="G36" s="98">
        <v>0.245</v>
      </c>
      <c r="H36" s="94"/>
      <c r="I36" s="94"/>
      <c r="J36" s="94"/>
      <c r="K36" s="94">
        <f>0.5+0.2</f>
        <v>0.7</v>
      </c>
      <c r="L36" s="94"/>
      <c r="M36" s="94"/>
      <c r="N36" s="94">
        <f>TRUNC(E36*K36*G36,2)</f>
        <v>15.23</v>
      </c>
      <c r="O36" s="94"/>
      <c r="P36" s="94"/>
      <c r="Q36" s="94"/>
      <c r="R36" s="93" t="s">
        <v>246</v>
      </c>
    </row>
    <row r="37" spans="1:19" ht="56.25" x14ac:dyDescent="0.2">
      <c r="A37" s="301"/>
      <c r="B37" s="300"/>
      <c r="C37" s="300"/>
      <c r="D37" s="299"/>
      <c r="E37" s="88">
        <v>3</v>
      </c>
      <c r="F37" s="88"/>
      <c r="G37" s="98">
        <v>0.245</v>
      </c>
      <c r="H37" s="94"/>
      <c r="I37" s="94">
        <v>16.88</v>
      </c>
      <c r="J37" s="94"/>
      <c r="K37" s="94"/>
      <c r="L37" s="94"/>
      <c r="M37" s="94"/>
      <c r="N37" s="94">
        <f>TRUNC(E37*I37*G37,2)</f>
        <v>12.4</v>
      </c>
      <c r="O37" s="94"/>
      <c r="P37" s="94"/>
      <c r="Q37" s="94"/>
      <c r="R37" s="93" t="s">
        <v>247</v>
      </c>
    </row>
    <row r="38" spans="1:19" ht="45" x14ac:dyDescent="0.2">
      <c r="A38" s="301">
        <f>'PLANILHA ORÇAMENTÁRIA'!A25</f>
        <v>11</v>
      </c>
      <c r="B38" s="300" t="str">
        <f>'PLANILHA ORÇAMENTÁRIA'!D25</f>
        <v>CORTE, DOBRA E MONTAGEM DE AÇO CA-60, DIÂMETRO (4,2MM A 5,0MM), INCLUSIVE ESPAÇADOR</v>
      </c>
      <c r="C38" s="300" t="str">
        <f>'PLANILHA ORÇAMENTÁRIA'!E25</f>
        <v>Kg</v>
      </c>
      <c r="D38" s="299">
        <f>SUM(N38:N39)</f>
        <v>17.990000000000002</v>
      </c>
      <c r="E38" s="94">
        <f>TRUNC(1854/20,2)</f>
        <v>92.7</v>
      </c>
      <c r="F38" s="88"/>
      <c r="G38" s="98">
        <v>0.154</v>
      </c>
      <c r="H38" s="94"/>
      <c r="I38" s="94">
        <f>0.14+0.14+0.14+0.14+0.1</f>
        <v>0.66</v>
      </c>
      <c r="J38" s="94"/>
      <c r="K38" s="94"/>
      <c r="L38" s="94"/>
      <c r="M38" s="94"/>
      <c r="N38" s="94">
        <f>TRUNC(I38*E38*G38,2)</f>
        <v>9.42</v>
      </c>
      <c r="O38" s="94"/>
      <c r="P38" s="94"/>
      <c r="Q38" s="94"/>
      <c r="R38" s="93" t="s">
        <v>248</v>
      </c>
    </row>
    <row r="39" spans="1:19" ht="45" x14ac:dyDescent="0.2">
      <c r="A39" s="301"/>
      <c r="B39" s="300"/>
      <c r="C39" s="300"/>
      <c r="D39" s="299"/>
      <c r="E39" s="94">
        <f>TRUNC(1688/20,2)</f>
        <v>84.4</v>
      </c>
      <c r="F39" s="88"/>
      <c r="G39" s="98">
        <v>0.154</v>
      </c>
      <c r="H39" s="94"/>
      <c r="I39" s="94">
        <f>0.14+0.14+0.14+0.14+0.1</f>
        <v>0.66</v>
      </c>
      <c r="J39" s="94"/>
      <c r="K39" s="94"/>
      <c r="L39" s="94"/>
      <c r="M39" s="94"/>
      <c r="N39" s="94">
        <f>TRUNC(I39*E39*G39,2)</f>
        <v>8.57</v>
      </c>
      <c r="O39" s="94"/>
      <c r="P39" s="94"/>
      <c r="Q39" s="94"/>
      <c r="R39" s="93" t="s">
        <v>249</v>
      </c>
    </row>
    <row r="40" spans="1:19" ht="33.75" x14ac:dyDescent="0.2">
      <c r="A40" s="302">
        <f>'PLANILHA ORÇAMENTÁRIA'!A26</f>
        <v>12</v>
      </c>
      <c r="B40" s="305" t="str">
        <f>'PLANILHA ORÇAMENTÁRIA'!D26</f>
        <v>FORNECIMENTO DE CONCRETO ESTRUTURAL, PREPARADO EM OBRA COM BETONEIRA, COM FCK 20MPA, INCLUSIVE LANÇAMENTO, ADENSAMENTO E ACABAMENTO (FUNDAÇÃO)</v>
      </c>
      <c r="C40" s="305" t="str">
        <f>'PLANILHA ORÇAMENTÁRIA'!E26</f>
        <v>m³</v>
      </c>
      <c r="D40" s="308">
        <f>SUM(Q40:Q41)</f>
        <v>1.4100000000000001</v>
      </c>
      <c r="E40" s="94"/>
      <c r="F40" s="88"/>
      <c r="G40" s="98"/>
      <c r="H40" s="94"/>
      <c r="I40" s="94">
        <f>I28</f>
        <v>18.54</v>
      </c>
      <c r="J40" s="94">
        <f t="shared" ref="J40:K41" si="3">J28</f>
        <v>0.2</v>
      </c>
      <c r="K40" s="94">
        <f t="shared" si="3"/>
        <v>0.2</v>
      </c>
      <c r="L40" s="94"/>
      <c r="M40" s="94"/>
      <c r="N40" s="94"/>
      <c r="O40" s="94"/>
      <c r="P40" s="94"/>
      <c r="Q40" s="94">
        <f>TRUNC(I40*J40*K40,2)</f>
        <v>0.74</v>
      </c>
      <c r="R40" s="93" t="s">
        <v>250</v>
      </c>
    </row>
    <row r="41" spans="1:19" ht="33.75" x14ac:dyDescent="0.2">
      <c r="A41" s="304"/>
      <c r="B41" s="307"/>
      <c r="C41" s="307"/>
      <c r="D41" s="310"/>
      <c r="E41" s="94"/>
      <c r="F41" s="88"/>
      <c r="G41" s="98"/>
      <c r="H41" s="94"/>
      <c r="I41" s="94">
        <f>I29</f>
        <v>16.88</v>
      </c>
      <c r="J41" s="94">
        <f t="shared" si="3"/>
        <v>0.2</v>
      </c>
      <c r="K41" s="94">
        <f t="shared" si="3"/>
        <v>0.2</v>
      </c>
      <c r="L41" s="94"/>
      <c r="M41" s="94"/>
      <c r="N41" s="94"/>
      <c r="O41" s="94"/>
      <c r="P41" s="94"/>
      <c r="Q41" s="94">
        <f>TRUNC(I41*J41*K41,2)</f>
        <v>0.67</v>
      </c>
      <c r="R41" s="93" t="s">
        <v>251</v>
      </c>
    </row>
    <row r="42" spans="1:19" ht="33.75" x14ac:dyDescent="0.2">
      <c r="A42" s="302">
        <f>'PLANILHA ORÇAMENTÁRIA'!A27</f>
        <v>13</v>
      </c>
      <c r="B42" s="305" t="str">
        <f>'PLANILHA ORÇAMENTÁRIA'!D27</f>
        <v>ALVENARIA DE BLOCO DE CONCRETO CHEIO SEM ARMAÇÃO, EM CONCRETO COM FCK DE 20MPA , ESP. 19CM, PARA REVESTIMENTO, INCLUSIVE ARGAMASSA PARA ASSENTAMENTO (DETALHE D - CADERNO SEDS)</v>
      </c>
      <c r="C42" s="305" t="str">
        <f>'PLANILHA ORÇAMENTÁRIA'!E27</f>
        <v>m²</v>
      </c>
      <c r="D42" s="308">
        <f>SUM(O42:O45)</f>
        <v>20.580000000000002</v>
      </c>
      <c r="E42" s="94"/>
      <c r="F42" s="88"/>
      <c r="G42" s="98"/>
      <c r="H42" s="94"/>
      <c r="I42" s="94">
        <v>18.54</v>
      </c>
      <c r="J42" s="94"/>
      <c r="K42" s="94">
        <v>0.6</v>
      </c>
      <c r="L42" s="94"/>
      <c r="M42" s="94"/>
      <c r="N42" s="94"/>
      <c r="O42" s="94">
        <f>TRUNC(I42*K42,2)</f>
        <v>11.12</v>
      </c>
      <c r="P42" s="94"/>
      <c r="Q42" s="94"/>
      <c r="R42" s="93" t="s">
        <v>252</v>
      </c>
    </row>
    <row r="43" spans="1:19" ht="45" x14ac:dyDescent="0.2">
      <c r="A43" s="303"/>
      <c r="B43" s="306"/>
      <c r="C43" s="306"/>
      <c r="D43" s="309"/>
      <c r="E43" s="94"/>
      <c r="F43" s="88"/>
      <c r="G43" s="98"/>
      <c r="H43" s="94"/>
      <c r="I43" s="94">
        <v>16.88</v>
      </c>
      <c r="J43" s="94"/>
      <c r="K43" s="94">
        <v>0.5</v>
      </c>
      <c r="L43" s="94"/>
      <c r="M43" s="94"/>
      <c r="N43" s="94"/>
      <c r="O43" s="94">
        <f>TRUNC(I43*K43,2)</f>
        <v>8.44</v>
      </c>
      <c r="P43" s="94"/>
      <c r="Q43" s="94"/>
      <c r="R43" s="93" t="s">
        <v>253</v>
      </c>
    </row>
    <row r="44" spans="1:19" ht="33.75" x14ac:dyDescent="0.2">
      <c r="A44" s="303"/>
      <c r="B44" s="306"/>
      <c r="C44" s="306"/>
      <c r="D44" s="309"/>
      <c r="E44" s="94"/>
      <c r="F44" s="88"/>
      <c r="G44" s="98"/>
      <c r="H44" s="94"/>
      <c r="I44" s="94"/>
      <c r="J44" s="94"/>
      <c r="K44" s="94"/>
      <c r="L44" s="94"/>
      <c r="M44" s="94"/>
      <c r="N44" s="94"/>
      <c r="O44" s="94">
        <v>0.51</v>
      </c>
      <c r="P44" s="94"/>
      <c r="Q44" s="94"/>
      <c r="R44" s="93" t="s">
        <v>269</v>
      </c>
    </row>
    <row r="45" spans="1:19" ht="33.75" x14ac:dyDescent="0.2">
      <c r="A45" s="304"/>
      <c r="B45" s="307"/>
      <c r="C45" s="307"/>
      <c r="D45" s="310"/>
      <c r="E45" s="94"/>
      <c r="F45" s="88"/>
      <c r="G45" s="98"/>
      <c r="H45" s="94"/>
      <c r="I45" s="94"/>
      <c r="J45" s="94"/>
      <c r="K45" s="94"/>
      <c r="L45" s="94"/>
      <c r="M45" s="94"/>
      <c r="N45" s="94"/>
      <c r="O45" s="94">
        <v>0.51</v>
      </c>
      <c r="P45" s="94"/>
      <c r="Q45" s="94"/>
      <c r="R45" s="93" t="s">
        <v>270</v>
      </c>
    </row>
    <row r="46" spans="1:19" ht="14.45" customHeight="1" x14ac:dyDescent="0.2">
      <c r="A46" s="296" t="str">
        <f>'PLANILHA ORÇAMENTÁRIA'!A28</f>
        <v>PISOS</v>
      </c>
      <c r="B46" s="297"/>
      <c r="C46" s="297"/>
      <c r="D46" s="297"/>
      <c r="E46" s="297"/>
      <c r="F46" s="297"/>
      <c r="G46" s="297"/>
      <c r="H46" s="297"/>
      <c r="I46" s="297"/>
      <c r="J46" s="297"/>
      <c r="K46" s="297"/>
      <c r="L46" s="297"/>
      <c r="M46" s="297"/>
      <c r="N46" s="297"/>
      <c r="O46" s="297"/>
      <c r="P46" s="297"/>
      <c r="Q46" s="297"/>
      <c r="R46" s="298"/>
      <c r="S46" s="83"/>
    </row>
    <row r="47" spans="1:19" ht="45" x14ac:dyDescent="0.2">
      <c r="A47" s="302">
        <f>'PLANILHA ORÇAMENTÁRIA'!A29</f>
        <v>14</v>
      </c>
      <c r="B47" s="305" t="str">
        <f>'PLANILHA ORÇAMENTÁRIA'!D29</f>
        <v>GUIA DE MEIO-FIO, EM CONCRETO COM FCK 20MPA, PRÉ-MOLDADA, MFC-01 PADRÃO DER-MG, DIMENSÕES (12X16,7X35)CM, EXCLUSIVE SARJETA, INCLUSIVE ESCAVAÇÃO, APILOAMENTO E TRANSPORTE COM RETIRADA DO MATERIAL ESCAVADO (EM CAÇAMBA)</v>
      </c>
      <c r="C47" s="305" t="str">
        <f>'PLANILHA ORÇAMENTÁRIA'!E29</f>
        <v>m</v>
      </c>
      <c r="D47" s="308">
        <f>SUM(H47:H52)</f>
        <v>207.83</v>
      </c>
      <c r="E47" s="88"/>
      <c r="F47" s="88"/>
      <c r="G47" s="98"/>
      <c r="H47" s="94">
        <v>42.36</v>
      </c>
      <c r="I47" s="94"/>
      <c r="J47" s="94"/>
      <c r="K47" s="94"/>
      <c r="L47" s="94"/>
      <c r="M47" s="94"/>
      <c r="N47" s="94"/>
      <c r="O47" s="94"/>
      <c r="P47" s="94"/>
      <c r="Q47" s="94"/>
      <c r="R47" s="93" t="s">
        <v>254</v>
      </c>
    </row>
    <row r="48" spans="1:19" ht="67.5" x14ac:dyDescent="0.2">
      <c r="A48" s="303"/>
      <c r="B48" s="306"/>
      <c r="C48" s="306"/>
      <c r="D48" s="309"/>
      <c r="E48" s="88"/>
      <c r="F48" s="88"/>
      <c r="G48" s="98"/>
      <c r="H48" s="94">
        <f>3.34*9</f>
        <v>30.06</v>
      </c>
      <c r="I48" s="94"/>
      <c r="J48" s="94"/>
      <c r="K48" s="94"/>
      <c r="L48" s="94"/>
      <c r="M48" s="94"/>
      <c r="N48" s="94"/>
      <c r="O48" s="94"/>
      <c r="P48" s="94"/>
      <c r="Q48" s="94"/>
      <c r="R48" s="93" t="s">
        <v>255</v>
      </c>
    </row>
    <row r="49" spans="1:18" ht="56.25" x14ac:dyDescent="0.2">
      <c r="A49" s="303"/>
      <c r="B49" s="306"/>
      <c r="C49" s="306"/>
      <c r="D49" s="309"/>
      <c r="E49" s="88"/>
      <c r="F49" s="88"/>
      <c r="G49" s="98"/>
      <c r="H49" s="94">
        <v>38.86</v>
      </c>
      <c r="I49" s="94"/>
      <c r="J49" s="94"/>
      <c r="K49" s="94"/>
      <c r="L49" s="94"/>
      <c r="M49" s="94"/>
      <c r="N49" s="94"/>
      <c r="O49" s="94"/>
      <c r="P49" s="94"/>
      <c r="Q49" s="94"/>
      <c r="R49" s="93" t="s">
        <v>256</v>
      </c>
    </row>
    <row r="50" spans="1:18" ht="45" x14ac:dyDescent="0.2">
      <c r="A50" s="303"/>
      <c r="B50" s="306"/>
      <c r="C50" s="306"/>
      <c r="D50" s="309"/>
      <c r="E50" s="88"/>
      <c r="F50" s="88"/>
      <c r="G50" s="98"/>
      <c r="H50" s="94">
        <v>38.43</v>
      </c>
      <c r="I50" s="94"/>
      <c r="J50" s="94"/>
      <c r="K50" s="94"/>
      <c r="L50" s="94"/>
      <c r="M50" s="94"/>
      <c r="N50" s="94"/>
      <c r="O50" s="94"/>
      <c r="P50" s="94"/>
      <c r="Q50" s="94"/>
      <c r="R50" s="93" t="s">
        <v>257</v>
      </c>
    </row>
    <row r="51" spans="1:18" ht="56.25" x14ac:dyDescent="0.2">
      <c r="A51" s="303"/>
      <c r="B51" s="306"/>
      <c r="C51" s="306"/>
      <c r="D51" s="309"/>
      <c r="E51" s="88"/>
      <c r="F51" s="88"/>
      <c r="G51" s="98"/>
      <c r="H51" s="94">
        <f>3.34*7</f>
        <v>23.38</v>
      </c>
      <c r="I51" s="94"/>
      <c r="J51" s="94"/>
      <c r="K51" s="94"/>
      <c r="L51" s="94"/>
      <c r="M51" s="94"/>
      <c r="N51" s="94"/>
      <c r="O51" s="94"/>
      <c r="P51" s="94"/>
      <c r="Q51" s="94"/>
      <c r="R51" s="93" t="s">
        <v>258</v>
      </c>
    </row>
    <row r="52" spans="1:18" ht="56.25" x14ac:dyDescent="0.2">
      <c r="A52" s="303"/>
      <c r="B52" s="306"/>
      <c r="C52" s="306"/>
      <c r="D52" s="309"/>
      <c r="E52" s="88"/>
      <c r="F52" s="88"/>
      <c r="G52" s="98"/>
      <c r="H52" s="94">
        <v>34.74</v>
      </c>
      <c r="I52" s="94"/>
      <c r="J52" s="94"/>
      <c r="K52" s="94"/>
      <c r="L52" s="94"/>
      <c r="M52" s="94"/>
      <c r="N52" s="94"/>
      <c r="O52" s="94"/>
      <c r="P52" s="94"/>
      <c r="Q52" s="94"/>
      <c r="R52" s="93" t="s">
        <v>259</v>
      </c>
    </row>
    <row r="53" spans="1:18" ht="33.75" x14ac:dyDescent="0.2">
      <c r="A53" s="302">
        <f>'PLANILHA ORÇAMENTÁRIA'!A30</f>
        <v>15</v>
      </c>
      <c r="B53" s="305" t="str">
        <f>'PLANILHA ORÇAMENTÁRIA'!D30</f>
        <v>EXECUÇÃO DE PAVIMENTO COM PISO INTERTRAVADO, TIPO RETANGULAR, ESP. 6CM, COM FCK DE 35MPA, INCLUSIVE COLCHÃO DE AREIA, ESP. 6CM, PARA ASSENTAMENTO, COMPACTAÇÃO MECANIZADA, CARGA E DESCARGA MECÂNICA EM CAMINHÃO, EXCLUSIVE TRANSPORTE DE PISO INTERTRAVADO</v>
      </c>
      <c r="C53" s="305" t="str">
        <f>'PLANILHA ORÇAMENTÁRIA'!E30</f>
        <v>m²</v>
      </c>
      <c r="D53" s="308">
        <f>SUM(P53:P57)</f>
        <v>600.21</v>
      </c>
      <c r="E53" s="88"/>
      <c r="F53" s="88"/>
      <c r="G53" s="98"/>
      <c r="H53" s="94"/>
      <c r="I53" s="94"/>
      <c r="J53" s="94"/>
      <c r="K53" s="94"/>
      <c r="L53" s="94"/>
      <c r="M53" s="94"/>
      <c r="N53" s="94"/>
      <c r="O53" s="94"/>
      <c r="P53" s="94">
        <f>P6</f>
        <v>305.3</v>
      </c>
      <c r="Q53" s="94"/>
      <c r="R53" s="93" t="s">
        <v>210</v>
      </c>
    </row>
    <row r="54" spans="1:18" ht="33.75" x14ac:dyDescent="0.2">
      <c r="A54" s="303"/>
      <c r="B54" s="306"/>
      <c r="C54" s="306"/>
      <c r="D54" s="309"/>
      <c r="E54" s="88"/>
      <c r="F54" s="88"/>
      <c r="G54" s="98"/>
      <c r="H54" s="94"/>
      <c r="I54" s="94"/>
      <c r="J54" s="94"/>
      <c r="K54" s="94"/>
      <c r="L54" s="94"/>
      <c r="M54" s="94"/>
      <c r="N54" s="94"/>
      <c r="O54" s="94"/>
      <c r="P54" s="94">
        <f>0.45*2</f>
        <v>0.9</v>
      </c>
      <c r="Q54" s="94"/>
      <c r="R54" s="93" t="s">
        <v>226</v>
      </c>
    </row>
    <row r="55" spans="1:18" ht="51" customHeight="1" x14ac:dyDescent="0.2">
      <c r="A55" s="303"/>
      <c r="B55" s="306"/>
      <c r="C55" s="306"/>
      <c r="D55" s="309"/>
      <c r="E55" s="88"/>
      <c r="F55" s="88"/>
      <c r="G55" s="98"/>
      <c r="H55" s="94"/>
      <c r="I55" s="94"/>
      <c r="J55" s="94"/>
      <c r="K55" s="94"/>
      <c r="L55" s="94"/>
      <c r="M55" s="94"/>
      <c r="N55" s="94"/>
      <c r="O55" s="94"/>
      <c r="P55" s="94">
        <v>101.05</v>
      </c>
      <c r="Q55" s="94"/>
      <c r="R55" s="93" t="s">
        <v>260</v>
      </c>
    </row>
    <row r="56" spans="1:18" ht="56.25" x14ac:dyDescent="0.2">
      <c r="A56" s="303"/>
      <c r="B56" s="306"/>
      <c r="C56" s="306"/>
      <c r="D56" s="309"/>
      <c r="E56" s="88"/>
      <c r="F56" s="88"/>
      <c r="G56" s="98"/>
      <c r="H56" s="94"/>
      <c r="I56" s="94"/>
      <c r="J56" s="94"/>
      <c r="K56" s="94"/>
      <c r="L56" s="94"/>
      <c r="M56" s="94"/>
      <c r="N56" s="94"/>
      <c r="O56" s="94"/>
      <c r="P56" s="94">
        <v>96.92</v>
      </c>
      <c r="Q56" s="94"/>
      <c r="R56" s="93" t="s">
        <v>261</v>
      </c>
    </row>
    <row r="57" spans="1:18" ht="33" customHeight="1" x14ac:dyDescent="0.2">
      <c r="A57" s="304"/>
      <c r="B57" s="307"/>
      <c r="C57" s="307"/>
      <c r="D57" s="310"/>
      <c r="E57" s="88"/>
      <c r="F57" s="88"/>
      <c r="G57" s="98"/>
      <c r="H57" s="94"/>
      <c r="I57" s="94"/>
      <c r="J57" s="94"/>
      <c r="K57" s="94"/>
      <c r="L57" s="94"/>
      <c r="M57" s="94"/>
      <c r="N57" s="94"/>
      <c r="O57" s="94"/>
      <c r="P57" s="94">
        <v>96.04</v>
      </c>
      <c r="Q57" s="94"/>
      <c r="R57" s="93" t="s">
        <v>262</v>
      </c>
    </row>
    <row r="58" spans="1:18" ht="33.75" x14ac:dyDescent="0.2">
      <c r="A58" s="302">
        <f>'PLANILHA ORÇAMENTÁRIA'!A31</f>
        <v>16</v>
      </c>
      <c r="B58" s="305" t="str">
        <f>'PLANILHA ORÇAMENTÁRIA'!D31</f>
        <v>ESCADA DE CONCRETO 20 MPa, APARENTE, ESPELHO = 15 A 18 CM, ARMAÇÃO, FÔRMA PLASTIFICADA, ESCORAMENTO E DESFORMA</v>
      </c>
      <c r="C58" s="305" t="str">
        <f>'PLANILHA ORÇAMENTÁRIA'!E31</f>
        <v>m³</v>
      </c>
      <c r="D58" s="308">
        <f>SUM(Q58:Q60)</f>
        <v>9.0799999999999983</v>
      </c>
      <c r="E58" s="88"/>
      <c r="F58" s="88"/>
      <c r="G58" s="98"/>
      <c r="H58" s="94"/>
      <c r="I58" s="94"/>
      <c r="J58" s="94">
        <v>6.17</v>
      </c>
      <c r="K58" s="94"/>
      <c r="L58" s="94"/>
      <c r="M58" s="94"/>
      <c r="N58" s="94"/>
      <c r="O58" s="94"/>
      <c r="P58" s="94">
        <v>1.3</v>
      </c>
      <c r="Q58" s="94">
        <f>TRUNC(J58*P58,2)</f>
        <v>8.02</v>
      </c>
      <c r="R58" s="93" t="s">
        <v>263</v>
      </c>
    </row>
    <row r="59" spans="1:18" ht="22.5" x14ac:dyDescent="0.2">
      <c r="A59" s="303"/>
      <c r="B59" s="306"/>
      <c r="C59" s="306"/>
      <c r="D59" s="309"/>
      <c r="E59" s="88"/>
      <c r="F59" s="88"/>
      <c r="G59" s="98"/>
      <c r="H59" s="94"/>
      <c r="I59" s="94"/>
      <c r="J59" s="94">
        <v>2.04</v>
      </c>
      <c r="K59" s="94"/>
      <c r="L59" s="94"/>
      <c r="M59" s="94"/>
      <c r="N59" s="94"/>
      <c r="O59" s="94"/>
      <c r="P59" s="94">
        <v>0.26</v>
      </c>
      <c r="Q59" s="94">
        <f t="shared" ref="Q59:Q60" si="4">TRUNC(J59*P59,2)</f>
        <v>0.53</v>
      </c>
      <c r="R59" s="93" t="s">
        <v>264</v>
      </c>
    </row>
    <row r="60" spans="1:18" ht="22.5" x14ac:dyDescent="0.2">
      <c r="A60" s="304"/>
      <c r="B60" s="307"/>
      <c r="C60" s="307"/>
      <c r="D60" s="310"/>
      <c r="E60" s="88"/>
      <c r="F60" s="88"/>
      <c r="G60" s="98"/>
      <c r="H60" s="94"/>
      <c r="I60" s="94"/>
      <c r="J60" s="94">
        <v>2.0699999999999998</v>
      </c>
      <c r="K60" s="94"/>
      <c r="L60" s="94"/>
      <c r="M60" s="94"/>
      <c r="N60" s="94"/>
      <c r="O60" s="94"/>
      <c r="P60" s="94">
        <v>0.26</v>
      </c>
      <c r="Q60" s="94">
        <f t="shared" si="4"/>
        <v>0.53</v>
      </c>
      <c r="R60" s="93" t="s">
        <v>265</v>
      </c>
    </row>
    <row r="61" spans="1:18" x14ac:dyDescent="0.2">
      <c r="A61" s="302">
        <f>'PLANILHA ORÇAMENTÁRIA'!A32</f>
        <v>17</v>
      </c>
      <c r="B61" s="305" t="str">
        <f>'PLANILHA ORÇAMENTÁRIA'!D32</f>
        <v>REVESTIMENTO DE PISO COM PEDRA MIRACEMA NA COR CINZA, PEÇAS COM 11,5X23CM, ESP. 1CM, ACABAMENTO NATURAL, INCLUSIVE FORNECIMENTO DO MATERIAL DE REVESTIMENTO, ASSENTAMENTO COM ARGAMASSA INDUSTRIALIZADA E REJUNTAMENTO</v>
      </c>
      <c r="C61" s="305" t="str">
        <f>'PLANILHA ORÇAMENTÁRIA'!E32</f>
        <v>m²</v>
      </c>
      <c r="D61" s="308">
        <f>SUM(O61:O64)</f>
        <v>85.64</v>
      </c>
      <c r="E61" s="88"/>
      <c r="F61" s="88"/>
      <c r="G61" s="98"/>
      <c r="H61" s="94"/>
      <c r="I61" s="94">
        <v>10.039999999999999</v>
      </c>
      <c r="J61" s="94">
        <v>6.17</v>
      </c>
      <c r="K61" s="94"/>
      <c r="L61" s="94"/>
      <c r="M61" s="94"/>
      <c r="N61" s="94"/>
      <c r="O61" s="94">
        <f>ROUND(I61*J61,2)</f>
        <v>61.95</v>
      </c>
      <c r="P61" s="94"/>
      <c r="Q61" s="94"/>
      <c r="R61" s="93" t="s">
        <v>305</v>
      </c>
    </row>
    <row r="62" spans="1:18" ht="22.5" x14ac:dyDescent="0.2">
      <c r="A62" s="303"/>
      <c r="B62" s="306"/>
      <c r="C62" s="306"/>
      <c r="D62" s="309"/>
      <c r="E62" s="88"/>
      <c r="F62" s="88"/>
      <c r="G62" s="98"/>
      <c r="H62" s="94"/>
      <c r="I62" s="94">
        <v>1.5</v>
      </c>
      <c r="J62" s="94">
        <v>2.04</v>
      </c>
      <c r="K62" s="94"/>
      <c r="L62" s="94"/>
      <c r="M62" s="94"/>
      <c r="N62" s="94"/>
      <c r="O62" s="94">
        <f t="shared" ref="O62:O64" si="5">ROUND(I62*J62,2)</f>
        <v>3.06</v>
      </c>
      <c r="P62" s="94"/>
      <c r="Q62" s="94"/>
      <c r="R62" s="93" t="s">
        <v>306</v>
      </c>
    </row>
    <row r="63" spans="1:18" ht="22.5" x14ac:dyDescent="0.2">
      <c r="A63" s="303"/>
      <c r="B63" s="306"/>
      <c r="C63" s="306"/>
      <c r="D63" s="309"/>
      <c r="E63" s="88"/>
      <c r="F63" s="88"/>
      <c r="G63" s="98"/>
      <c r="H63" s="94"/>
      <c r="I63" s="94">
        <v>1.5</v>
      </c>
      <c r="J63" s="94">
        <v>2.0699999999999998</v>
      </c>
      <c r="K63" s="94"/>
      <c r="L63" s="94"/>
      <c r="M63" s="94"/>
      <c r="N63" s="94"/>
      <c r="O63" s="94">
        <f t="shared" si="5"/>
        <v>3.11</v>
      </c>
      <c r="P63" s="94"/>
      <c r="Q63" s="94"/>
      <c r="R63" s="93" t="s">
        <v>307</v>
      </c>
    </row>
    <row r="64" spans="1:18" ht="22.5" x14ac:dyDescent="0.2">
      <c r="A64" s="304"/>
      <c r="B64" s="307"/>
      <c r="C64" s="307"/>
      <c r="D64" s="310"/>
      <c r="E64" s="88"/>
      <c r="F64" s="88"/>
      <c r="G64" s="98"/>
      <c r="H64" s="94"/>
      <c r="I64" s="94">
        <v>2.84</v>
      </c>
      <c r="J64" s="94">
        <v>6.17</v>
      </c>
      <c r="K64" s="94"/>
      <c r="L64" s="94"/>
      <c r="M64" s="94"/>
      <c r="N64" s="94"/>
      <c r="O64" s="94">
        <f t="shared" si="5"/>
        <v>17.52</v>
      </c>
      <c r="P64" s="94"/>
      <c r="Q64" s="94"/>
      <c r="R64" s="93" t="s">
        <v>308</v>
      </c>
    </row>
    <row r="65" spans="1:19" ht="14.45" customHeight="1" x14ac:dyDescent="0.2">
      <c r="A65" s="296" t="str">
        <f>'PLANILHA ORÇAMENTÁRIA'!A33</f>
        <v>REVESTIMENTOS E PINTURA</v>
      </c>
      <c r="B65" s="297"/>
      <c r="C65" s="297"/>
      <c r="D65" s="297"/>
      <c r="E65" s="297"/>
      <c r="F65" s="297"/>
      <c r="G65" s="297"/>
      <c r="H65" s="297"/>
      <c r="I65" s="297"/>
      <c r="J65" s="297"/>
      <c r="K65" s="297"/>
      <c r="L65" s="297"/>
      <c r="M65" s="297"/>
      <c r="N65" s="297"/>
      <c r="O65" s="297"/>
      <c r="P65" s="297"/>
      <c r="Q65" s="297"/>
      <c r="R65" s="298"/>
      <c r="S65" s="83"/>
    </row>
    <row r="66" spans="1:19" ht="22.5" x14ac:dyDescent="0.2">
      <c r="A66" s="301">
        <f>'PLANILHA ORÇAMENTÁRIA'!A34</f>
        <v>18</v>
      </c>
      <c r="B66" s="300" t="str">
        <f>'PLANILHA ORÇAMENTÁRIA'!D34</f>
        <v>CHAPISCO COM ARGAMASSA, TRAÇO 1:3 (CIMENTO E AREIA), ESP. 5MM, APLICADO EM ALVENARIA/ESTRUTURA DE CONCRETO COM COLHER, INCLUSIVE ARGAMASSA COM PREPARO MECANIZADO</v>
      </c>
      <c r="C66" s="300" t="str">
        <f>'PLANILHA ORÇAMENTÁRIA'!E34</f>
        <v>m²</v>
      </c>
      <c r="D66" s="299">
        <f>SUM(O66:O70)</f>
        <v>22.020000000000003</v>
      </c>
      <c r="E66" s="88"/>
      <c r="F66" s="88"/>
      <c r="G66" s="98"/>
      <c r="H66" s="94"/>
      <c r="I66" s="94">
        <v>18.54</v>
      </c>
      <c r="J66" s="94"/>
      <c r="K66" s="94">
        <v>0.6</v>
      </c>
      <c r="L66" s="94"/>
      <c r="M66" s="94"/>
      <c r="N66" s="94"/>
      <c r="O66" s="94">
        <f>TRUNC(I66*K66,2)</f>
        <v>11.12</v>
      </c>
      <c r="P66" s="94"/>
      <c r="Q66" s="94"/>
      <c r="R66" s="93" t="s">
        <v>266</v>
      </c>
    </row>
    <row r="67" spans="1:19" ht="22.5" x14ac:dyDescent="0.2">
      <c r="A67" s="301"/>
      <c r="B67" s="300"/>
      <c r="C67" s="300"/>
      <c r="D67" s="299"/>
      <c r="E67" s="88"/>
      <c r="F67" s="88"/>
      <c r="G67" s="98"/>
      <c r="H67" s="94"/>
      <c r="I67" s="94">
        <v>16.88</v>
      </c>
      <c r="J67" s="94"/>
      <c r="K67" s="94">
        <v>0.5</v>
      </c>
      <c r="L67" s="94"/>
      <c r="M67" s="94"/>
      <c r="N67" s="94"/>
      <c r="O67" s="94">
        <f>TRUNC(I67*K67,2)</f>
        <v>8.44</v>
      </c>
      <c r="P67" s="94"/>
      <c r="Q67" s="94"/>
      <c r="R67" s="93" t="s">
        <v>267</v>
      </c>
    </row>
    <row r="68" spans="1:19" ht="33.75" x14ac:dyDescent="0.2">
      <c r="A68" s="301"/>
      <c r="B68" s="300"/>
      <c r="C68" s="300"/>
      <c r="D68" s="299"/>
      <c r="E68" s="88"/>
      <c r="F68" s="88"/>
      <c r="G68" s="98"/>
      <c r="H68" s="94"/>
      <c r="I68" s="94"/>
      <c r="J68" s="94"/>
      <c r="K68" s="94"/>
      <c r="L68" s="94"/>
      <c r="M68" s="94"/>
      <c r="N68" s="94"/>
      <c r="O68" s="94">
        <v>0.51</v>
      </c>
      <c r="P68" s="94"/>
      <c r="Q68" s="94"/>
      <c r="R68" s="93" t="s">
        <v>269</v>
      </c>
    </row>
    <row r="69" spans="1:19" ht="33.75" x14ac:dyDescent="0.2">
      <c r="A69" s="301"/>
      <c r="B69" s="300"/>
      <c r="C69" s="300"/>
      <c r="D69" s="299"/>
      <c r="E69" s="88"/>
      <c r="F69" s="88"/>
      <c r="G69" s="98"/>
      <c r="H69" s="94"/>
      <c r="I69" s="94"/>
      <c r="J69" s="94"/>
      <c r="K69" s="94"/>
      <c r="L69" s="94"/>
      <c r="M69" s="94"/>
      <c r="N69" s="94"/>
      <c r="O69" s="94">
        <v>0.51</v>
      </c>
      <c r="P69" s="94"/>
      <c r="Q69" s="94"/>
      <c r="R69" s="93" t="s">
        <v>270</v>
      </c>
    </row>
    <row r="70" spans="1:19" ht="33.75" x14ac:dyDescent="0.2">
      <c r="A70" s="301"/>
      <c r="B70" s="300"/>
      <c r="C70" s="300"/>
      <c r="D70" s="299"/>
      <c r="E70" s="88">
        <v>4</v>
      </c>
      <c r="F70" s="88"/>
      <c r="G70" s="98"/>
      <c r="H70" s="94"/>
      <c r="I70" s="94">
        <v>0.3</v>
      </c>
      <c r="J70" s="94"/>
      <c r="K70" s="94">
        <v>1.2</v>
      </c>
      <c r="L70" s="94"/>
      <c r="M70" s="94"/>
      <c r="N70" s="94"/>
      <c r="O70" s="94">
        <f>TRUNC(I70*K70*E70,2)</f>
        <v>1.44</v>
      </c>
      <c r="P70" s="94"/>
      <c r="Q70" s="94"/>
      <c r="R70" s="93" t="s">
        <v>268</v>
      </c>
    </row>
    <row r="71" spans="1:19" ht="38.25" x14ac:dyDescent="0.2">
      <c r="A71" s="96">
        <f>'PLANILHA ORÇAMENTÁRIA'!A35</f>
        <v>19</v>
      </c>
      <c r="B71" s="80" t="str">
        <f>'PLANILHA ORÇAMENTÁRIA'!D35</f>
        <v>REBOCO COM ARGAMASSA, TRAÇO 1:2:8 (CIMENTO, CAL E AREIA), ESP. 25MM, APLICAÇÃO MANUAL, INCLUSIVE ARGAMASSA COM PREPARO MECANIZADO</v>
      </c>
      <c r="C71" s="80" t="str">
        <f>'PLANILHA ORÇAMENTÁRIA'!E35</f>
        <v>m²</v>
      </c>
      <c r="D71" s="117">
        <f>O71</f>
        <v>22.020000000000003</v>
      </c>
      <c r="E71" s="88"/>
      <c r="F71" s="88"/>
      <c r="G71" s="98"/>
      <c r="H71" s="94"/>
      <c r="I71" s="94"/>
      <c r="J71" s="94"/>
      <c r="K71" s="94"/>
      <c r="L71" s="94"/>
      <c r="M71" s="94"/>
      <c r="N71" s="94"/>
      <c r="O71" s="94">
        <f>D66</f>
        <v>22.020000000000003</v>
      </c>
      <c r="P71" s="94"/>
      <c r="Q71" s="94"/>
      <c r="R71" s="93" t="s">
        <v>271</v>
      </c>
    </row>
    <row r="72" spans="1:19" ht="51" x14ac:dyDescent="0.2">
      <c r="A72" s="96">
        <f>'PLANILHA ORÇAMENTÁRIA'!A36</f>
        <v>20</v>
      </c>
      <c r="B72" s="80" t="str">
        <f>'PLANILHA ORÇAMENTÁRIA'!D36</f>
        <v>REBOCO COM ARGAMASSA, TRAÇO 1:2:8 (CIMENTO, CAL E AREIA), ESP. 40MM, APLICAÇÃO MANUAL, INCLUSIVE ARGAMASSA COM PREPARO MECANIZADO (PREENCHIMENTO)</v>
      </c>
      <c r="C72" s="80" t="str">
        <f>'PLANILHA ORÇAMENTÁRIA'!E36</f>
        <v>m²</v>
      </c>
      <c r="D72" s="117">
        <f>O72</f>
        <v>74.31</v>
      </c>
      <c r="E72" s="88"/>
      <c r="F72" s="88"/>
      <c r="G72" s="98"/>
      <c r="H72" s="94"/>
      <c r="I72" s="94"/>
      <c r="J72" s="94"/>
      <c r="K72" s="94"/>
      <c r="L72" s="94"/>
      <c r="M72" s="94"/>
      <c r="N72" s="94"/>
      <c r="O72" s="94">
        <f>D15</f>
        <v>74.31</v>
      </c>
      <c r="P72" s="94"/>
      <c r="Q72" s="94"/>
      <c r="R72" s="93" t="s">
        <v>272</v>
      </c>
    </row>
    <row r="73" spans="1:19" ht="56.25" x14ac:dyDescent="0.2">
      <c r="A73" s="302">
        <f>'PLANILHA ORÇAMENTÁRIA'!A37</f>
        <v>21</v>
      </c>
      <c r="B73" s="305" t="str">
        <f>'PLANILHA ORÇAMENTÁRIA'!D37</f>
        <v>LIXAMENTO MANUAL EM PAREDE PARA REMOÇÃO DE TINTA</v>
      </c>
      <c r="C73" s="305" t="str">
        <f>'PLANILHA ORÇAMENTÁRIA'!E37</f>
        <v>m²</v>
      </c>
      <c r="D73" s="308">
        <f>SUM(O73:O78)</f>
        <v>44.77</v>
      </c>
      <c r="E73" s="88">
        <v>2</v>
      </c>
      <c r="F73" s="88"/>
      <c r="G73" s="98"/>
      <c r="H73" s="94"/>
      <c r="I73" s="94"/>
      <c r="J73" s="94"/>
      <c r="K73" s="94"/>
      <c r="L73" s="94"/>
      <c r="M73" s="94"/>
      <c r="N73" s="94"/>
      <c r="O73" s="94">
        <f>6.11*E73</f>
        <v>12.22</v>
      </c>
      <c r="P73" s="94"/>
      <c r="Q73" s="94"/>
      <c r="R73" s="93" t="s">
        <v>287</v>
      </c>
    </row>
    <row r="74" spans="1:19" ht="56.25" x14ac:dyDescent="0.2">
      <c r="A74" s="303"/>
      <c r="B74" s="306"/>
      <c r="C74" s="306"/>
      <c r="D74" s="309"/>
      <c r="E74" s="88">
        <v>2</v>
      </c>
      <c r="F74" s="88"/>
      <c r="G74" s="98"/>
      <c r="H74" s="94"/>
      <c r="I74" s="94"/>
      <c r="J74" s="94"/>
      <c r="K74" s="94"/>
      <c r="L74" s="94"/>
      <c r="M74" s="94"/>
      <c r="N74" s="94"/>
      <c r="O74" s="94">
        <f>3.64*E74</f>
        <v>7.28</v>
      </c>
      <c r="P74" s="94"/>
      <c r="Q74" s="94"/>
      <c r="R74" s="93" t="s">
        <v>288</v>
      </c>
    </row>
    <row r="75" spans="1:19" ht="45" x14ac:dyDescent="0.2">
      <c r="A75" s="303"/>
      <c r="B75" s="306"/>
      <c r="C75" s="306"/>
      <c r="D75" s="309"/>
      <c r="E75" s="88"/>
      <c r="F75" s="88"/>
      <c r="G75" s="98"/>
      <c r="H75" s="94"/>
      <c r="I75" s="94">
        <v>43.27</v>
      </c>
      <c r="J75" s="94"/>
      <c r="K75" s="94">
        <v>0.3</v>
      </c>
      <c r="L75" s="94"/>
      <c r="M75" s="94"/>
      <c r="N75" s="94"/>
      <c r="O75" s="80">
        <f>TRUNC(I75*K75,2)</f>
        <v>12.98</v>
      </c>
      <c r="P75" s="94"/>
      <c r="Q75" s="94"/>
      <c r="R75" s="93" t="s">
        <v>273</v>
      </c>
    </row>
    <row r="76" spans="1:19" ht="45" x14ac:dyDescent="0.2">
      <c r="A76" s="303"/>
      <c r="B76" s="306"/>
      <c r="C76" s="306"/>
      <c r="D76" s="309"/>
      <c r="E76" s="88"/>
      <c r="F76" s="88"/>
      <c r="G76" s="98"/>
      <c r="H76" s="94"/>
      <c r="I76" s="94">
        <v>39.31</v>
      </c>
      <c r="J76" s="94"/>
      <c r="K76" s="94">
        <v>0.3</v>
      </c>
      <c r="L76" s="94"/>
      <c r="M76" s="94"/>
      <c r="N76" s="94"/>
      <c r="O76" s="80">
        <f>TRUNC(I76*K76,2)</f>
        <v>11.79</v>
      </c>
      <c r="P76" s="94"/>
      <c r="Q76" s="94"/>
      <c r="R76" s="93" t="s">
        <v>274</v>
      </c>
    </row>
    <row r="77" spans="1:19" ht="22.5" x14ac:dyDescent="0.2">
      <c r="A77" s="303"/>
      <c r="B77" s="306"/>
      <c r="C77" s="306"/>
      <c r="D77" s="309"/>
      <c r="E77" s="88"/>
      <c r="F77" s="88"/>
      <c r="G77" s="98"/>
      <c r="H77" s="94"/>
      <c r="I77" s="94">
        <v>0.42</v>
      </c>
      <c r="J77" s="94"/>
      <c r="K77" s="94">
        <v>0.6</v>
      </c>
      <c r="L77" s="94"/>
      <c r="M77" s="94"/>
      <c r="N77" s="94"/>
      <c r="O77" s="80">
        <f>TRUNC(I77*K77,2)</f>
        <v>0.25</v>
      </c>
      <c r="P77" s="94"/>
      <c r="Q77" s="94"/>
      <c r="R77" s="93" t="s">
        <v>275</v>
      </c>
    </row>
    <row r="78" spans="1:19" ht="22.5" x14ac:dyDescent="0.2">
      <c r="A78" s="304"/>
      <c r="B78" s="307"/>
      <c r="C78" s="307"/>
      <c r="D78" s="310"/>
      <c r="E78" s="88"/>
      <c r="F78" s="88"/>
      <c r="G78" s="98"/>
      <c r="H78" s="94"/>
      <c r="I78" s="94">
        <v>0.42</v>
      </c>
      <c r="J78" s="94"/>
      <c r="K78" s="94">
        <v>0.6</v>
      </c>
      <c r="L78" s="94"/>
      <c r="M78" s="94"/>
      <c r="N78" s="94"/>
      <c r="O78" s="80">
        <f>TRUNC(I78*K78,2)</f>
        <v>0.25</v>
      </c>
      <c r="P78" s="94"/>
      <c r="Q78" s="94"/>
      <c r="R78" s="93" t="s">
        <v>275</v>
      </c>
    </row>
    <row r="79" spans="1:19" ht="22.5" x14ac:dyDescent="0.2">
      <c r="A79" s="302">
        <f>'PLANILHA ORÇAMENTÁRIA'!A38</f>
        <v>22</v>
      </c>
      <c r="B79" s="305" t="str">
        <f>'PLANILHA ORÇAMENTÁRIA'!D38</f>
        <v>PREPARAÇÃO PARA EMASSAMENTO OU PINTURA (LÁTEX/ACRÍLICA) EM PAREDE, INCLUSIVE UMA (1) DEMÃO DE SELADOR ACRÍLICO</v>
      </c>
      <c r="C79" s="305" t="str">
        <f>'PLANILHA ORÇAMENTÁRIA'!E38</f>
        <v>m²</v>
      </c>
      <c r="D79" s="308">
        <f>SUM(P79:P81)</f>
        <v>141.10000000000002</v>
      </c>
      <c r="E79" s="88"/>
      <c r="F79" s="88"/>
      <c r="G79" s="98"/>
      <c r="H79" s="94"/>
      <c r="I79" s="94"/>
      <c r="J79" s="94"/>
      <c r="K79" s="94"/>
      <c r="L79" s="94"/>
      <c r="M79" s="94"/>
      <c r="N79" s="94"/>
      <c r="O79" s="94"/>
      <c r="P79" s="94">
        <f>D73</f>
        <v>44.77</v>
      </c>
      <c r="Q79" s="94"/>
      <c r="R79" s="93" t="s">
        <v>276</v>
      </c>
    </row>
    <row r="80" spans="1:19" ht="22.5" x14ac:dyDescent="0.2">
      <c r="A80" s="303"/>
      <c r="B80" s="306"/>
      <c r="C80" s="306"/>
      <c r="D80" s="309"/>
      <c r="E80" s="88"/>
      <c r="F80" s="88"/>
      <c r="G80" s="98"/>
      <c r="H80" s="94"/>
      <c r="I80" s="94"/>
      <c r="J80" s="94"/>
      <c r="K80" s="94"/>
      <c r="L80" s="94"/>
      <c r="M80" s="94"/>
      <c r="N80" s="94"/>
      <c r="O80" s="94"/>
      <c r="P80" s="94">
        <f>D66</f>
        <v>22.020000000000003</v>
      </c>
      <c r="Q80" s="94"/>
      <c r="R80" s="93" t="s">
        <v>277</v>
      </c>
    </row>
    <row r="81" spans="1:19" ht="33.75" x14ac:dyDescent="0.2">
      <c r="A81" s="304"/>
      <c r="B81" s="307"/>
      <c r="C81" s="307"/>
      <c r="D81" s="310"/>
      <c r="E81" s="88"/>
      <c r="F81" s="88"/>
      <c r="G81" s="98"/>
      <c r="H81" s="94"/>
      <c r="I81" s="94"/>
      <c r="J81" s="94"/>
      <c r="K81" s="94"/>
      <c r="L81" s="94"/>
      <c r="M81" s="94"/>
      <c r="N81" s="94"/>
      <c r="O81" s="94"/>
      <c r="P81" s="94">
        <f>D72</f>
        <v>74.31</v>
      </c>
      <c r="Q81" s="94"/>
      <c r="R81" s="93" t="s">
        <v>278</v>
      </c>
    </row>
    <row r="82" spans="1:19" ht="38.25" x14ac:dyDescent="0.2">
      <c r="A82" s="96">
        <f>'PLANILHA ORÇAMENTÁRIA'!A39</f>
        <v>23</v>
      </c>
      <c r="B82" s="80" t="str">
        <f>'PLANILHA ORÇAMENTÁRIA'!D39</f>
        <v>PINTURA ACRÍLICA EM PAREDE, DUAS (2) DEMÃOS, COM APLICAÇÃO MANUAL, EXCLUSIVE SELADOR ACRÍLICO E MASSA ACRÍLICA/CORRIDA (PVA)</v>
      </c>
      <c r="C82" s="80" t="str">
        <f>'PLANILHA ORÇAMENTÁRIA'!E39</f>
        <v>m²</v>
      </c>
      <c r="D82" s="117">
        <f>P82</f>
        <v>141.10000000000002</v>
      </c>
      <c r="E82" s="88"/>
      <c r="F82" s="88"/>
      <c r="G82" s="98"/>
      <c r="H82" s="94"/>
      <c r="I82" s="94"/>
      <c r="J82" s="94"/>
      <c r="K82" s="94"/>
      <c r="L82" s="94"/>
      <c r="M82" s="94"/>
      <c r="N82" s="94"/>
      <c r="O82" s="94"/>
      <c r="P82" s="94">
        <f>D79</f>
        <v>141.10000000000002</v>
      </c>
      <c r="Q82" s="94"/>
      <c r="R82" s="93" t="s">
        <v>279</v>
      </c>
    </row>
    <row r="83" spans="1:19" ht="56.25" x14ac:dyDescent="0.2">
      <c r="A83" s="302">
        <f>'PLANILHA ORÇAMENTÁRIA'!A40</f>
        <v>24</v>
      </c>
      <c r="B83" s="305" t="str">
        <f>'PLANILHA ORÇAMENTÁRIA'!D40</f>
        <v>CAIAÇÃO MANUAL, TRÊS DEMÃOS (EXECUÇÃO, INCLUI FORNECIMENTO E APLICAÇÃO DA CAL HIDRATADA PARA CAIAÇÃO)</v>
      </c>
      <c r="C83" s="305" t="str">
        <f>'PLANILHA ORÇAMENTÁRIA'!E40</f>
        <v>m²</v>
      </c>
      <c r="D83" s="308">
        <f>SUM(O83:O84)</f>
        <v>89.300000000000011</v>
      </c>
      <c r="E83" s="88"/>
      <c r="F83" s="88"/>
      <c r="G83" s="98"/>
      <c r="H83" s="94"/>
      <c r="I83" s="94">
        <v>208.78</v>
      </c>
      <c r="J83" s="94">
        <v>0.15</v>
      </c>
      <c r="K83" s="94">
        <v>0.15</v>
      </c>
      <c r="L83" s="94"/>
      <c r="M83" s="94"/>
      <c r="N83" s="94"/>
      <c r="O83" s="94">
        <f>TRUNC(I83*(J83+K83),2)</f>
        <v>62.63</v>
      </c>
      <c r="P83" s="94"/>
      <c r="Q83" s="94"/>
      <c r="R83" s="93" t="s">
        <v>291</v>
      </c>
    </row>
    <row r="84" spans="1:19" ht="56.25" x14ac:dyDescent="0.2">
      <c r="A84" s="304"/>
      <c r="B84" s="307"/>
      <c r="C84" s="307"/>
      <c r="D84" s="310"/>
      <c r="E84" s="88"/>
      <c r="F84" s="88"/>
      <c r="G84" s="98"/>
      <c r="H84" s="94"/>
      <c r="I84" s="94">
        <v>88.9</v>
      </c>
      <c r="J84" s="94">
        <v>0.15</v>
      </c>
      <c r="K84" s="94">
        <v>0.15</v>
      </c>
      <c r="L84" s="94"/>
      <c r="M84" s="94"/>
      <c r="N84" s="94"/>
      <c r="O84" s="94">
        <f>TRUNC(I84*(J84+K84),2)</f>
        <v>26.67</v>
      </c>
      <c r="P84" s="94"/>
      <c r="Q84" s="94"/>
      <c r="R84" s="93" t="s">
        <v>292</v>
      </c>
    </row>
    <row r="85" spans="1:19" ht="14.45" customHeight="1" x14ac:dyDescent="0.2">
      <c r="A85" s="296" t="str">
        <f>'PLANILHA ORÇAMENTÁRIA'!A41</f>
        <v>MOBILIÁRIO URBANO E ILUMINAÇÃO</v>
      </c>
      <c r="B85" s="297"/>
      <c r="C85" s="297"/>
      <c r="D85" s="297"/>
      <c r="E85" s="297"/>
      <c r="F85" s="297"/>
      <c r="G85" s="297"/>
      <c r="H85" s="297"/>
      <c r="I85" s="297"/>
      <c r="J85" s="297"/>
      <c r="K85" s="297"/>
      <c r="L85" s="297"/>
      <c r="M85" s="297"/>
      <c r="N85" s="297"/>
      <c r="O85" s="297"/>
      <c r="P85" s="297"/>
      <c r="Q85" s="297"/>
      <c r="R85" s="298"/>
      <c r="S85" s="83"/>
    </row>
    <row r="86" spans="1:19" ht="45" x14ac:dyDescent="0.2">
      <c r="A86" s="96">
        <f>'PLANILHA ORÇAMENTÁRIA'!A42</f>
        <v>25</v>
      </c>
      <c r="B86" s="80" t="str">
        <f>'PLANILHA ORÇAMENTÁRIA'!D42</f>
        <v>LUMINÁRIA DE LED PARA ILUMINAÇÃO PÚBLICA, DE 33 W ATÉ 50 W - FORNECIMENTO E INSTALAÇÃO. AF_02/2025_PS</v>
      </c>
      <c r="C86" s="80" t="str">
        <f>'PLANILHA ORÇAMENTÁRIA'!E42</f>
        <v>Unid.</v>
      </c>
      <c r="D86" s="117">
        <f>E86</f>
        <v>32</v>
      </c>
      <c r="E86" s="88">
        <v>32</v>
      </c>
      <c r="F86" s="88"/>
      <c r="G86" s="98"/>
      <c r="H86" s="94"/>
      <c r="I86" s="94"/>
      <c r="J86" s="94"/>
      <c r="K86" s="94"/>
      <c r="L86" s="94"/>
      <c r="M86" s="94"/>
      <c r="N86" s="94"/>
      <c r="O86" s="94"/>
      <c r="P86" s="94"/>
      <c r="Q86" s="94"/>
      <c r="R86" s="93" t="s">
        <v>280</v>
      </c>
    </row>
    <row r="87" spans="1:19" ht="56.25" x14ac:dyDescent="0.2">
      <c r="A87" s="96">
        <f>'PLANILHA ORÇAMENTÁRIA'!A43</f>
        <v>26</v>
      </c>
      <c r="B87" s="80" t="str">
        <f>'PLANILHA ORÇAMENTÁRIA'!D43</f>
        <v>POSTE DE AÇO GALVANIZADO, ALTURA LIVRE MÍNIMA DE 6M, COM 2 REFLETORES DE LED, POTÊNCIA DE 200W CADA, INCLUSIVE FIAÇÃO, SUPORTE E FUNDAÇÃO</v>
      </c>
      <c r="C87" s="80" t="str">
        <f>'PLANILHA ORÇAMENTÁRIA'!E43</f>
        <v>Unid.</v>
      </c>
      <c r="D87" s="118">
        <f>E87</f>
        <v>10</v>
      </c>
      <c r="E87" s="120">
        <v>10</v>
      </c>
      <c r="F87" s="120"/>
      <c r="G87" s="121"/>
      <c r="H87" s="122"/>
      <c r="I87" s="122"/>
      <c r="J87" s="122"/>
      <c r="K87" s="122"/>
      <c r="L87" s="122"/>
      <c r="M87" s="122"/>
      <c r="N87" s="122"/>
      <c r="O87" s="122"/>
      <c r="P87" s="122"/>
      <c r="Q87" s="122"/>
      <c r="R87" s="119" t="s">
        <v>281</v>
      </c>
    </row>
    <row r="88" spans="1:19" ht="89.25" x14ac:dyDescent="0.2">
      <c r="A88" s="96">
        <f>'PLANILHA ORÇAMENTÁRIA'!A44</f>
        <v>27</v>
      </c>
      <c r="B88" s="80" t="str">
        <f>'PLANILHA ORÇAMENTÁRIA'!D44</f>
        <v>BANCO EM CONCRETO APARENTE, TIPO-1, PADRÃO SEE-MG, SEM ENCOSTO, POLIDO COM ACABAMENTO EM VERNIZ, ESP. 5CM, COMPRIMENTO 130CM, LARGURA 40CM, ALTURA 45CM, INCLUSIVE CORTE NO PISO PARA FIXAÇÃO COM CONCRETO NÃO ESTRUTURAL, PREPARADO EM OBRA COM BETONEIRA, COM FCK 15 MPA</v>
      </c>
      <c r="C88" s="80" t="str">
        <f>'PLANILHA ORÇAMENTÁRIA'!E44</f>
        <v>Unid.</v>
      </c>
      <c r="D88" s="118">
        <f>E88</f>
        <v>11</v>
      </c>
      <c r="E88" s="120">
        <v>11</v>
      </c>
      <c r="F88" s="120"/>
      <c r="G88" s="121"/>
      <c r="H88" s="122"/>
      <c r="I88" s="122"/>
      <c r="J88" s="122"/>
      <c r="K88" s="122"/>
      <c r="L88" s="122"/>
      <c r="M88" s="122"/>
      <c r="N88" s="122"/>
      <c r="O88" s="122"/>
      <c r="P88" s="122"/>
      <c r="Q88" s="122"/>
      <c r="R88" s="119" t="s">
        <v>282</v>
      </c>
    </row>
    <row r="89" spans="1:19" ht="14.45" customHeight="1" x14ac:dyDescent="0.2">
      <c r="A89" s="296" t="str">
        <f>'PLANILHA ORÇAMENTÁRIA'!A45</f>
        <v>ENTREGA DE OBRA</v>
      </c>
      <c r="B89" s="297"/>
      <c r="C89" s="297"/>
      <c r="D89" s="297"/>
      <c r="E89" s="297"/>
      <c r="F89" s="297"/>
      <c r="G89" s="297"/>
      <c r="H89" s="297"/>
      <c r="I89" s="297"/>
      <c r="J89" s="297"/>
      <c r="K89" s="297"/>
      <c r="L89" s="297"/>
      <c r="M89" s="297"/>
      <c r="N89" s="297"/>
      <c r="O89" s="297"/>
      <c r="P89" s="297"/>
      <c r="Q89" s="297"/>
      <c r="R89" s="298"/>
      <c r="S89" s="83"/>
    </row>
    <row r="90" spans="1:19" ht="25.5" x14ac:dyDescent="0.2">
      <c r="A90" s="96">
        <f>'PLANILHA ORÇAMENTÁRIA'!A46</f>
        <v>28</v>
      </c>
      <c r="B90" s="80" t="str">
        <f>'PLANILHA ORÇAMENTÁRIA'!D46</f>
        <v>PLACA DE ALUMÍNIO FUNDIDO, DIMENSÃO (60X40)CM, PARA INAUGURAÇÃO, INCLUSIVE FIXAÇÃO</v>
      </c>
      <c r="C90" s="80" t="str">
        <f>'PLANILHA ORÇAMENTÁRIA'!E46</f>
        <v>Unid.</v>
      </c>
      <c r="D90" s="118">
        <f>E90</f>
        <v>1</v>
      </c>
      <c r="E90" s="120">
        <v>1</v>
      </c>
      <c r="F90" s="120"/>
      <c r="G90" s="121"/>
      <c r="H90" s="122"/>
      <c r="I90" s="122"/>
      <c r="J90" s="122"/>
      <c r="K90" s="122"/>
      <c r="L90" s="122"/>
      <c r="M90" s="122"/>
      <c r="N90" s="122"/>
      <c r="O90" s="122"/>
      <c r="P90" s="122"/>
      <c r="Q90" s="122"/>
      <c r="R90" s="119" t="s">
        <v>283</v>
      </c>
    </row>
    <row r="91" spans="1:19" ht="102" thickBot="1" x14ac:dyDescent="0.25">
      <c r="A91" s="99">
        <f>'PLANILHA ORÇAMENTÁRIA'!A47</f>
        <v>29</v>
      </c>
      <c r="B91" s="100" t="str">
        <f>'PLANILHA ORÇAMENTÁRIA'!D47</f>
        <v>LIMPEZA FINAL PARA ENTREGA DA OBRA</v>
      </c>
      <c r="C91" s="100" t="str">
        <f>'PLANILHA ORÇAMENTÁRIA'!E47</f>
        <v>m²</v>
      </c>
      <c r="D91" s="123">
        <f>P91</f>
        <v>780.2399999999999</v>
      </c>
      <c r="E91" s="95"/>
      <c r="F91" s="95"/>
      <c r="G91" s="101"/>
      <c r="H91" s="92"/>
      <c r="I91" s="92"/>
      <c r="J91" s="92"/>
      <c r="K91" s="92"/>
      <c r="L91" s="92"/>
      <c r="M91" s="92"/>
      <c r="N91" s="92"/>
      <c r="O91" s="92"/>
      <c r="P91" s="92">
        <f>1280.3-265.18-234.88</f>
        <v>780.2399999999999</v>
      </c>
      <c r="Q91" s="92"/>
      <c r="R91" s="91" t="s">
        <v>284</v>
      </c>
    </row>
  </sheetData>
  <mergeCells count="85">
    <mergeCell ref="A1:R1"/>
    <mergeCell ref="A3:R3"/>
    <mergeCell ref="A5:R5"/>
    <mergeCell ref="A6:A7"/>
    <mergeCell ref="B6:B7"/>
    <mergeCell ref="C6:C7"/>
    <mergeCell ref="D6:D7"/>
    <mergeCell ref="D83:D84"/>
    <mergeCell ref="B17:B20"/>
    <mergeCell ref="C17:C20"/>
    <mergeCell ref="A46:R46"/>
    <mergeCell ref="D28:D29"/>
    <mergeCell ref="C28:C29"/>
    <mergeCell ref="B28:B29"/>
    <mergeCell ref="A28:A29"/>
    <mergeCell ref="A83:A84"/>
    <mergeCell ref="B83:B84"/>
    <mergeCell ref="C83:C84"/>
    <mergeCell ref="A65:R65"/>
    <mergeCell ref="D32:D37"/>
    <mergeCell ref="C32:C37"/>
    <mergeCell ref="B32:B37"/>
    <mergeCell ref="A32:A37"/>
    <mergeCell ref="D38:D39"/>
    <mergeCell ref="C38:C39"/>
    <mergeCell ref="B38:B39"/>
    <mergeCell ref="A38:A39"/>
    <mergeCell ref="A42:A45"/>
    <mergeCell ref="B42:B45"/>
    <mergeCell ref="C42:C45"/>
    <mergeCell ref="D42:D45"/>
    <mergeCell ref="D73:D78"/>
    <mergeCell ref="A61:A64"/>
    <mergeCell ref="B61:B64"/>
    <mergeCell ref="C61:C64"/>
    <mergeCell ref="D61:D64"/>
    <mergeCell ref="A47:A52"/>
    <mergeCell ref="B47:B52"/>
    <mergeCell ref="C47:C52"/>
    <mergeCell ref="D79:D81"/>
    <mergeCell ref="A79:A81"/>
    <mergeCell ref="B79:B81"/>
    <mergeCell ref="C79:C81"/>
    <mergeCell ref="B66:B70"/>
    <mergeCell ref="A66:A70"/>
    <mergeCell ref="A73:A78"/>
    <mergeCell ref="B73:B78"/>
    <mergeCell ref="C73:C78"/>
    <mergeCell ref="A17:A20"/>
    <mergeCell ref="A15:A16"/>
    <mergeCell ref="B15:B16"/>
    <mergeCell ref="C15:C16"/>
    <mergeCell ref="D15:D16"/>
    <mergeCell ref="D8:D14"/>
    <mergeCell ref="A8:A14"/>
    <mergeCell ref="B8:B14"/>
    <mergeCell ref="C8:C14"/>
    <mergeCell ref="D47:D52"/>
    <mergeCell ref="D17:D20"/>
    <mergeCell ref="A21:R21"/>
    <mergeCell ref="A40:A41"/>
    <mergeCell ref="B40:B41"/>
    <mergeCell ref="C40:C41"/>
    <mergeCell ref="D40:D41"/>
    <mergeCell ref="D30:D31"/>
    <mergeCell ref="C30:C31"/>
    <mergeCell ref="B30:B31"/>
    <mergeCell ref="A30:A31"/>
    <mergeCell ref="A27:R27"/>
    <mergeCell ref="A89:R89"/>
    <mergeCell ref="A85:R85"/>
    <mergeCell ref="D66:D70"/>
    <mergeCell ref="C66:C70"/>
    <mergeCell ref="A23:A26"/>
    <mergeCell ref="B23:B26"/>
    <mergeCell ref="C23:C26"/>
    <mergeCell ref="D23:D26"/>
    <mergeCell ref="A58:A60"/>
    <mergeCell ref="B58:B60"/>
    <mergeCell ref="C58:C60"/>
    <mergeCell ref="D58:D60"/>
    <mergeCell ref="A53:A57"/>
    <mergeCell ref="B53:B57"/>
    <mergeCell ref="C53:C57"/>
    <mergeCell ref="D53:D57"/>
  </mergeCells>
  <printOptions horizontalCentered="1"/>
  <pageMargins left="0.23622047244094491" right="0.23622047244094491" top="0.74803149606299213" bottom="0.39370078740157483" header="0" footer="0"/>
  <pageSetup paperSize="8" scale="77" fitToHeight="0" orientation="landscape" r:id="rId1"/>
  <rowBreaks count="2" manualBreakCount="2">
    <brk id="22" max="16383" man="1"/>
    <brk id="45"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pageSetUpPr fitToPage="1"/>
  </sheetPr>
  <dimension ref="A1:H30"/>
  <sheetViews>
    <sheetView zoomScale="115" zoomScaleNormal="115" workbookViewId="0">
      <selection activeCell="A4" sqref="A4:B4"/>
    </sheetView>
  </sheetViews>
  <sheetFormatPr defaultRowHeight="12.75" x14ac:dyDescent="0.2"/>
  <cols>
    <col min="1" max="1" width="10.140625" customWidth="1"/>
    <col min="2" max="2" width="33.85546875" customWidth="1"/>
    <col min="3" max="8" width="14.28515625" customWidth="1"/>
  </cols>
  <sheetData>
    <row r="1" spans="1:8" ht="74.25" customHeight="1" x14ac:dyDescent="0.2">
      <c r="A1" s="314" t="s">
        <v>310</v>
      </c>
      <c r="B1" s="315"/>
      <c r="C1" s="315"/>
      <c r="D1" s="315"/>
      <c r="E1" s="315"/>
      <c r="F1" s="315"/>
      <c r="G1" s="315"/>
      <c r="H1" s="316"/>
    </row>
    <row r="2" spans="1:8" x14ac:dyDescent="0.2">
      <c r="A2" s="318" t="s">
        <v>27</v>
      </c>
      <c r="B2" s="319"/>
      <c r="C2" s="319"/>
      <c r="D2" s="319"/>
      <c r="E2" s="319"/>
      <c r="F2" s="319"/>
      <c r="G2" s="319"/>
      <c r="H2" s="320"/>
    </row>
    <row r="3" spans="1:8" ht="12.75" customHeight="1" x14ac:dyDescent="0.2">
      <c r="A3" s="321" t="str">
        <f>'PLANILHA ORÇAMENTÁRIA'!A3:E3</f>
        <v>PREFEITURA MUNICIPAL DE MARAVILHAS</v>
      </c>
      <c r="B3" s="321"/>
      <c r="C3" s="317" t="s">
        <v>39</v>
      </c>
      <c r="D3" s="322">
        <f>D24</f>
        <v>218774.18</v>
      </c>
      <c r="E3" s="332" t="s">
        <v>311</v>
      </c>
      <c r="F3" s="332"/>
      <c r="G3" s="333" t="s">
        <v>153</v>
      </c>
      <c r="H3" s="333"/>
    </row>
    <row r="4" spans="1:8" ht="25.5" customHeight="1" x14ac:dyDescent="0.2">
      <c r="A4" s="330" t="str">
        <f>'PLANILHA ORÇAMENTÁRIA'!A4:E4</f>
        <v>OBRA: Intervenção Paisagística na Praça 13 de junho</v>
      </c>
      <c r="B4" s="331"/>
      <c r="C4" s="317"/>
      <c r="D4" s="322"/>
      <c r="E4" s="332"/>
      <c r="F4" s="332"/>
      <c r="G4" s="333"/>
      <c r="H4" s="333"/>
    </row>
    <row r="5" spans="1:8" ht="25.5" customHeight="1" x14ac:dyDescent="0.2">
      <c r="A5" s="323" t="str">
        <f>'PLANILHA ORÇAMENTÁRIA'!A5:E5</f>
        <v>LOCAL: Praça 13 de junho, bairro Centro, Município de Maravilhas-MG.</v>
      </c>
      <c r="B5" s="323"/>
      <c r="C5" s="323"/>
      <c r="D5" s="323"/>
      <c r="E5" s="317" t="s">
        <v>312</v>
      </c>
      <c r="F5" s="317"/>
      <c r="G5" s="317"/>
      <c r="H5" s="317"/>
    </row>
    <row r="6" spans="1:8" ht="24" x14ac:dyDescent="0.2">
      <c r="A6" s="324" t="s">
        <v>28</v>
      </c>
      <c r="B6" s="325"/>
      <c r="C6" s="18" t="s">
        <v>29</v>
      </c>
      <c r="D6" s="18" t="s">
        <v>30</v>
      </c>
      <c r="E6" s="17" t="s">
        <v>31</v>
      </c>
      <c r="F6" s="17" t="s">
        <v>32</v>
      </c>
      <c r="G6" s="17" t="s">
        <v>33</v>
      </c>
      <c r="H6" s="17" t="s">
        <v>34</v>
      </c>
    </row>
    <row r="7" spans="1:8" ht="12.75" customHeight="1" x14ac:dyDescent="0.2">
      <c r="A7" s="326" t="str">
        <f>'PLANILHA ORÇAMENTÁRIA'!A11</f>
        <v>SERVIÇOS PRELIMINARES</v>
      </c>
      <c r="B7" s="327"/>
      <c r="C7" s="46" t="s">
        <v>10</v>
      </c>
      <c r="D7" s="37">
        <f>D8/$D$24</f>
        <v>4.3368006224500533E-3</v>
      </c>
      <c r="E7" s="37">
        <v>1</v>
      </c>
      <c r="F7" s="37"/>
      <c r="G7" s="37"/>
      <c r="H7" s="37"/>
    </row>
    <row r="8" spans="1:8" x14ac:dyDescent="0.2">
      <c r="A8" s="328"/>
      <c r="B8" s="329"/>
      <c r="C8" s="20" t="s">
        <v>11</v>
      </c>
      <c r="D8" s="38">
        <f>'PLANILHA ORÇAMENTÁRIA'!I11</f>
        <v>948.78</v>
      </c>
      <c r="E8" s="38">
        <f>E7*$D$8</f>
        <v>948.78</v>
      </c>
      <c r="F8" s="38"/>
      <c r="G8" s="38"/>
      <c r="H8" s="38"/>
    </row>
    <row r="9" spans="1:8" ht="12.75" customHeight="1" x14ac:dyDescent="0.2">
      <c r="A9" s="326" t="str">
        <f>'PLANILHA ORÇAMENTÁRIA'!A13</f>
        <v>DEMOLIÇÃO / REMOÇÃO</v>
      </c>
      <c r="B9" s="327"/>
      <c r="C9" s="46" t="s">
        <v>10</v>
      </c>
      <c r="D9" s="37">
        <f>D10/$D$24</f>
        <v>5.908535458800486E-2</v>
      </c>
      <c r="E9" s="37">
        <v>0.6</v>
      </c>
      <c r="F9" s="37">
        <v>0.4</v>
      </c>
      <c r="G9" s="37"/>
      <c r="H9" s="37"/>
    </row>
    <row r="10" spans="1:8" x14ac:dyDescent="0.2">
      <c r="A10" s="328"/>
      <c r="B10" s="329"/>
      <c r="C10" s="20" t="s">
        <v>11</v>
      </c>
      <c r="D10" s="38">
        <f>'PLANILHA ORÇAMENTÁRIA'!I13</f>
        <v>12926.35</v>
      </c>
      <c r="E10" s="38">
        <f>E9*$D$10</f>
        <v>7755.8099999999995</v>
      </c>
      <c r="F10" s="38">
        <f>F9*$D$10</f>
        <v>5170.5400000000009</v>
      </c>
      <c r="G10" s="38"/>
      <c r="H10" s="38"/>
    </row>
    <row r="11" spans="1:8" ht="12.75" customHeight="1" x14ac:dyDescent="0.2">
      <c r="A11" s="326" t="str">
        <f>'PLANILHA ORÇAMENTÁRIA'!A18</f>
        <v>MOVIMENTAÇÃO DE TERRA</v>
      </c>
      <c r="B11" s="327"/>
      <c r="C11" s="46" t="s">
        <v>10</v>
      </c>
      <c r="D11" s="37">
        <f>D12/$D$24</f>
        <v>2.4893339789914877E-2</v>
      </c>
      <c r="E11" s="37">
        <v>1</v>
      </c>
      <c r="F11" s="37"/>
      <c r="G11" s="37"/>
      <c r="H11" s="37"/>
    </row>
    <row r="12" spans="1:8" x14ac:dyDescent="0.2">
      <c r="A12" s="328"/>
      <c r="B12" s="329"/>
      <c r="C12" s="20" t="s">
        <v>11</v>
      </c>
      <c r="D12" s="38">
        <f>'PLANILHA ORÇAMENTÁRIA'!I18</f>
        <v>5446.0199999999995</v>
      </c>
      <c r="E12" s="38">
        <f>E11*$D$12</f>
        <v>5446.0199999999995</v>
      </c>
      <c r="F12" s="38"/>
      <c r="G12" s="38"/>
      <c r="H12" s="38"/>
    </row>
    <row r="13" spans="1:8" ht="12.75" customHeight="1" x14ac:dyDescent="0.2">
      <c r="A13" s="326" t="str">
        <f>'PLANILHA ORÇAMENTÁRIA'!A21</f>
        <v>MURO DE ARRIMO</v>
      </c>
      <c r="B13" s="327"/>
      <c r="C13" s="46" t="s">
        <v>10</v>
      </c>
      <c r="D13" s="37">
        <f>D14/$D$24</f>
        <v>4.0032054971020803E-2</v>
      </c>
      <c r="E13" s="37">
        <v>0.7</v>
      </c>
      <c r="F13" s="37">
        <v>0.3</v>
      </c>
      <c r="G13" s="37"/>
      <c r="H13" s="37"/>
    </row>
    <row r="14" spans="1:8" x14ac:dyDescent="0.2">
      <c r="A14" s="328"/>
      <c r="B14" s="329"/>
      <c r="C14" s="20" t="s">
        <v>11</v>
      </c>
      <c r="D14" s="38">
        <f>'PLANILHA ORÇAMENTÁRIA'!I21</f>
        <v>8757.98</v>
      </c>
      <c r="E14" s="38">
        <f>E13*$D$14</f>
        <v>6130.5859999999993</v>
      </c>
      <c r="F14" s="38">
        <f>F13*$D$14</f>
        <v>2627.3939999999998</v>
      </c>
      <c r="G14" s="116"/>
      <c r="H14" s="38"/>
    </row>
    <row r="15" spans="1:8" ht="12.75" customHeight="1" x14ac:dyDescent="0.2">
      <c r="A15" s="326" t="str">
        <f>'PLANILHA ORÇAMENTÁRIA'!A28</f>
        <v>PISOS</v>
      </c>
      <c r="B15" s="327"/>
      <c r="C15" s="46" t="s">
        <v>10</v>
      </c>
      <c r="D15" s="37">
        <f>D16/$D$24</f>
        <v>0.59951197165954406</v>
      </c>
      <c r="E15" s="37">
        <v>0.6</v>
      </c>
      <c r="F15" s="37">
        <v>0.2</v>
      </c>
      <c r="G15" s="37">
        <v>0.2</v>
      </c>
      <c r="H15" s="37"/>
    </row>
    <row r="16" spans="1:8" x14ac:dyDescent="0.2">
      <c r="A16" s="328"/>
      <c r="B16" s="329"/>
      <c r="C16" s="20" t="s">
        <v>11</v>
      </c>
      <c r="D16" s="38">
        <f>'PLANILHA ORÇAMENTÁRIA'!I28</f>
        <v>131157.74</v>
      </c>
      <c r="E16" s="38">
        <f>E15*$D$16</f>
        <v>78694.643999999986</v>
      </c>
      <c r="F16" s="38">
        <f t="shared" ref="F16:G16" si="0">F15*$D$16</f>
        <v>26231.547999999999</v>
      </c>
      <c r="G16" s="38">
        <f t="shared" si="0"/>
        <v>26231.547999999999</v>
      </c>
      <c r="H16" s="38"/>
    </row>
    <row r="17" spans="1:8" ht="12.75" customHeight="1" x14ac:dyDescent="0.2">
      <c r="A17" s="326" t="str">
        <f>'PLANILHA ORÇAMENTÁRIA'!A33</f>
        <v>REVESTIMENTOS E PINTURA</v>
      </c>
      <c r="B17" s="327"/>
      <c r="C17" s="46" t="s">
        <v>10</v>
      </c>
      <c r="D17" s="37">
        <f>D18/$D$24</f>
        <v>6.1381420787407368E-2</v>
      </c>
      <c r="E17" s="37"/>
      <c r="F17" s="37">
        <v>0.5</v>
      </c>
      <c r="G17" s="37">
        <v>0.5</v>
      </c>
      <c r="H17" s="37"/>
    </row>
    <row r="18" spans="1:8" x14ac:dyDescent="0.2">
      <c r="A18" s="328"/>
      <c r="B18" s="329"/>
      <c r="C18" s="20" t="s">
        <v>11</v>
      </c>
      <c r="D18" s="38">
        <f>'PLANILHA ORÇAMENTÁRIA'!I33</f>
        <v>13428.67</v>
      </c>
      <c r="E18" s="38"/>
      <c r="F18" s="38">
        <f>F17*$D$18</f>
        <v>6714.335</v>
      </c>
      <c r="G18" s="38">
        <f>G17*$D$18</f>
        <v>6714.335</v>
      </c>
      <c r="H18" s="116"/>
    </row>
    <row r="19" spans="1:8" ht="12.75" customHeight="1" x14ac:dyDescent="0.2">
      <c r="A19" s="326" t="str">
        <f>'PLANILHA ORÇAMENTÁRIA'!A41</f>
        <v>MOBILIÁRIO URBANO E ILUMINAÇÃO</v>
      </c>
      <c r="B19" s="327"/>
      <c r="C19" s="46" t="s">
        <v>10</v>
      </c>
      <c r="D19" s="37">
        <f>D20/$D$24</f>
        <v>0.16327109533675319</v>
      </c>
      <c r="E19" s="37"/>
      <c r="F19" s="37">
        <v>0.5</v>
      </c>
      <c r="G19" s="37">
        <v>0.5</v>
      </c>
      <c r="H19" s="37"/>
    </row>
    <row r="20" spans="1:8" x14ac:dyDescent="0.2">
      <c r="A20" s="328"/>
      <c r="B20" s="329"/>
      <c r="C20" s="20" t="s">
        <v>11</v>
      </c>
      <c r="D20" s="38">
        <f>'PLANILHA ORÇAMENTÁRIA'!I41</f>
        <v>35719.5</v>
      </c>
      <c r="E20" s="38"/>
      <c r="F20" s="38">
        <f>F19*$D$20</f>
        <v>17859.75</v>
      </c>
      <c r="G20" s="38">
        <f>G19*$D$20</f>
        <v>17859.75</v>
      </c>
      <c r="H20" s="116"/>
    </row>
    <row r="21" spans="1:8" ht="12.75" customHeight="1" x14ac:dyDescent="0.2">
      <c r="A21" s="326" t="str">
        <f>'PLANILHA ORÇAMENTÁRIA'!A45</f>
        <v>ENTREGA DE OBRA</v>
      </c>
      <c r="B21" s="327"/>
      <c r="C21" s="46" t="s">
        <v>10</v>
      </c>
      <c r="D21" s="37">
        <f>D22/$D$24</f>
        <v>4.7487962244904765E-2</v>
      </c>
      <c r="E21" s="37"/>
      <c r="F21" s="37"/>
      <c r="G21" s="37">
        <v>1</v>
      </c>
      <c r="H21" s="37"/>
    </row>
    <row r="22" spans="1:8" x14ac:dyDescent="0.2">
      <c r="A22" s="328"/>
      <c r="B22" s="329"/>
      <c r="C22" s="20" t="s">
        <v>11</v>
      </c>
      <c r="D22" s="38">
        <f>'PLANILHA ORÇAMENTÁRIA'!I45</f>
        <v>10389.14</v>
      </c>
      <c r="E22" s="38"/>
      <c r="F22" s="38"/>
      <c r="G22" s="38">
        <f>G21*$D$22</f>
        <v>10389.14</v>
      </c>
      <c r="H22" s="116"/>
    </row>
    <row r="23" spans="1:8" x14ac:dyDescent="0.2">
      <c r="A23" s="317" t="s">
        <v>13</v>
      </c>
      <c r="B23" s="317"/>
      <c r="C23" s="46" t="s">
        <v>10</v>
      </c>
      <c r="D23" s="37">
        <f>SUM(D7+D9+D11+D13+D15+D17+D19+D21)</f>
        <v>1</v>
      </c>
      <c r="E23" s="37">
        <f>E24/$D$24</f>
        <v>0.45241097464060881</v>
      </c>
      <c r="F23" s="37">
        <f>F24/$D$24</f>
        <v>0.26787241072049728</v>
      </c>
      <c r="G23" s="37">
        <f>G24/$D$24</f>
        <v>0.27971661463889386</v>
      </c>
      <c r="H23" s="37"/>
    </row>
    <row r="24" spans="1:8" x14ac:dyDescent="0.2">
      <c r="A24" s="317"/>
      <c r="B24" s="317"/>
      <c r="C24" s="19" t="s">
        <v>11</v>
      </c>
      <c r="D24" s="39">
        <f>SUM(D8+D10+D12+D14+D16+D18+D20+D22)</f>
        <v>218774.18</v>
      </c>
      <c r="E24" s="39">
        <f t="shared" ref="E24:G24" si="1">SUM(E8+E10+E12+E14+E16+E18+E20+E22)</f>
        <v>98975.839999999982</v>
      </c>
      <c r="F24" s="39">
        <f t="shared" si="1"/>
        <v>58603.567000000003</v>
      </c>
      <c r="G24" s="39">
        <f t="shared" si="1"/>
        <v>61194.773000000001</v>
      </c>
      <c r="H24" s="39"/>
    </row>
    <row r="25" spans="1:8" x14ac:dyDescent="0.2">
      <c r="A25" s="150"/>
      <c r="B25" s="151"/>
      <c r="C25" s="151"/>
      <c r="D25" s="151"/>
      <c r="E25" s="151"/>
      <c r="F25" s="151"/>
      <c r="G25" s="22" t="s">
        <v>35</v>
      </c>
      <c r="H25" s="152"/>
    </row>
    <row r="26" spans="1:8" x14ac:dyDescent="0.2">
      <c r="A26" s="21"/>
      <c r="B26" s="24"/>
      <c r="C26" s="153"/>
      <c r="D26" s="154"/>
      <c r="E26" s="155"/>
      <c r="F26" s="155"/>
      <c r="G26" s="25"/>
      <c r="H26" s="23"/>
    </row>
    <row r="27" spans="1:8" x14ac:dyDescent="0.2">
      <c r="A27" s="26"/>
      <c r="B27" s="27" t="s">
        <v>36</v>
      </c>
      <c r="C27" s="156"/>
      <c r="D27" s="157"/>
      <c r="E27" s="157"/>
      <c r="F27" s="157"/>
      <c r="G27" s="28"/>
      <c r="H27" s="29"/>
    </row>
    <row r="28" spans="1:8" x14ac:dyDescent="0.2">
      <c r="A28" s="30"/>
      <c r="B28" s="158" t="s">
        <v>15</v>
      </c>
      <c r="C28" s="156"/>
      <c r="D28" s="156"/>
      <c r="E28" s="159"/>
      <c r="F28" s="159"/>
      <c r="G28" s="30"/>
      <c r="H28" s="31"/>
    </row>
    <row r="29" spans="1:8" x14ac:dyDescent="0.2">
      <c r="A29" s="30"/>
      <c r="B29" s="158" t="s">
        <v>37</v>
      </c>
      <c r="C29" s="156"/>
      <c r="D29" s="156"/>
      <c r="E29" s="159"/>
      <c r="F29" s="159"/>
      <c r="G29" s="30"/>
      <c r="H29" s="31"/>
    </row>
    <row r="30" spans="1:8" x14ac:dyDescent="0.2">
      <c r="A30" s="33"/>
      <c r="B30" s="32"/>
      <c r="C30" s="35"/>
      <c r="D30" s="35"/>
      <c r="E30" s="34"/>
      <c r="F30" s="34"/>
      <c r="G30" s="33"/>
      <c r="H30" s="36"/>
    </row>
  </sheetData>
  <mergeCells count="20">
    <mergeCell ref="A17:B18"/>
    <mergeCell ref="A4:B4"/>
    <mergeCell ref="E3:F4"/>
    <mergeCell ref="G3:H4"/>
    <mergeCell ref="A1:H1"/>
    <mergeCell ref="A23:B24"/>
    <mergeCell ref="A2:H2"/>
    <mergeCell ref="A3:B3"/>
    <mergeCell ref="D3:D4"/>
    <mergeCell ref="C3:C4"/>
    <mergeCell ref="A5:D5"/>
    <mergeCell ref="A6:B6"/>
    <mergeCell ref="A19:B20"/>
    <mergeCell ref="A9:B10"/>
    <mergeCell ref="E5:H5"/>
    <mergeCell ref="A7:B8"/>
    <mergeCell ref="A11:B12"/>
    <mergeCell ref="A21:B22"/>
    <mergeCell ref="A13:B14"/>
    <mergeCell ref="A15:B16"/>
  </mergeCells>
  <printOptions horizontalCentered="1" verticalCentered="1"/>
  <pageMargins left="0.23622047244094491" right="0.23622047244094491" top="0.74803149606299213" bottom="0.39370078740157483" header="0" footer="0"/>
  <pageSetup paperSize="9"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pageSetUpPr fitToPage="1"/>
  </sheetPr>
  <dimension ref="A1:Q41"/>
  <sheetViews>
    <sheetView zoomScale="145" zoomScaleNormal="145" workbookViewId="0">
      <selection activeCell="A4" sqref="A4:J5"/>
    </sheetView>
  </sheetViews>
  <sheetFormatPr defaultColWidth="9.140625" defaultRowHeight="12.75" x14ac:dyDescent="0.2"/>
  <cols>
    <col min="1" max="3" width="10.7109375" style="47" customWidth="1"/>
    <col min="4" max="8" width="7" style="47" customWidth="1"/>
    <col min="9" max="10" width="10.7109375" style="47" customWidth="1"/>
    <col min="11" max="11" width="9.140625" style="48"/>
    <col min="12" max="18" width="0" style="48" hidden="1" customWidth="1"/>
    <col min="19" max="16384" width="9.140625" style="48"/>
  </cols>
  <sheetData>
    <row r="1" spans="1:17" ht="60.75" customHeight="1" x14ac:dyDescent="0.2">
      <c r="A1" s="334" t="s">
        <v>310</v>
      </c>
      <c r="B1" s="335"/>
      <c r="C1" s="335"/>
      <c r="D1" s="335"/>
      <c r="E1" s="335"/>
      <c r="F1" s="335"/>
      <c r="G1" s="335"/>
      <c r="H1" s="335"/>
      <c r="I1" s="335"/>
      <c r="J1" s="336"/>
    </row>
    <row r="2" spans="1:17" ht="15.75" x14ac:dyDescent="0.2">
      <c r="A2" s="337" t="s">
        <v>40</v>
      </c>
      <c r="B2" s="338"/>
      <c r="C2" s="338"/>
      <c r="D2" s="338"/>
      <c r="E2" s="338"/>
      <c r="F2" s="338"/>
      <c r="G2" s="338"/>
      <c r="H2" s="338"/>
      <c r="I2" s="338"/>
      <c r="J2" s="339"/>
    </row>
    <row r="3" spans="1:17" ht="3" customHeight="1" thickBot="1" x14ac:dyDescent="0.25">
      <c r="A3" s="350"/>
      <c r="B3" s="351"/>
      <c r="C3" s="351"/>
      <c r="D3" s="351"/>
      <c r="E3" s="351"/>
      <c r="F3" s="351"/>
      <c r="G3" s="351"/>
      <c r="H3" s="351"/>
      <c r="I3" s="351"/>
      <c r="J3" s="352"/>
    </row>
    <row r="4" spans="1:17" ht="23.25" customHeight="1" x14ac:dyDescent="0.2">
      <c r="A4" s="340" t="s">
        <v>318</v>
      </c>
      <c r="B4" s="341"/>
      <c r="C4" s="341"/>
      <c r="D4" s="341"/>
      <c r="E4" s="341"/>
      <c r="F4" s="341"/>
      <c r="G4" s="341"/>
      <c r="H4" s="341"/>
      <c r="I4" s="341"/>
      <c r="J4" s="342"/>
    </row>
    <row r="5" spans="1:17" ht="13.5" thickBot="1" x14ac:dyDescent="0.25">
      <c r="A5" s="343"/>
      <c r="B5" s="344"/>
      <c r="C5" s="344"/>
      <c r="D5" s="344"/>
      <c r="E5" s="344"/>
      <c r="F5" s="344"/>
      <c r="G5" s="344"/>
      <c r="H5" s="344"/>
      <c r="I5" s="344"/>
      <c r="J5" s="345"/>
    </row>
    <row r="6" spans="1:17" ht="3" customHeight="1" x14ac:dyDescent="0.2">
      <c r="A6" s="353"/>
      <c r="B6" s="354"/>
      <c r="C6" s="354"/>
      <c r="D6" s="354"/>
      <c r="E6" s="354"/>
      <c r="F6" s="354"/>
      <c r="G6" s="354"/>
      <c r="H6" s="354"/>
      <c r="I6" s="354"/>
      <c r="J6" s="355"/>
    </row>
    <row r="7" spans="1:17" ht="25.5" customHeight="1" x14ac:dyDescent="0.2">
      <c r="A7" s="346" t="s">
        <v>44</v>
      </c>
      <c r="B7" s="347"/>
      <c r="C7" s="347"/>
      <c r="D7" s="347"/>
      <c r="E7" s="347"/>
      <c r="F7" s="347"/>
      <c r="G7" s="347"/>
      <c r="H7" s="347"/>
      <c r="I7" s="348">
        <v>1</v>
      </c>
      <c r="J7" s="349"/>
    </row>
    <row r="8" spans="1:17" ht="25.5" customHeight="1" x14ac:dyDescent="0.2">
      <c r="A8" s="356" t="s">
        <v>46</v>
      </c>
      <c r="B8" s="357"/>
      <c r="C8" s="357"/>
      <c r="D8" s="357"/>
      <c r="E8" s="357"/>
      <c r="F8" s="357"/>
      <c r="G8" s="357"/>
      <c r="H8" s="357"/>
      <c r="I8" s="358">
        <v>0.03</v>
      </c>
      <c r="J8" s="359"/>
    </row>
    <row r="9" spans="1:17" ht="3" customHeight="1" x14ac:dyDescent="0.2">
      <c r="A9" s="353"/>
      <c r="B9" s="354"/>
      <c r="C9" s="354"/>
      <c r="D9" s="354"/>
      <c r="E9" s="354"/>
      <c r="F9" s="354"/>
      <c r="G9" s="354"/>
      <c r="H9" s="354"/>
      <c r="I9" s="354"/>
      <c r="J9" s="355"/>
    </row>
    <row r="10" spans="1:17" x14ac:dyDescent="0.2">
      <c r="A10" s="360" t="s">
        <v>47</v>
      </c>
      <c r="B10" s="361"/>
      <c r="C10" s="361"/>
      <c r="D10" s="361"/>
      <c r="E10" s="361"/>
      <c r="F10" s="361"/>
      <c r="G10" s="361"/>
      <c r="H10" s="361"/>
      <c r="I10" s="361"/>
      <c r="J10" s="362"/>
    </row>
    <row r="11" spans="1:17" ht="13.5" thickBot="1" x14ac:dyDescent="0.25">
      <c r="A11" s="363" t="s">
        <v>313</v>
      </c>
      <c r="B11" s="364"/>
      <c r="C11" s="364"/>
      <c r="D11" s="364"/>
      <c r="E11" s="364"/>
      <c r="F11" s="364"/>
      <c r="G11" s="364"/>
      <c r="H11" s="364"/>
      <c r="I11" s="364"/>
      <c r="J11" s="365"/>
    </row>
    <row r="12" spans="1:17" x14ac:dyDescent="0.2">
      <c r="A12" s="366" t="s">
        <v>48</v>
      </c>
      <c r="B12" s="367"/>
      <c r="C12" s="367"/>
      <c r="D12" s="367"/>
      <c r="E12" s="367"/>
      <c r="F12" s="367"/>
      <c r="G12" s="367"/>
      <c r="H12" s="367"/>
      <c r="I12" s="367" t="s">
        <v>49</v>
      </c>
      <c r="J12" s="370" t="s">
        <v>50</v>
      </c>
      <c r="L12" s="372" t="s">
        <v>51</v>
      </c>
      <c r="M12" s="372"/>
      <c r="N12" s="372"/>
      <c r="O12" s="373" t="s">
        <v>52</v>
      </c>
      <c r="P12" s="373" t="s">
        <v>53</v>
      </c>
      <c r="Q12" s="373" t="s">
        <v>54</v>
      </c>
    </row>
    <row r="13" spans="1:17" ht="13.5" thickBot="1" x14ac:dyDescent="0.25">
      <c r="A13" s="368"/>
      <c r="B13" s="369"/>
      <c r="C13" s="369"/>
      <c r="D13" s="369"/>
      <c r="E13" s="369"/>
      <c r="F13" s="369"/>
      <c r="G13" s="369"/>
      <c r="H13" s="369"/>
      <c r="I13" s="369"/>
      <c r="J13" s="371"/>
      <c r="L13" s="372"/>
      <c r="M13" s="372"/>
      <c r="N13" s="372"/>
      <c r="O13" s="373"/>
      <c r="P13" s="373"/>
      <c r="Q13" s="373"/>
    </row>
    <row r="14" spans="1:17" ht="15" x14ac:dyDescent="0.2">
      <c r="A14" s="374" t="s">
        <v>56</v>
      </c>
      <c r="B14" s="375"/>
      <c r="C14" s="375"/>
      <c r="D14" s="375"/>
      <c r="E14" s="375"/>
      <c r="F14" s="375"/>
      <c r="G14" s="375"/>
      <c r="H14" s="375"/>
      <c r="I14" s="49" t="s">
        <v>55</v>
      </c>
      <c r="J14" s="147">
        <v>4.4999999999999998E-2</v>
      </c>
      <c r="L14" s="376" t="s">
        <v>57</v>
      </c>
      <c r="M14" s="376"/>
      <c r="N14" s="376"/>
      <c r="O14" s="50" t="e">
        <f>VLOOKUP(CONCATENATE(A11,"-",I14),#REF!,3,FALSE)</f>
        <v>#REF!</v>
      </c>
      <c r="P14" s="50" t="e">
        <f>VLOOKUP(CONCATENATE(A11,"-",I14),#REF!,4,FALSE)</f>
        <v>#REF!</v>
      </c>
      <c r="Q14" s="50" t="e">
        <f>VLOOKUP(CONCATENATE(A11,"-",I14),#REF!,5,FALSE)</f>
        <v>#REF!</v>
      </c>
    </row>
    <row r="15" spans="1:17" ht="15" x14ac:dyDescent="0.2">
      <c r="A15" s="377" t="s">
        <v>58</v>
      </c>
      <c r="B15" s="378"/>
      <c r="C15" s="378"/>
      <c r="D15" s="378"/>
      <c r="E15" s="378"/>
      <c r="F15" s="378"/>
      <c r="G15" s="378"/>
      <c r="H15" s="378"/>
      <c r="I15" s="51" t="s">
        <v>41</v>
      </c>
      <c r="J15" s="148">
        <v>7.0000000000000007E-2</v>
      </c>
      <c r="L15" s="376" t="s">
        <v>57</v>
      </c>
      <c r="M15" s="376"/>
      <c r="N15" s="376"/>
      <c r="O15" s="50" t="e">
        <f>VLOOKUP(CONCATENATE(A11,"-",I15),#REF!,3,FALSE)</f>
        <v>#REF!</v>
      </c>
      <c r="P15" s="50" t="e">
        <f>VLOOKUP(CONCATENATE(A11,"-",I15),#REF!,4,FALSE)</f>
        <v>#REF!</v>
      </c>
      <c r="Q15" s="50" t="e">
        <f>VLOOKUP(CONCATENATE(A11,"-",I15),#REF!,5,FALSE)</f>
        <v>#REF!</v>
      </c>
    </row>
    <row r="16" spans="1:17" ht="15" x14ac:dyDescent="0.2">
      <c r="A16" s="377" t="s">
        <v>59</v>
      </c>
      <c r="B16" s="378"/>
      <c r="C16" s="378"/>
      <c r="D16" s="378"/>
      <c r="E16" s="378"/>
      <c r="F16" s="378"/>
      <c r="G16" s="378"/>
      <c r="H16" s="378"/>
      <c r="I16" s="51" t="s">
        <v>45</v>
      </c>
      <c r="J16" s="148">
        <v>1.3299999999999999E-2</v>
      </c>
      <c r="L16" s="376" t="s">
        <v>57</v>
      </c>
      <c r="M16" s="376"/>
      <c r="N16" s="376"/>
      <c r="O16" s="50" t="e">
        <f>VLOOKUP(CONCATENATE(A11,"-",I16),#REF!,3,FALSE)</f>
        <v>#REF!</v>
      </c>
      <c r="P16" s="50" t="e">
        <f>VLOOKUP(CONCATENATE(A11,"-",I16),#REF!,4,FALSE)</f>
        <v>#REF!</v>
      </c>
      <c r="Q16" s="50" t="e">
        <f>VLOOKUP(CONCATENATE(A11,"-",I16),#REF!,5,FALSE)</f>
        <v>#REF!</v>
      </c>
    </row>
    <row r="17" spans="1:17" ht="15" x14ac:dyDescent="0.2">
      <c r="A17" s="377" t="s">
        <v>60</v>
      </c>
      <c r="B17" s="378"/>
      <c r="C17" s="378"/>
      <c r="D17" s="378"/>
      <c r="E17" s="378"/>
      <c r="F17" s="378"/>
      <c r="G17" s="378"/>
      <c r="H17" s="378"/>
      <c r="I17" s="51" t="s">
        <v>84</v>
      </c>
      <c r="J17" s="148">
        <f>SUM(J18+J19)</f>
        <v>2.0500000000000001E-2</v>
      </c>
      <c r="L17" s="376" t="s">
        <v>57</v>
      </c>
      <c r="M17" s="376"/>
      <c r="N17" s="376"/>
      <c r="O17" s="50" t="e">
        <f>VLOOKUP(CONCATENATE(A11,"-",I17),#REF!,3,FALSE)</f>
        <v>#REF!</v>
      </c>
      <c r="P17" s="50" t="e">
        <f>VLOOKUP(CONCATENATE(A11,"-",I17),#REF!,4,FALSE)</f>
        <v>#REF!</v>
      </c>
      <c r="Q17" s="50" t="e">
        <f>VLOOKUP(CONCATENATE(A11,"-",I17),#REF!,5,FALSE)</f>
        <v>#REF!</v>
      </c>
    </row>
    <row r="18" spans="1:17" ht="15" x14ac:dyDescent="0.2">
      <c r="A18" s="377" t="s">
        <v>61</v>
      </c>
      <c r="B18" s="378"/>
      <c r="C18" s="378"/>
      <c r="D18" s="378"/>
      <c r="E18" s="378"/>
      <c r="F18" s="378"/>
      <c r="G18" s="378"/>
      <c r="H18" s="378"/>
      <c r="I18" s="51" t="s">
        <v>42</v>
      </c>
      <c r="J18" s="148">
        <v>8.0000000000000002E-3</v>
      </c>
      <c r="L18" s="376" t="s">
        <v>57</v>
      </c>
      <c r="M18" s="376"/>
      <c r="N18" s="376"/>
      <c r="O18" s="50" t="e">
        <f>VLOOKUP(CONCATENATE(A11,"-",I18),#REF!,3,FALSE)</f>
        <v>#REF!</v>
      </c>
      <c r="P18" s="50" t="e">
        <f>VLOOKUP(CONCATENATE(A11,"-",I18),#REF!,4,FALSE)</f>
        <v>#REF!</v>
      </c>
      <c r="Q18" s="50" t="e">
        <f>VLOOKUP(CONCATENATE(A11,"-",I18),#REF!,5,FALSE)</f>
        <v>#REF!</v>
      </c>
    </row>
    <row r="19" spans="1:17" ht="15" x14ac:dyDescent="0.2">
      <c r="A19" s="379" t="s">
        <v>62</v>
      </c>
      <c r="B19" s="378"/>
      <c r="C19" s="378"/>
      <c r="D19" s="378"/>
      <c r="E19" s="378"/>
      <c r="F19" s="378"/>
      <c r="G19" s="378"/>
      <c r="H19" s="378"/>
      <c r="I19" s="51" t="s">
        <v>43</v>
      </c>
      <c r="J19" s="148">
        <v>1.2500000000000001E-2</v>
      </c>
      <c r="L19" s="376" t="s">
        <v>57</v>
      </c>
      <c r="M19" s="376"/>
      <c r="N19" s="376"/>
      <c r="O19" s="50">
        <v>3.6499999999999998E-2</v>
      </c>
      <c r="P19" s="50">
        <v>3.6499999999999998E-2</v>
      </c>
      <c r="Q19" s="50">
        <v>3.6499999999999998E-2</v>
      </c>
    </row>
    <row r="20" spans="1:17" ht="15" x14ac:dyDescent="0.2">
      <c r="A20" s="379" t="s">
        <v>63</v>
      </c>
      <c r="B20" s="378"/>
      <c r="C20" s="378"/>
      <c r="D20" s="378"/>
      <c r="E20" s="378"/>
      <c r="F20" s="378"/>
      <c r="G20" s="378"/>
      <c r="H20" s="378"/>
      <c r="I20" s="51" t="s">
        <v>64</v>
      </c>
      <c r="J20" s="149">
        <f>SUM(J21+J22+J23)</f>
        <v>6.6500000000000004E-2</v>
      </c>
      <c r="L20" s="376" t="s">
        <v>57</v>
      </c>
      <c r="M20" s="376"/>
      <c r="N20" s="376"/>
      <c r="O20" s="50">
        <v>0</v>
      </c>
      <c r="P20" s="50">
        <v>2.5000000000000001E-2</v>
      </c>
      <c r="Q20" s="50">
        <v>0.05</v>
      </c>
    </row>
    <row r="21" spans="1:17" ht="15" x14ac:dyDescent="0.2">
      <c r="A21" s="379" t="s">
        <v>65</v>
      </c>
      <c r="B21" s="378"/>
      <c r="C21" s="378"/>
      <c r="D21" s="378"/>
      <c r="E21" s="378"/>
      <c r="F21" s="378"/>
      <c r="G21" s="378"/>
      <c r="H21" s="378"/>
      <c r="I21" s="51" t="s">
        <v>65</v>
      </c>
      <c r="J21" s="149">
        <v>0.03</v>
      </c>
      <c r="L21" s="376" t="s">
        <v>57</v>
      </c>
      <c r="M21" s="376"/>
      <c r="N21" s="376"/>
      <c r="O21" s="52">
        <v>0</v>
      </c>
      <c r="P21" s="52">
        <v>4.4999999999999998E-2</v>
      </c>
      <c r="Q21" s="52">
        <v>4.4999999999999998E-2</v>
      </c>
    </row>
    <row r="22" spans="1:17" ht="15" x14ac:dyDescent="0.2">
      <c r="A22" s="379" t="s">
        <v>66</v>
      </c>
      <c r="B22" s="378"/>
      <c r="C22" s="378"/>
      <c r="D22" s="378"/>
      <c r="E22" s="378"/>
      <c r="F22" s="378"/>
      <c r="G22" s="378"/>
      <c r="H22" s="378"/>
      <c r="I22" s="51" t="s">
        <v>66</v>
      </c>
      <c r="J22" s="149">
        <v>6.4999999999999997E-3</v>
      </c>
      <c r="L22" s="376" t="s">
        <v>57</v>
      </c>
      <c r="M22" s="376"/>
      <c r="N22" s="376"/>
      <c r="O22" s="50">
        <v>0</v>
      </c>
      <c r="P22" s="50">
        <v>2.5000000000000001E-2</v>
      </c>
      <c r="Q22" s="50">
        <v>0.05</v>
      </c>
    </row>
    <row r="23" spans="1:17" ht="15" x14ac:dyDescent="0.2">
      <c r="A23" s="379" t="s">
        <v>67</v>
      </c>
      <c r="B23" s="378"/>
      <c r="C23" s="378"/>
      <c r="D23" s="378"/>
      <c r="E23" s="378"/>
      <c r="F23" s="378"/>
      <c r="G23" s="378"/>
      <c r="H23" s="378"/>
      <c r="I23" s="51" t="s">
        <v>68</v>
      </c>
      <c r="J23" s="149">
        <v>0.03</v>
      </c>
      <c r="L23" s="376" t="s">
        <v>57</v>
      </c>
      <c r="M23" s="376"/>
      <c r="N23" s="376"/>
      <c r="O23" s="50">
        <v>0</v>
      </c>
      <c r="P23" s="50">
        <v>2.5000000000000001E-2</v>
      </c>
      <c r="Q23" s="50">
        <v>0.05</v>
      </c>
    </row>
    <row r="24" spans="1:17" ht="15.75" thickBot="1" x14ac:dyDescent="0.25">
      <c r="A24" s="379" t="s">
        <v>69</v>
      </c>
      <c r="B24" s="378"/>
      <c r="C24" s="378"/>
      <c r="D24" s="378"/>
      <c r="E24" s="378"/>
      <c r="F24" s="378"/>
      <c r="G24" s="378"/>
      <c r="H24" s="378"/>
      <c r="I24" s="51" t="s">
        <v>85</v>
      </c>
      <c r="J24" s="149">
        <v>0</v>
      </c>
      <c r="L24" s="376" t="s">
        <v>57</v>
      </c>
      <c r="M24" s="376"/>
      <c r="N24" s="376"/>
      <c r="O24" s="50">
        <v>0</v>
      </c>
      <c r="P24" s="50">
        <v>2.5000000000000001E-2</v>
      </c>
      <c r="Q24" s="50">
        <v>0.05</v>
      </c>
    </row>
    <row r="25" spans="1:17" ht="15.75" thickBot="1" x14ac:dyDescent="0.25">
      <c r="A25" s="382" t="s">
        <v>70</v>
      </c>
      <c r="B25" s="383"/>
      <c r="C25" s="383"/>
      <c r="D25" s="383"/>
      <c r="E25" s="383"/>
      <c r="F25" s="383"/>
      <c r="G25" s="383"/>
      <c r="H25" s="383"/>
      <c r="I25" s="53" t="s">
        <v>71</v>
      </c>
      <c r="J25" s="54">
        <f>(1+(J14+J17))*(1+J16)*(1+J15)/(1-(J20+J24))-1</f>
        <v>0.23754486395286611</v>
      </c>
    </row>
    <row r="26" spans="1:17" x14ac:dyDescent="0.2">
      <c r="A26" s="55"/>
      <c r="J26" s="56"/>
    </row>
    <row r="27" spans="1:17" x14ac:dyDescent="0.2">
      <c r="A27" s="384" t="s">
        <v>72</v>
      </c>
      <c r="B27" s="385"/>
      <c r="C27" s="385"/>
      <c r="D27" s="385"/>
      <c r="E27" s="385"/>
      <c r="F27" s="385"/>
      <c r="G27" s="385"/>
      <c r="H27" s="385"/>
      <c r="I27" s="385"/>
      <c r="J27" s="386"/>
    </row>
    <row r="28" spans="1:17" ht="15.75" x14ac:dyDescent="0.25">
      <c r="A28" s="387" t="s">
        <v>73</v>
      </c>
      <c r="B28" s="57"/>
      <c r="C28" s="388" t="s">
        <v>74</v>
      </c>
      <c r="D28" s="388"/>
      <c r="E28" s="388"/>
      <c r="F28" s="388"/>
      <c r="G28" s="388"/>
      <c r="H28" s="58" t="s">
        <v>75</v>
      </c>
      <c r="I28" s="57"/>
      <c r="J28" s="59"/>
    </row>
    <row r="29" spans="1:17" ht="15.75" x14ac:dyDescent="0.2">
      <c r="A29" s="387"/>
      <c r="B29" s="57"/>
      <c r="C29" s="389" t="s">
        <v>76</v>
      </c>
      <c r="D29" s="389"/>
      <c r="E29" s="389"/>
      <c r="F29" s="389"/>
      <c r="G29" s="389"/>
      <c r="H29" s="58"/>
      <c r="I29" s="57"/>
      <c r="J29" s="59"/>
    </row>
    <row r="30" spans="1:17" ht="13.5" thickBot="1" x14ac:dyDescent="0.25">
      <c r="A30" s="60"/>
      <c r="B30" s="61"/>
      <c r="C30" s="61"/>
      <c r="D30" s="61"/>
      <c r="E30" s="61"/>
      <c r="F30" s="61"/>
      <c r="G30" s="61"/>
      <c r="H30" s="61"/>
      <c r="I30" s="61"/>
      <c r="J30" s="62"/>
    </row>
    <row r="31" spans="1:17" ht="26.25" customHeight="1" thickBot="1" x14ac:dyDescent="0.25">
      <c r="A31" s="390" t="str">
        <f>CONCATENATE("Declaro para os devidos fins que, conforme legislação tributária municipal, a base de cálculo deste tipo de obra corresponde à ",$I$7*100,"%, com a respectiva alíquota de ",$I$8*100,"%.")</f>
        <v>Declaro para os devidos fins que, conforme legislação tributária municipal, a base de cálculo deste tipo de obra corresponde à 100%, com a respectiva alíquota de 3%.</v>
      </c>
      <c r="B31" s="391"/>
      <c r="C31" s="391"/>
      <c r="D31" s="391"/>
      <c r="E31" s="391"/>
      <c r="F31" s="391"/>
      <c r="G31" s="391"/>
      <c r="H31" s="391"/>
      <c r="I31" s="391"/>
      <c r="J31" s="392"/>
    </row>
    <row r="32" spans="1:17" x14ac:dyDescent="0.2">
      <c r="A32" s="55"/>
      <c r="J32" s="63"/>
    </row>
    <row r="33" spans="1:10" x14ac:dyDescent="0.2">
      <c r="A33" s="393" t="s">
        <v>314</v>
      </c>
      <c r="B33" s="394"/>
      <c r="C33" s="394"/>
      <c r="D33" s="394"/>
      <c r="G33" s="395" t="s">
        <v>315</v>
      </c>
      <c r="H33" s="396"/>
      <c r="I33" s="396"/>
      <c r="J33" s="397"/>
    </row>
    <row r="34" spans="1:10" x14ac:dyDescent="0.2">
      <c r="A34" s="398" t="s">
        <v>77</v>
      </c>
      <c r="B34" s="399"/>
      <c r="C34" s="399"/>
      <c r="D34" s="399"/>
      <c r="F34" s="64"/>
      <c r="G34" s="65" t="s">
        <v>78</v>
      </c>
      <c r="H34" s="66"/>
      <c r="I34" s="66"/>
      <c r="J34" s="67"/>
    </row>
    <row r="35" spans="1:10" x14ac:dyDescent="0.2">
      <c r="A35" s="55"/>
      <c r="J35" s="56"/>
    </row>
    <row r="36" spans="1:10" ht="15" x14ac:dyDescent="0.2">
      <c r="A36" s="400"/>
      <c r="B36" s="401"/>
      <c r="C36" s="401"/>
      <c r="D36" s="401"/>
      <c r="E36" s="68"/>
      <c r="J36" s="56"/>
    </row>
    <row r="37" spans="1:10" x14ac:dyDescent="0.2">
      <c r="A37" s="380" t="s">
        <v>79</v>
      </c>
      <c r="B37" s="381"/>
      <c r="C37" s="381"/>
      <c r="D37" s="381"/>
      <c r="J37" s="56"/>
    </row>
    <row r="38" spans="1:10" ht="14.25" x14ac:dyDescent="0.2">
      <c r="A38" s="69" t="s">
        <v>80</v>
      </c>
      <c r="B38" s="70" t="s">
        <v>81</v>
      </c>
      <c r="C38" s="71"/>
      <c r="D38" s="71"/>
      <c r="E38" s="68"/>
      <c r="J38" s="56"/>
    </row>
    <row r="39" spans="1:10" ht="14.25" x14ac:dyDescent="0.2">
      <c r="A39" s="69" t="s">
        <v>82</v>
      </c>
      <c r="B39" s="70" t="s">
        <v>83</v>
      </c>
      <c r="C39" s="71"/>
      <c r="D39" s="71"/>
      <c r="E39" s="68"/>
      <c r="J39" s="56"/>
    </row>
    <row r="40" spans="1:10" ht="15" thickBot="1" x14ac:dyDescent="0.25">
      <c r="A40" s="72"/>
      <c r="B40" s="73"/>
      <c r="C40" s="74"/>
      <c r="D40" s="74"/>
      <c r="E40" s="75"/>
      <c r="F40" s="76"/>
      <c r="G40" s="76"/>
      <c r="H40" s="76"/>
      <c r="I40" s="76"/>
      <c r="J40" s="77"/>
    </row>
    <row r="41" spans="1:10" ht="15.75" x14ac:dyDescent="0.25">
      <c r="A41" s="78"/>
      <c r="B41" s="78"/>
      <c r="C41" s="78"/>
      <c r="D41" s="78"/>
      <c r="E41" s="78"/>
      <c r="F41" s="78"/>
      <c r="G41" s="78"/>
      <c r="H41" s="78"/>
      <c r="I41" s="78"/>
      <c r="J41" s="78"/>
    </row>
  </sheetData>
  <mergeCells count="52">
    <mergeCell ref="A37:D37"/>
    <mergeCell ref="A24:H24"/>
    <mergeCell ref="L24:N24"/>
    <mergeCell ref="A25:H25"/>
    <mergeCell ref="A27:J27"/>
    <mergeCell ref="A28:A29"/>
    <mergeCell ref="C28:G28"/>
    <mergeCell ref="C29:G29"/>
    <mergeCell ref="A31:J31"/>
    <mergeCell ref="A33:D33"/>
    <mergeCell ref="G33:J33"/>
    <mergeCell ref="A34:D34"/>
    <mergeCell ref="A36:D36"/>
    <mergeCell ref="A21:H21"/>
    <mergeCell ref="L21:N21"/>
    <mergeCell ref="A22:H22"/>
    <mergeCell ref="L22:N22"/>
    <mergeCell ref="A23:H23"/>
    <mergeCell ref="L23:N23"/>
    <mergeCell ref="A18:H18"/>
    <mergeCell ref="L18:N18"/>
    <mergeCell ref="A19:H19"/>
    <mergeCell ref="L19:N19"/>
    <mergeCell ref="A20:H20"/>
    <mergeCell ref="L20:N20"/>
    <mergeCell ref="A15:H15"/>
    <mergeCell ref="L15:N15"/>
    <mergeCell ref="A16:H16"/>
    <mergeCell ref="L16:N16"/>
    <mergeCell ref="A17:H17"/>
    <mergeCell ref="L17:N17"/>
    <mergeCell ref="L12:N13"/>
    <mergeCell ref="O12:O13"/>
    <mergeCell ref="P12:P13"/>
    <mergeCell ref="Q12:Q13"/>
    <mergeCell ref="A14:H14"/>
    <mergeCell ref="L14:N14"/>
    <mergeCell ref="A8:H8"/>
    <mergeCell ref="I8:J8"/>
    <mergeCell ref="A10:J10"/>
    <mergeCell ref="A11:J11"/>
    <mergeCell ref="A12:H13"/>
    <mergeCell ref="I12:I13"/>
    <mergeCell ref="J12:J13"/>
    <mergeCell ref="A9:J9"/>
    <mergeCell ref="A1:J1"/>
    <mergeCell ref="A2:J2"/>
    <mergeCell ref="A4:J5"/>
    <mergeCell ref="A7:H7"/>
    <mergeCell ref="I7:J7"/>
    <mergeCell ref="A3:J3"/>
    <mergeCell ref="A6:J6"/>
  </mergeCells>
  <conditionalFormatting sqref="A25:J25">
    <cfRule type="expression" dxfId="0" priority="1" stopIfTrue="1">
      <formula>DESONERACAO="não"</formula>
    </cfRule>
  </conditionalFormatting>
  <dataValidations count="6">
    <dataValidation type="list" allowBlank="1" showErrorMessage="1" sqref="A11:J11" xr:uid="{00000000-0002-0000-0300-000000000000}">
      <formula1>BDI.TipoObra</formula1>
      <formula2>0</formula2>
    </dataValidation>
    <dataValidation type="decimal" allowBlank="1" showInputMessage="1" showErrorMessage="1" errorTitle="Valor não permitido" error="Digite um percentual entre 0% e 100%." promptTitle="Valores admissíveis:" prompt="Insira valores entre 0 e 100%." sqref="I7:J7" xr:uid="{00000000-0002-0000-0300-000001000000}">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I8:J8" xr:uid="{00000000-0002-0000-0300-000002000000}">
      <formula1>0</formula1>
      <formula2>0</formula2>
    </dataValidation>
    <dataValidation operator="greaterThanOrEqual" allowBlank="1" showErrorMessage="1" errorTitle="Erro de valores" error="Digite um valor igual a 0% ou 2%." sqref="J21" xr:uid="{00000000-0002-0000-0300-000003000000}">
      <formula1>0</formula1>
      <formula2>0</formula2>
    </dataValidation>
    <dataValidation type="decimal" allowBlank="1" showErrorMessage="1" errorTitle="Erro de valores" error="Digite um valor maior do que 0." sqref="J20 J22:J24" xr:uid="{00000000-0002-0000-0300-000004000000}">
      <formula1>0</formula1>
      <formula2>1</formula2>
    </dataValidation>
    <dataValidation type="decimal" allowBlank="1" showErrorMessage="1" errorTitle="Erro de valores" error="Digite um valor entre 0% e 100%" sqref="J14:J19" xr:uid="{00000000-0002-0000-0300-000005000000}">
      <formula1>0</formula1>
      <formula2>1</formula2>
    </dataValidation>
  </dataValidations>
  <printOptions horizontalCentered="1" verticalCentered="1"/>
  <pageMargins left="0.23622047244094491" right="0.23622047244094491" top="0.74803149606299213" bottom="0.39370078740157483" header="0" footer="0"/>
  <pageSetup paperSize="9" orientation="portrait" r:id="rId1"/>
  <ignoredErrors>
    <ignoredError sqref="J17" unlockedFormula="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C4E8DC-7FD5-4ABC-B8F9-42200375DCB6}">
  <sheetPr>
    <tabColor rgb="FF92D050"/>
    <pageSetUpPr fitToPage="1"/>
  </sheetPr>
  <dimension ref="A1:H48"/>
  <sheetViews>
    <sheetView workbookViewId="0">
      <selection activeCell="J5" sqref="J5"/>
    </sheetView>
  </sheetViews>
  <sheetFormatPr defaultRowHeight="12.75" x14ac:dyDescent="0.2"/>
  <cols>
    <col min="1" max="1" width="16.140625" style="107" bestFit="1" customWidth="1"/>
    <col min="2" max="2" width="15" style="107" customWidth="1"/>
    <col min="3" max="3" width="10.140625" customWidth="1"/>
    <col min="4" max="4" width="11.5703125" bestFit="1" customWidth="1"/>
    <col min="5" max="5" width="11.5703125" customWidth="1"/>
    <col min="6" max="6" width="12.5703125" customWidth="1"/>
    <col min="8" max="8" width="15.7109375" customWidth="1"/>
    <col min="257" max="257" width="16.140625" bestFit="1" customWidth="1"/>
    <col min="258" max="258" width="15" customWidth="1"/>
    <col min="260" max="260" width="11.5703125" bestFit="1" customWidth="1"/>
    <col min="261" max="261" width="10.42578125" customWidth="1"/>
    <col min="262" max="262" width="12.5703125" customWidth="1"/>
    <col min="264" max="264" width="15.7109375" customWidth="1"/>
    <col min="513" max="513" width="16.140625" bestFit="1" customWidth="1"/>
    <col min="514" max="514" width="15" customWidth="1"/>
    <col min="516" max="516" width="11.5703125" bestFit="1" customWidth="1"/>
    <col min="517" max="517" width="10.42578125" customWidth="1"/>
    <col min="518" max="518" width="12.5703125" customWidth="1"/>
    <col min="520" max="520" width="15.7109375" customWidth="1"/>
    <col min="769" max="769" width="16.140625" bestFit="1" customWidth="1"/>
    <col min="770" max="770" width="15" customWidth="1"/>
    <col min="772" max="772" width="11.5703125" bestFit="1" customWidth="1"/>
    <col min="773" max="773" width="10.42578125" customWidth="1"/>
    <col min="774" max="774" width="12.5703125" customWidth="1"/>
    <col min="776" max="776" width="15.7109375" customWidth="1"/>
    <col min="1025" max="1025" width="16.140625" bestFit="1" customWidth="1"/>
    <col min="1026" max="1026" width="15" customWidth="1"/>
    <col min="1028" max="1028" width="11.5703125" bestFit="1" customWidth="1"/>
    <col min="1029" max="1029" width="10.42578125" customWidth="1"/>
    <col min="1030" max="1030" width="12.5703125" customWidth="1"/>
    <col min="1032" max="1032" width="15.7109375" customWidth="1"/>
    <col min="1281" max="1281" width="16.140625" bestFit="1" customWidth="1"/>
    <col min="1282" max="1282" width="15" customWidth="1"/>
    <col min="1284" max="1284" width="11.5703125" bestFit="1" customWidth="1"/>
    <col min="1285" max="1285" width="10.42578125" customWidth="1"/>
    <col min="1286" max="1286" width="12.5703125" customWidth="1"/>
    <col min="1288" max="1288" width="15.7109375" customWidth="1"/>
    <col min="1537" max="1537" width="16.140625" bestFit="1" customWidth="1"/>
    <col min="1538" max="1538" width="15" customWidth="1"/>
    <col min="1540" max="1540" width="11.5703125" bestFit="1" customWidth="1"/>
    <col min="1541" max="1541" width="10.42578125" customWidth="1"/>
    <col min="1542" max="1542" width="12.5703125" customWidth="1"/>
    <col min="1544" max="1544" width="15.7109375" customWidth="1"/>
    <col min="1793" max="1793" width="16.140625" bestFit="1" customWidth="1"/>
    <col min="1794" max="1794" width="15" customWidth="1"/>
    <col min="1796" max="1796" width="11.5703125" bestFit="1" customWidth="1"/>
    <col min="1797" max="1797" width="10.42578125" customWidth="1"/>
    <col min="1798" max="1798" width="12.5703125" customWidth="1"/>
    <col min="1800" max="1800" width="15.7109375" customWidth="1"/>
    <col min="2049" max="2049" width="16.140625" bestFit="1" customWidth="1"/>
    <col min="2050" max="2050" width="15" customWidth="1"/>
    <col min="2052" max="2052" width="11.5703125" bestFit="1" customWidth="1"/>
    <col min="2053" max="2053" width="10.42578125" customWidth="1"/>
    <col min="2054" max="2054" width="12.5703125" customWidth="1"/>
    <col min="2056" max="2056" width="15.7109375" customWidth="1"/>
    <col min="2305" max="2305" width="16.140625" bestFit="1" customWidth="1"/>
    <col min="2306" max="2306" width="15" customWidth="1"/>
    <col min="2308" max="2308" width="11.5703125" bestFit="1" customWidth="1"/>
    <col min="2309" max="2309" width="10.42578125" customWidth="1"/>
    <col min="2310" max="2310" width="12.5703125" customWidth="1"/>
    <col min="2312" max="2312" width="15.7109375" customWidth="1"/>
    <col min="2561" max="2561" width="16.140625" bestFit="1" customWidth="1"/>
    <col min="2562" max="2562" width="15" customWidth="1"/>
    <col min="2564" max="2564" width="11.5703125" bestFit="1" customWidth="1"/>
    <col min="2565" max="2565" width="10.42578125" customWidth="1"/>
    <col min="2566" max="2566" width="12.5703125" customWidth="1"/>
    <col min="2568" max="2568" width="15.7109375" customWidth="1"/>
    <col min="2817" max="2817" width="16.140625" bestFit="1" customWidth="1"/>
    <col min="2818" max="2818" width="15" customWidth="1"/>
    <col min="2820" max="2820" width="11.5703125" bestFit="1" customWidth="1"/>
    <col min="2821" max="2821" width="10.42578125" customWidth="1"/>
    <col min="2822" max="2822" width="12.5703125" customWidth="1"/>
    <col min="2824" max="2824" width="15.7109375" customWidth="1"/>
    <col min="3073" max="3073" width="16.140625" bestFit="1" customWidth="1"/>
    <col min="3074" max="3074" width="15" customWidth="1"/>
    <col min="3076" max="3076" width="11.5703125" bestFit="1" customWidth="1"/>
    <col min="3077" max="3077" width="10.42578125" customWidth="1"/>
    <col min="3078" max="3078" width="12.5703125" customWidth="1"/>
    <col min="3080" max="3080" width="15.7109375" customWidth="1"/>
    <col min="3329" max="3329" width="16.140625" bestFit="1" customWidth="1"/>
    <col min="3330" max="3330" width="15" customWidth="1"/>
    <col min="3332" max="3332" width="11.5703125" bestFit="1" customWidth="1"/>
    <col min="3333" max="3333" width="10.42578125" customWidth="1"/>
    <col min="3334" max="3334" width="12.5703125" customWidth="1"/>
    <col min="3336" max="3336" width="15.7109375" customWidth="1"/>
    <col min="3585" max="3585" width="16.140625" bestFit="1" customWidth="1"/>
    <col min="3586" max="3586" width="15" customWidth="1"/>
    <col min="3588" max="3588" width="11.5703125" bestFit="1" customWidth="1"/>
    <col min="3589" max="3589" width="10.42578125" customWidth="1"/>
    <col min="3590" max="3590" width="12.5703125" customWidth="1"/>
    <col min="3592" max="3592" width="15.7109375" customWidth="1"/>
    <col min="3841" max="3841" width="16.140625" bestFit="1" customWidth="1"/>
    <col min="3842" max="3842" width="15" customWidth="1"/>
    <col min="3844" max="3844" width="11.5703125" bestFit="1" customWidth="1"/>
    <col min="3845" max="3845" width="10.42578125" customWidth="1"/>
    <col min="3846" max="3846" width="12.5703125" customWidth="1"/>
    <col min="3848" max="3848" width="15.7109375" customWidth="1"/>
    <col min="4097" max="4097" width="16.140625" bestFit="1" customWidth="1"/>
    <col min="4098" max="4098" width="15" customWidth="1"/>
    <col min="4100" max="4100" width="11.5703125" bestFit="1" customWidth="1"/>
    <col min="4101" max="4101" width="10.42578125" customWidth="1"/>
    <col min="4102" max="4102" width="12.5703125" customWidth="1"/>
    <col min="4104" max="4104" width="15.7109375" customWidth="1"/>
    <col min="4353" max="4353" width="16.140625" bestFit="1" customWidth="1"/>
    <col min="4354" max="4354" width="15" customWidth="1"/>
    <col min="4356" max="4356" width="11.5703125" bestFit="1" customWidth="1"/>
    <col min="4357" max="4357" width="10.42578125" customWidth="1"/>
    <col min="4358" max="4358" width="12.5703125" customWidth="1"/>
    <col min="4360" max="4360" width="15.7109375" customWidth="1"/>
    <col min="4609" max="4609" width="16.140625" bestFit="1" customWidth="1"/>
    <col min="4610" max="4610" width="15" customWidth="1"/>
    <col min="4612" max="4612" width="11.5703125" bestFit="1" customWidth="1"/>
    <col min="4613" max="4613" width="10.42578125" customWidth="1"/>
    <col min="4614" max="4614" width="12.5703125" customWidth="1"/>
    <col min="4616" max="4616" width="15.7109375" customWidth="1"/>
    <col min="4865" max="4865" width="16.140625" bestFit="1" customWidth="1"/>
    <col min="4866" max="4866" width="15" customWidth="1"/>
    <col min="4868" max="4868" width="11.5703125" bestFit="1" customWidth="1"/>
    <col min="4869" max="4869" width="10.42578125" customWidth="1"/>
    <col min="4870" max="4870" width="12.5703125" customWidth="1"/>
    <col min="4872" max="4872" width="15.7109375" customWidth="1"/>
    <col min="5121" max="5121" width="16.140625" bestFit="1" customWidth="1"/>
    <col min="5122" max="5122" width="15" customWidth="1"/>
    <col min="5124" max="5124" width="11.5703125" bestFit="1" customWidth="1"/>
    <col min="5125" max="5125" width="10.42578125" customWidth="1"/>
    <col min="5126" max="5126" width="12.5703125" customWidth="1"/>
    <col min="5128" max="5128" width="15.7109375" customWidth="1"/>
    <col min="5377" max="5377" width="16.140625" bestFit="1" customWidth="1"/>
    <col min="5378" max="5378" width="15" customWidth="1"/>
    <col min="5380" max="5380" width="11.5703125" bestFit="1" customWidth="1"/>
    <col min="5381" max="5381" width="10.42578125" customWidth="1"/>
    <col min="5382" max="5382" width="12.5703125" customWidth="1"/>
    <col min="5384" max="5384" width="15.7109375" customWidth="1"/>
    <col min="5633" max="5633" width="16.140625" bestFit="1" customWidth="1"/>
    <col min="5634" max="5634" width="15" customWidth="1"/>
    <col min="5636" max="5636" width="11.5703125" bestFit="1" customWidth="1"/>
    <col min="5637" max="5637" width="10.42578125" customWidth="1"/>
    <col min="5638" max="5638" width="12.5703125" customWidth="1"/>
    <col min="5640" max="5640" width="15.7109375" customWidth="1"/>
    <col min="5889" max="5889" width="16.140625" bestFit="1" customWidth="1"/>
    <col min="5890" max="5890" width="15" customWidth="1"/>
    <col min="5892" max="5892" width="11.5703125" bestFit="1" customWidth="1"/>
    <col min="5893" max="5893" width="10.42578125" customWidth="1"/>
    <col min="5894" max="5894" width="12.5703125" customWidth="1"/>
    <col min="5896" max="5896" width="15.7109375" customWidth="1"/>
    <col min="6145" max="6145" width="16.140625" bestFit="1" customWidth="1"/>
    <col min="6146" max="6146" width="15" customWidth="1"/>
    <col min="6148" max="6148" width="11.5703125" bestFit="1" customWidth="1"/>
    <col min="6149" max="6149" width="10.42578125" customWidth="1"/>
    <col min="6150" max="6150" width="12.5703125" customWidth="1"/>
    <col min="6152" max="6152" width="15.7109375" customWidth="1"/>
    <col min="6401" max="6401" width="16.140625" bestFit="1" customWidth="1"/>
    <col min="6402" max="6402" width="15" customWidth="1"/>
    <col min="6404" max="6404" width="11.5703125" bestFit="1" customWidth="1"/>
    <col min="6405" max="6405" width="10.42578125" customWidth="1"/>
    <col min="6406" max="6406" width="12.5703125" customWidth="1"/>
    <col min="6408" max="6408" width="15.7109375" customWidth="1"/>
    <col min="6657" max="6657" width="16.140625" bestFit="1" customWidth="1"/>
    <col min="6658" max="6658" width="15" customWidth="1"/>
    <col min="6660" max="6660" width="11.5703125" bestFit="1" customWidth="1"/>
    <col min="6661" max="6661" width="10.42578125" customWidth="1"/>
    <col min="6662" max="6662" width="12.5703125" customWidth="1"/>
    <col min="6664" max="6664" width="15.7109375" customWidth="1"/>
    <col min="6913" max="6913" width="16.140625" bestFit="1" customWidth="1"/>
    <col min="6914" max="6914" width="15" customWidth="1"/>
    <col min="6916" max="6916" width="11.5703125" bestFit="1" customWidth="1"/>
    <col min="6917" max="6917" width="10.42578125" customWidth="1"/>
    <col min="6918" max="6918" width="12.5703125" customWidth="1"/>
    <col min="6920" max="6920" width="15.7109375" customWidth="1"/>
    <col min="7169" max="7169" width="16.140625" bestFit="1" customWidth="1"/>
    <col min="7170" max="7170" width="15" customWidth="1"/>
    <col min="7172" max="7172" width="11.5703125" bestFit="1" customWidth="1"/>
    <col min="7173" max="7173" width="10.42578125" customWidth="1"/>
    <col min="7174" max="7174" width="12.5703125" customWidth="1"/>
    <col min="7176" max="7176" width="15.7109375" customWidth="1"/>
    <col min="7425" max="7425" width="16.140625" bestFit="1" customWidth="1"/>
    <col min="7426" max="7426" width="15" customWidth="1"/>
    <col min="7428" max="7428" width="11.5703125" bestFit="1" customWidth="1"/>
    <col min="7429" max="7429" width="10.42578125" customWidth="1"/>
    <col min="7430" max="7430" width="12.5703125" customWidth="1"/>
    <col min="7432" max="7432" width="15.7109375" customWidth="1"/>
    <col min="7681" max="7681" width="16.140625" bestFit="1" customWidth="1"/>
    <col min="7682" max="7682" width="15" customWidth="1"/>
    <col min="7684" max="7684" width="11.5703125" bestFit="1" customWidth="1"/>
    <col min="7685" max="7685" width="10.42578125" customWidth="1"/>
    <col min="7686" max="7686" width="12.5703125" customWidth="1"/>
    <col min="7688" max="7688" width="15.7109375" customWidth="1"/>
    <col min="7937" max="7937" width="16.140625" bestFit="1" customWidth="1"/>
    <col min="7938" max="7938" width="15" customWidth="1"/>
    <col min="7940" max="7940" width="11.5703125" bestFit="1" customWidth="1"/>
    <col min="7941" max="7941" width="10.42578125" customWidth="1"/>
    <col min="7942" max="7942" width="12.5703125" customWidth="1"/>
    <col min="7944" max="7944" width="15.7109375" customWidth="1"/>
    <col min="8193" max="8193" width="16.140625" bestFit="1" customWidth="1"/>
    <col min="8194" max="8194" width="15" customWidth="1"/>
    <col min="8196" max="8196" width="11.5703125" bestFit="1" customWidth="1"/>
    <col min="8197" max="8197" width="10.42578125" customWidth="1"/>
    <col min="8198" max="8198" width="12.5703125" customWidth="1"/>
    <col min="8200" max="8200" width="15.7109375" customWidth="1"/>
    <col min="8449" max="8449" width="16.140625" bestFit="1" customWidth="1"/>
    <col min="8450" max="8450" width="15" customWidth="1"/>
    <col min="8452" max="8452" width="11.5703125" bestFit="1" customWidth="1"/>
    <col min="8453" max="8453" width="10.42578125" customWidth="1"/>
    <col min="8454" max="8454" width="12.5703125" customWidth="1"/>
    <col min="8456" max="8456" width="15.7109375" customWidth="1"/>
    <col min="8705" max="8705" width="16.140625" bestFit="1" customWidth="1"/>
    <col min="8706" max="8706" width="15" customWidth="1"/>
    <col min="8708" max="8708" width="11.5703125" bestFit="1" customWidth="1"/>
    <col min="8709" max="8709" width="10.42578125" customWidth="1"/>
    <col min="8710" max="8710" width="12.5703125" customWidth="1"/>
    <col min="8712" max="8712" width="15.7109375" customWidth="1"/>
    <col min="8961" max="8961" width="16.140625" bestFit="1" customWidth="1"/>
    <col min="8962" max="8962" width="15" customWidth="1"/>
    <col min="8964" max="8964" width="11.5703125" bestFit="1" customWidth="1"/>
    <col min="8965" max="8965" width="10.42578125" customWidth="1"/>
    <col min="8966" max="8966" width="12.5703125" customWidth="1"/>
    <col min="8968" max="8968" width="15.7109375" customWidth="1"/>
    <col min="9217" max="9217" width="16.140625" bestFit="1" customWidth="1"/>
    <col min="9218" max="9218" width="15" customWidth="1"/>
    <col min="9220" max="9220" width="11.5703125" bestFit="1" customWidth="1"/>
    <col min="9221" max="9221" width="10.42578125" customWidth="1"/>
    <col min="9222" max="9222" width="12.5703125" customWidth="1"/>
    <col min="9224" max="9224" width="15.7109375" customWidth="1"/>
    <col min="9473" max="9473" width="16.140625" bestFit="1" customWidth="1"/>
    <col min="9474" max="9474" width="15" customWidth="1"/>
    <col min="9476" max="9476" width="11.5703125" bestFit="1" customWidth="1"/>
    <col min="9477" max="9477" width="10.42578125" customWidth="1"/>
    <col min="9478" max="9478" width="12.5703125" customWidth="1"/>
    <col min="9480" max="9480" width="15.7109375" customWidth="1"/>
    <col min="9729" max="9729" width="16.140625" bestFit="1" customWidth="1"/>
    <col min="9730" max="9730" width="15" customWidth="1"/>
    <col min="9732" max="9732" width="11.5703125" bestFit="1" customWidth="1"/>
    <col min="9733" max="9733" width="10.42578125" customWidth="1"/>
    <col min="9734" max="9734" width="12.5703125" customWidth="1"/>
    <col min="9736" max="9736" width="15.7109375" customWidth="1"/>
    <col min="9985" max="9985" width="16.140625" bestFit="1" customWidth="1"/>
    <col min="9986" max="9986" width="15" customWidth="1"/>
    <col min="9988" max="9988" width="11.5703125" bestFit="1" customWidth="1"/>
    <col min="9989" max="9989" width="10.42578125" customWidth="1"/>
    <col min="9990" max="9990" width="12.5703125" customWidth="1"/>
    <col min="9992" max="9992" width="15.7109375" customWidth="1"/>
    <col min="10241" max="10241" width="16.140625" bestFit="1" customWidth="1"/>
    <col min="10242" max="10242" width="15" customWidth="1"/>
    <col min="10244" max="10244" width="11.5703125" bestFit="1" customWidth="1"/>
    <col min="10245" max="10245" width="10.42578125" customWidth="1"/>
    <col min="10246" max="10246" width="12.5703125" customWidth="1"/>
    <col min="10248" max="10248" width="15.7109375" customWidth="1"/>
    <col min="10497" max="10497" width="16.140625" bestFit="1" customWidth="1"/>
    <col min="10498" max="10498" width="15" customWidth="1"/>
    <col min="10500" max="10500" width="11.5703125" bestFit="1" customWidth="1"/>
    <col min="10501" max="10501" width="10.42578125" customWidth="1"/>
    <col min="10502" max="10502" width="12.5703125" customWidth="1"/>
    <col min="10504" max="10504" width="15.7109375" customWidth="1"/>
    <col min="10753" max="10753" width="16.140625" bestFit="1" customWidth="1"/>
    <col min="10754" max="10754" width="15" customWidth="1"/>
    <col min="10756" max="10756" width="11.5703125" bestFit="1" customWidth="1"/>
    <col min="10757" max="10757" width="10.42578125" customWidth="1"/>
    <col min="10758" max="10758" width="12.5703125" customWidth="1"/>
    <col min="10760" max="10760" width="15.7109375" customWidth="1"/>
    <col min="11009" max="11009" width="16.140625" bestFit="1" customWidth="1"/>
    <col min="11010" max="11010" width="15" customWidth="1"/>
    <col min="11012" max="11012" width="11.5703125" bestFit="1" customWidth="1"/>
    <col min="11013" max="11013" width="10.42578125" customWidth="1"/>
    <col min="11014" max="11014" width="12.5703125" customWidth="1"/>
    <col min="11016" max="11016" width="15.7109375" customWidth="1"/>
    <col min="11265" max="11265" width="16.140625" bestFit="1" customWidth="1"/>
    <col min="11266" max="11266" width="15" customWidth="1"/>
    <col min="11268" max="11268" width="11.5703125" bestFit="1" customWidth="1"/>
    <col min="11269" max="11269" width="10.42578125" customWidth="1"/>
    <col min="11270" max="11270" width="12.5703125" customWidth="1"/>
    <col min="11272" max="11272" width="15.7109375" customWidth="1"/>
    <col min="11521" max="11521" width="16.140625" bestFit="1" customWidth="1"/>
    <col min="11522" max="11522" width="15" customWidth="1"/>
    <col min="11524" max="11524" width="11.5703125" bestFit="1" customWidth="1"/>
    <col min="11525" max="11525" width="10.42578125" customWidth="1"/>
    <col min="11526" max="11526" width="12.5703125" customWidth="1"/>
    <col min="11528" max="11528" width="15.7109375" customWidth="1"/>
    <col min="11777" max="11777" width="16.140625" bestFit="1" customWidth="1"/>
    <col min="11778" max="11778" width="15" customWidth="1"/>
    <col min="11780" max="11780" width="11.5703125" bestFit="1" customWidth="1"/>
    <col min="11781" max="11781" width="10.42578125" customWidth="1"/>
    <col min="11782" max="11782" width="12.5703125" customWidth="1"/>
    <col min="11784" max="11784" width="15.7109375" customWidth="1"/>
    <col min="12033" max="12033" width="16.140625" bestFit="1" customWidth="1"/>
    <col min="12034" max="12034" width="15" customWidth="1"/>
    <col min="12036" max="12036" width="11.5703125" bestFit="1" customWidth="1"/>
    <col min="12037" max="12037" width="10.42578125" customWidth="1"/>
    <col min="12038" max="12038" width="12.5703125" customWidth="1"/>
    <col min="12040" max="12040" width="15.7109375" customWidth="1"/>
    <col min="12289" max="12289" width="16.140625" bestFit="1" customWidth="1"/>
    <col min="12290" max="12290" width="15" customWidth="1"/>
    <col min="12292" max="12292" width="11.5703125" bestFit="1" customWidth="1"/>
    <col min="12293" max="12293" width="10.42578125" customWidth="1"/>
    <col min="12294" max="12294" width="12.5703125" customWidth="1"/>
    <col min="12296" max="12296" width="15.7109375" customWidth="1"/>
    <col min="12545" max="12545" width="16.140625" bestFit="1" customWidth="1"/>
    <col min="12546" max="12546" width="15" customWidth="1"/>
    <col min="12548" max="12548" width="11.5703125" bestFit="1" customWidth="1"/>
    <col min="12549" max="12549" width="10.42578125" customWidth="1"/>
    <col min="12550" max="12550" width="12.5703125" customWidth="1"/>
    <col min="12552" max="12552" width="15.7109375" customWidth="1"/>
    <col min="12801" max="12801" width="16.140625" bestFit="1" customWidth="1"/>
    <col min="12802" max="12802" width="15" customWidth="1"/>
    <col min="12804" max="12804" width="11.5703125" bestFit="1" customWidth="1"/>
    <col min="12805" max="12805" width="10.42578125" customWidth="1"/>
    <col min="12806" max="12806" width="12.5703125" customWidth="1"/>
    <col min="12808" max="12808" width="15.7109375" customWidth="1"/>
    <col min="13057" max="13057" width="16.140625" bestFit="1" customWidth="1"/>
    <col min="13058" max="13058" width="15" customWidth="1"/>
    <col min="13060" max="13060" width="11.5703125" bestFit="1" customWidth="1"/>
    <col min="13061" max="13061" width="10.42578125" customWidth="1"/>
    <col min="13062" max="13062" width="12.5703125" customWidth="1"/>
    <col min="13064" max="13064" width="15.7109375" customWidth="1"/>
    <col min="13313" max="13313" width="16.140625" bestFit="1" customWidth="1"/>
    <col min="13314" max="13314" width="15" customWidth="1"/>
    <col min="13316" max="13316" width="11.5703125" bestFit="1" customWidth="1"/>
    <col min="13317" max="13317" width="10.42578125" customWidth="1"/>
    <col min="13318" max="13318" width="12.5703125" customWidth="1"/>
    <col min="13320" max="13320" width="15.7109375" customWidth="1"/>
    <col min="13569" max="13569" width="16.140625" bestFit="1" customWidth="1"/>
    <col min="13570" max="13570" width="15" customWidth="1"/>
    <col min="13572" max="13572" width="11.5703125" bestFit="1" customWidth="1"/>
    <col min="13573" max="13573" width="10.42578125" customWidth="1"/>
    <col min="13574" max="13574" width="12.5703125" customWidth="1"/>
    <col min="13576" max="13576" width="15.7109375" customWidth="1"/>
    <col min="13825" max="13825" width="16.140625" bestFit="1" customWidth="1"/>
    <col min="13826" max="13826" width="15" customWidth="1"/>
    <col min="13828" max="13828" width="11.5703125" bestFit="1" customWidth="1"/>
    <col min="13829" max="13829" width="10.42578125" customWidth="1"/>
    <col min="13830" max="13830" width="12.5703125" customWidth="1"/>
    <col min="13832" max="13832" width="15.7109375" customWidth="1"/>
    <col min="14081" max="14081" width="16.140625" bestFit="1" customWidth="1"/>
    <col min="14082" max="14082" width="15" customWidth="1"/>
    <col min="14084" max="14084" width="11.5703125" bestFit="1" customWidth="1"/>
    <col min="14085" max="14085" width="10.42578125" customWidth="1"/>
    <col min="14086" max="14086" width="12.5703125" customWidth="1"/>
    <col min="14088" max="14088" width="15.7109375" customWidth="1"/>
    <col min="14337" max="14337" width="16.140625" bestFit="1" customWidth="1"/>
    <col min="14338" max="14338" width="15" customWidth="1"/>
    <col min="14340" max="14340" width="11.5703125" bestFit="1" customWidth="1"/>
    <col min="14341" max="14341" width="10.42578125" customWidth="1"/>
    <col min="14342" max="14342" width="12.5703125" customWidth="1"/>
    <col min="14344" max="14344" width="15.7109375" customWidth="1"/>
    <col min="14593" max="14593" width="16.140625" bestFit="1" customWidth="1"/>
    <col min="14594" max="14594" width="15" customWidth="1"/>
    <col min="14596" max="14596" width="11.5703125" bestFit="1" customWidth="1"/>
    <col min="14597" max="14597" width="10.42578125" customWidth="1"/>
    <col min="14598" max="14598" width="12.5703125" customWidth="1"/>
    <col min="14600" max="14600" width="15.7109375" customWidth="1"/>
    <col min="14849" max="14849" width="16.140625" bestFit="1" customWidth="1"/>
    <col min="14850" max="14850" width="15" customWidth="1"/>
    <col min="14852" max="14852" width="11.5703125" bestFit="1" customWidth="1"/>
    <col min="14853" max="14853" width="10.42578125" customWidth="1"/>
    <col min="14854" max="14854" width="12.5703125" customWidth="1"/>
    <col min="14856" max="14856" width="15.7109375" customWidth="1"/>
    <col min="15105" max="15105" width="16.140625" bestFit="1" customWidth="1"/>
    <col min="15106" max="15106" width="15" customWidth="1"/>
    <col min="15108" max="15108" width="11.5703125" bestFit="1" customWidth="1"/>
    <col min="15109" max="15109" width="10.42578125" customWidth="1"/>
    <col min="15110" max="15110" width="12.5703125" customWidth="1"/>
    <col min="15112" max="15112" width="15.7109375" customWidth="1"/>
    <col min="15361" max="15361" width="16.140625" bestFit="1" customWidth="1"/>
    <col min="15362" max="15362" width="15" customWidth="1"/>
    <col min="15364" max="15364" width="11.5703125" bestFit="1" customWidth="1"/>
    <col min="15365" max="15365" width="10.42578125" customWidth="1"/>
    <col min="15366" max="15366" width="12.5703125" customWidth="1"/>
    <col min="15368" max="15368" width="15.7109375" customWidth="1"/>
    <col min="15617" max="15617" width="16.140625" bestFit="1" customWidth="1"/>
    <col min="15618" max="15618" width="15" customWidth="1"/>
    <col min="15620" max="15620" width="11.5703125" bestFit="1" customWidth="1"/>
    <col min="15621" max="15621" width="10.42578125" customWidth="1"/>
    <col min="15622" max="15622" width="12.5703125" customWidth="1"/>
    <col min="15624" max="15624" width="15.7109375" customWidth="1"/>
    <col min="15873" max="15873" width="16.140625" bestFit="1" customWidth="1"/>
    <col min="15874" max="15874" width="15" customWidth="1"/>
    <col min="15876" max="15876" width="11.5703125" bestFit="1" customWidth="1"/>
    <col min="15877" max="15877" width="10.42578125" customWidth="1"/>
    <col min="15878" max="15878" width="12.5703125" customWidth="1"/>
    <col min="15880" max="15880" width="15.7109375" customWidth="1"/>
    <col min="16129" max="16129" width="16.140625" bestFit="1" customWidth="1"/>
    <col min="16130" max="16130" width="15" customWidth="1"/>
    <col min="16132" max="16132" width="11.5703125" bestFit="1" customWidth="1"/>
    <col min="16133" max="16133" width="10.42578125" customWidth="1"/>
    <col min="16134" max="16134" width="12.5703125" customWidth="1"/>
    <col min="16136" max="16136" width="15.7109375" customWidth="1"/>
  </cols>
  <sheetData>
    <row r="1" spans="1:8" ht="33" x14ac:dyDescent="0.2">
      <c r="A1" s="228"/>
      <c r="B1" s="229" t="s">
        <v>293</v>
      </c>
      <c r="C1" s="229"/>
      <c r="D1" s="229"/>
      <c r="E1" s="229"/>
      <c r="F1" s="229"/>
      <c r="G1" s="229"/>
      <c r="H1" s="230"/>
    </row>
    <row r="2" spans="1:8" ht="18.75" x14ac:dyDescent="0.2">
      <c r="A2" s="219"/>
      <c r="B2" s="231" t="s">
        <v>109</v>
      </c>
      <c r="C2" s="231"/>
      <c r="D2" s="231"/>
      <c r="E2" s="231"/>
      <c r="F2" s="231"/>
      <c r="G2" s="231"/>
      <c r="H2" s="232"/>
    </row>
    <row r="3" spans="1:8" ht="15.75" x14ac:dyDescent="0.2">
      <c r="A3" s="219"/>
      <c r="B3" s="233" t="s">
        <v>286</v>
      </c>
      <c r="C3" s="233"/>
      <c r="D3" s="233"/>
      <c r="E3" s="233"/>
      <c r="F3" s="233"/>
      <c r="G3" s="233"/>
      <c r="H3" s="234"/>
    </row>
    <row r="4" spans="1:8" ht="13.5" thickBot="1" x14ac:dyDescent="0.25">
      <c r="A4" s="235"/>
      <c r="B4" s="236"/>
      <c r="C4" s="236"/>
      <c r="D4" s="236"/>
      <c r="E4" s="236"/>
      <c r="F4" s="236"/>
      <c r="G4" s="236"/>
      <c r="H4" s="237"/>
    </row>
    <row r="5" spans="1:8" x14ac:dyDescent="0.2">
      <c r="A5" s="228"/>
      <c r="B5" s="238"/>
      <c r="C5" s="238"/>
      <c r="D5" s="238"/>
      <c r="E5" s="238"/>
      <c r="F5" s="238"/>
      <c r="G5" s="238"/>
      <c r="H5" s="239"/>
    </row>
    <row r="6" spans="1:8" x14ac:dyDescent="0.2">
      <c r="A6" s="240" t="s">
        <v>110</v>
      </c>
      <c r="B6" s="241"/>
      <c r="C6" s="241"/>
      <c r="D6" s="241"/>
      <c r="E6" s="241"/>
      <c r="F6" s="241"/>
      <c r="G6" s="241"/>
      <c r="H6" s="242"/>
    </row>
    <row r="7" spans="1:8" x14ac:dyDescent="0.2">
      <c r="A7" s="240" t="s">
        <v>319</v>
      </c>
      <c r="B7" s="241"/>
      <c r="C7" s="241"/>
      <c r="D7" s="241"/>
      <c r="E7" s="241"/>
      <c r="F7" s="241"/>
      <c r="G7" s="241"/>
      <c r="H7" s="242"/>
    </row>
    <row r="8" spans="1:8" x14ac:dyDescent="0.2">
      <c r="A8" s="219"/>
      <c r="B8" s="220"/>
      <c r="C8" s="220"/>
      <c r="D8" s="220"/>
      <c r="E8" s="220"/>
      <c r="F8" s="220"/>
      <c r="G8" s="220"/>
      <c r="H8" s="221"/>
    </row>
    <row r="9" spans="1:8" ht="50.45" customHeight="1" x14ac:dyDescent="0.2">
      <c r="A9" s="224" t="s">
        <v>298</v>
      </c>
      <c r="B9" s="225"/>
      <c r="C9" s="225"/>
      <c r="D9" s="225"/>
      <c r="E9" s="225"/>
      <c r="F9" s="225"/>
      <c r="G9" s="225"/>
      <c r="H9" s="243"/>
    </row>
    <row r="10" spans="1:8" x14ac:dyDescent="0.2">
      <c r="A10" s="219"/>
      <c r="B10" s="220"/>
      <c r="C10" s="220"/>
      <c r="D10" s="220"/>
      <c r="E10" s="220"/>
      <c r="F10" s="220"/>
      <c r="G10" s="220"/>
      <c r="H10" s="221"/>
    </row>
    <row r="11" spans="1:8" x14ac:dyDescent="0.2">
      <c r="A11" s="224" t="s">
        <v>294</v>
      </c>
      <c r="B11" s="225"/>
      <c r="C11" s="225"/>
      <c r="D11" s="225"/>
      <c r="E11" s="226" t="s">
        <v>295</v>
      </c>
      <c r="F11" s="226"/>
      <c r="G11" s="226"/>
      <c r="H11" s="227"/>
    </row>
    <row r="12" spans="1:8" x14ac:dyDescent="0.2">
      <c r="A12" s="219"/>
      <c r="B12" s="220"/>
      <c r="C12" s="220"/>
      <c r="D12" s="220"/>
      <c r="E12" s="220"/>
      <c r="F12" s="220"/>
      <c r="G12" s="220"/>
      <c r="H12" s="221"/>
    </row>
    <row r="13" spans="1:8" s="104" customFormat="1" x14ac:dyDescent="0.2">
      <c r="A13" s="160" t="s">
        <v>111</v>
      </c>
      <c r="B13" s="102" t="s">
        <v>112</v>
      </c>
      <c r="C13" s="102" t="s">
        <v>113</v>
      </c>
      <c r="D13" s="102" t="s">
        <v>114</v>
      </c>
      <c r="E13" s="103" t="s">
        <v>115</v>
      </c>
      <c r="F13" s="102" t="s">
        <v>116</v>
      </c>
      <c r="G13" s="102" t="s">
        <v>117</v>
      </c>
      <c r="H13" s="161" t="s">
        <v>118</v>
      </c>
    </row>
    <row r="14" spans="1:8" s="104" customFormat="1" x14ac:dyDescent="0.2">
      <c r="A14" s="162"/>
      <c r="B14" s="163"/>
      <c r="C14" s="164"/>
      <c r="D14" s="164"/>
      <c r="E14" s="165"/>
      <c r="F14" s="166" t="s">
        <v>119</v>
      </c>
      <c r="G14" s="215">
        <v>0</v>
      </c>
      <c r="H14" s="216"/>
    </row>
    <row r="15" spans="1:8" x14ac:dyDescent="0.2">
      <c r="A15" s="167"/>
      <c r="H15" s="168"/>
    </row>
    <row r="16" spans="1:8" x14ac:dyDescent="0.2">
      <c r="A16" s="222" t="s">
        <v>120</v>
      </c>
      <c r="B16" s="223"/>
      <c r="C16" s="105" t="s">
        <v>112</v>
      </c>
      <c r="D16" s="105" t="s">
        <v>121</v>
      </c>
      <c r="E16" s="105" t="s">
        <v>122</v>
      </c>
      <c r="F16" s="105" t="s">
        <v>123</v>
      </c>
      <c r="G16" s="105" t="s">
        <v>117</v>
      </c>
      <c r="H16" s="169" t="s">
        <v>118</v>
      </c>
    </row>
    <row r="17" spans="1:8" s="104" customFormat="1" x14ac:dyDescent="0.2">
      <c r="A17" s="162"/>
      <c r="B17" s="163"/>
      <c r="C17" s="164"/>
      <c r="D17" s="164"/>
      <c r="E17" s="165"/>
      <c r="F17" s="166" t="s">
        <v>124</v>
      </c>
      <c r="G17" s="215">
        <v>0</v>
      </c>
      <c r="H17" s="216"/>
    </row>
    <row r="18" spans="1:8" s="104" customFormat="1" x14ac:dyDescent="0.2">
      <c r="A18" s="162"/>
      <c r="B18" s="163"/>
      <c r="C18" s="164"/>
      <c r="D18" s="164"/>
      <c r="E18" s="165"/>
      <c r="F18" s="166"/>
      <c r="G18" s="170"/>
      <c r="H18" s="171"/>
    </row>
    <row r="19" spans="1:8" x14ac:dyDescent="0.2">
      <c r="A19" s="222" t="s">
        <v>125</v>
      </c>
      <c r="B19" s="223"/>
      <c r="C19" s="106" t="s">
        <v>112</v>
      </c>
      <c r="D19" s="106" t="s">
        <v>126</v>
      </c>
      <c r="E19" s="106" t="s">
        <v>127</v>
      </c>
      <c r="F19" s="106" t="s">
        <v>128</v>
      </c>
      <c r="G19" s="106" t="s">
        <v>129</v>
      </c>
      <c r="H19" s="172" t="s">
        <v>130</v>
      </c>
    </row>
    <row r="20" spans="1:8" s="104" customFormat="1" x14ac:dyDescent="0.2">
      <c r="A20" s="162"/>
      <c r="B20" s="163"/>
      <c r="C20" s="164"/>
      <c r="D20" s="164"/>
      <c r="E20" s="165"/>
      <c r="F20" s="166" t="s">
        <v>131</v>
      </c>
      <c r="G20" s="215">
        <v>0</v>
      </c>
      <c r="H20" s="216"/>
    </row>
    <row r="21" spans="1:8" x14ac:dyDescent="0.2">
      <c r="A21" s="211"/>
      <c r="B21" s="212"/>
      <c r="H21" s="168"/>
    </row>
    <row r="22" spans="1:8" s="104" customFormat="1" x14ac:dyDescent="0.2">
      <c r="A22" s="199" t="s">
        <v>132</v>
      </c>
      <c r="B22" s="200"/>
      <c r="C22" s="200"/>
      <c r="D22" s="200"/>
      <c r="E22" s="200"/>
      <c r="F22" s="200"/>
      <c r="G22" s="217">
        <f>G14+G17+G20</f>
        <v>0</v>
      </c>
      <c r="H22" s="218"/>
    </row>
    <row r="23" spans="1:8" s="104" customFormat="1" x14ac:dyDescent="0.2">
      <c r="A23" s="199" t="s">
        <v>133</v>
      </c>
      <c r="B23" s="200"/>
      <c r="C23" s="200"/>
      <c r="D23" s="200"/>
      <c r="E23" s="200"/>
      <c r="F23" s="200"/>
      <c r="G23" s="209">
        <v>1</v>
      </c>
      <c r="H23" s="210"/>
    </row>
    <row r="24" spans="1:8" s="104" customFormat="1" x14ac:dyDescent="0.2">
      <c r="A24" s="199" t="s">
        <v>134</v>
      </c>
      <c r="B24" s="200"/>
      <c r="C24" s="200"/>
      <c r="D24" s="200"/>
      <c r="E24" s="200"/>
      <c r="F24" s="200"/>
      <c r="G24" s="209">
        <f>ROUND(G22/G23,2)</f>
        <v>0</v>
      </c>
      <c r="H24" s="210"/>
    </row>
    <row r="25" spans="1:8" x14ac:dyDescent="0.2">
      <c r="A25" s="211"/>
      <c r="B25" s="212"/>
      <c r="H25" s="168"/>
    </row>
    <row r="26" spans="1:8" x14ac:dyDescent="0.2">
      <c r="A26" s="191" t="s">
        <v>135</v>
      </c>
      <c r="B26" s="192"/>
      <c r="C26" s="105" t="s">
        <v>112</v>
      </c>
      <c r="D26" s="105" t="s">
        <v>136</v>
      </c>
      <c r="E26" s="106" t="s">
        <v>117</v>
      </c>
      <c r="F26" s="213" t="s">
        <v>137</v>
      </c>
      <c r="G26" s="214"/>
      <c r="H26" s="172" t="s">
        <v>138</v>
      </c>
    </row>
    <row r="27" spans="1:8" s="108" customFormat="1" ht="45.6" customHeight="1" x14ac:dyDescent="0.2">
      <c r="A27" s="180" t="s">
        <v>296</v>
      </c>
      <c r="B27" s="181"/>
      <c r="C27" s="97" t="s">
        <v>297</v>
      </c>
      <c r="D27" s="110" t="s">
        <v>106</v>
      </c>
      <c r="E27" s="144">
        <v>4.7249999999999996</v>
      </c>
      <c r="F27" s="182">
        <v>1.7</v>
      </c>
      <c r="G27" s="183"/>
      <c r="H27" s="173">
        <f t="shared" ref="H27" si="0">ROUND((E27*F27),2)</f>
        <v>8.0299999999999994</v>
      </c>
    </row>
    <row r="28" spans="1:8" s="108" customFormat="1" ht="74.45" customHeight="1" x14ac:dyDescent="0.2">
      <c r="A28" s="180" t="s">
        <v>299</v>
      </c>
      <c r="B28" s="181"/>
      <c r="C28" s="97" t="s">
        <v>300</v>
      </c>
      <c r="D28" s="110" t="s">
        <v>8</v>
      </c>
      <c r="E28" s="144">
        <v>1.05</v>
      </c>
      <c r="F28" s="182">
        <v>59.31</v>
      </c>
      <c r="G28" s="183"/>
      <c r="H28" s="173">
        <f t="shared" ref="H28" si="1">ROUND((E28*F28),2)</f>
        <v>62.28</v>
      </c>
    </row>
    <row r="29" spans="1:8" s="104" customFormat="1" x14ac:dyDescent="0.2">
      <c r="A29" s="162"/>
      <c r="B29" s="163"/>
      <c r="C29" s="164"/>
      <c r="D29" s="164"/>
      <c r="E29" s="165"/>
      <c r="F29" s="166" t="s">
        <v>139</v>
      </c>
      <c r="G29" s="187">
        <f>SUM(H27:H28)</f>
        <v>70.31</v>
      </c>
      <c r="H29" s="188"/>
    </row>
    <row r="30" spans="1:8" x14ac:dyDescent="0.2">
      <c r="A30" s="189"/>
      <c r="B30" s="190"/>
      <c r="F30" s="190"/>
      <c r="G30" s="190"/>
      <c r="H30" s="168"/>
    </row>
    <row r="31" spans="1:8" x14ac:dyDescent="0.2">
      <c r="A31" s="191" t="s">
        <v>140</v>
      </c>
      <c r="B31" s="192"/>
      <c r="C31" s="105" t="s">
        <v>112</v>
      </c>
      <c r="D31" s="105" t="s">
        <v>136</v>
      </c>
      <c r="E31" s="109" t="s">
        <v>117</v>
      </c>
      <c r="F31" s="193" t="s">
        <v>137</v>
      </c>
      <c r="G31" s="193"/>
      <c r="H31" s="174" t="s">
        <v>138</v>
      </c>
    </row>
    <row r="32" spans="1:8" s="108" customFormat="1" ht="25.5" x14ac:dyDescent="0.2">
      <c r="A32" s="184" t="s">
        <v>148</v>
      </c>
      <c r="B32" s="185"/>
      <c r="C32" s="97" t="s">
        <v>149</v>
      </c>
      <c r="D32" s="110" t="s">
        <v>150</v>
      </c>
      <c r="E32" s="144">
        <v>0.24399999999999999</v>
      </c>
      <c r="F32" s="186">
        <v>24.89</v>
      </c>
      <c r="G32" s="186"/>
      <c r="H32" s="173">
        <f t="shared" ref="H32:H34" si="2">ROUND((E32*F32),2)</f>
        <v>6.07</v>
      </c>
    </row>
    <row r="33" spans="1:8" s="108" customFormat="1" ht="25.5" x14ac:dyDescent="0.2">
      <c r="A33" s="184" t="s">
        <v>151</v>
      </c>
      <c r="B33" s="185"/>
      <c r="C33" s="97" t="s">
        <v>152</v>
      </c>
      <c r="D33" s="110" t="s">
        <v>150</v>
      </c>
      <c r="E33" s="144">
        <v>0.48899999999999999</v>
      </c>
      <c r="F33" s="186">
        <v>33.630000000000003</v>
      </c>
      <c r="G33" s="186"/>
      <c r="H33" s="173">
        <f t="shared" ref="H33" si="3">ROUND((E33*F33),2)</f>
        <v>16.45</v>
      </c>
    </row>
    <row r="34" spans="1:8" s="108" customFormat="1" ht="82.9" customHeight="1" x14ac:dyDescent="0.2">
      <c r="A34" s="184" t="s">
        <v>301</v>
      </c>
      <c r="B34" s="185"/>
      <c r="C34" s="97" t="s">
        <v>302</v>
      </c>
      <c r="D34" s="110" t="s">
        <v>8</v>
      </c>
      <c r="E34" s="144">
        <v>1</v>
      </c>
      <c r="F34" s="186">
        <v>8.07</v>
      </c>
      <c r="G34" s="186"/>
      <c r="H34" s="173">
        <f t="shared" si="2"/>
        <v>8.07</v>
      </c>
    </row>
    <row r="35" spans="1:8" s="104" customFormat="1" x14ac:dyDescent="0.2">
      <c r="A35" s="162"/>
      <c r="B35" s="163"/>
      <c r="C35" s="164"/>
      <c r="D35" s="164"/>
      <c r="E35" s="165"/>
      <c r="F35" s="164" t="s">
        <v>141</v>
      </c>
      <c r="G35" s="195">
        <f>SUM(H32:H34)</f>
        <v>30.59</v>
      </c>
      <c r="H35" s="196"/>
    </row>
    <row r="36" spans="1:8" s="108" customFormat="1" x14ac:dyDescent="0.2">
      <c r="A36" s="197"/>
      <c r="B36" s="198"/>
      <c r="F36" s="198"/>
      <c r="G36" s="198"/>
      <c r="H36" s="175"/>
    </row>
    <row r="37" spans="1:8" ht="25.5" x14ac:dyDescent="0.2">
      <c r="A37" s="176" t="s">
        <v>142</v>
      </c>
      <c r="B37" s="111" t="s">
        <v>112</v>
      </c>
      <c r="C37" s="111" t="s">
        <v>136</v>
      </c>
      <c r="D37" s="112" t="s">
        <v>143</v>
      </c>
      <c r="E37" s="112" t="s">
        <v>144</v>
      </c>
      <c r="F37" s="112" t="s">
        <v>117</v>
      </c>
      <c r="G37" s="112" t="s">
        <v>130</v>
      </c>
      <c r="H37" s="177" t="s">
        <v>138</v>
      </c>
    </row>
    <row r="38" spans="1:8" s="104" customFormat="1" x14ac:dyDescent="0.2">
      <c r="A38" s="162"/>
      <c r="B38" s="163"/>
      <c r="C38" s="164"/>
      <c r="D38" s="164"/>
      <c r="E38" s="165"/>
      <c r="F38" s="166" t="s">
        <v>145</v>
      </c>
      <c r="G38" s="195">
        <f>SUM(H36:H37)</f>
        <v>0</v>
      </c>
      <c r="H38" s="196"/>
    </row>
    <row r="39" spans="1:8" s="108" customFormat="1" x14ac:dyDescent="0.2">
      <c r="A39" s="197"/>
      <c r="B39" s="198"/>
      <c r="F39" s="194"/>
      <c r="G39" s="194"/>
      <c r="H39" s="175"/>
    </row>
    <row r="40" spans="1:8" s="104" customFormat="1" x14ac:dyDescent="0.2">
      <c r="A40" s="199" t="s">
        <v>146</v>
      </c>
      <c r="B40" s="200"/>
      <c r="C40" s="200"/>
      <c r="D40" s="200"/>
      <c r="E40" s="200"/>
      <c r="F40" s="200"/>
      <c r="G40" s="201">
        <f>G24+G29+G35+G38</f>
        <v>100.9</v>
      </c>
      <c r="H40" s="202"/>
    </row>
    <row r="41" spans="1:8" s="108" customFormat="1" ht="39" customHeight="1" x14ac:dyDescent="0.2">
      <c r="A41" s="197"/>
      <c r="B41" s="198"/>
      <c r="F41" s="194"/>
      <c r="G41" s="194"/>
      <c r="H41" s="175"/>
    </row>
    <row r="42" spans="1:8" s="108" customFormat="1" x14ac:dyDescent="0.2">
      <c r="A42" s="203" t="s">
        <v>147</v>
      </c>
      <c r="B42" s="194"/>
      <c r="C42" s="194"/>
      <c r="D42" s="194"/>
      <c r="E42" s="194"/>
      <c r="F42" s="194"/>
      <c r="G42" s="194"/>
      <c r="H42" s="204"/>
    </row>
    <row r="43" spans="1:8" s="108" customFormat="1" x14ac:dyDescent="0.2">
      <c r="A43" s="205" t="s">
        <v>86</v>
      </c>
      <c r="B43" s="194"/>
      <c r="C43" s="194"/>
      <c r="D43" s="194"/>
      <c r="E43" s="194"/>
      <c r="F43" s="194"/>
      <c r="G43" s="194"/>
      <c r="H43" s="204"/>
    </row>
    <row r="44" spans="1:8" s="108" customFormat="1" ht="13.5" thickBot="1" x14ac:dyDescent="0.25">
      <c r="A44" s="206"/>
      <c r="B44" s="207"/>
      <c r="C44" s="178"/>
      <c r="D44" s="178"/>
      <c r="E44" s="178"/>
      <c r="F44" s="208"/>
      <c r="G44" s="208"/>
      <c r="H44" s="179"/>
    </row>
    <row r="45" spans="1:8" s="108" customFormat="1" x14ac:dyDescent="0.2">
      <c r="A45" s="198"/>
      <c r="B45" s="198"/>
      <c r="F45" s="194"/>
      <c r="G45" s="194"/>
    </row>
    <row r="46" spans="1:8" s="108" customFormat="1" x14ac:dyDescent="0.2">
      <c r="A46" s="198"/>
      <c r="B46" s="198"/>
      <c r="F46" s="194"/>
      <c r="G46" s="194"/>
    </row>
    <row r="47" spans="1:8" s="108" customFormat="1" x14ac:dyDescent="0.2">
      <c r="A47" s="198"/>
      <c r="B47" s="198"/>
      <c r="F47" s="194"/>
      <c r="G47" s="194"/>
    </row>
    <row r="48" spans="1:8" s="108" customFormat="1" x14ac:dyDescent="0.2">
      <c r="A48" s="198"/>
      <c r="B48" s="198"/>
      <c r="F48" s="194"/>
      <c r="G48" s="194"/>
    </row>
  </sheetData>
  <mergeCells count="66">
    <mergeCell ref="A11:D11"/>
    <mergeCell ref="E11:H11"/>
    <mergeCell ref="A1:A3"/>
    <mergeCell ref="B1:H1"/>
    <mergeCell ref="B2:H2"/>
    <mergeCell ref="B3:H3"/>
    <mergeCell ref="A4:H4"/>
    <mergeCell ref="A5:H5"/>
    <mergeCell ref="A6:H6"/>
    <mergeCell ref="A7:H7"/>
    <mergeCell ref="A8:H8"/>
    <mergeCell ref="A9:H9"/>
    <mergeCell ref="A10:H10"/>
    <mergeCell ref="A12:H12"/>
    <mergeCell ref="G14:H14"/>
    <mergeCell ref="A16:B16"/>
    <mergeCell ref="G17:H17"/>
    <mergeCell ref="A19:B19"/>
    <mergeCell ref="G20:H20"/>
    <mergeCell ref="A21:B21"/>
    <mergeCell ref="A22:F22"/>
    <mergeCell ref="G22:H22"/>
    <mergeCell ref="A23:F23"/>
    <mergeCell ref="G23:H23"/>
    <mergeCell ref="A24:F24"/>
    <mergeCell ref="G24:H24"/>
    <mergeCell ref="A25:B25"/>
    <mergeCell ref="A26:B26"/>
    <mergeCell ref="F26:G26"/>
    <mergeCell ref="A34:B34"/>
    <mergeCell ref="F34:G34"/>
    <mergeCell ref="G35:H35"/>
    <mergeCell ref="A48:B48"/>
    <mergeCell ref="F48:G48"/>
    <mergeCell ref="A42:H42"/>
    <mergeCell ref="A43:H43"/>
    <mergeCell ref="A44:B44"/>
    <mergeCell ref="F44:G44"/>
    <mergeCell ref="A45:B45"/>
    <mergeCell ref="F45:G45"/>
    <mergeCell ref="A36:B36"/>
    <mergeCell ref="F36:G36"/>
    <mergeCell ref="A46:B46"/>
    <mergeCell ref="F46:G46"/>
    <mergeCell ref="A47:B47"/>
    <mergeCell ref="F47:G47"/>
    <mergeCell ref="G38:H38"/>
    <mergeCell ref="A39:B39"/>
    <mergeCell ref="F39:G39"/>
    <mergeCell ref="A40:F40"/>
    <mergeCell ref="G40:H40"/>
    <mergeCell ref="A41:B41"/>
    <mergeCell ref="F41:G41"/>
    <mergeCell ref="A27:B27"/>
    <mergeCell ref="F27:G27"/>
    <mergeCell ref="A33:B33"/>
    <mergeCell ref="F33:G33"/>
    <mergeCell ref="F28:G28"/>
    <mergeCell ref="A28:B28"/>
    <mergeCell ref="G29:H29"/>
    <mergeCell ref="A30:B30"/>
    <mergeCell ref="F30:G30"/>
    <mergeCell ref="A31:B31"/>
    <mergeCell ref="F31:G31"/>
    <mergeCell ref="A32:B32"/>
    <mergeCell ref="F32:G32"/>
  </mergeCells>
  <printOptions horizontalCentered="1"/>
  <pageMargins left="0.23622047244094491" right="0.23622047244094491" top="0.74803149606299213" bottom="0.39370078740157483" header="0" footer="0"/>
  <pageSetup paperSize="9" scale="8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2</vt:i4>
      </vt:variant>
    </vt:vector>
  </HeadingPairs>
  <TitlesOfParts>
    <vt:vector size="7" baseType="lpstr">
      <vt:lpstr>PLANILHA ORÇAMENTÁRIA</vt:lpstr>
      <vt:lpstr>MEM. CÁLCULO</vt:lpstr>
      <vt:lpstr>CRONOGRAMA FF</vt:lpstr>
      <vt:lpstr>COMPOSIÇÃO BDI</vt:lpstr>
      <vt:lpstr>CPU-001</vt:lpstr>
      <vt:lpstr>'PLANILHA ORÇAMENTÁRIA'!Area_de_impressao</vt:lpstr>
      <vt:lpstr>'PLANILHA ORÇAMENTÁRIA'!Titulos_de_impressao</vt:lpstr>
    </vt:vector>
  </TitlesOfParts>
  <Company>Setop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Setop</dc:creator>
  <cp:lastModifiedBy>PICHAU</cp:lastModifiedBy>
  <cp:lastPrinted>2026-07-10T16:59:59Z</cp:lastPrinted>
  <dcterms:created xsi:type="dcterms:W3CDTF">2006-09-22T13:55:22Z</dcterms:created>
  <dcterms:modified xsi:type="dcterms:W3CDTF">2026-07-21T12:10:36Z</dcterms:modified>
</cp:coreProperties>
</file>