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updateLinks="never" defaultThemeVersion="124226"/>
  <mc:AlternateContent xmlns:mc="http://schemas.openxmlformats.org/markup-compatibility/2006">
    <mc:Choice Requires="x15">
      <x15ac:absPath xmlns:x15ac="http://schemas.microsoft.com/office/spreadsheetml/2010/11/ac" url="C:\Users\PICHAU\Desktop\Licitação 2026\Processo 099.2026 Reforma praças 21 de abril e 13 maio\"/>
    </mc:Choice>
  </mc:AlternateContent>
  <xr:revisionPtr revIDLastSave="0" documentId="8_{F698A757-F160-428C-8223-8A13D6CE8F32}" xr6:coauthVersionLast="47" xr6:coauthVersionMax="47" xr10:uidLastSave="{00000000-0000-0000-0000-000000000000}"/>
  <bookViews>
    <workbookView xWindow="-120" yWindow="-120" windowWidth="29040" windowHeight="15720" tabRatio="662" xr2:uid="{00000000-000D-0000-FFFF-FFFF00000000}"/>
  </bookViews>
  <sheets>
    <sheet name="PLANILHA ORÇAMENTÁRIA" sheetId="13" r:id="rId1"/>
    <sheet name="MEM. CÁLCULO" sheetId="30" r:id="rId2"/>
    <sheet name="CRONOGRAMA FF" sheetId="25" r:id="rId3"/>
    <sheet name="COMPOSIÇÃO BDI" sheetId="27" r:id="rId4"/>
    <sheet name="CPU-01" sheetId="31" r:id="rId5"/>
    <sheet name="CPU-02" sheetId="32" r:id="rId6"/>
    <sheet name="CPU-03" sheetId="33" r:id="rId7"/>
    <sheet name="CPU-04" sheetId="35" r:id="rId8"/>
  </sheets>
  <externalReferences>
    <externalReference r:id="rId9"/>
    <externalReference r:id="rId10"/>
    <externalReference r:id="rId11"/>
  </externalReferences>
  <definedNames>
    <definedName name="ACOMPANHAMENTO" hidden="1">IF(VALUE([1]MENU!$O$4)=2,"BM","PLE")</definedName>
    <definedName name="_xlnm.Print_Area" localSheetId="1">'MEM. CÁLCULO'!$A$1:$R$202</definedName>
    <definedName name="_xlnm.Print_Area" localSheetId="0">'PLANILHA ORÇAMENTÁRIA'!$A$1:$I$108</definedName>
    <definedName name="AUTOEVENTO" hidden="1">[1]CÁLCULO!$A$12</definedName>
    <definedName name="BDI.Opcao" hidden="1">[2]DADOS!$F$18</definedName>
    <definedName name="BDI.TipoObra" hidden="1">[2]BDI!$A$138:$A$146</definedName>
    <definedName name="BM.AFAcumulado" hidden="1">[1]BM!$R1</definedName>
    <definedName name="BM.AFAnterior" hidden="1">[1]BM!$Q1</definedName>
    <definedName name="BM.MaxMed" hidden="1">IF([0]!RegimeExecucao="Global",1,[1]BM!$G1)</definedName>
    <definedName name="BM.MEDAcumulado" hidden="1">IF(COUNTIF([1]BM!$AB$13:$AM$13,BM.medicao)&gt;0,SUM(OFFSET([1]BM!$AB1,0,0,1,MATCH(BM.medicao,[1]BM!$AB$13:$AM$13,0))),0)</definedName>
    <definedName name="BM.MEDAnterior" hidden="1">IF(COUNTIF([1]BM!$AB$13:$AM$13,BM.medicao-1)&gt;0,SUM(OFFSET([1]BM!$AB1,0,0,1,MATCH(BM.medicao-1,[1]BM!$AB$13:$AM$13,0))),0)</definedName>
    <definedName name="BM.medicao" hidden="1">OFFSET([1]BM!$O$7,1,0)</definedName>
    <definedName name="BM.MinMed" hidden="1">IF([0]!RegimeExecucao="Global",-1,-[1]BM!$G1)</definedName>
    <definedName name="CAIXA.Modo" hidden="1">[1]BM!$A$3</definedName>
    <definedName name="CÁLCULO.NúmeroDeEventos" hidden="1">IF(AUTOEVENTO&lt;&gt;"manual",MAX([1]CÁLCULO!$M$15:$M$32),MAX(OFFSET([1]EVENTOS!$C$14:$C$20,1,0)))</definedName>
    <definedName name="CÁLCULO.NúmeroDeFrentes" hidden="1">COLUMN([1]CÁLCULO!$AA$15)-COLUMN([1]CÁLCULO!$Q$15)</definedName>
    <definedName name="CÁLCULO.TotalAdmLocal" hidden="1">IF(AUTOEVENTO="manual",SUMIF([1]CÁLCULO!$M$15:$M$32,1,[1]ORÇAMENTO!$X$15:$X$32),0)</definedName>
    <definedName name="CRONO.ColunaPadrão" hidden="1">#REF!</definedName>
    <definedName name="CRONO.Filtro" hidden="1">#REF!</definedName>
    <definedName name="CRONO.FirstCol" hidden="1">#REF!</definedName>
    <definedName name="CRONO.firstrow" hidden="1">#REF!</definedName>
    <definedName name="CRONO.Frenterow" hidden="1">#REF!</definedName>
    <definedName name="CRONO.LastCol" hidden="1">#REF!</definedName>
    <definedName name="CRONO.lastrow" hidden="1">#REF!</definedName>
    <definedName name="CRONO.LinhaPadrão" hidden="1">#REF!</definedName>
    <definedName name="CRONO.LinhasNecessarias" hidden="1">COUNTIF([1]QCI!$B$13:$B$15,"Manual")+COUNTIF([1]QCI!$B$13:$B$15,"SemiAuto")+COUNT(ORÇAMENTO.ListaCrono)</definedName>
    <definedName name="CRONO.margemrow" hidden="1">#REF!</definedName>
    <definedName name="CRONO.MaxParc" hidden="1">#REF!+#REF!</definedName>
    <definedName name="CRONO.NivelExibicao" hidden="1">#REF!</definedName>
    <definedName name="CRONO.Parcela1" hidden="1">#REF!</definedName>
    <definedName name="CRONOPLE.ValorDoEvento" hidden="1">SUMIF([1]CÁLCULO!$M$15:$M$32,[1]CRONOPLE!$B1,OFFSET([1]CÁLCULO!$AA$15:$AA$32,0,[1]CRONOPLE!A$12))</definedName>
    <definedName name="DESONERACAO" hidden="1">IF(OR(Import.Desoneracao="DESONERADO",Import.Desoneracao="SIM"),"SIM","NÃO")</definedName>
    <definedName name="ÉServiço">[3]BM!$E1&lt;&gt;""</definedName>
    <definedName name="EVENTOS.Lista" hidden="1">[1]EVENTOS!$C$15:OFFSET([1]EVENTOS!$C$20,-1,0)</definedName>
    <definedName name="EVENTOS.ListaValidacao" hidden="1">[1]EVENTOS!$B$15:OFFSET([1]EVENTOS!$B$20,-1,0)</definedName>
    <definedName name="Excel_BuiltIn_Database">#REF!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9">#REF!</definedName>
    <definedName name="Excel_BuiltIn_Print_Area_2_1">#REF!</definedName>
    <definedName name="Excel_BuiltIn_Print_Area_8_1_1_1">#REF!</definedName>
    <definedName name="Excel_BuiltIn_Print_Area_9">#REF!</definedName>
    <definedName name="Excel_BuiltIn_Print_Area_9_1">#REF!</definedName>
    <definedName name="Excel_BuiltIn_Print_Titles_1_1">#REF!</definedName>
    <definedName name="Excel_BuiltIn_Print_Titles_2">#REF!</definedName>
    <definedName name="Excel_BuiltIn_Print_Titles_9">#REF!</definedName>
    <definedName name="Import.Apelido" hidden="1">[2]DADOS!$F$16</definedName>
    <definedName name="Import.BMAFAcumulado" hidden="1">OFFSET([1]BM!$R$15,1,0):OFFSET([1]BM!$R$32,-1,0)</definedName>
    <definedName name="Import.CNPJ" hidden="1">[1]DADOS!$F$38</definedName>
    <definedName name="Import.Código" hidden="1">OFFSET([1]ORÇAMENTO!$Q$15,1,0):OFFSET([1]ORÇAMENTO!$Q$32,-1,0)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OFFSET([1]CRONOPLE!$F$15,1,1):OFFSET([1]CRONOPLE!$AF$20,-1,-1)</definedName>
    <definedName name="Import.CTEF" hidden="1">[1]DADOS!$F$36</definedName>
    <definedName name="Import.CustoUnitário" hidden="1">OFFSET([1]ORÇAMENTO!$U$15,1,0):OFFSET([1]ORÇAMENTO!$U$32,-1,0)</definedName>
    <definedName name="Import.DataBase" hidden="1">OFFSET([1]DADOS!$G$19,0,-1)</definedName>
    <definedName name="Import.DataBaseLicit" hidden="1">OFFSET([1]DADOS!$G$40,0,-1)</definedName>
    <definedName name="Import.DataInicioObra" hidden="1">[1]DADOS!$F$46</definedName>
    <definedName name="Import.DescLote" hidden="1">[2]DADOS!$F$17</definedName>
    <definedName name="Import.Descrição" hidden="1">OFFSET([1]ORÇAMENTO!$R$15,1,0):OFFSET([1]ORÇAMENTO!$R$32,-1,0)</definedName>
    <definedName name="Import.Desoneracao" hidden="1">OFFSET([2]DADOS!$G$18,0,-1)</definedName>
    <definedName name="Import.empresa" hidden="1">[1]DADOS!$F$37</definedName>
    <definedName name="Import.Eventos.Nomes" hidden="1">OFFSET([1]EVENTOS!$D$15,1,0):OFFSET([1]EVENTOS!$D$20,-1,0)</definedName>
    <definedName name="Import.Fonte" hidden="1">OFFSET([1]ORÇAMENTO!$P$15,1,0):OFFSET([1]ORÇAMENTO!$P$32,-1,0)</definedName>
    <definedName name="Import.FrenteDeObra" hidden="1">[1]CÁLCULO!$Q$12:OFFSET([1]CÁLCULO!$AA$12,0,-1)</definedName>
    <definedName name="Import.Município" hidden="1">[2]DADOS!$F$6</definedName>
    <definedName name="Import.Nível" hidden="1">OFFSET([1]ORÇAMENTO!$M$15,1,0):OFFSET([1]ORÇAMENTO!$M$32,-1,0)</definedName>
    <definedName name="Import.OpcaoBDI" hidden="1">OFFSET([1]ORÇAMENTO!$V$15,1,0):OFFSET([1]ORÇAMENTO!$V$32,-1,0)</definedName>
    <definedName name="Import.ORÇAMENTO.DivRecurso" hidden="1">OFFSET([1]ORÇAMENTO!$Y$15,1,0):OFFSET([1]ORÇAMENTO!$Y$32,-1,0)</definedName>
    <definedName name="Import.PLE" hidden="1">OFFSET([1]PLE!$G$15,1,1):OFFSET([1]PLE!$AG$20,-1,-1)</definedName>
    <definedName name="Import.PLQ" hidden="1">OFFSET([1]CÁLCULO!$P$15,1,1):OFFSET([1]CÁLCULO!$AA$32,-1,-1)</definedName>
    <definedName name="Import.PLQ.MemCalc" hidden="1">OFFSET([1]CÁLCULO!$I$15,1,0):OFFSET([1]CÁLCULO!$I$32,-1,0)</definedName>
    <definedName name="Import.Proponente" hidden="1">[1]DADOS!$F$5</definedName>
    <definedName name="Import.QCI.Divisao" hidden="1">OFFSET([1]QCI!$V$13,1,0):OFFSET([1]QCI!$V$15,-1,0)</definedName>
    <definedName name="Import.QCI.ItemInv" hidden="1">OFFSET([1]QCI!$E$13,1,0):OFFSET([1]QCI!$E$15,-1,0)</definedName>
    <definedName name="Import.QCI.Qtde" hidden="1">OFFSET([1]QCI!$I$13,1,0):OFFSET([1]QCI!$I$15,-1,0)</definedName>
    <definedName name="Import.QCI.Situacao" hidden="1">OFFSET([1]QCI!$H$13,1,0):OFFSET([1]QCI!$H$15,-1,0)</definedName>
    <definedName name="Import.QCI.SubItemInv" hidden="1">OFFSET([1]QCI!$F$13,1,0):OFFSET([1]QCI!$F$15,-1,0)</definedName>
    <definedName name="Import.QCICP" hidden="1">OFFSET([1]QCI!$W$13,1,0):OFFSET([1]QCI!$W$15,-1,0)</definedName>
    <definedName name="Import.QCIDesc" hidden="1">OFFSET([1]QCI!$R$13,1,0):OFFSET([1]QCI!$R$15,-1,0)</definedName>
    <definedName name="Import.QCIInv" hidden="1">OFFSET([1]QCI!$U$13,1,0):OFFSET([1]QCI!$U$15,-1,0)</definedName>
    <definedName name="Import.QCILote" hidden="1">OFFSET([1]QCI!$T$13,1,0):OFFSET([1]QCI!$T$15,-1,0)</definedName>
    <definedName name="Import.QCIOutros" hidden="1">OFFSET([1]QCI!$X$13,1,0):OFFSET([1]QCI!$X$15,-1,0)</definedName>
    <definedName name="Import.Quantidade" hidden="1">OFFSET([1]ORÇAMENTO!$AJ$15,1,0):OFFSET([1]ORÇAMENTO!$AJ$32,-1,0)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[2]DADOS!$F$22:$F$24</definedName>
    <definedName name="Import.SICONV" hidden="1">[1]DADOS!$F$8</definedName>
    <definedName name="Import.Unidade" hidden="1">OFFSET([1]ORÇAMENTO!$S$15,1,0):OFFSET([1]ORÇAMENTO!$S$32,-1,0)</definedName>
    <definedName name="Import.UnitarioLicitado" hidden="1">OFFSET([1]ORÇAMENTO!$AL$15,1,0):OFFSET([1]ORÇAMENTO!$AL$32,-1,0)</definedName>
    <definedName name="MENU.CRONO" hidden="1">OFFSET(#REF!,1,0)</definedName>
    <definedName name="Objeto" hidden="1">[1]MENU!$J$1</definedName>
    <definedName name="ORÇAMENTO.BancoRef" hidden="1">[1]ORÇAMENTO!$F$8</definedName>
    <definedName name="ORÇAMENTO.CodBarra" hidden="1">IF(ORÇAMENTO.Fonte="Sinapi",SUBSTITUTE(SUBSTITUTE(ORÇAMENTO.Codigo,"/00","/"),"/0","/"),ORÇAMENTO.Codigo)</definedName>
    <definedName name="ORÇAMENTO.Codigo" hidden="1">[1]ORÇAMENTO!$Q1</definedName>
    <definedName name="ORÇAMENTO.CustoUnitario" hidden="1">ROUND([1]ORÇAMENTO!$U1,15-13*[1]ORÇAMENTO!$AF$8)</definedName>
    <definedName name="ORÇAMENTO.Descricao" hidden="1">[1]ORÇAMENTO!$R1</definedName>
    <definedName name="ORÇAMENTO.Fonte" hidden="1">[1]ORÇAMENTO!$P1</definedName>
    <definedName name="ORÇAMENTO.ListaCrono" hidden="1">OFFSET([1]ORÇAMENTO!$AD$15,1,0):OFFSET([1]ORÇAMENTO!$AD$32,-1,0)</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OFFSET([1]ORÇAMENTO!$P$15,1,0):OFFSET([1]ORÇAMENTO!$S$32,-1,0)</definedName>
    <definedName name="ORÇAMENTO.PasteFormat2" hidden="1">OFFSET([1]ORÇAMENTO!$U$15,1,0):OFFSET([1]ORÇAMENTO!$V$32,-1,0)</definedName>
    <definedName name="ORÇAMENTO.PrecoUnitarioLicitado" hidden="1">[1]ORÇAMENTO!$AL1</definedName>
    <definedName name="ORÇAMENTO.RangeQuant" hidden="1">OFFSET([1]ORÇAMENTO!$T$15,1,0):OFFSET([1]ORÇAMENTO!$T$32,-1,0)</definedName>
    <definedName name="ORÇAMENTO.SumCPMANUAL" hidden="1">SUMIF([1]ORÇAMENTO!$Z$15:$Z$32,"CP",[1]ORÇAMENTO!$AA$15:$AA$32)</definedName>
    <definedName name="ORÇAMENTO.SumINVMANUAL" hidden="1">SUMIF([1]ORÇAMENTO!$Z$15:$Z$32,"RP",[1]ORÇAMENTO!$X$15:$X$32)+SUMIF([1]ORÇAMENTO!$Z$15:$Z$32,"CP",[1]ORÇAMENTO!$X$15:$X$32)+SUMIF([1]ORÇAMENTO!$Z$15:$Z$32,"OU",[1]ORÇAMENTO!$X$15:$X$32)</definedName>
    <definedName name="ORÇAMENTO.SumOUTROSMANUAL" hidden="1">SUMIF([1]ORÇAMENTO!$Z$15:$Z$32,"OU",[1]ORÇAMENTO!$AB$15:$AB$32)</definedName>
    <definedName name="ORÇAMENTO.SumREPASSEMANUAL" hidden="1">ORÇAMENTO.SumINVMANUAL-ORÇAMENTO.SumCPMANUAL-ORÇAMENTO.SumOUTROSMANUAL</definedName>
    <definedName name="ORÇAMENTO.Unidade" hidden="1">[1]ORÇAMENTO!$S1</definedName>
    <definedName name="PLE.firstrow" hidden="1">[1]PLE!$15:$15</definedName>
    <definedName name="PLE.lastrow" hidden="1">[1]PLE!$20:$20</definedName>
    <definedName name="PLE.Medicao" hidden="1">[1]PLE!$J$9</definedName>
    <definedName name="PLE.ValorDoEvento" hidden="1">SUMIF([1]CÁLCULO!$M$15:$M$32,[1]PLE!$B1,OFFSET([1]CÁLCULO!$AA$15:$AA$32,0,[1]PLE!A$12))</definedName>
    <definedName name="PO.ValoresBDI" hidden="1">OFFSET([1]ORÇAMENTO!$AH$15,1,0):OFFSET([1]ORÇAMENTO!$AH$32,-1,0)</definedName>
    <definedName name="QCI.CPManual" hidden="1">ROUND([1]QCI!$W1,2)</definedName>
    <definedName name="QCI.DescManual" hidden="1">[1]QCI!$R1</definedName>
    <definedName name="QCI.Divisao" hidden="1">[1]QCI!$V1</definedName>
    <definedName name="QCI.ExisteManual" hidden="1">(COUNTIF([1]QCI!$B$13:$B$15,"Manual")+COUNTIF([1]QCI!$B$13:$B$15,"SemiAuto"))&gt;0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SUMIF([1]QCI!$B$13:$B$15,"Manual",[1]QCI!$AA$13:$AA$15)</definedName>
    <definedName name="QCI.SumINVMANUAL" hidden="1">SUMIF([1]QCI!$B$13:$B$15,"Manual",[1]QCI!$O$13:$O$15)</definedName>
    <definedName name="QCI.SumOUTROSMANUAL" hidden="1">SUMIF([1]QCI!$B$13:$B$15,"Manual",[1]QCI!$AB$13:$AB$15)</definedName>
    <definedName name="QCI.SumREPASSEMANUAL" hidden="1">QCI.SumINVMANUAL-QCI.CPManual-QCI.OutrosManual</definedName>
    <definedName name="REFERENCIA.Descricao" hidden="1">IF(ISNUMBER([1]ORÇAMENTO!$AF1),OFFSET(INDIRECT(ORÇAMENTO.BancoRef),[1]ORÇAMENTO!$AF1-1,3,1),[1]ORÇAMENTO!$AF1)</definedName>
    <definedName name="REFERENCIA.Desonerado" hidden="1">IF(ISNUMBER([1]ORÇAMENTO!$AF1),VALUE(OFFSET(INDIRECT(ORÇAMENTO.BancoRef),[1]ORÇAMENTO!$AF1-1,5,1)),0)</definedName>
    <definedName name="REFERENCIA.NaoDesonerado" hidden="1">IF(ISNUMBER([1]ORÇAMENTO!$AF1),VALUE(OFFSET(INDIRECT(ORÇAMENTO.BancoRef),[1]ORÇAMENTO!$AF1-1,6,1)),0)</definedName>
    <definedName name="REFERENCIA.Unidade" hidden="1">IF(ISNUMBER([1]ORÇAMENTO!$AF1),OFFSET(INDIRECT(ORÇAMENTO.BancoRef),[1]ORÇAMENTO!$AF1-1,4,1),"-")</definedName>
    <definedName name="RegimeExecucao">IF(OR([3]DADOS!$A$33="Empreitada Preço Global",[3]DADOS!$A$33="Empreitada Integral"),"Global","Unitário")</definedName>
    <definedName name="RRE.MaxCPAcum" hidden="1">[1]RRE!$AD$17</definedName>
    <definedName name="RRE.MaxCPAnt" hidden="1">[1]RRE!$AC$17</definedName>
    <definedName name="RRE.MaxOUAcum" hidden="1">[1]RRE!$AD$18</definedName>
    <definedName name="RRE.MaxOUAnt" hidden="1">[1]RRE!$AC$18</definedName>
    <definedName name="RRE.Numero" hidden="1">OFFSET([1]RRE!$O$7,0,1)</definedName>
    <definedName name="RRE.VIMeta" hidden="1">[1]RRE!$L1</definedName>
    <definedName name="SENHAGT" hidden="1">"PM3CAIXA"</definedName>
    <definedName name="SomaAgrup" hidden="1">SUMIF(OFFSET([1]ORÇAMENTO!$C1,1,0,[1]ORÇAMENTO!$D1),"S",OFFSET([1]ORÇAMENTO!A1,1,0,[1]ORÇAMENTO!$D1))</definedName>
    <definedName name="SomaAgrupBM" hidden="1">SUMIF(OFFSET([1]BM!$A1,1,0,[1]BM!$B1),"S",OFFSET([1]BM!A1,1,0,[1]BM!$B1))</definedName>
    <definedName name="TIPOORCAMENTO" hidden="1">IF(VALUE([1]MENU!$O$3)=2,"Licitado","Proposto")</definedName>
    <definedName name="_xlnm.Print_Titles" localSheetId="1">'MEM. CÁLCULO'!$1:$2</definedName>
    <definedName name="_xlnm.Print_Titles" localSheetId="0">'PLANILHA ORÇAMENTÁRIA'!$1:$9</definedName>
    <definedName name="Versao" hidden="1">[1]MENU!$J$2</definedName>
    <definedName name="VTOTAL1" hidden="1">ROUND([1]ORÇAMENTO!$T1*[1]ORÇAMENTO!$W1,15-13*[1]ORÇAMENTO!$AF$11)</definedName>
    <definedName name="VTOTALBM" hidden="1">IF([1]BM!$I1=0,0,CHOOSE(MATCH([0]!RegimeExecucao,{"Global","Unitário"},0),ROUND(ROUND([1]BM!XFB1,15-13*[1]BM!$A$9)/100*[1]BM!$I1,15-13*[1]ORÇAMENTO!$AF$11),ROUND(ROUND([1]BM!XFB1,15-13*[1]BM!$A$9)*ROUND([1]BM!$H1,15-13*[1]ORÇAMENTO!$AF$10),15-13*[1]ORÇAMENTO!$AF$11)))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2" i="30" l="1"/>
  <c r="P15" i="30"/>
  <c r="A9" i="25"/>
  <c r="A7" i="25"/>
  <c r="H35" i="35"/>
  <c r="H34" i="35"/>
  <c r="H33" i="35"/>
  <c r="H32" i="35"/>
  <c r="G39" i="35"/>
  <c r="H31" i="35"/>
  <c r="H30" i="35"/>
  <c r="G22" i="35"/>
  <c r="G24" i="35" s="1"/>
  <c r="H99" i="13"/>
  <c r="I99" i="13" s="1"/>
  <c r="E37" i="33"/>
  <c r="E36" i="33"/>
  <c r="H36" i="33" s="1"/>
  <c r="E35" i="33"/>
  <c r="H35" i="33" s="1"/>
  <c r="E31" i="33"/>
  <c r="H31" i="33" s="1"/>
  <c r="E30" i="33"/>
  <c r="E32" i="33" s="1"/>
  <c r="H37" i="33"/>
  <c r="G41" i="33"/>
  <c r="H30" i="33"/>
  <c r="G22" i="33"/>
  <c r="G24" i="33" s="1"/>
  <c r="H67" i="13"/>
  <c r="G36" i="32"/>
  <c r="H32" i="32"/>
  <c r="H31" i="32"/>
  <c r="H30" i="32"/>
  <c r="G22" i="32"/>
  <c r="G24" i="32" s="1"/>
  <c r="H84" i="13"/>
  <c r="P202" i="30"/>
  <c r="D202" i="30" s="1"/>
  <c r="F104" i="13" s="1"/>
  <c r="D201" i="30"/>
  <c r="F103" i="13" s="1"/>
  <c r="A202" i="30"/>
  <c r="B202" i="30"/>
  <c r="C202" i="30"/>
  <c r="C201" i="30"/>
  <c r="B201" i="30"/>
  <c r="A201" i="30"/>
  <c r="A200" i="30"/>
  <c r="D199" i="30"/>
  <c r="F101" i="13" s="1"/>
  <c r="I198" i="30"/>
  <c r="I197" i="30"/>
  <c r="D196" i="30"/>
  <c r="F99" i="13" s="1"/>
  <c r="D195" i="30"/>
  <c r="F98" i="13" s="1"/>
  <c r="D194" i="30"/>
  <c r="F97" i="13" s="1"/>
  <c r="D193" i="30"/>
  <c r="F96" i="13" s="1"/>
  <c r="A194" i="30"/>
  <c r="B194" i="30"/>
  <c r="C194" i="30"/>
  <c r="A195" i="30"/>
  <c r="B195" i="30"/>
  <c r="C195" i="30"/>
  <c r="A196" i="30"/>
  <c r="B196" i="30"/>
  <c r="C196" i="30"/>
  <c r="A197" i="30"/>
  <c r="B197" i="30"/>
  <c r="C197" i="30"/>
  <c r="A199" i="30"/>
  <c r="B199" i="30"/>
  <c r="C199" i="30"/>
  <c r="C193" i="30"/>
  <c r="B193" i="30"/>
  <c r="A193" i="30"/>
  <c r="A192" i="30"/>
  <c r="D184" i="30"/>
  <c r="F94" i="13" s="1"/>
  <c r="C184" i="30"/>
  <c r="B184" i="30"/>
  <c r="A184" i="30"/>
  <c r="J182" i="30"/>
  <c r="O182" i="30" s="1"/>
  <c r="J181" i="30"/>
  <c r="D176" i="30"/>
  <c r="O179" i="30" s="1"/>
  <c r="K173" i="30"/>
  <c r="I173" i="30"/>
  <c r="K172" i="30"/>
  <c r="I172" i="30"/>
  <c r="O172" i="30" s="1"/>
  <c r="A183" i="30"/>
  <c r="A174" i="30"/>
  <c r="B174" i="30"/>
  <c r="C174" i="30"/>
  <c r="A175" i="30"/>
  <c r="B175" i="30"/>
  <c r="C175" i="30"/>
  <c r="A176" i="30"/>
  <c r="B176" i="30"/>
  <c r="C176" i="30"/>
  <c r="A177" i="30"/>
  <c r="B177" i="30"/>
  <c r="C177" i="30"/>
  <c r="A180" i="30"/>
  <c r="B180" i="30"/>
  <c r="C180" i="30"/>
  <c r="A181" i="30"/>
  <c r="B181" i="30"/>
  <c r="C181" i="30"/>
  <c r="H89" i="13"/>
  <c r="C172" i="30"/>
  <c r="B172" i="30"/>
  <c r="A172" i="30"/>
  <c r="O169" i="30"/>
  <c r="O168" i="30"/>
  <c r="O167" i="30"/>
  <c r="O166" i="30"/>
  <c r="O165" i="30"/>
  <c r="Q164" i="30"/>
  <c r="D164" i="30" s="1"/>
  <c r="F83" i="13" s="1"/>
  <c r="D161" i="30"/>
  <c r="F82" i="13" s="1"/>
  <c r="D160" i="30"/>
  <c r="F81" i="13" s="1"/>
  <c r="A171" i="30"/>
  <c r="A161" i="30"/>
  <c r="B161" i="30"/>
  <c r="C161" i="30"/>
  <c r="A164" i="30"/>
  <c r="B164" i="30"/>
  <c r="C164" i="30"/>
  <c r="A165" i="30"/>
  <c r="B165" i="30"/>
  <c r="C165" i="30"/>
  <c r="C160" i="30"/>
  <c r="B160" i="30"/>
  <c r="A160" i="30"/>
  <c r="K158" i="30"/>
  <c r="K157" i="30"/>
  <c r="I158" i="30"/>
  <c r="I157" i="30"/>
  <c r="I156" i="30"/>
  <c r="Q156" i="30" s="1"/>
  <c r="I155" i="30"/>
  <c r="Q155" i="30" s="1"/>
  <c r="I154" i="30"/>
  <c r="I153" i="30"/>
  <c r="E152" i="30"/>
  <c r="E151" i="30"/>
  <c r="K150" i="30"/>
  <c r="K149" i="30"/>
  <c r="I148" i="30"/>
  <c r="N148" i="30" s="1"/>
  <c r="I147" i="30"/>
  <c r="N147" i="30" s="1"/>
  <c r="I146" i="30"/>
  <c r="O146" i="30" s="1"/>
  <c r="I145" i="30"/>
  <c r="O145" i="30" s="1"/>
  <c r="I144" i="30"/>
  <c r="Q144" i="30" s="1"/>
  <c r="I143" i="30"/>
  <c r="Q143" i="30" s="1"/>
  <c r="D141" i="30"/>
  <c r="D140" i="30"/>
  <c r="A159" i="30"/>
  <c r="A157" i="30"/>
  <c r="B157" i="30"/>
  <c r="C157" i="30"/>
  <c r="A145" i="30"/>
  <c r="B145" i="30"/>
  <c r="C145" i="30"/>
  <c r="A147" i="30"/>
  <c r="B147" i="30"/>
  <c r="C147" i="30"/>
  <c r="A153" i="30"/>
  <c r="B153" i="30"/>
  <c r="C153" i="30"/>
  <c r="A155" i="30"/>
  <c r="B155" i="30"/>
  <c r="C155" i="30"/>
  <c r="C143" i="30"/>
  <c r="B143" i="30"/>
  <c r="A143" i="30"/>
  <c r="F72" i="13"/>
  <c r="F71" i="13"/>
  <c r="A141" i="30"/>
  <c r="B141" i="30"/>
  <c r="C141" i="30"/>
  <c r="C140" i="30"/>
  <c r="B140" i="30"/>
  <c r="A140" i="30"/>
  <c r="A142" i="30"/>
  <c r="A139" i="30"/>
  <c r="A121" i="30"/>
  <c r="D133" i="30"/>
  <c r="F69" i="13" s="1"/>
  <c r="D132" i="30"/>
  <c r="F68" i="13" s="1"/>
  <c r="D131" i="30"/>
  <c r="F67" i="13" s="1"/>
  <c r="D129" i="30"/>
  <c r="F66" i="13" s="1"/>
  <c r="D128" i="30"/>
  <c r="F65" i="13" s="1"/>
  <c r="A128" i="30"/>
  <c r="B128" i="30"/>
  <c r="C128" i="30"/>
  <c r="A129" i="30"/>
  <c r="B129" i="30"/>
  <c r="C129" i="30"/>
  <c r="A131" i="30"/>
  <c r="B131" i="30"/>
  <c r="C131" i="30"/>
  <c r="A132" i="30"/>
  <c r="B132" i="30"/>
  <c r="C132" i="30"/>
  <c r="A133" i="30"/>
  <c r="B133" i="30"/>
  <c r="C133" i="30"/>
  <c r="Q127" i="30"/>
  <c r="D127" i="30" s="1"/>
  <c r="F64" i="13" s="1"/>
  <c r="C127" i="30"/>
  <c r="B127" i="30"/>
  <c r="A127" i="30"/>
  <c r="Q125" i="30"/>
  <c r="Q126" i="30"/>
  <c r="Q124" i="30"/>
  <c r="C124" i="30"/>
  <c r="B124" i="30"/>
  <c r="A124" i="30"/>
  <c r="F62" i="13"/>
  <c r="C122" i="30"/>
  <c r="B122" i="30"/>
  <c r="A122" i="30"/>
  <c r="H120" i="30"/>
  <c r="D119" i="30" s="1"/>
  <c r="F60" i="13" s="1"/>
  <c r="O118" i="30"/>
  <c r="D118" i="30" s="1"/>
  <c r="F59" i="13" s="1"/>
  <c r="C119" i="30"/>
  <c r="C118" i="30"/>
  <c r="B119" i="30"/>
  <c r="B118" i="30"/>
  <c r="A119" i="30"/>
  <c r="A118" i="30"/>
  <c r="A117" i="30"/>
  <c r="A116" i="30"/>
  <c r="H101" i="13"/>
  <c r="H88" i="13"/>
  <c r="I112" i="30"/>
  <c r="I111" i="30"/>
  <c r="C111" i="30"/>
  <c r="B111" i="30"/>
  <c r="A111" i="30"/>
  <c r="H51" i="13"/>
  <c r="H65" i="13"/>
  <c r="H64" i="13"/>
  <c r="H104" i="13"/>
  <c r="H103" i="13"/>
  <c r="H100" i="13"/>
  <c r="H98" i="13"/>
  <c r="H97" i="13"/>
  <c r="H96" i="13"/>
  <c r="H94" i="13"/>
  <c r="H92" i="13"/>
  <c r="H91" i="13"/>
  <c r="H90" i="13"/>
  <c r="H87" i="13"/>
  <c r="H86" i="13"/>
  <c r="H83" i="13"/>
  <c r="H82" i="13"/>
  <c r="H81" i="13"/>
  <c r="H79" i="13"/>
  <c r="H78" i="13"/>
  <c r="H77" i="13"/>
  <c r="H76" i="13"/>
  <c r="H75" i="13"/>
  <c r="H74" i="13"/>
  <c r="H72" i="13"/>
  <c r="H71" i="13"/>
  <c r="H69" i="13"/>
  <c r="H68" i="13"/>
  <c r="H66" i="13"/>
  <c r="H63" i="13"/>
  <c r="H62" i="13"/>
  <c r="H60" i="13"/>
  <c r="H59" i="13"/>
  <c r="P115" i="30"/>
  <c r="D100" i="30"/>
  <c r="F46" i="13" s="1"/>
  <c r="D99" i="30"/>
  <c r="F45" i="13" s="1"/>
  <c r="D98" i="30"/>
  <c r="F44" i="13" s="1"/>
  <c r="J96" i="30"/>
  <c r="I96" i="30"/>
  <c r="J95" i="30"/>
  <c r="I90" i="30"/>
  <c r="O90" i="30" s="1"/>
  <c r="I88" i="30"/>
  <c r="O88" i="30" s="1"/>
  <c r="I87" i="30"/>
  <c r="O87" i="30" s="1"/>
  <c r="I86" i="30"/>
  <c r="O91" i="30"/>
  <c r="K89" i="30"/>
  <c r="I89" i="30"/>
  <c r="K86" i="30"/>
  <c r="O84" i="30"/>
  <c r="O83" i="30"/>
  <c r="O82" i="30"/>
  <c r="O81" i="30"/>
  <c r="O80" i="30"/>
  <c r="Q79" i="30"/>
  <c r="Q78" i="30"/>
  <c r="O67" i="30"/>
  <c r="K66" i="30"/>
  <c r="K64" i="30"/>
  <c r="I66" i="30"/>
  <c r="I65" i="30"/>
  <c r="O65" i="30" s="1"/>
  <c r="I64" i="30"/>
  <c r="I63" i="30"/>
  <c r="Q63" i="30" s="1"/>
  <c r="I62" i="30"/>
  <c r="Q62" i="30" s="1"/>
  <c r="I61" i="30"/>
  <c r="Q61" i="30" s="1"/>
  <c r="I60" i="30"/>
  <c r="Q60" i="30" s="1"/>
  <c r="E59" i="30"/>
  <c r="I59" i="30"/>
  <c r="I58" i="30"/>
  <c r="I57" i="30"/>
  <c r="I56" i="30"/>
  <c r="E55" i="30"/>
  <c r="N55" i="30" s="1"/>
  <c r="E54" i="30"/>
  <c r="E53" i="30"/>
  <c r="E52" i="30"/>
  <c r="K51" i="30"/>
  <c r="E51" i="30"/>
  <c r="K50" i="30"/>
  <c r="K49" i="30"/>
  <c r="K48" i="30"/>
  <c r="I47" i="30"/>
  <c r="N47" i="30" s="1"/>
  <c r="I46" i="30"/>
  <c r="N46" i="30" s="1"/>
  <c r="I45" i="30"/>
  <c r="E49" i="30" s="1"/>
  <c r="I44" i="30"/>
  <c r="E48" i="30" s="1"/>
  <c r="I43" i="30"/>
  <c r="O43" i="30" s="1"/>
  <c r="I42" i="30"/>
  <c r="O42" i="30" s="1"/>
  <c r="I41" i="30"/>
  <c r="O41" i="30" s="1"/>
  <c r="I40" i="30"/>
  <c r="O40" i="30" s="1"/>
  <c r="I39" i="30"/>
  <c r="Q39" i="30" s="1"/>
  <c r="I38" i="30"/>
  <c r="Q38" i="30" s="1"/>
  <c r="I37" i="30"/>
  <c r="Q37" i="30" s="1"/>
  <c r="I36" i="30"/>
  <c r="Q36" i="30" s="1"/>
  <c r="D18" i="30"/>
  <c r="F19" i="13" s="1"/>
  <c r="Q17" i="30"/>
  <c r="P14" i="30"/>
  <c r="P13" i="30"/>
  <c r="P12" i="30"/>
  <c r="H9" i="30"/>
  <c r="H8" i="30"/>
  <c r="O5" i="30"/>
  <c r="C100" i="30"/>
  <c r="B100" i="30"/>
  <c r="A100" i="30"/>
  <c r="C99" i="30"/>
  <c r="B99" i="30"/>
  <c r="A99" i="30"/>
  <c r="C98" i="30"/>
  <c r="B98" i="30"/>
  <c r="A98" i="30"/>
  <c r="A97" i="30"/>
  <c r="H46" i="13"/>
  <c r="H45" i="13"/>
  <c r="H44" i="13"/>
  <c r="D197" i="30" l="1"/>
  <c r="F100" i="13" s="1"/>
  <c r="I100" i="13" s="1"/>
  <c r="I67" i="13"/>
  <c r="I103" i="13"/>
  <c r="I104" i="13"/>
  <c r="I102" i="13" s="1"/>
  <c r="G36" i="35"/>
  <c r="G41" i="35" s="1"/>
  <c r="E33" i="33"/>
  <c r="H32" i="33"/>
  <c r="G33" i="32"/>
  <c r="G38" i="32" s="1"/>
  <c r="I96" i="13"/>
  <c r="I97" i="13"/>
  <c r="I98" i="13"/>
  <c r="I181" i="30"/>
  <c r="O181" i="30" s="1"/>
  <c r="D181" i="30" s="1"/>
  <c r="F92" i="13" s="1"/>
  <c r="I92" i="13" s="1"/>
  <c r="I101" i="13"/>
  <c r="I94" i="13"/>
  <c r="I93" i="13" s="1"/>
  <c r="F89" i="13"/>
  <c r="I89" i="13" s="1"/>
  <c r="O157" i="30"/>
  <c r="D143" i="30"/>
  <c r="F74" i="13" s="1"/>
  <c r="I74" i="13" s="1"/>
  <c r="O173" i="30"/>
  <c r="D172" i="30" s="1"/>
  <c r="D155" i="30"/>
  <c r="F78" i="13" s="1"/>
  <c r="I78" i="13" s="1"/>
  <c r="I83" i="13"/>
  <c r="O175" i="30"/>
  <c r="D175" i="30" s="1"/>
  <c r="D165" i="30"/>
  <c r="F84" i="13" s="1"/>
  <c r="I84" i="13" s="1"/>
  <c r="I81" i="13"/>
  <c r="I82" i="13"/>
  <c r="O158" i="30"/>
  <c r="D145" i="30"/>
  <c r="F75" i="13" s="1"/>
  <c r="I75" i="13" s="1"/>
  <c r="E149" i="30"/>
  <c r="N149" i="30" s="1"/>
  <c r="E150" i="30"/>
  <c r="N150" i="30" s="1"/>
  <c r="I151" i="30"/>
  <c r="I152" i="30"/>
  <c r="I71" i="13"/>
  <c r="I72" i="13"/>
  <c r="I69" i="13"/>
  <c r="I65" i="13"/>
  <c r="I68" i="13"/>
  <c r="I66" i="13"/>
  <c r="D111" i="30"/>
  <c r="F51" i="13" s="1"/>
  <c r="I51" i="13" s="1"/>
  <c r="D124" i="30"/>
  <c r="F63" i="13" s="1"/>
  <c r="I63" i="13" s="1"/>
  <c r="I64" i="13"/>
  <c r="I62" i="13"/>
  <c r="I60" i="13"/>
  <c r="I59" i="13"/>
  <c r="O89" i="30"/>
  <c r="O96" i="30"/>
  <c r="I46" i="13"/>
  <c r="O86" i="30"/>
  <c r="I45" i="13"/>
  <c r="I44" i="13"/>
  <c r="O64" i="30"/>
  <c r="O66" i="30"/>
  <c r="N59" i="30"/>
  <c r="E50" i="30"/>
  <c r="N50" i="30" s="1"/>
  <c r="N51" i="30"/>
  <c r="N48" i="30"/>
  <c r="N49" i="30"/>
  <c r="N44" i="30"/>
  <c r="I52" i="30"/>
  <c r="I54" i="30"/>
  <c r="I53" i="30"/>
  <c r="N45" i="30"/>
  <c r="A3" i="30"/>
  <c r="I95" i="13" l="1"/>
  <c r="E34" i="33"/>
  <c r="H34" i="33" s="1"/>
  <c r="H33" i="33"/>
  <c r="G38" i="33" s="1"/>
  <c r="G43" i="33" s="1"/>
  <c r="I80" i="13"/>
  <c r="D157" i="30"/>
  <c r="F79" i="13" s="1"/>
  <c r="I79" i="13" s="1"/>
  <c r="O174" i="30"/>
  <c r="D174" i="30" s="1"/>
  <c r="F86" i="13"/>
  <c r="I86" i="13" s="1"/>
  <c r="O178" i="30"/>
  <c r="F88" i="13"/>
  <c r="I88" i="13" s="1"/>
  <c r="I58" i="13"/>
  <c r="N152" i="30"/>
  <c r="E154" i="30"/>
  <c r="N154" i="30" s="1"/>
  <c r="N151" i="30"/>
  <c r="E153" i="30"/>
  <c r="N153" i="30" s="1"/>
  <c r="I70" i="13"/>
  <c r="I61" i="13"/>
  <c r="I43" i="13"/>
  <c r="N52" i="30"/>
  <c r="E56" i="30"/>
  <c r="N56" i="30" s="1"/>
  <c r="N53" i="30"/>
  <c r="E57" i="30"/>
  <c r="N57" i="30" s="1"/>
  <c r="N54" i="30"/>
  <c r="E58" i="30"/>
  <c r="N58" i="30" s="1"/>
  <c r="C80" i="30"/>
  <c r="B80" i="30"/>
  <c r="A80" i="30"/>
  <c r="H36" i="13"/>
  <c r="H33" i="31"/>
  <c r="H27" i="31"/>
  <c r="O177" i="30" l="1"/>
  <c r="D177" i="30" s="1"/>
  <c r="F87" i="13"/>
  <c r="I87" i="13" s="1"/>
  <c r="D153" i="30"/>
  <c r="F77" i="13" s="1"/>
  <c r="I77" i="13" s="1"/>
  <c r="D147" i="30"/>
  <c r="F76" i="13" s="1"/>
  <c r="I76" i="13" s="1"/>
  <c r="D80" i="30"/>
  <c r="F36" i="13" s="1"/>
  <c r="I36" i="13" s="1"/>
  <c r="C95" i="30"/>
  <c r="B95" i="30"/>
  <c r="A95" i="30"/>
  <c r="H42" i="13"/>
  <c r="A69" i="30"/>
  <c r="B69" i="30"/>
  <c r="C69" i="30"/>
  <c r="D115" i="30"/>
  <c r="F54" i="13" s="1"/>
  <c r="D114" i="30"/>
  <c r="F53" i="13" s="1"/>
  <c r="D110" i="30"/>
  <c r="F50" i="13" s="1"/>
  <c r="D109" i="30"/>
  <c r="F49" i="13" s="1"/>
  <c r="D108" i="30"/>
  <c r="F48" i="13" s="1"/>
  <c r="C114" i="30"/>
  <c r="B114" i="30"/>
  <c r="A114" i="30"/>
  <c r="A113" i="30"/>
  <c r="A109" i="30"/>
  <c r="B109" i="30"/>
  <c r="C109" i="30"/>
  <c r="A110" i="30"/>
  <c r="B110" i="30"/>
  <c r="C110" i="30"/>
  <c r="A93" i="30"/>
  <c r="B93" i="30"/>
  <c r="C93" i="30"/>
  <c r="C92" i="30"/>
  <c r="B92" i="30"/>
  <c r="A92" i="30"/>
  <c r="A74" i="30"/>
  <c r="B74" i="30"/>
  <c r="C74" i="30"/>
  <c r="C64" i="30"/>
  <c r="B64" i="30"/>
  <c r="A64" i="30"/>
  <c r="C60" i="30"/>
  <c r="B60" i="30"/>
  <c r="A60" i="30"/>
  <c r="C56" i="30"/>
  <c r="B56" i="30"/>
  <c r="A56" i="30"/>
  <c r="A32" i="30"/>
  <c r="A24" i="30"/>
  <c r="B24" i="30"/>
  <c r="C24" i="30"/>
  <c r="D23" i="30"/>
  <c r="F20" i="13" s="1"/>
  <c r="C23" i="30"/>
  <c r="B23" i="30"/>
  <c r="A23" i="30"/>
  <c r="C18" i="30"/>
  <c r="B18" i="30"/>
  <c r="A18" i="30"/>
  <c r="D11" i="30"/>
  <c r="F17" i="13" s="1"/>
  <c r="D6" i="30"/>
  <c r="F15" i="13" s="1"/>
  <c r="H54" i="13"/>
  <c r="H53" i="13"/>
  <c r="H50" i="13"/>
  <c r="H49" i="13"/>
  <c r="H48" i="13"/>
  <c r="O180" i="30" l="1"/>
  <c r="D180" i="30" s="1"/>
  <c r="F91" i="13" s="1"/>
  <c r="I91" i="13" s="1"/>
  <c r="F90" i="13"/>
  <c r="I90" i="13" s="1"/>
  <c r="I73" i="13"/>
  <c r="D74" i="30"/>
  <c r="F34" i="13" s="1"/>
  <c r="D69" i="30"/>
  <c r="D78" i="30"/>
  <c r="F35" i="13" s="1"/>
  <c r="D64" i="30"/>
  <c r="F31" i="13" s="1"/>
  <c r="D36" i="30"/>
  <c r="F26" i="13" s="1"/>
  <c r="D24" i="30"/>
  <c r="F21" i="13" s="1"/>
  <c r="D34" i="30"/>
  <c r="F24" i="13" s="1"/>
  <c r="I54" i="13"/>
  <c r="I53" i="13"/>
  <c r="I50" i="13"/>
  <c r="H40" i="13"/>
  <c r="H39" i="13"/>
  <c r="H35" i="13"/>
  <c r="H34" i="13"/>
  <c r="H31" i="13"/>
  <c r="H30" i="13"/>
  <c r="H29" i="13"/>
  <c r="H21" i="13"/>
  <c r="H20" i="13"/>
  <c r="I20" i="13" s="1"/>
  <c r="H19" i="13"/>
  <c r="I85" i="13" l="1"/>
  <c r="I56" i="13"/>
  <c r="D10" i="25" s="1"/>
  <c r="G10" i="25" s="1"/>
  <c r="G12" i="25" s="1"/>
  <c r="F33" i="13"/>
  <c r="I95" i="30"/>
  <c r="O95" i="30" s="1"/>
  <c r="D95" i="30" s="1"/>
  <c r="F42" i="13" s="1"/>
  <c r="I42" i="13" s="1"/>
  <c r="D44" i="30"/>
  <c r="F28" i="13" s="1"/>
  <c r="I21" i="13"/>
  <c r="I52" i="13"/>
  <c r="I19" i="13"/>
  <c r="D60" i="30"/>
  <c r="D56" i="30"/>
  <c r="D40" i="30"/>
  <c r="F27" i="13" s="1"/>
  <c r="I34" i="13"/>
  <c r="I31" i="13"/>
  <c r="F30" i="13" l="1"/>
  <c r="I30" i="13" s="1"/>
  <c r="F29" i="13"/>
  <c r="I29" i="13" s="1"/>
  <c r="H15" i="13" l="1"/>
  <c r="H41" i="13" l="1"/>
  <c r="H38" i="13"/>
  <c r="H33" i="13"/>
  <c r="H28" i="13"/>
  <c r="H27" i="13"/>
  <c r="H26" i="13"/>
  <c r="H24" i="13"/>
  <c r="H23" i="13"/>
  <c r="H18" i="13"/>
  <c r="H17" i="13"/>
  <c r="H14" i="13"/>
  <c r="H28" i="31" l="1"/>
  <c r="G29" i="31" s="1"/>
  <c r="G38" i="31"/>
  <c r="H34" i="31"/>
  <c r="H32" i="31"/>
  <c r="G35" i="31" l="1"/>
  <c r="G22" i="31"/>
  <c r="G24" i="31" s="1"/>
  <c r="G40" i="31" l="1"/>
  <c r="I49" i="13" l="1"/>
  <c r="I48" i="13"/>
  <c r="A107" i="30"/>
  <c r="C115" i="30"/>
  <c r="B115" i="30"/>
  <c r="A115" i="30"/>
  <c r="C108" i="30"/>
  <c r="B108" i="30"/>
  <c r="A108" i="30"/>
  <c r="C94" i="30"/>
  <c r="B94" i="30"/>
  <c r="A94" i="30"/>
  <c r="C86" i="30"/>
  <c r="B86" i="30"/>
  <c r="A86" i="30"/>
  <c r="A85" i="30"/>
  <c r="I33" i="13"/>
  <c r="C78" i="30"/>
  <c r="B78" i="30"/>
  <c r="A78" i="30"/>
  <c r="A68" i="30"/>
  <c r="C44" i="30"/>
  <c r="B44" i="30"/>
  <c r="A44" i="30"/>
  <c r="C40" i="30"/>
  <c r="B40" i="30"/>
  <c r="A40" i="30"/>
  <c r="C36" i="30"/>
  <c r="B36" i="30"/>
  <c r="A36" i="30"/>
  <c r="A35" i="30"/>
  <c r="C34" i="30"/>
  <c r="B34" i="30"/>
  <c r="A34" i="30"/>
  <c r="D33" i="30"/>
  <c r="F23" i="13" s="1"/>
  <c r="C33" i="30"/>
  <c r="B33" i="30"/>
  <c r="A33" i="30"/>
  <c r="A17" i="30"/>
  <c r="B17" i="30"/>
  <c r="C17" i="30"/>
  <c r="C11" i="30"/>
  <c r="B11" i="30"/>
  <c r="A11" i="30"/>
  <c r="A10" i="30"/>
  <c r="I15" i="13"/>
  <c r="A6" i="30"/>
  <c r="B6" i="30"/>
  <c r="C6" i="30"/>
  <c r="I47" i="13" l="1"/>
  <c r="D5" i="30"/>
  <c r="I35" i="13"/>
  <c r="I32" i="13" s="1"/>
  <c r="I23" i="13"/>
  <c r="I17" i="13"/>
  <c r="D17" i="30"/>
  <c r="D86" i="30"/>
  <c r="F38" i="13" s="1"/>
  <c r="I27" i="13"/>
  <c r="I26" i="13"/>
  <c r="I24" i="13"/>
  <c r="C5" i="30"/>
  <c r="B5" i="30"/>
  <c r="A5" i="30"/>
  <c r="O92" i="30" l="1"/>
  <c r="F18" i="13"/>
  <c r="I18" i="13" s="1"/>
  <c r="I16" i="13" s="1"/>
  <c r="F14" i="13"/>
  <c r="I14" i="13" s="1"/>
  <c r="I22" i="13"/>
  <c r="I38" i="13"/>
  <c r="D92" i="30"/>
  <c r="O93" i="30" l="1"/>
  <c r="D93" i="30" s="1"/>
  <c r="F39" i="13"/>
  <c r="I39" i="13" s="1"/>
  <c r="F10" i="25"/>
  <c r="I28" i="13"/>
  <c r="O94" i="30" l="1"/>
  <c r="D94" i="30" s="1"/>
  <c r="F41" i="13" s="1"/>
  <c r="I41" i="13" s="1"/>
  <c r="F40" i="13"/>
  <c r="I40" i="13" s="1"/>
  <c r="I25" i="13"/>
  <c r="I37" i="13" l="1"/>
  <c r="A4" i="30"/>
  <c r="A31" i="27" l="1"/>
  <c r="J20" i="27"/>
  <c r="J17" i="27"/>
  <c r="J25" i="27" l="1"/>
  <c r="I13" i="13"/>
  <c r="P15" i="27"/>
  <c r="Q15" i="27"/>
  <c r="Q16" i="27"/>
  <c r="I11" i="13" l="1"/>
  <c r="G105" i="13" s="1"/>
  <c r="O18" i="27"/>
  <c r="P18" i="27"/>
  <c r="Q17" i="27"/>
  <c r="P14" i="27"/>
  <c r="Q18" i="27"/>
  <c r="O14" i="27"/>
  <c r="Q14" i="27"/>
  <c r="P16" i="27"/>
  <c r="P17" i="27"/>
  <c r="O16" i="27"/>
  <c r="O17" i="27"/>
  <c r="O15" i="27"/>
  <c r="D8" i="25" l="1"/>
  <c r="E8" i="25" s="1"/>
  <c r="E12" i="25" s="1"/>
  <c r="A5" i="25"/>
  <c r="A4" i="25"/>
  <c r="A3" i="25"/>
  <c r="F8" i="25" l="1"/>
  <c r="F12" i="25" s="1"/>
  <c r="D12" i="25"/>
  <c r="G11" i="25" s="1"/>
  <c r="D7" i="25" l="1"/>
  <c r="F11" i="25"/>
  <c r="E11" i="25"/>
  <c r="D9" i="25"/>
  <c r="D3" i="25"/>
  <c r="D11" i="25" l="1"/>
</calcChain>
</file>

<file path=xl/sharedStrings.xml><?xml version="1.0" encoding="utf-8"?>
<sst xmlns="http://schemas.openxmlformats.org/spreadsheetml/2006/main" count="943" uniqueCount="425">
  <si>
    <t>ITEM</t>
  </si>
  <si>
    <t>DESCRIÇÃO</t>
  </si>
  <si>
    <t>PLANILHA ORÇAMENTÁRIA DE CUSTOS</t>
  </si>
  <si>
    <t>CÓDIGO</t>
  </si>
  <si>
    <t>DIRETA</t>
  </si>
  <si>
    <t>INDIRETA</t>
  </si>
  <si>
    <t>(    )</t>
  </si>
  <si>
    <t xml:space="preserve">FORMA DE EXECUÇÃO: </t>
  </si>
  <si>
    <t>m²</t>
  </si>
  <si>
    <t>m</t>
  </si>
  <si>
    <t>Físico %</t>
  </si>
  <si>
    <t>Financeiro</t>
  </si>
  <si>
    <t>UNID.</t>
  </si>
  <si>
    <t>TOTAL</t>
  </si>
  <si>
    <t>QUANT.</t>
  </si>
  <si>
    <t>PREÇO UNITÁRIO S/ BDI</t>
  </si>
  <si>
    <t xml:space="preserve">CUSTO TOTAL </t>
  </si>
  <si>
    <t>CUSTO UNITÁRIO C/ BDI</t>
  </si>
  <si>
    <t xml:space="preserve">VALOR TOTAL </t>
  </si>
  <si>
    <t>DATA:</t>
  </si>
  <si>
    <t>( X )</t>
  </si>
  <si>
    <t>COMPOSIÇÃO/DEMONSTRATIVO DE BDI - EM ANEXO</t>
  </si>
  <si>
    <t>% ISS MUNICIPAL:</t>
  </si>
  <si>
    <t>BDI:</t>
  </si>
  <si>
    <t>FONTE</t>
  </si>
  <si>
    <t>SEINFRA</t>
  </si>
  <si>
    <t>CRONOGRAMA FÍSICO-FINANCEIRO</t>
  </si>
  <si>
    <t>ETAPAS/DESCRIÇÃO</t>
  </si>
  <si>
    <t>FÍSICO/ FINANCEIRO</t>
  </si>
  <si>
    <t>TOTAL  ETAPAS</t>
  </si>
  <si>
    <t>MÊS 1</t>
  </si>
  <si>
    <t>MÊS 2</t>
  </si>
  <si>
    <t>MÊS 3</t>
  </si>
  <si>
    <t>MÊS 4</t>
  </si>
  <si>
    <t>Observações:</t>
  </si>
  <si>
    <t xml:space="preserve">Nº DE FOLHAS: </t>
  </si>
  <si>
    <t>VALOR DA OBRA:</t>
  </si>
  <si>
    <t>COMPOSIÇÃO DO BDI</t>
  </si>
  <si>
    <t>L</t>
  </si>
  <si>
    <t>SG</t>
  </si>
  <si>
    <t>R</t>
  </si>
  <si>
    <t>Conforme legislação tributária municipal, definir estimativa de percentual da base de cálculo para o ISS:</t>
  </si>
  <si>
    <t>DF</t>
  </si>
  <si>
    <t>Sobre a base de cálculo, definir a respectiva alíquota do ISS (entre 2% e 5%):</t>
  </si>
  <si>
    <t>TIPO DE OBRA</t>
  </si>
  <si>
    <t>Itens</t>
  </si>
  <si>
    <t>Siglas</t>
  </si>
  <si>
    <t>% Adotado</t>
  </si>
  <si>
    <t>Situação</t>
  </si>
  <si>
    <t>1º Quartil</t>
  </si>
  <si>
    <t>Médio</t>
  </si>
  <si>
    <t>3º Quartil</t>
  </si>
  <si>
    <t>AC</t>
  </si>
  <si>
    <t>Administração Central</t>
  </si>
  <si>
    <t>-</t>
  </si>
  <si>
    <t>Lucro</t>
  </si>
  <si>
    <t>Despesas Financeiras</t>
  </si>
  <si>
    <t>Seguros, Garantia e Risco</t>
  </si>
  <si>
    <t>Seguros e Garantia</t>
  </si>
  <si>
    <t>Riscos</t>
  </si>
  <si>
    <t>Tributos</t>
  </si>
  <si>
    <t>I</t>
  </si>
  <si>
    <t>ISS</t>
  </si>
  <si>
    <t>PIS</t>
  </si>
  <si>
    <t>COFINS</t>
  </si>
  <si>
    <t>COF.</t>
  </si>
  <si>
    <t>CPRB (0 OU 4,5% - DESONERAÇÃO)</t>
  </si>
  <si>
    <t>BDI sem desoneração</t>
  </si>
  <si>
    <t>BDI</t>
  </si>
  <si>
    <t>Os valores de BDI foram calculados com o emprego da fórmula:</t>
  </si>
  <si>
    <t>BDI =</t>
  </si>
  <si>
    <t>(1 + AC + S+ R + G)*(1 + DF)*(1 + L)</t>
  </si>
  <si>
    <t xml:space="preserve"> - 1</t>
  </si>
  <si>
    <t>(1-CP-ISS-CRPB)</t>
  </si>
  <si>
    <t>Local</t>
  </si>
  <si>
    <t>Data</t>
  </si>
  <si>
    <t>Responsável Técnico</t>
  </si>
  <si>
    <t>Nome:</t>
  </si>
  <si>
    <t>CREA-MG:</t>
  </si>
  <si>
    <t>S+R+G</t>
  </si>
  <si>
    <t>CRPB</t>
  </si>
  <si>
    <t>Eng.º Civil - CREA-MG 64.880/D</t>
  </si>
  <si>
    <t>SUBTOTAL:</t>
  </si>
  <si>
    <t>MEMÓRIA DE CÁLCULO</t>
  </si>
  <si>
    <t>UND.</t>
  </si>
  <si>
    <t>QNT.</t>
  </si>
  <si>
    <t>COMP.</t>
  </si>
  <si>
    <t>LARGURA</t>
  </si>
  <si>
    <t>ALTURA</t>
  </si>
  <si>
    <t>DESCONTOS</t>
  </si>
  <si>
    <t>ÁREA (M²)</t>
  </si>
  <si>
    <t>VOLUME (M³)</t>
  </si>
  <si>
    <t>LOCAIS E DETALHES</t>
  </si>
  <si>
    <t>RAIO</t>
  </si>
  <si>
    <t>SERVIÇOS PRELIMINARES</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</si>
  <si>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</si>
  <si>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</si>
  <si>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m³</t>
  </si>
  <si>
    <t>ED-51093</t>
  </si>
  <si>
    <t>APILOAMENTO MANUAL EM FUNDO DE VALA COM SOQUETE, EXCLUSIVE ESCAVAÇÃO</t>
  </si>
  <si>
    <t>Kg</t>
  </si>
  <si>
    <t>Nº FACES/PEÇAS</t>
  </si>
  <si>
    <t>Nº GERAL</t>
  </si>
  <si>
    <t>Estado de Minas Gerais</t>
  </si>
  <si>
    <t>(A) Equipamento</t>
  </si>
  <si>
    <t>Código</t>
  </si>
  <si>
    <t>Ut. Pr.</t>
  </si>
  <si>
    <t>Ut. Impr</t>
  </si>
  <si>
    <t>Vl. Hr. Prod</t>
  </si>
  <si>
    <t>Vl. Hr Imp.</t>
  </si>
  <si>
    <t>Consumo</t>
  </si>
  <si>
    <t>Custo Horário</t>
  </si>
  <si>
    <t>(A) Total:</t>
  </si>
  <si>
    <t>(B) Mão-de-obra</t>
  </si>
  <si>
    <t>Eq. Salarial</t>
  </si>
  <si>
    <t>Sal/Hora</t>
  </si>
  <si>
    <t>Encargos (%)</t>
  </si>
  <si>
    <t>(B) Total:</t>
  </si>
  <si>
    <t>(C) Itens de Incidência</t>
  </si>
  <si>
    <t>%</t>
  </si>
  <si>
    <t>M.O.</t>
  </si>
  <si>
    <t>Equip.</t>
  </si>
  <si>
    <t>Mat.</t>
  </si>
  <si>
    <t>Custo</t>
  </si>
  <si>
    <t>(C) Total:</t>
  </si>
  <si>
    <t xml:space="preserve">Custo Horário da Execução (A) + (B) + (C) </t>
  </si>
  <si>
    <t>(D) Produção da Equipe</t>
  </si>
  <si>
    <t>(E) Custo Unitário da Execução [(A) + (B) + (C)] / (D)</t>
  </si>
  <si>
    <t>(F) Materiais</t>
  </si>
  <si>
    <t>Unid.</t>
  </si>
  <si>
    <t>Custo Unitário</t>
  </si>
  <si>
    <t>Custo Geral</t>
  </si>
  <si>
    <t>(F) Total:</t>
  </si>
  <si>
    <t>(G) Serviços</t>
  </si>
  <si>
    <t>(G) Total:</t>
  </si>
  <si>
    <t>(H) Itens de Transporte</t>
  </si>
  <si>
    <t>Fórmula</t>
  </si>
  <si>
    <t>X1 X2 X3</t>
  </si>
  <si>
    <t>(H) Total:</t>
  </si>
  <si>
    <t>Custo Direto Total (E) + (F) + (G) + (H):</t>
  </si>
  <si>
    <t>Flávio L. Greco S.</t>
  </si>
  <si>
    <t>SERVENTE COM ENCARGOS COMPLEMENTARES</t>
  </si>
  <si>
    <t>ED-50367
SEINFRA</t>
  </si>
  <si>
    <t>H</t>
  </si>
  <si>
    <t>PEDREIRO COM ENCARGOS COMPLEMENTARES</t>
  </si>
  <si>
    <t>ED-50381
SEINFRA</t>
  </si>
  <si>
    <r>
      <rPr>
        <b/>
        <sz val="9"/>
        <rFont val="Arial Nova"/>
        <family val="2"/>
      </rPr>
      <t>FOLHA N</t>
    </r>
    <r>
      <rPr>
        <b/>
        <sz val="9"/>
        <rFont val="Calibri"/>
        <family val="2"/>
        <scheme val="minor"/>
      </rPr>
      <t>º</t>
    </r>
    <r>
      <rPr>
        <b/>
        <sz val="9"/>
        <rFont val="Arial Nova"/>
        <family val="2"/>
      </rPr>
      <t>:</t>
    </r>
    <r>
      <rPr>
        <sz val="9"/>
        <rFont val="Arial Nova"/>
        <family val="2"/>
      </rPr>
      <t xml:space="preserve"> 01/01</t>
    </r>
  </si>
  <si>
    <t>PREFEITURA MUNICIPAL DE MARAVILHAS</t>
  </si>
  <si>
    <t>ED-17989</t>
  </si>
  <si>
    <t>LOCAÇÃO DE OBRA COM GABARITO DE TÁBUAS CORRIDAS PONTALETADAS A CADA 2,00M, REAPROVEITAMENTO (2X), INCLUSIVE ACOMPANHAMENTO DE EQUIPE TOPOGRÁFICA PARA MARCAÇÃO DE PONTO TOPOGRÁFICO</t>
  </si>
  <si>
    <t>ED-48479</t>
  </si>
  <si>
    <t>DEMOLIÇÃO MANUAL DE PISO CIMENTADO OU CONTRAPISO DE ARGAMASSA, COM ESPESSURA MÁXIMA DE 10CM, INCLUSIVE AFASTAMENTO E EMPILHAMENTO, EXCLUSIVE TRANSPORTE E RETIRADA DO MATERIAL DEMOLIDO</t>
  </si>
  <si>
    <t>DEMOLIÇÃO / REMOÇÃO</t>
  </si>
  <si>
    <t>ED-48435</t>
  </si>
  <si>
    <t>DEMOLIÇÃO MANUAL DE ALVENARIA DE TIJOLO CERÂMICO OU BLOCO DE CONCRETO,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</si>
  <si>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</si>
  <si>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</si>
  <si>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ED-50699</t>
  </si>
  <si>
    <t>CORTE DE ÁRVORE COM MOTOSSERRA, DIÂMETRO DO TRONCO ACIMA DE TRINTA (30) CENTÍMETROS ATÉ CINQUENTA (50) CENTÍMETROS, EXCLUSIVE DESTOCAMENTO E AFASTAMENTO</t>
  </si>
  <si>
    <t>MOVIMENTAÇÃO DE TERRA</t>
  </si>
  <si>
    <t>ED-51110</t>
  </si>
  <si>
    <t>ESCAVAÇÃO MANUAL DE TERRA (DESATERRO MANUAL), INCLUSIVE DESCARGA LATERAL, EXCLUSIVE RETIRADA E TRANSPORTE DO MATERIAL ESCAVADO</t>
  </si>
  <si>
    <t>ED-51121</t>
  </si>
  <si>
    <t>REATERRO MANUAL DE VALA, INCLUSIVE ESPALHAMENTO E COMPACTAÇÃO MECANIZADA COM PLACA VIBRATÓRIA</t>
  </si>
  <si>
    <t>MURO DE ARRIMO</t>
  </si>
  <si>
    <t>ED-51107</t>
  </si>
  <si>
    <t>ESCAVAÇÃO MANUAL DE VALA COM PROFUNDIDADE MENOR OU IGUAL A 1,5M, INCLUSIVE DESCARGA LATERAL</t>
  </si>
  <si>
    <t>ED-49786</t>
  </si>
  <si>
    <t>FORNECIMENTO DE CONCRETO ESTRUTURAL, PREPARADO EM OBRA COM BETONEIRA, COM FCK 20MPA, INCLUSIVE LANÇAMENTO, ADENSAMENTO E ACABAMENTO (FUNDAÇÃO)</t>
  </si>
  <si>
    <t>ED-48220</t>
  </si>
  <si>
    <t>ALVENARIA DE BLOCO DE CONCRETO CHEIO SEM ARMAÇÃO, EM CONCRETO COM FCK DE 20MPA , ESP. 19CM, PARA REVESTIMENTO, INCLUSIVE ARGAMASSA PARA ASSENTAMENTO (DETALHE D - CADERNO SEDS)</t>
  </si>
  <si>
    <t>PISOS</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</si>
  <si>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</si>
  <si>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</si>
  <si>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ED-50846</t>
  </si>
  <si>
    <t>ESCADA DE CONCRETO 20 MPa, APARENTE, ESPELHO = 15 A 18 CM, ARMAÇÃO, FÔRMA PLASTIFICADA, ESCORAMENTO E DESFORMA</t>
  </si>
  <si>
    <t>ED-50727</t>
  </si>
  <si>
    <t>CHAPISCO COM ARGAMASSA, TRAÇO 1:3 (CIMENTO E AREIA), ESP. 5MM, APLICADO EM ALVENARIA/ESTRUTURA DE CONCRETO COM COLHER, INCLUSIVE ARGAMASSA COM PREPARO MECANIZADO</t>
  </si>
  <si>
    <t>ED-6282</t>
  </si>
  <si>
    <t>REBOCO COM ARGAMASSA, TRAÇO 1:2:8 (CIMENTO, CAL E AREIA), ESP. 25MM, APLICAÇÃO MANUAL, INCLUSIVE ARGAMASSA COM PREPARO MECANIZADO</t>
  </si>
  <si>
    <t>ED-6288</t>
  </si>
  <si>
    <r>
      <t xml:space="preserve">REBOCO COM ARGAMASSA, TRAÇO 1:2:8 (CIMENTO, CAL E AREIA), ESP. 40MM, APLICAÇÃO MANUAL, INCLUSIVE ARGAMASSA COM PREPARO MECANIZADO </t>
    </r>
    <r>
      <rPr>
        <b/>
        <sz val="12"/>
        <rFont val="Arial"/>
        <family val="2"/>
      </rPr>
      <t>(PREENCHIMENTO)</t>
    </r>
  </si>
  <si>
    <t>ED-50505</t>
  </si>
  <si>
    <t>LIXAMENTO MANUAL EM PAREDE PARA REMOÇÃO DE TINTA</t>
  </si>
  <si>
    <t>ED-50514</t>
  </si>
  <si>
    <t>PREPARAÇÃO PARA EMASSAMENTO OU PINTURA (LÁTEX/ACRÍLICA) EM PAREDE, INCLUSIVE UMA (1) DEMÃO DE SELADOR ACRÍLICO</t>
  </si>
  <si>
    <t>ED-50451</t>
  </si>
  <si>
    <t>PINTURA ACRÍLICA EM PAREDE, DUAS (2) DEMÃOS, COM APLICAÇÃO MANUAL, EXCLUSIVE SELADOR ACRÍLICO E MASSA ACRÍLICA/CORRIDA (PVA)</t>
  </si>
  <si>
    <t>REVESTIMENTOS E PINTURA</t>
  </si>
  <si>
    <t>MOBILIÁRIO URBANO E ILUMINAÇÃO</t>
  </si>
  <si>
    <t>SINAPI</t>
  </si>
  <si>
    <t>101654</t>
  </si>
  <si>
    <t>LUMINÁRIA DE LED PARA ILUMINAÇÃO PÚBLICA, DE 33 W ATÉ 50 W - FORNECIMENTO E INSTALAÇÃO. AF_02/2025_PS</t>
  </si>
  <si>
    <t>ED-22380</t>
  </si>
  <si>
    <t>POSTE DE AÇO GALVANIZADO, ALTURA LIVRE MÍNIMA DE 6M, COM 2 REFLETORES DE LED, POTÊNCIA DE 200W CADA, INCLUSIVE FIAÇÃO, SUPORTE E FUNDAÇÃO</t>
  </si>
  <si>
    <t>ENTREGA DE OBRA</t>
  </si>
  <si>
    <t>ED-50634</t>
  </si>
  <si>
    <t>PLACA DE ALUMÍNIO FUNDIDO, DIMENSÃO (60X40)CM, PARA INAUGURAÇÃO, INCLUSIVE FIXAÇÃO</t>
  </si>
  <si>
    <t>ED-50266</t>
  </si>
  <si>
    <t>LIMPEZA FINAL PARA ENTREGA DA OBRA</t>
  </si>
  <si>
    <t>ÁREA (M²)
POLYLINES</t>
  </si>
  <si>
    <t>PLACA DE 2,40X1,20, PADRÃO DO MUNICÍPIO</t>
  </si>
  <si>
    <t>PERÍMETRO</t>
  </si>
  <si>
    <t>ED-50702</t>
  </si>
  <si>
    <t>DESMATAMENTO, DESTOCAMENTO E LIMPEZA, INCLUSIVE TRANSPORTE ATÉ CINQUENTA (50) METROS</t>
  </si>
  <si>
    <t>ED-48295</t>
  </si>
  <si>
    <t>CORTE, DOBRA E MONTAGEM DE AÇO CA-50, DIÂMETRO (6,3MM A 12,5MM), INCLUSIVE ESPAÇADOR</t>
  </si>
  <si>
    <t>ED-48297</t>
  </si>
  <si>
    <t>CORTE, DOBRA E MONTAGEM DE AÇO CA-60, DIÂMETRO (4,2MM A 5,0MM), INCLUSIVE ESPAÇADOR</t>
  </si>
  <si>
    <t>PESO NOMINAL
(KG/M)</t>
  </si>
  <si>
    <t>PESO TOTAL (KG)</t>
  </si>
  <si>
    <t>MESMO QUE A ÁREA DE CHAPISCO</t>
  </si>
  <si>
    <t>UMA UNIDADE</t>
  </si>
  <si>
    <t>CNPJ: 18.313.841/0001-14</t>
  </si>
  <si>
    <t>RO-13906</t>
  </si>
  <si>
    <t>CAIAÇÃO MANUAL, TRÊS DEMÃOS (EXECUÇÃO, INCLUI FORNECIMENTO E APLICAÇÃO DA CAL HIDRATADA PARA CAIAÇÃO)</t>
  </si>
  <si>
    <t>Município de Maravilhas</t>
  </si>
  <si>
    <t>UNIDADE: m² (Metro quadrado)</t>
  </si>
  <si>
    <t>ARGAMASSA COLANTE (TIPO: AC-III|UTILIZAÇÃO: AMBIENTES INTERNOS E EXTERNOS)</t>
  </si>
  <si>
    <t>MATED-12352
SEINFRA</t>
  </si>
  <si>
    <t>REVESTIMENTO DE PISO COM PEDRA MIRACEMA NA COR CINZA, PEÇAS COM 11,5X23CM, ESP. 1CM, ACABAMENTO NATURAL, INCLUSIVE FORNECIMENTO DO MATERIAL DE REVESTIMENTO, ASSENTAMENTO COM ARGAMASSA INDUSTRIALIZADA E REJUNTAMENTO</t>
  </si>
  <si>
    <t>PEDRA MIRACEMA PARA REVESTIMENTO EM PISO, COR: CINZA | COMPRIMENTO: 23CM | LARGURA 11,5CM | ESPESSURA: 1CM</t>
  </si>
  <si>
    <t>COTAÇÃO</t>
  </si>
  <si>
    <t>APLICAÇÃO DE REJUNTE CIMENTÍCIO COLORIDO INDUSTRIALIZADO PARA REVESTIMENTOS DE PAREDE/PISO COM JUNTAS DE ATÉ 3MM DE ESPESSURA</t>
  </si>
  <si>
    <t>ED-50718
SEINFRA</t>
  </si>
  <si>
    <t>COMPOSIÇÃO</t>
  </si>
  <si>
    <t>MUNICÍPIO DE MARAVILHAS</t>
  </si>
  <si>
    <t>PREVISÃO DE EXECUÇÃO DAS OBRAS: 03 MESES</t>
  </si>
  <si>
    <t>Obra de paisagismo</t>
  </si>
  <si>
    <t>MARAVILHAS-MG</t>
  </si>
  <si>
    <r>
      <rPr>
        <b/>
        <sz val="12"/>
        <rFont val="Arial"/>
        <family val="2"/>
      </rPr>
      <t>OBRA:</t>
    </r>
    <r>
      <rPr>
        <sz val="12"/>
        <rFont val="Arial"/>
        <family val="2"/>
      </rPr>
      <t xml:space="preserve"> Reforma da Praça 21 de Abril e Praça 13 de Maio</t>
    </r>
  </si>
  <si>
    <r>
      <rPr>
        <b/>
        <sz val="12"/>
        <color theme="1"/>
        <rFont val="Arial"/>
        <family val="2"/>
      </rPr>
      <t>LOCAL:</t>
    </r>
    <r>
      <rPr>
        <sz val="12"/>
        <color theme="1"/>
        <rFont val="Arial"/>
        <family val="2"/>
      </rPr>
      <t xml:space="preserve"> Praça 21 de Abril e Praça 13 de Maio, bairro Centro, Município de Maravilhas-MG.</t>
    </r>
  </si>
  <si>
    <r>
      <rPr>
        <b/>
        <sz val="12"/>
        <rFont val="Arial"/>
        <family val="2"/>
      </rPr>
      <t>REGIÃO/MÊS DE REFERÊNCIA:</t>
    </r>
    <r>
      <rPr>
        <sz val="12"/>
        <rFont val="Arial"/>
        <family val="2"/>
      </rPr>
      <t xml:space="preserve"> SEINFRA/Região Central - Abril/2026 - Sem Desoneração; SINAPI-MG - Agosto/2026 - Não Desonerada</t>
    </r>
  </si>
  <si>
    <t>ITEM A - PRAÇA 21 DE ABRIL</t>
  </si>
  <si>
    <t>TOTAL ITEM A:</t>
  </si>
  <si>
    <t>ED-48472</t>
  </si>
  <si>
    <t>REMOÇÃO MANUAL DE GUIA DE MEIO-FIO PRÉ-MOLDADA EM CONCRETO, COM REAPROVEITAMENTO, INCLUSIVE AFASTAMENTO E EMPILHAMENTO, EXCLUSIVE TRANSPORTE E RETIRADA DO MATERIAL REMOVIDO NÃO REAPROVEITÁVEL</t>
  </si>
  <si>
    <t>94273</t>
  </si>
  <si>
    <t>ASSENTAMENTO DE GUIA (MEIO-FIO) EM TRECHO RETO, CONFECCIONADA EM CONCRETO PRÉ-FABRICADO, DIMENSÕES 100X15X13X30 CM (COMPRIMENTO X BASE INFERIOR X BASE SUPERIOR X ALTURA). AF_01/2024</t>
  </si>
  <si>
    <t>PAISAGISMO</t>
  </si>
  <si>
    <t>ED-50432</t>
  </si>
  <si>
    <t>PLANTIO E PREPARO DE COVAS PARA ÁRVORES COM ALTURA MÉDIA DE 2,00M, DIMENSÕES (60X60X60)CM, EXCLUSIVE FORNECIMENTO DAS MUDAS</t>
  </si>
  <si>
    <t>ED-25243</t>
  </si>
  <si>
    <t>FORNECIMENTO DE PALMEIRA JERIVÁ COM ALTURA MÉDIA DE 2,00M, EXCLUSIVE PLANTIO</t>
  </si>
  <si>
    <t>ED-50437</t>
  </si>
  <si>
    <t>PLANTIO DE GRAMA ESMERALDA EM PLACAS, INCLUSIVE TERRA VEGETAL E CONSERVAÇÃO POR TRINTA (30) DIAS</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</si>
  <si>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</si>
  <si>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</si>
  <si>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PERÍMETRO DO JARDIM 04, CONFORME PROJETO</t>
  </si>
  <si>
    <t>PERÍMETRO DO JARDIM 05, CONFORME PROJETO</t>
  </si>
  <si>
    <t>PERÍMETRO DO JARDIM 07, DESCONTANDO O MEIO FIO EXISTENTE</t>
  </si>
  <si>
    <t>PISO EXISTENTE NA PRAÇA</t>
  </si>
  <si>
    <t>ESCADA EXISTENTE, CANTO SUPERIOR ESQUERDO DO PROJETO</t>
  </si>
  <si>
    <t>ESCADA EXISTENTE, CANTO INFERIOR ESQUERDO DO PROJETO</t>
  </si>
  <si>
    <t>ESCADA EXISTENTE, CANTO SUPERIOR DIREITO DO PROJETO</t>
  </si>
  <si>
    <t>ESCADA EXISTENTE, CANTO INFERIOR DIREITO DO PROJETO</t>
  </si>
  <si>
    <t>MURETA CONTÍGUA AO JARDIM 05 EXISTENTE</t>
  </si>
  <si>
    <t>GUIAS EXISTENTES CONTÍGUAS AO JARDIM 01</t>
  </si>
  <si>
    <t>GUIAS EXISTENTES CONTÍGUAS AO JARDIM 04</t>
  </si>
  <si>
    <t>GUIAS EXISTENTES CONTÍGUAS AO JARDIM 06</t>
  </si>
  <si>
    <t>GUIAS EXISTENTES CONTÍGUAS AO JARDIM 07</t>
  </si>
  <si>
    <t>GUIAS EXISTENTES CONTÍGUAS AO JARDIM 08</t>
  </si>
  <si>
    <t>01 ÁRVORE A SER SUPRIMIDA, CONFORME PROJETO</t>
  </si>
  <si>
    <t>JARDIM 01</t>
  </si>
  <si>
    <t>JARDIM 02</t>
  </si>
  <si>
    <t>JARDIM 03</t>
  </si>
  <si>
    <t>JARDIM 04</t>
  </si>
  <si>
    <t>JARDIM 05</t>
  </si>
  <si>
    <t>JARDIM 06</t>
  </si>
  <si>
    <t>JARDIM 07</t>
  </si>
  <si>
    <t>JARDIM 08</t>
  </si>
  <si>
    <t>VOLUME DE ATERRO CONFORME TABELA CORTE/ATERRO REVIT</t>
  </si>
  <si>
    <t>VOLUME DE ESCAVAÇÃO CONFORME TABELA CORTE/ATERRO REVIT</t>
  </si>
  <si>
    <t>TRECHO 01 - ARRIMO / BALDRAME SEÇÃO DE 20x20cm</t>
  </si>
  <si>
    <t>TRECHO 02 - ARRIMO / BALDRAME SEÇÃO DE 20x20cm</t>
  </si>
  <si>
    <t>TRECHO 03 - ARRIMO / BALDRAME SEÇÃO DE 20x20cm</t>
  </si>
  <si>
    <t>TRECHO 04 - ARRIMO / BALDRAME SEÇÃO DE 20x20cm</t>
  </si>
  <si>
    <t>ARMAÇÃO VERTICAL CA50 DN6.3 - ARRIMO TRECHO 01, ESPAÇAMENTO DE 20CM</t>
  </si>
  <si>
    <t>ARMAÇÃO VERTICAL CA50 DN6.3 - ARRIMO TRECHO 02, ESPAÇAMENTO DE 20CM</t>
  </si>
  <si>
    <t>ARMAÇÃO VERTICAL CA50 DN6.3 - ARRIMO TRECHO 03, ESPAÇAMENTO DE 20CM</t>
  </si>
  <si>
    <t>ARMAÇÃO VERTICAL CA50 DN6.3 - ARRIMO TRECHO 03, ESPAÇAMENTO DE 20CM - SOMENTE TRECHO NA LATERAL DA ESCADA</t>
  </si>
  <si>
    <t>ARMAÇÃO HORIZONTAL CA50 DN6.3 - ARRIMO TRECHO 01 - CONSIDERANDO ALTURA MÉDIA E ESPAÇAMENTO DE 20CM</t>
  </si>
  <si>
    <t>ARMAÇÃO HORIZONTAL CA50 DN6.3 - ARRIMO TRECHO 02 - CONSIDERANDO ALTURA MÉDIA E ESPAÇAMENTO DE 20CM</t>
  </si>
  <si>
    <t>ARMAÇÃO HORIZONTAL CA50 DN6.3 - ARRIMO TRECHO 03 - CONSIDERANDO ALTURA MÉDIA E ESPAÇAMENTO DE 20CM</t>
  </si>
  <si>
    <t>ARMAÇÃO HORIZONTAL CA50 DN6.3 - ARRIMO TRECHO 03 - CONSIDERANDO ALTURA MÉDIA E ESPAÇAMENTO DE 20CM - SOMENTE ESCADA</t>
  </si>
  <si>
    <t>ARMAÇÃO CA50 4X DN6.3 - ARRIMO TRECHO 04 - BALDRAME</t>
  </si>
  <si>
    <t>ARMAÇÃO CA50 4X DN6.3 - ARRIMO TRECHO 03 - BALDRAME</t>
  </si>
  <si>
    <t>ARMAÇÃO CA50 4X DN6.3 - ARRIMO TRECHO 02 - BALDRAME</t>
  </si>
  <si>
    <t>ARMAÇÃO CA50 4X DN6.3 - ARRIMO TRECHO 01 - BALDRAME</t>
  </si>
  <si>
    <t>ESTRIBO VIGA BALDRAME - TRECHO 01 EM AÇO CA60 DN5.0, 0,66M POR ESTRIBO E ESPAÇAMENTO DE 20CM</t>
  </si>
  <si>
    <t>ESTRIBO VIGA BALDRAME - TRECHO 02 EM AÇO CA60 DN5.0, 0,66M POR ESTRIBO E ESPAÇAMENTO DE 20CM</t>
  </si>
  <si>
    <t>ESTRIBO VIGA BALDRAME - TRECHO 03 EM AÇO CA60 DN5.0, 0,66M POR ESTRIBO E ESPAÇAMENTO DE 20CM</t>
  </si>
  <si>
    <t>ESTRIBO VIGA BALDRAME - TRECHO 04 EM AÇO CA60 DN5.0, 0,66M POR ESTRIBO E ESPAÇAMENTO DE 20CM</t>
  </si>
  <si>
    <t>MESMO QUE O VOLUME DE ESCAVAÇÃO - TRECHO 01</t>
  </si>
  <si>
    <t>MESMO QUE O VOLUME DE ESCAVAÇÃO - TRECHO 02</t>
  </si>
  <si>
    <t>MESMO QUE O VOLUME DE ESCAVAÇÃO - TRECHO 03</t>
  </si>
  <si>
    <t>MESMO QUE O VOLUME DE ESCAVAÇÃO - TRECHO 04</t>
  </si>
  <si>
    <t>MURO DE ARRIMO - TRECHO 01 - ALTURA MÉDIA</t>
  </si>
  <si>
    <t>MURO DE ARRIMO - TRECHO 02 - ALTURA MÉDIA</t>
  </si>
  <si>
    <t>MURO DE ARRIMO - TRECHO 03 - ALTURA MÉDIA</t>
  </si>
  <si>
    <t>MURO DE ARRIMO - TRECHO 04 - ALTURA MÉDIA</t>
  </si>
  <si>
    <t>GUIAS CONTÍGUAS AO JARDIM 01</t>
  </si>
  <si>
    <t>GUIAS CONTÍGUAS AO JARDIM 02</t>
  </si>
  <si>
    <t>GUIAS CONTÍGUAS AO JARDIM 03</t>
  </si>
  <si>
    <t>GUIAS CONTÍGUAS AO JARDIM 04</t>
  </si>
  <si>
    <t>GUIAS CONTÍGUAS AO JARDIM 05</t>
  </si>
  <si>
    <t>ÁREA DA PRAÇA</t>
  </si>
  <si>
    <t>ACESSO SUPERIOR ESQUERDO</t>
  </si>
  <si>
    <t>ACESSO INFERIOR ESQUERDO</t>
  </si>
  <si>
    <t>ESCADA SITUADA NO CANTO SUPERIOR DIREITO, ÁREA CONFORME SEÇÃO TRANSVERSAL REVIT</t>
  </si>
  <si>
    <t>ESCADA SITUADA NO CANTO INFERIOR DIREITO, ÁREA CONFORME SEÇÃO TRANSVERSAL REVIT</t>
  </si>
  <si>
    <t>ESCADA SUPERIOR DIREITA, PISOS COM 28CM * 2,00M DE LARGURA * 13 DEGRAUS</t>
  </si>
  <si>
    <t>ESCADA SUPERIOR DIREITA, ESPELHOS COM 18CM * 2,00M DE LARGURA * 13 DEGRAUS</t>
  </si>
  <si>
    <t>ESCADA INFERIOR DIREITA, PISOS COM 28CM * 2,00M DE LARGURA * 7 DEGRAUS</t>
  </si>
  <si>
    <t>ESCADA INFERIOR DIREITA, ESPELHOS COM 18CM * 2,00M DE LARGURA * 7 DEGRAUS</t>
  </si>
  <si>
    <t>ESCADA INFERIOR ESQUERDA, PATAMARES</t>
  </si>
  <si>
    <t>TRECHO 01 - ARRIMO / FACES EXTERNAS DOS CÍRCULOS CONTÍGUOS ÀS ÁRVORES E TRECHO NO JARDIM 06</t>
  </si>
  <si>
    <t>MURO DE ARRIMO - TRECHO 02 - FACES VOLTADAS P/ ESCADA</t>
  </si>
  <si>
    <t>MURO DE ARRIMO - TRECHO 03 - FACES VOLTADAS P/ ESCADA</t>
  </si>
  <si>
    <t>MESMO QUE A ÁREA DE REBOCO</t>
  </si>
  <si>
    <t>MESMO QUE A ÁREA DE SELADOR ACRÍLICO</t>
  </si>
  <si>
    <t>GUIAS DE MEIO-FIO A SEREM ACRESCIDAS, CONSIDERANDO MEDIDA DO TOPO (13CM) + 2X ALTURA (2X 10CM)</t>
  </si>
  <si>
    <t>GUIA DE MEIO-FIO EXISTENTE, CONSIDERANDO MEDIDA DO TOPO (13CM) +1X ALTURA (15CM)</t>
  </si>
  <si>
    <t>UMA ÁRVORE, CONFORME PROJETO</t>
  </si>
  <si>
    <t>ÁREA DE PLANTIO DO JARDIM 01</t>
  </si>
  <si>
    <t>ÁREA DE PLANTIO DO JARDIM 02</t>
  </si>
  <si>
    <t>ÁREA DE PLANTIO DO JARDIM 03</t>
  </si>
  <si>
    <t>ÁREA DE PLANTIO DO JARDIM 04</t>
  </si>
  <si>
    <t>ÁREA DE PLANTIO DO JARDIM 05</t>
  </si>
  <si>
    <t>ÁREA DE PLANTIO DO JARDIM 06</t>
  </si>
  <si>
    <t>ÁREA DE PLANTIO DO JARDIM 07</t>
  </si>
  <si>
    <t>26 UNIDADES, DUAS POR ÁRVORE CONFORME PROJETO</t>
  </si>
  <si>
    <t>03 UNIDADES CONFORME PROJETO</t>
  </si>
  <si>
    <t>08 UNIDADES CONFORME PROJETO</t>
  </si>
  <si>
    <t>ÁREA DA CALÇADA CONTÍGUA À PRAÇA + ÁREA DO PATAMAR DA PRAÇA + ÁREA DOS DOIS ACESSOS + ÁREA DAS DUAS ESCADAS</t>
  </si>
  <si>
    <t>ITEM B - PRAÇA 13 DE MAIO</t>
  </si>
  <si>
    <t>PERÍMETRO DO JARDIM 06, DESCONTANDO O MEIO FIO EXISTENTE E MURO AOS FUNDOS</t>
  </si>
  <si>
    <t>ED-48440</t>
  </si>
  <si>
    <t>DEMOLIÇÃO MANUAL DE CONCRETO, SEM ARMAÇÃO, INCLUSIVE AFASTAMENTO E EMPILHAMENTO, EXCLUSIVE TRANSPORTE E RETIRADA DO MATERIAL DEMOLIDO</t>
  </si>
  <si>
    <r>
      <t xml:space="preserve">DEMOLIÇÃO MANUAL DE CONCRETO, SEM ARMAÇÃO, INCLUSIVE AFASTAMENTO E EMPILHAMENTO, EXCLUSIVE TRANSPORTE E RETIRADA DO MATERIAL DEMOLIDO </t>
    </r>
    <r>
      <rPr>
        <b/>
        <sz val="12"/>
        <rFont val="Arial"/>
        <family val="2"/>
      </rPr>
      <t>(BANCOS)</t>
    </r>
  </si>
  <si>
    <t>CPU-02</t>
  </si>
  <si>
    <t>CPU-01</t>
  </si>
  <si>
    <t>ED-32001</t>
  </si>
  <si>
    <t>CORRIMÃO DUPLO EM TUBO GALVANIZADO, COM COSTURA, DIÂMETRO DE 1.1/2", ESP. 3MM, FIXADO EM PISO COM MONTANTE VERTICAL, DIÂMETRO DE 1.1/2", INCLUSIVE SUPORTE PARA CORRIMÃO EM BARRA CHATA (1"X1/2"), EXCLUSIVE PINTURA</t>
  </si>
  <si>
    <t>ESCADA INFERIOR DIREITA, 2X CORRIMÃOS DE 2,02M</t>
  </si>
  <si>
    <t>ESCADA SUPERIOR DIREITA, 2X CORRIMÃOS DE 4,28M</t>
  </si>
  <si>
    <t>CPU-03</t>
  </si>
  <si>
    <t>CPU-04</t>
  </si>
  <si>
    <t>PERIMETRO DO PATAMAR PRINCIPAL DA PRAÇA, CONFORME PROJETO</t>
  </si>
  <si>
    <t>LATERAIS DA ESCADA A SER ACRESCIDA</t>
  </si>
  <si>
    <t>PATAMAR EXISTENTE DA PRAÇA</t>
  </si>
  <si>
    <t>MURETA EM ALVENARIA ONDE SERÁ EXECUTADA ESCADA</t>
  </si>
  <si>
    <t>BANCOS EXISTENTES, 10 UNIDADES, VOLUME ESTIMADO POR BANCO DE 0,20 m³</t>
  </si>
  <si>
    <t>MURETA VOLTADA PARA A RUA CAPITÃO PAULINO/AVENIDA PITANGUI, ÁREA CONFORME REVIT</t>
  </si>
  <si>
    <t>ACESSO A SER ABERTO</t>
  </si>
  <si>
    <t>GUIAS DE MEIO-FIO CONTÍGUAS À PRAÇA EXISTENTE</t>
  </si>
  <si>
    <t>06 EQUIPAMENTOS + 01 PLACA CONFORME PROJETO</t>
  </si>
  <si>
    <t>UMA ÁRVORE A SER SUPRIMIDA, CONFORME PROJETO</t>
  </si>
  <si>
    <t>JARDIM PRINCIPAL</t>
  </si>
  <si>
    <t>JARDIM SECUNDÁRIO</t>
  </si>
  <si>
    <t>CANTEIRO</t>
  </si>
  <si>
    <t>TRECHO CONTÍGUO AO PATAMAR SECUNDÁRIO DA PRAÇA</t>
  </si>
  <si>
    <t>ARMAÇÃO VERTICAL CA50 DN6.3 - ARRIMO TRECHO PRAÇA, ESPAÇAMENTO DE 20CM</t>
  </si>
  <si>
    <t>ARMAÇÃO VERTICAL CA50 DN6.3 - ARRIMO TRECHO ESCADA, ESPAÇAMENTO DE 20CM</t>
  </si>
  <si>
    <t>ARMAÇÃO CA50 4X DN6.3 - ARRIMO TRECHO ESCADA - BALDRAME</t>
  </si>
  <si>
    <t>ARMAÇÃO CA50 4X DN6.3 - ARRIMO TRECHO PRAÇA - BALDRAME</t>
  </si>
  <si>
    <t>ESTRIBO VIGA BALDRAME - TRECHO PRAÇA EM AÇO CA60 DN5.0, 0,66M POR ESTRIBO E ESPAÇAMENTO DE 20CM</t>
  </si>
  <si>
    <t>ESTRIBO VIGA BALDRAME - TRECHO ESCADA EM AÇO CA60 DN5.0, 0,66M POR ESTRIBO E ESPAÇAMENTO DE 20CM</t>
  </si>
  <si>
    <t>MURO DE ARRIMO - TRECHO PRAÇA - ALTURA MÉDIA</t>
  </si>
  <si>
    <t>MURO DE ARRIMO - TRECHO ESCADA - ALTURA MÉDIA</t>
  </si>
  <si>
    <t>GUIAS A SEREM ASSENTADAS CONTÍGUAS AO PATAMAR PRINCIPAL DA PRAÇA</t>
  </si>
  <si>
    <t>PATAMAR PRINCIPAL DA PRAÇA</t>
  </si>
  <si>
    <t>PATAMAR SECUNDÁRIO</t>
  </si>
  <si>
    <t>ESCADA DE ACESSO AO PATAMAR PRINCIPAL DA PRAÇA</t>
  </si>
  <si>
    <t>ESCADA PRINCIPAL, PISOS COM 28CM * 2,00M DE LARGURA * 11 DEGRAUS</t>
  </si>
  <si>
    <t>ESCADA PRINCIPAL, ESPELHOS COM 18CM * 2,00M DE LARGURA * 11 DEGRAUS</t>
  </si>
  <si>
    <t>ESCADA SECUNDÁRIA, PISOS COM 35,3CM * 1,88M DE LARGURA * 7 DEGRAUS</t>
  </si>
  <si>
    <t>ESCADA SECUNDÁRIA, ESPELHOS COM 18,75CM * 1,88M DE LARGURA * 8 DEGRAUS</t>
  </si>
  <si>
    <t>PATAMARES ESCADA PRINCIPAL</t>
  </si>
  <si>
    <t>PATAMAR ESCADA SECUNDÁRIA</t>
  </si>
  <si>
    <t>MURO DE ARRIMO - TRECHO PRAÇA - ALTURA MÉDIA / FACE EXTERNA</t>
  </si>
  <si>
    <t>MURO DE ARRIMO - TRECHO ESCADA - ALTURA MÉDIA / FACE EXTERNA</t>
  </si>
  <si>
    <t>MESMO QUE A ÁREA DE DEMOLIÇÃO DE REBOCO PARA PREENCHIMENTO</t>
  </si>
  <si>
    <t>ÁREA DAS MURETAS EXISTENTES, CONFORME MEMÓRIA DE CÁLCULO REVIT</t>
  </si>
  <si>
    <t>MESMO QUE A ÁREA DE CHAPISCO/REBOCO DOS MUROS ACRESCIDOS</t>
  </si>
  <si>
    <t>MESMO QUE A ÁREA DE PREENCHIMENTO DE REBOCO DAS MURETAS EXISTENTES</t>
  </si>
  <si>
    <t>MESMO QUE A ÁREA DE LIXAMENTO DAS MURETAS EXISTENTES</t>
  </si>
  <si>
    <t>07 UNIDADES CONFORME PROJETO</t>
  </si>
  <si>
    <t>02 UNIDADES CONFORME PROJETO</t>
  </si>
  <si>
    <t>ESCADA PRINCIPAL, 2X CORRIMÃOS DE 3,61M</t>
  </si>
  <si>
    <t>ESCADA SECUNDÁRIA, 2X CORRIMÃOS DE 3,10M</t>
  </si>
  <si>
    <t>ÁREA DA CALÇADA CONTÍGUA À PRAÇA + ÁREA DOS PATAMARES DA PRAÇA + ÁREA DAS ESCADAS</t>
  </si>
  <si>
    <t>COMPOSIÇÃO Nº. 01</t>
  </si>
  <si>
    <t>REFORMA DA PRAÇA 21 DE ABRIL E DA PRAÇA 13 DE MAIO</t>
  </si>
  <si>
    <t>COMPOSIÇÃO Nº. 02</t>
  </si>
  <si>
    <t>UNIDADE: Unid.</t>
  </si>
  <si>
    <t>ED-48440
SEINFRA</t>
  </si>
  <si>
    <t>REMOÇÃO MANUAL DE EQUIPAMENTOS DE ACADEMIA AO AR LIVRE COM REAPROVEITAMENTO, INCLUSIVE AFASTAMENTO ATÉ 50M E EMPILHAMENTO DO MATERIAL DEMOLIDO</t>
  </si>
  <si>
    <t>COMPOSIÇÃO Nº. 03</t>
  </si>
  <si>
    <t>ED-48231
SEINFRA</t>
  </si>
  <si>
    <t>ALVENARIA DE VEDAÇÃO COM TIJOLO CERÂMICO FURADO, ESP. 9CM, PARA REVESTIMENTO, INCLUSIVE ARGAMASSA PARA ASSENTAMENTO</t>
  </si>
  <si>
    <t>ED-51120
SEINFRA</t>
  </si>
  <si>
    <t>REATERRO MANUAL DE VALA, INCLUSIVE ESPALHAMENTO E COMPACTAÇÃO MANUAL COM SOQUETE</t>
  </si>
  <si>
    <t>BANCO EM ALVENARIA, SEM ENCOSTO, COM DIÂMETRO EXTERNO DE 2,30M, PROFUNDIDADE DE 40CM, ALTURA DE 45CM, INCLUSIVE FIXAÇÃO NO PISO COM CONCRETO NÃO ESTRUTURAL PREPARADO EM OBRA COM BETONEIRA (FCK=15MPA), INCLUSIVE APLICAÇÃO DE CHAPISCO (TRAÇO 1:3, ESP. 5MM), REBOCO (TRAÇO 1:2:8, ESP. 25MM), UMA DEMÃO DE SELADOR ACRÍLICO E DUAS DEMÃOS DE PINTURA ACRÍLICA, INCLUSIVE TAMPO PARA ASSENTO COM CONCRETO DESEMPENADO, ESP. 20MM E REATERRO DO VÃO ENTRE AS ALVENARIAS</t>
  </si>
  <si>
    <t>ED-50727
SEINFRA</t>
  </si>
  <si>
    <t>ED-6282
SEINFRA</t>
  </si>
  <si>
    <t>ED-50514
SEINFRA</t>
  </si>
  <si>
    <t>ED-50451
SEINFRA</t>
  </si>
  <si>
    <t>ED-50566
SEINFRA</t>
  </si>
  <si>
    <t>CONTRAPISO DESEMPENADO COM ARGAMASSA, TRAÇO 1:3 (CIMENTO E AREIA), ESP. 20MM, INCLUSIVE ARGAMASSA COM PREPARO MECANIZADO</t>
  </si>
  <si>
    <t>ED-49784
SEINFRA</t>
  </si>
  <si>
    <t>FORNECIMENTO DE CONCRETO NÃO ESTRUTURAL, PREPARADO EM OBRA COM BETONEIRA, COM FCK 15MPA, INCLUSIVE LANÇAMENTO, ADENSAMENTO E ACABAMENTO (FUNDAÇÃO)</t>
  </si>
  <si>
    <t>INSTALAÇÃO DE EQUIPAMENTOS DE ACADEMIA AO AR LIVRE, FIXADOS COM CONCRETO NÃO ESTRUTURAL, PREPARADO EM OBRA COM BETONEIRA, COM FCK DE 15MPA, INCLUSIVE ESCAVAÇÃO E TRANSPORTE COM RETIRADA DO MATERIAL ESCAVADO (EM CAÇAMBA)</t>
  </si>
  <si>
    <t>ED-51107
SEINFRA</t>
  </si>
  <si>
    <t>ED-51125
SEINFRA</t>
  </si>
  <si>
    <t>TRANSPORTE DE MATERIAL DEMOLIDO EM CAÇAMBA, EXCLUSIVE CARGA MANUAL OU MECÂNICA</t>
  </si>
  <si>
    <t>TRANSPORTE DE MATERIAL DE QUALQUER NATUREZA COM CARRINHO DE MÃO, COM DISTÂNCIAS MENORES OU IGUAIS A 50M, INCLUSIVE CARGA/DESCARGA</t>
  </si>
  <si>
    <t>ED-51133
SEINFRA</t>
  </si>
  <si>
    <t>COMPOSIÇÃO Nº. 04</t>
  </si>
  <si>
    <t>06</t>
  </si>
  <si>
    <t>TOTAL ITEM B:</t>
  </si>
  <si>
    <t>REFORMA DA PRAÇA 21 DE ABRIL E DA PRAÇA 13, NO BAIRRO CENTRO, MUNICÍPIO DE MARAVILHAS-MG</t>
  </si>
  <si>
    <r>
      <t xml:space="preserve">DATA: </t>
    </r>
    <r>
      <rPr>
        <sz val="9"/>
        <rFont val="Arial Nova"/>
        <family val="2"/>
      </rPr>
      <t>30/09/2026</t>
    </r>
  </si>
  <si>
    <t>DATA: 30/09/2026</t>
  </si>
  <si>
    <t>CALÇADA PÚBLICA CONTÍGUA AO TERRENO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</si>
</sst>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 #,##0.00_);_(* \(#,##0.00\);_(* \-??_);_(@_)"/>
    <numFmt numFmtId="167" formatCode="&quot;R$&quot;#,##0.00"/>
    <numFmt numFmtId="168" formatCode="&quot;R$&quot;\ #,##0.00"/>
    <numFmt numFmtId="169" formatCode="_(&quot;R$ &quot;* #,##0.00_);_(&quot;R$ &quot;* \(#,##0.00\);_(&quot;R$ &quot;* \-??_);_(@_)"/>
    <numFmt numFmtId="170" formatCode="General;General"/>
    <numFmt numFmtId="171" formatCode="[$-F800]dddd\,\ mmmm\ dd\,\ yyyy"/>
    <numFmt numFmtId="172" formatCode="dd&quot; de &quot;mmmm&quot; de &quot;yyyy"/>
    <numFmt numFmtId="173" formatCode="0.000"/>
    <numFmt numFmtId="174" formatCode="0.0000"/>
  </numFmts>
  <fonts count="40" x14ac:knownFonts="1">
    <font>
      <sz val="10"/>
      <name val="Arial"/>
    </font>
    <font>
      <sz val="11"/>
      <color theme="1"/>
      <name val="Calibri"/>
      <family val="2"/>
      <scheme val="minor"/>
    </font>
    <font>
      <sz val="10"/>
      <name val="Arial"/>
      <family val="2"/>
    </font>
    <font>
      <sz val="8"/>
      <name val="Arial"/>
      <family val="2"/>
    </font>
    <font>
      <b/>
      <sz val="10"/>
      <name val="Arial"/>
      <family val="2"/>
    </font>
    <font>
      <b/>
      <sz val="12"/>
      <name val="Arial"/>
      <family val="2"/>
    </font>
    <font>
      <sz val="10"/>
      <name val="Arial"/>
      <family val="2"/>
    </font>
    <font>
      <sz val="12"/>
      <name val="Arial"/>
      <family val="2"/>
    </font>
    <font>
      <b/>
      <sz val="11"/>
      <name val="Arial"/>
      <family val="2"/>
    </font>
    <font>
      <sz val="11"/>
      <name val="Arial"/>
      <family val="2"/>
    </font>
    <font>
      <b/>
      <sz val="10"/>
      <color indexed="8"/>
      <name val="Arial"/>
      <family val="2"/>
    </font>
    <font>
      <u/>
      <sz val="10"/>
      <color indexed="12"/>
      <name val="Arial"/>
      <family val="2"/>
    </font>
    <font>
      <b/>
      <sz val="12"/>
      <color indexed="8"/>
      <name val="Arial"/>
      <family val="2"/>
    </font>
    <font>
      <sz val="10"/>
      <name val="Arial"/>
      <family val="2"/>
    </font>
    <font>
      <sz val="10"/>
      <name val="Arial Nova"/>
      <family val="2"/>
    </font>
    <font>
      <b/>
      <sz val="10"/>
      <name val="Arial Nova"/>
      <family val="2"/>
    </font>
    <font>
      <b/>
      <u/>
      <sz val="10"/>
      <name val="Arial Nova"/>
      <family val="2"/>
    </font>
    <font>
      <b/>
      <sz val="9"/>
      <name val="Arial Nova"/>
      <family val="2"/>
    </font>
    <font>
      <sz val="9"/>
      <name val="Arial Nova"/>
      <family val="2"/>
    </font>
    <font>
      <b/>
      <u/>
      <sz val="12"/>
      <name val="Arial"/>
      <family val="2"/>
    </font>
    <font>
      <sz val="12"/>
      <color theme="1"/>
      <name val="Arial"/>
      <family val="2"/>
    </font>
    <font>
      <b/>
      <sz val="12"/>
      <color theme="1"/>
      <name val="Arial"/>
      <family val="2"/>
    </font>
    <font>
      <b/>
      <sz val="28"/>
      <name val="Arial"/>
      <family val="2"/>
    </font>
    <font>
      <b/>
      <sz val="17"/>
      <name val="Arial"/>
      <family val="2"/>
    </font>
    <font>
      <sz val="9"/>
      <name val="Arial"/>
      <family val="2"/>
    </font>
    <font>
      <i/>
      <sz val="12"/>
      <name val="Calibri"/>
      <family val="2"/>
    </font>
    <font>
      <i/>
      <u/>
      <sz val="12"/>
      <name val="Calibri"/>
      <family val="2"/>
    </font>
    <font>
      <u/>
      <sz val="10"/>
      <name val="Arial"/>
      <family val="2"/>
    </font>
    <font>
      <sz val="10"/>
      <color theme="1"/>
      <name val="Arial"/>
      <family val="2"/>
    </font>
    <font>
      <b/>
      <sz val="11"/>
      <color theme="1"/>
      <name val="Arial"/>
      <family val="2"/>
    </font>
    <font>
      <sz val="8"/>
      <color theme="1"/>
      <name val="Arial"/>
      <family val="2"/>
    </font>
    <font>
      <b/>
      <sz val="9"/>
      <color theme="1"/>
      <name val="Arial"/>
      <family val="2"/>
    </font>
    <font>
      <b/>
      <sz val="26"/>
      <name val="Arial Nova"/>
      <family val="2"/>
    </font>
    <font>
      <b/>
      <sz val="26"/>
      <name val="Times New Roman"/>
      <family val="1"/>
    </font>
    <font>
      <b/>
      <sz val="14"/>
      <name val="Times New Roman"/>
      <family val="1"/>
    </font>
    <font>
      <b/>
      <sz val="12"/>
      <name val="Times New Roman"/>
      <family val="1"/>
    </font>
    <font>
      <b/>
      <sz val="9"/>
      <name val="Calibri"/>
      <family val="2"/>
      <scheme val="minor"/>
    </font>
    <font>
      <b/>
      <sz val="14"/>
      <color theme="1"/>
      <name val="Arial"/>
      <family val="2"/>
    </font>
    <font>
      <b/>
      <sz val="26"/>
      <color theme="1"/>
      <name val="Arial"/>
      <family val="2"/>
    </font>
    <font>
      <sz val="14"/>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indexed="43"/>
        <bgColor indexed="26"/>
      </patternFill>
    </fill>
    <fill>
      <patternFill patternType="solid">
        <fgColor theme="0"/>
        <bgColor indexed="42"/>
      </patternFill>
    </fill>
    <fill>
      <patternFill patternType="solid">
        <fgColor indexed="22"/>
        <bgColor indexed="4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53A9FF"/>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C000"/>
        <bgColor indexed="64"/>
      </patternFill>
    </fill>
  </fills>
  <borders count="69">
    <border>
      <left/>
      <right/>
      <top/>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medium">
        <color indexed="64"/>
      </right>
      <top style="thin">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style="medium">
        <color indexed="64"/>
      </left>
      <right/>
      <top style="thin">
        <color indexed="8"/>
      </top>
      <bottom/>
      <diagonal/>
    </border>
    <border>
      <left/>
      <right/>
      <top style="thin">
        <color indexed="8"/>
      </top>
      <bottom/>
      <diagonal/>
    </border>
    <border>
      <left/>
      <right style="medium">
        <color indexed="64"/>
      </right>
      <top style="thin">
        <color indexed="8"/>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diagonal/>
    </border>
    <border>
      <left style="thin">
        <color indexed="64"/>
      </left>
      <right style="medium">
        <color indexed="64"/>
      </right>
      <top/>
      <bottom/>
      <diagonal/>
    </border>
  </borders>
  <cellStyleXfs count="18">
    <xf numFmtId="0" fontId="0" fillId="0" borderId="0"/>
    <xf numFmtId="0" fontId="11" fillId="0" borderId="0" applyNumberFormat="0" applyFill="0" applyBorder="0" applyAlignment="0" applyProtection="0">
      <alignment vertical="top"/>
      <protection locked="0"/>
    </xf>
    <xf numFmtId="164" fontId="6" fillId="0" borderId="0" applyFont="0" applyFill="0" applyBorder="0" applyAlignment="0" applyProtection="0"/>
    <xf numFmtId="0" fontId="6"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166" fontId="6" fillId="0" borderId="0" applyFill="0" applyBorder="0" applyAlignment="0" applyProtection="0"/>
    <xf numFmtId="0" fontId="10" fillId="0" borderId="1" applyNumberFormat="0" applyFill="0" applyAlignment="0" applyProtection="0"/>
    <xf numFmtId="165" fontId="2" fillId="0" borderId="0" applyFont="0" applyFill="0" applyBorder="0" applyAlignment="0" applyProtection="0"/>
    <xf numFmtId="166" fontId="6" fillId="0" borderId="0" applyFill="0" applyBorder="0" applyAlignment="0" applyProtection="0"/>
    <xf numFmtId="43" fontId="6"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13" fillId="0" borderId="0" applyFont="0" applyFill="0" applyBorder="0" applyAlignment="0" applyProtection="0"/>
    <xf numFmtId="0" fontId="24" fillId="0" borderId="0"/>
    <xf numFmtId="169" fontId="2" fillId="0" borderId="0" applyFill="0" applyBorder="0" applyAlignment="0" applyProtection="0"/>
  </cellStyleXfs>
  <cellXfs count="392">
    <xf numFmtId="0" fontId="0" fillId="0" borderId="0" xfId="0"/>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12" fillId="5" borderId="6" xfId="0" applyFont="1" applyFill="1" applyBorder="1" applyAlignment="1">
      <alignment horizontal="center" vertical="center"/>
    </xf>
    <xf numFmtId="0" fontId="7" fillId="4" borderId="25" xfId="0" applyFont="1" applyFill="1" applyBorder="1" applyAlignment="1" applyProtection="1">
      <alignment horizontal="center" vertical="center" wrapText="1"/>
      <protection locked="0"/>
    </xf>
    <xf numFmtId="0" fontId="7" fillId="0" borderId="0" xfId="0" applyFont="1" applyAlignment="1">
      <alignment horizontal="center" vertical="center"/>
    </xf>
    <xf numFmtId="165" fontId="5" fillId="5" borderId="6" xfId="9" applyFont="1" applyFill="1" applyBorder="1" applyAlignment="1">
      <alignment horizontal="center" vertical="center" wrapText="1"/>
    </xf>
    <xf numFmtId="165" fontId="5" fillId="5" borderId="8" xfId="9" applyFont="1" applyFill="1" applyBorder="1" applyAlignment="1">
      <alignment horizontal="center" vertical="center" wrapText="1"/>
    </xf>
    <xf numFmtId="0" fontId="7" fillId="0" borderId="13" xfId="0" applyFont="1" applyBorder="1" applyAlignment="1">
      <alignment horizontal="center" vertical="center"/>
    </xf>
    <xf numFmtId="0" fontId="5" fillId="5" borderId="7" xfId="0" applyFont="1" applyFill="1" applyBorder="1" applyAlignment="1">
      <alignment horizontal="center" vertical="center"/>
    </xf>
    <xf numFmtId="0" fontId="7" fillId="0" borderId="0" xfId="0" applyFont="1" applyAlignment="1">
      <alignment vertical="center"/>
    </xf>
    <xf numFmtId="0" fontId="7" fillId="5" borderId="0" xfId="0" applyFont="1" applyFill="1" applyAlignment="1">
      <alignment vertical="center"/>
    </xf>
    <xf numFmtId="0" fontId="7" fillId="4" borderId="0" xfId="0" applyFont="1" applyFill="1" applyAlignment="1">
      <alignment vertical="center"/>
    </xf>
    <xf numFmtId="0" fontId="7" fillId="4" borderId="25" xfId="0" applyFont="1" applyFill="1" applyBorder="1" applyAlignment="1" applyProtection="1">
      <alignment horizontal="justify" vertical="center" wrapText="1"/>
      <protection locked="0"/>
    </xf>
    <xf numFmtId="165" fontId="7" fillId="0" borderId="0" xfId="9" applyFont="1" applyBorder="1" applyAlignment="1">
      <alignment vertical="center"/>
    </xf>
    <xf numFmtId="165" fontId="7" fillId="0" borderId="17" xfId="9" applyFont="1" applyBorder="1" applyAlignment="1">
      <alignment vertical="center"/>
    </xf>
    <xf numFmtId="165" fontId="7" fillId="0" borderId="0" xfId="9" applyFont="1" applyAlignment="1">
      <alignment vertical="center"/>
    </xf>
    <xf numFmtId="0" fontId="17" fillId="3" borderId="4" xfId="3" applyFont="1" applyFill="1" applyBorder="1" applyAlignment="1">
      <alignment horizontal="center" vertical="center"/>
    </xf>
    <xf numFmtId="0" fontId="17" fillId="3" borderId="4" xfId="3" applyFont="1" applyFill="1" applyBorder="1" applyAlignment="1">
      <alignment horizontal="center" vertical="center" wrapText="1"/>
    </xf>
    <xf numFmtId="49" fontId="17" fillId="3" borderId="4" xfId="3" applyNumberFormat="1" applyFont="1" applyFill="1" applyBorder="1" applyAlignment="1">
      <alignment horizontal="center" vertical="center" wrapText="1"/>
    </xf>
    <xf numFmtId="49" fontId="18" fillId="3" borderId="4" xfId="3" applyNumberFormat="1" applyFont="1" applyFill="1" applyBorder="1" applyAlignment="1">
      <alignment horizontal="center" vertical="center" wrapText="1"/>
    </xf>
    <xf numFmtId="0" fontId="15" fillId="3" borderId="36" xfId="3" applyFont="1" applyFill="1" applyBorder="1" applyAlignment="1">
      <alignment wrapText="1"/>
    </xf>
    <xf numFmtId="0" fontId="15" fillId="3" borderId="0" xfId="3" applyFont="1" applyFill="1" applyAlignment="1">
      <alignment wrapText="1"/>
    </xf>
    <xf numFmtId="0" fontId="17" fillId="0" borderId="29" xfId="3" applyFont="1" applyBorder="1" applyAlignment="1">
      <alignment vertical="center"/>
    </xf>
    <xf numFmtId="0" fontId="14" fillId="3" borderId="15" xfId="3" applyFont="1" applyFill="1" applyBorder="1"/>
    <xf numFmtId="0" fontId="14" fillId="0" borderId="38" xfId="3" applyFont="1" applyBorder="1" applyAlignment="1">
      <alignment vertical="center"/>
    </xf>
    <xf numFmtId="0" fontId="14" fillId="3" borderId="0" xfId="3" applyFont="1" applyFill="1" applyAlignment="1">
      <alignment wrapText="1"/>
    </xf>
    <xf numFmtId="0" fontId="14" fillId="3" borderId="0" xfId="3" applyFont="1" applyFill="1"/>
    <xf numFmtId="0" fontId="14" fillId="3" borderId="36" xfId="3" applyFont="1" applyFill="1" applyBorder="1"/>
    <xf numFmtId="0" fontId="17" fillId="3" borderId="36" xfId="3" applyFont="1" applyFill="1" applyBorder="1"/>
    <xf numFmtId="0" fontId="17" fillId="0" borderId="37" xfId="3" applyFont="1" applyBorder="1" applyAlignment="1">
      <alignment horizontal="center" vertical="center"/>
    </xf>
    <xf numFmtId="0" fontId="18" fillId="3" borderId="0" xfId="3" applyFont="1" applyFill="1" applyAlignment="1">
      <alignment wrapText="1"/>
    </xf>
    <xf numFmtId="0" fontId="17" fillId="0" borderId="0" xfId="3" applyFont="1" applyAlignment="1">
      <alignment vertical="center"/>
    </xf>
    <xf numFmtId="0" fontId="17" fillId="0" borderId="36" xfId="3" applyFont="1" applyBorder="1" applyAlignment="1">
      <alignment vertical="center"/>
    </xf>
    <xf numFmtId="0" fontId="18" fillId="0" borderId="15" xfId="3" applyFont="1" applyBorder="1" applyAlignment="1">
      <alignment vertical="center"/>
    </xf>
    <xf numFmtId="0" fontId="18" fillId="3" borderId="36" xfId="3" applyFont="1" applyFill="1" applyBorder="1"/>
    <xf numFmtId="0" fontId="18" fillId="0" borderId="0" xfId="3" applyFont="1" applyAlignment="1">
      <alignment horizontal="center" vertical="center"/>
    </xf>
    <xf numFmtId="0" fontId="18" fillId="3" borderId="0" xfId="3" applyFont="1" applyFill="1"/>
    <xf numFmtId="0" fontId="18" fillId="3" borderId="15" xfId="3" applyFont="1" applyFill="1" applyBorder="1"/>
    <xf numFmtId="0" fontId="14" fillId="0" borderId="0" xfId="3" applyFont="1" applyAlignment="1">
      <alignment horizontal="center" vertical="center"/>
    </xf>
    <xf numFmtId="0" fontId="14" fillId="0" borderId="38" xfId="3" applyFont="1" applyBorder="1" applyAlignment="1">
      <alignment horizontal="center" vertical="center"/>
    </xf>
    <xf numFmtId="0" fontId="17" fillId="3" borderId="0" xfId="3" applyFont="1" applyFill="1" applyAlignment="1">
      <alignment wrapText="1"/>
    </xf>
    <xf numFmtId="0" fontId="15" fillId="3" borderId="0" xfId="3" applyFont="1" applyFill="1" applyAlignment="1">
      <alignment horizontal="right"/>
    </xf>
    <xf numFmtId="0" fontId="15" fillId="3" borderId="36" xfId="3" applyFont="1" applyFill="1" applyBorder="1" applyAlignment="1">
      <alignment horizontal="right"/>
    </xf>
    <xf numFmtId="0" fontId="18" fillId="3" borderId="0" xfId="3" applyFont="1" applyFill="1" applyAlignment="1">
      <alignment horizontal="center" vertical="center"/>
    </xf>
    <xf numFmtId="0" fontId="14" fillId="3" borderId="26" xfId="3" applyFont="1" applyFill="1" applyBorder="1"/>
    <xf numFmtId="0" fontId="14" fillId="3" borderId="38" xfId="3" applyFont="1" applyFill="1" applyBorder="1"/>
    <xf numFmtId="0" fontId="14" fillId="3" borderId="38" xfId="3" applyFont="1" applyFill="1" applyBorder="1" applyAlignment="1">
      <alignment wrapText="1"/>
    </xf>
    <xf numFmtId="0" fontId="14" fillId="3" borderId="16" xfId="3" applyFont="1" applyFill="1" applyBorder="1"/>
    <xf numFmtId="10" fontId="17" fillId="5" borderId="4" xfId="3" applyNumberFormat="1" applyFont="1" applyFill="1" applyBorder="1" applyAlignment="1">
      <alignment horizontal="center" vertical="center" wrapText="1"/>
    </xf>
    <xf numFmtId="167" fontId="18" fillId="3" borderId="4" xfId="15" applyNumberFormat="1" applyFont="1" applyFill="1" applyBorder="1" applyAlignment="1">
      <alignment horizontal="center" vertical="center" wrapText="1"/>
    </xf>
    <xf numFmtId="167" fontId="17" fillId="3" borderId="4" xfId="3" applyNumberFormat="1" applyFont="1" applyFill="1" applyBorder="1" applyAlignment="1">
      <alignment horizontal="center" vertical="center" wrapText="1"/>
    </xf>
    <xf numFmtId="4" fontId="5" fillId="0" borderId="4" xfId="0" applyNumberFormat="1" applyFont="1" applyBorder="1" applyAlignment="1">
      <alignment horizontal="center" vertical="center"/>
    </xf>
    <xf numFmtId="0" fontId="5" fillId="0" borderId="4" xfId="0" applyFont="1" applyBorder="1" applyAlignment="1">
      <alignment horizontal="center" vertical="center" wrapText="1"/>
    </xf>
    <xf numFmtId="49" fontId="7" fillId="0" borderId="25" xfId="0" applyNumberFormat="1" applyFont="1" applyBorder="1" applyAlignment="1" applyProtection="1">
      <alignment horizontal="center" vertical="center" wrapText="1"/>
      <protection locked="0"/>
    </xf>
    <xf numFmtId="0" fontId="5" fillId="0" borderId="4" xfId="0" applyFont="1" applyBorder="1" applyAlignment="1">
      <alignment horizontal="center" vertical="center"/>
    </xf>
    <xf numFmtId="0" fontId="5" fillId="0" borderId="9" xfId="0" applyFont="1" applyBorder="1" applyAlignment="1">
      <alignment horizontal="center" vertical="center"/>
    </xf>
    <xf numFmtId="0" fontId="7" fillId="4" borderId="32" xfId="0" applyFont="1" applyFill="1" applyBorder="1" applyAlignment="1" applyProtection="1">
      <alignment horizontal="center" vertical="center" wrapText="1"/>
      <protection locked="0"/>
    </xf>
    <xf numFmtId="49" fontId="17" fillId="5" borderId="4" xfId="3" applyNumberFormat="1" applyFont="1" applyFill="1" applyBorder="1" applyAlignment="1">
      <alignment horizontal="center" vertical="center" wrapText="1"/>
    </xf>
    <xf numFmtId="0" fontId="0" fillId="0" borderId="0" xfId="3" applyFont="1"/>
    <xf numFmtId="0" fontId="6" fillId="0" borderId="0" xfId="3"/>
    <xf numFmtId="0" fontId="9" fillId="0" borderId="20" xfId="3" applyFont="1" applyBorder="1" applyAlignment="1">
      <alignment horizontal="center" vertical="center"/>
    </xf>
    <xf numFmtId="10" fontId="9" fillId="0" borderId="43" xfId="3" applyNumberFormat="1" applyFont="1" applyBorder="1" applyAlignment="1">
      <alignment horizontal="center" vertical="center"/>
    </xf>
    <xf numFmtId="0" fontId="9" fillId="0" borderId="4" xfId="3" applyFont="1" applyBorder="1" applyAlignment="1">
      <alignment horizontal="center" vertical="center"/>
    </xf>
    <xf numFmtId="10" fontId="9" fillId="0" borderId="43" xfId="3" applyNumberFormat="1" applyFont="1" applyBorder="1" applyAlignment="1">
      <alignment horizontal="center" vertical="center" wrapText="1"/>
    </xf>
    <xf numFmtId="0" fontId="9" fillId="9" borderId="6" xfId="3" applyFont="1" applyFill="1" applyBorder="1" applyAlignment="1">
      <alignment horizontal="center" vertical="center" wrapText="1"/>
    </xf>
    <xf numFmtId="10" fontId="8" fillId="9" borderId="8" xfId="3" applyNumberFormat="1" applyFont="1" applyFill="1" applyBorder="1" applyAlignment="1">
      <alignment horizontal="center" vertical="center"/>
    </xf>
    <xf numFmtId="0" fontId="0" fillId="0" borderId="13" xfId="3" applyFont="1" applyBorder="1"/>
    <xf numFmtId="0" fontId="0" fillId="0" borderId="17" xfId="3" applyFont="1" applyBorder="1"/>
    <xf numFmtId="0" fontId="0" fillId="0" borderId="0" xfId="3" applyFont="1" applyAlignment="1">
      <alignment horizontal="center" vertical="top"/>
    </xf>
    <xf numFmtId="0" fontId="25" fillId="0" borderId="0" xfId="3" applyFont="1" applyAlignment="1">
      <alignment vertical="center"/>
    </xf>
    <xf numFmtId="0" fontId="0" fillId="0" borderId="17" xfId="3" applyFont="1" applyBorder="1" applyAlignment="1">
      <alignment horizontal="center" vertical="top"/>
    </xf>
    <xf numFmtId="0" fontId="27" fillId="0" borderId="13" xfId="3" applyFont="1" applyBorder="1" applyAlignment="1">
      <alignment horizontal="center" vertical="top"/>
    </xf>
    <xf numFmtId="0" fontId="27" fillId="0" borderId="0" xfId="3" applyFont="1" applyAlignment="1">
      <alignment horizontal="center" vertical="top"/>
    </xf>
    <xf numFmtId="0" fontId="27" fillId="0" borderId="17" xfId="3" applyFont="1" applyBorder="1" applyAlignment="1">
      <alignment horizontal="center" vertical="top"/>
    </xf>
    <xf numFmtId="0" fontId="6" fillId="0" borderId="17" xfId="3" applyBorder="1"/>
    <xf numFmtId="172" fontId="0" fillId="0" borderId="0" xfId="3" applyNumberFormat="1" applyFont="1"/>
    <xf numFmtId="0" fontId="4" fillId="0" borderId="54" xfId="3" applyFont="1" applyBorder="1" applyAlignment="1">
      <alignment horizontal="left"/>
    </xf>
    <xf numFmtId="0" fontId="0" fillId="0" borderId="54" xfId="3" applyFont="1" applyBorder="1"/>
    <xf numFmtId="0" fontId="0" fillId="0" borderId="55" xfId="3" applyFont="1" applyBorder="1"/>
    <xf numFmtId="0" fontId="9" fillId="0" borderId="0" xfId="3" applyFont="1"/>
    <xf numFmtId="0" fontId="4" fillId="0" borderId="13" xfId="16" applyFont="1" applyBorder="1" applyAlignment="1">
      <alignment horizontal="left" vertical="top"/>
    </xf>
    <xf numFmtId="0" fontId="0" fillId="0" borderId="0" xfId="3" applyFont="1" applyAlignment="1">
      <alignment vertical="top"/>
    </xf>
    <xf numFmtId="170" fontId="0" fillId="0" borderId="0" xfId="3" applyNumberFormat="1" applyFont="1"/>
    <xf numFmtId="0" fontId="4" fillId="0" borderId="34" xfId="16" applyFont="1" applyBorder="1" applyAlignment="1">
      <alignment horizontal="left" vertical="top"/>
    </xf>
    <xf numFmtId="170" fontId="0" fillId="0" borderId="33" xfId="3" applyNumberFormat="1" applyFont="1" applyBorder="1" applyAlignment="1">
      <alignment vertical="top"/>
    </xf>
    <xf numFmtId="170" fontId="0" fillId="0" borderId="33" xfId="3" applyNumberFormat="1" applyFont="1" applyBorder="1"/>
    <xf numFmtId="0" fontId="9" fillId="0" borderId="33" xfId="3" applyFont="1" applyBorder="1"/>
    <xf numFmtId="0" fontId="0" fillId="0" borderId="33" xfId="3" applyFont="1" applyBorder="1"/>
    <xf numFmtId="0" fontId="0" fillId="0" borderId="35" xfId="3" applyFont="1" applyBorder="1"/>
    <xf numFmtId="0" fontId="5" fillId="0" borderId="0" xfId="3" applyFont="1"/>
    <xf numFmtId="0" fontId="2" fillId="0" borderId="0" xfId="0" applyFont="1" applyAlignment="1">
      <alignment horizontal="left" vertical="center" wrapText="1"/>
    </xf>
    <xf numFmtId="0" fontId="2" fillId="0" borderId="4" xfId="0" applyFont="1" applyBorder="1" applyAlignment="1">
      <alignment horizontal="center" vertical="center" wrapText="1"/>
    </xf>
    <xf numFmtId="10" fontId="7" fillId="4" borderId="4" xfId="0" applyNumberFormat="1" applyFont="1" applyFill="1" applyBorder="1" applyAlignment="1">
      <alignment horizontal="center" vertical="center"/>
    </xf>
    <xf numFmtId="0" fontId="29" fillId="0" borderId="0" xfId="0" applyFont="1" applyAlignment="1">
      <alignment horizontal="center" vertical="center" wrapText="1"/>
    </xf>
    <xf numFmtId="0" fontId="2" fillId="0" borderId="0" xfId="0" applyFont="1" applyAlignment="1">
      <alignment horizontal="center" vertical="center" wrapText="1"/>
    </xf>
    <xf numFmtId="0" fontId="28" fillId="0" borderId="0" xfId="0" applyFont="1" applyAlignment="1">
      <alignment horizontal="center" vertical="center" wrapText="1"/>
    </xf>
    <xf numFmtId="0" fontId="30" fillId="0" borderId="0" xfId="0" applyFont="1" applyAlignment="1">
      <alignment horizontal="center" vertical="center" wrapText="1"/>
    </xf>
    <xf numFmtId="0" fontId="31" fillId="11" borderId="4" xfId="0" applyFont="1" applyFill="1" applyBorder="1" applyAlignment="1">
      <alignment horizontal="center" vertical="center" wrapText="1"/>
    </xf>
    <xf numFmtId="1" fontId="2" fillId="0" borderId="4" xfId="0" applyNumberFormat="1" applyFont="1" applyBorder="1" applyAlignment="1">
      <alignment horizontal="center" vertical="center" wrapText="1"/>
    </xf>
    <xf numFmtId="0" fontId="31" fillId="11" borderId="18" xfId="0" applyFont="1" applyFill="1" applyBorder="1" applyAlignment="1">
      <alignment horizontal="center" vertical="center" wrapText="1"/>
    </xf>
    <xf numFmtId="0" fontId="31" fillId="11" borderId="9" xfId="0" applyFont="1" applyFill="1" applyBorder="1" applyAlignment="1">
      <alignment horizontal="center" vertical="center" wrapText="1"/>
    </xf>
    <xf numFmtId="0" fontId="30" fillId="0" borderId="23" xfId="0" applyFont="1" applyBorder="1" applyAlignment="1">
      <alignment horizontal="center" vertical="center" wrapText="1"/>
    </xf>
    <xf numFmtId="2" fontId="2" fillId="0" borderId="12" xfId="0" applyNumberFormat="1" applyFont="1" applyBorder="1" applyAlignment="1">
      <alignment horizontal="center" vertical="center" wrapText="1"/>
    </xf>
    <xf numFmtId="0" fontId="30" fillId="0" borderId="9" xfId="0" applyFont="1" applyBorder="1" applyAlignment="1">
      <alignment horizontal="center" vertical="center" wrapText="1"/>
    </xf>
    <xf numFmtId="2" fontId="2" fillId="0" borderId="4"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0" fontId="2" fillId="0" borderId="18" xfId="0" applyFont="1" applyBorder="1" applyAlignment="1">
      <alignment horizontal="center" vertical="center" wrapText="1"/>
    </xf>
    <xf numFmtId="0" fontId="2" fillId="0" borderId="4" xfId="0" applyFont="1" applyBorder="1" applyAlignment="1">
      <alignment vertical="center" wrapText="1"/>
    </xf>
    <xf numFmtId="173" fontId="2" fillId="0" borderId="4"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0" borderId="12" xfId="0" applyFont="1" applyBorder="1" applyAlignment="1">
      <alignment horizontal="center" vertical="center" wrapText="1"/>
    </xf>
    <xf numFmtId="173" fontId="2" fillId="0" borderId="12" xfId="0" applyNumberFormat="1" applyFont="1" applyBorder="1" applyAlignment="1">
      <alignment horizontal="center" vertical="center" wrapText="1"/>
    </xf>
    <xf numFmtId="0" fontId="4" fillId="5" borderId="4" xfId="0" applyFont="1" applyFill="1" applyBorder="1" applyAlignment="1">
      <alignment horizontal="center" vertical="top"/>
    </xf>
    <xf numFmtId="0" fontId="4" fillId="5" borderId="4" xfId="0" applyFont="1" applyFill="1" applyBorder="1" applyAlignment="1">
      <alignment horizontal="center" vertical="top" wrapText="1"/>
    </xf>
    <xf numFmtId="0" fontId="0" fillId="0" borderId="0" xfId="0" applyAlignment="1">
      <alignment vertical="top"/>
    </xf>
    <xf numFmtId="0" fontId="4"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center" vertical="top" wrapText="1"/>
    </xf>
    <xf numFmtId="0" fontId="4" fillId="0" borderId="0" xfId="0" applyFont="1" applyAlignment="1">
      <alignment horizontal="right" vertical="top"/>
    </xf>
    <xf numFmtId="0" fontId="4" fillId="5" borderId="4" xfId="0" applyFont="1" applyFill="1" applyBorder="1"/>
    <xf numFmtId="2" fontId="2" fillId="0" borderId="0" xfId="0" applyNumberFormat="1" applyFont="1" applyAlignment="1">
      <alignment horizontal="right" vertical="top"/>
    </xf>
    <xf numFmtId="0" fontId="4" fillId="5" borderId="4" xfId="0" applyFont="1" applyFill="1" applyBorder="1" applyAlignment="1">
      <alignment horizontal="center"/>
    </xf>
    <xf numFmtId="0" fontId="0" fillId="0" borderId="0" xfId="0" applyAlignment="1">
      <alignment horizontal="left"/>
    </xf>
    <xf numFmtId="2" fontId="0" fillId="0" borderId="4" xfId="0" applyNumberFormat="1" applyBorder="1" applyAlignment="1">
      <alignment horizontal="center" vertical="center"/>
    </xf>
    <xf numFmtId="0" fontId="0" fillId="0" borderId="0" xfId="0" applyAlignment="1">
      <alignment vertical="center"/>
    </xf>
    <xf numFmtId="0" fontId="4" fillId="5" borderId="4" xfId="0" applyFont="1" applyFill="1" applyBorder="1" applyAlignment="1">
      <alignment horizontal="right"/>
    </xf>
    <xf numFmtId="0" fontId="2" fillId="0" borderId="4" xfId="0" applyFont="1" applyBorder="1" applyAlignment="1">
      <alignment horizontal="center" vertical="center"/>
    </xf>
    <xf numFmtId="0" fontId="4" fillId="5" borderId="4" xfId="0" applyFont="1" applyFill="1" applyBorder="1" applyAlignment="1">
      <alignment vertical="center" wrapText="1"/>
    </xf>
    <xf numFmtId="0" fontId="4" fillId="5" borderId="4" xfId="0" applyFont="1" applyFill="1" applyBorder="1" applyAlignment="1">
      <alignment vertical="center"/>
    </xf>
    <xf numFmtId="0" fontId="4" fillId="5" borderId="4" xfId="0" applyFont="1" applyFill="1" applyBorder="1" applyAlignment="1">
      <alignment horizontal="right" vertical="center"/>
    </xf>
    <xf numFmtId="168" fontId="7" fillId="0" borderId="25" xfId="9" applyNumberFormat="1" applyFont="1" applyFill="1" applyBorder="1" applyAlignment="1" applyProtection="1">
      <alignment horizontal="center" vertical="center" wrapText="1"/>
      <protection locked="0"/>
    </xf>
    <xf numFmtId="168" fontId="7" fillId="0" borderId="4" xfId="9" applyNumberFormat="1" applyFont="1" applyFill="1" applyBorder="1" applyAlignment="1">
      <alignment horizontal="center" vertical="center" wrapText="1"/>
    </xf>
    <xf numFmtId="168" fontId="7" fillId="0" borderId="9" xfId="9" applyNumberFormat="1" applyFont="1" applyFill="1" applyBorder="1" applyAlignment="1">
      <alignment horizontal="center" vertical="center" wrapText="1"/>
    </xf>
    <xf numFmtId="2" fontId="2" fillId="6" borderId="4" xfId="0" applyNumberFormat="1" applyFont="1" applyFill="1" applyBorder="1" applyAlignment="1">
      <alignment horizontal="center" vertical="center" wrapText="1"/>
    </xf>
    <xf numFmtId="2" fontId="2" fillId="6" borderId="60" xfId="0" applyNumberFormat="1" applyFont="1" applyFill="1" applyBorder="1" applyAlignment="1">
      <alignment horizontal="center" vertical="center" wrapText="1"/>
    </xf>
    <xf numFmtId="0" fontId="30" fillId="0" borderId="63" xfId="0" applyFont="1" applyBorder="1" applyAlignment="1">
      <alignment horizontal="center" vertical="center" wrapText="1"/>
    </xf>
    <xf numFmtId="1" fontId="2" fillId="0" borderId="60" xfId="0" applyNumberFormat="1" applyFont="1" applyBorder="1" applyAlignment="1">
      <alignment horizontal="center" vertical="center" wrapText="1"/>
    </xf>
    <xf numFmtId="173" fontId="2" fillId="0" borderId="60" xfId="0" applyNumberFormat="1" applyFont="1" applyBorder="1" applyAlignment="1">
      <alignment horizontal="center" vertical="center" wrapText="1"/>
    </xf>
    <xf numFmtId="2" fontId="2" fillId="0" borderId="60" xfId="0" applyNumberFormat="1" applyFont="1" applyBorder="1" applyAlignment="1">
      <alignment horizontal="center" vertical="center" wrapText="1"/>
    </xf>
    <xf numFmtId="2" fontId="2" fillId="6" borderId="12" xfId="0" applyNumberFormat="1" applyFont="1" applyFill="1" applyBorder="1" applyAlignment="1">
      <alignment horizontal="center" vertical="center" wrapText="1"/>
    </xf>
    <xf numFmtId="0" fontId="7" fillId="4" borderId="64" xfId="0" applyFont="1" applyFill="1" applyBorder="1" applyAlignment="1" applyProtection="1">
      <alignment horizontal="center" vertical="center" wrapText="1"/>
      <protection locked="0"/>
    </xf>
    <xf numFmtId="49" fontId="7" fillId="0" borderId="26" xfId="0" applyNumberFormat="1" applyFont="1" applyBorder="1" applyAlignment="1" applyProtection="1">
      <alignment horizontal="center" vertical="center" wrapText="1"/>
      <protection locked="0"/>
    </xf>
    <xf numFmtId="0" fontId="7" fillId="4" borderId="26" xfId="0" applyFont="1" applyFill="1" applyBorder="1" applyAlignment="1" applyProtection="1">
      <alignment horizontal="justify" vertical="center" wrapText="1"/>
      <protection locked="0"/>
    </xf>
    <xf numFmtId="0" fontId="7" fillId="4" borderId="26" xfId="0" applyFont="1" applyFill="1" applyBorder="1" applyAlignment="1" applyProtection="1">
      <alignment horizontal="center" vertical="center" wrapText="1"/>
      <protection locked="0"/>
    </xf>
    <xf numFmtId="168" fontId="7" fillId="0" borderId="26" xfId="9" applyNumberFormat="1" applyFont="1" applyFill="1" applyBorder="1" applyAlignment="1" applyProtection="1">
      <alignment horizontal="center" vertical="center" wrapText="1"/>
      <protection locked="0"/>
    </xf>
    <xf numFmtId="168" fontId="7" fillId="0" borderId="20" xfId="9" applyNumberFormat="1" applyFont="1" applyFill="1" applyBorder="1" applyAlignment="1">
      <alignment horizontal="center" vertical="center" wrapText="1"/>
    </xf>
    <xf numFmtId="168" fontId="7" fillId="0" borderId="21" xfId="9" applyNumberFormat="1" applyFont="1" applyFill="1" applyBorder="1" applyAlignment="1">
      <alignment horizontal="center" vertical="center" wrapText="1"/>
    </xf>
    <xf numFmtId="168" fontId="5" fillId="2" borderId="8" xfId="9" applyNumberFormat="1" applyFont="1" applyFill="1" applyBorder="1" applyAlignment="1">
      <alignment horizontal="center" vertical="center" wrapText="1"/>
    </xf>
    <xf numFmtId="0" fontId="7" fillId="4" borderId="67" xfId="0" applyFont="1" applyFill="1" applyBorder="1" applyAlignment="1" applyProtection="1">
      <alignment horizontal="center" vertical="center" wrapText="1"/>
      <protection locked="0"/>
    </xf>
    <xf numFmtId="49" fontId="7" fillId="0" borderId="29" xfId="0" applyNumberFormat="1" applyFont="1" applyBorder="1" applyAlignment="1" applyProtection="1">
      <alignment horizontal="center" vertical="center" wrapText="1"/>
      <protection locked="0"/>
    </xf>
    <xf numFmtId="0" fontId="7" fillId="4" borderId="29" xfId="0" applyFont="1" applyFill="1" applyBorder="1" applyAlignment="1" applyProtection="1">
      <alignment horizontal="justify" vertical="center" wrapText="1"/>
      <protection locked="0"/>
    </xf>
    <xf numFmtId="0" fontId="7" fillId="4" borderId="29" xfId="0" applyFont="1" applyFill="1" applyBorder="1" applyAlignment="1" applyProtection="1">
      <alignment horizontal="center" vertical="center" wrapText="1"/>
      <protection locked="0"/>
    </xf>
    <xf numFmtId="168" fontId="7" fillId="0" borderId="29" xfId="9" applyNumberFormat="1" applyFont="1" applyFill="1" applyBorder="1" applyAlignment="1" applyProtection="1">
      <alignment horizontal="center" vertical="center" wrapText="1"/>
      <protection locked="0"/>
    </xf>
    <xf numFmtId="168" fontId="7" fillId="0" borderId="60" xfId="9" applyNumberFormat="1" applyFont="1" applyFill="1" applyBorder="1" applyAlignment="1">
      <alignment horizontal="center" vertical="center" wrapText="1"/>
    </xf>
    <xf numFmtId="168" fontId="7" fillId="0" borderId="63" xfId="9" applyNumberFormat="1" applyFont="1" applyFill="1" applyBorder="1" applyAlignment="1">
      <alignment horizontal="center" vertical="center" wrapText="1"/>
    </xf>
    <xf numFmtId="0" fontId="7" fillId="0" borderId="34" xfId="0" applyFont="1" applyBorder="1" applyAlignment="1">
      <alignment horizontal="center" vertical="center"/>
    </xf>
    <xf numFmtId="0" fontId="7" fillId="0" borderId="33" xfId="0" applyFont="1" applyBorder="1" applyAlignment="1">
      <alignment horizontal="center" vertical="center"/>
    </xf>
    <xf numFmtId="0" fontId="2" fillId="0" borderId="60" xfId="0" applyFont="1" applyBorder="1" applyAlignment="1">
      <alignment horizontal="center" vertical="center" wrapText="1"/>
    </xf>
    <xf numFmtId="0" fontId="2" fillId="0" borderId="59" xfId="0" applyFont="1" applyBorder="1" applyAlignment="1">
      <alignment horizontal="center" vertical="center" wrapText="1"/>
    </xf>
    <xf numFmtId="0" fontId="7" fillId="0" borderId="32" xfId="0" applyFont="1" applyBorder="1" applyAlignment="1" applyProtection="1">
      <alignment horizontal="center" vertical="center" wrapText="1"/>
      <protection locked="0"/>
    </xf>
    <xf numFmtId="0" fontId="7" fillId="0" borderId="25" xfId="0" applyFont="1" applyBorder="1" applyAlignment="1" applyProtection="1">
      <alignment horizontal="justify" vertical="center" wrapText="1"/>
      <protection locked="0"/>
    </xf>
    <xf numFmtId="0" fontId="7" fillId="0" borderId="25" xfId="0" applyFont="1" applyBorder="1" applyAlignment="1" applyProtection="1">
      <alignment horizontal="center" vertical="center" wrapText="1"/>
      <protection locked="0"/>
    </xf>
    <xf numFmtId="173" fontId="0" fillId="0" borderId="4" xfId="0" applyNumberFormat="1" applyBorder="1" applyAlignment="1">
      <alignment horizontal="center" vertical="center"/>
    </xf>
    <xf numFmtId="10" fontId="9" fillId="0" borderId="21" xfId="3" applyNumberFormat="1" applyFont="1" applyBorder="1" applyAlignment="1" applyProtection="1">
      <alignment horizontal="center" vertical="center"/>
      <protection locked="0"/>
    </xf>
    <xf numFmtId="10" fontId="9" fillId="0" borderId="9" xfId="3" applyNumberFormat="1" applyFont="1" applyBorder="1" applyAlignment="1" applyProtection="1">
      <alignment horizontal="center" vertical="center"/>
      <protection locked="0"/>
    </xf>
    <xf numFmtId="10" fontId="9" fillId="0" borderId="9" xfId="3" applyNumberFormat="1" applyFont="1" applyBorder="1" applyAlignment="1">
      <alignment horizontal="center" vertical="center"/>
    </xf>
    <xf numFmtId="0" fontId="37" fillId="0" borderId="0" xfId="0" applyFont="1" applyAlignment="1">
      <alignment horizontal="center" vertical="center" wrapText="1"/>
    </xf>
    <xf numFmtId="0" fontId="39" fillId="0" borderId="0" xfId="0" applyFont="1" applyAlignment="1">
      <alignment horizontal="center" vertical="center" wrapText="1"/>
    </xf>
    <xf numFmtId="174" fontId="2" fillId="0" borderId="4" xfId="0" applyNumberFormat="1" applyFont="1" applyBorder="1" applyAlignment="1">
      <alignment horizontal="center" vertical="center" wrapText="1"/>
    </xf>
    <xf numFmtId="0" fontId="5" fillId="0" borderId="0" xfId="0" applyFont="1" applyAlignment="1">
      <alignment vertical="center"/>
    </xf>
    <xf numFmtId="4" fontId="7" fillId="0" borderId="20" xfId="0" applyNumberFormat="1" applyFont="1" applyBorder="1" applyAlignment="1">
      <alignment horizontal="center" vertical="center" wrapText="1"/>
    </xf>
    <xf numFmtId="4" fontId="7" fillId="0" borderId="60" xfId="0" applyNumberFormat="1" applyFont="1" applyBorder="1" applyAlignment="1">
      <alignment horizontal="center" vertical="center" wrapText="1"/>
    </xf>
    <xf numFmtId="4" fontId="7" fillId="0" borderId="4" xfId="0" applyNumberFormat="1" applyFont="1" applyBorder="1" applyAlignment="1">
      <alignment horizontal="center" vertical="center" wrapText="1"/>
    </xf>
    <xf numFmtId="0" fontId="7" fillId="0" borderId="33" xfId="0" applyFont="1" applyBorder="1" applyAlignment="1">
      <alignment vertical="top"/>
    </xf>
    <xf numFmtId="165" fontId="7" fillId="0" borderId="33" xfId="9" applyFont="1" applyBorder="1" applyAlignment="1">
      <alignment vertical="center"/>
    </xf>
    <xf numFmtId="165" fontId="7" fillId="0" borderId="35" xfId="9" applyFont="1" applyBorder="1" applyAlignment="1">
      <alignment vertical="center"/>
    </xf>
    <xf numFmtId="0" fontId="5" fillId="14" borderId="65" xfId="0" applyFont="1" applyFill="1" applyBorder="1" applyAlignment="1">
      <alignment vertical="center"/>
    </xf>
    <xf numFmtId="0" fontId="5" fillId="14" borderId="66" xfId="0" applyFont="1" applyFill="1" applyBorder="1" applyAlignment="1">
      <alignment vertical="center"/>
    </xf>
    <xf numFmtId="0" fontId="5" fillId="14" borderId="7" xfId="0" applyFont="1" applyFill="1" applyBorder="1" applyAlignment="1">
      <alignment vertical="center"/>
    </xf>
    <xf numFmtId="168" fontId="5" fillId="14" borderId="8" xfId="9" applyNumberFormat="1" applyFont="1" applyFill="1" applyBorder="1" applyAlignment="1">
      <alignment horizontal="center" vertical="center" wrapText="1"/>
    </xf>
    <xf numFmtId="0" fontId="5" fillId="10" borderId="65" xfId="0" applyFont="1" applyFill="1" applyBorder="1" applyAlignment="1">
      <alignment vertical="center"/>
    </xf>
    <xf numFmtId="0" fontId="5" fillId="10" borderId="66" xfId="0" applyFont="1" applyFill="1" applyBorder="1" applyAlignment="1">
      <alignment vertical="center"/>
    </xf>
    <xf numFmtId="0" fontId="5" fillId="10" borderId="7" xfId="0" applyFont="1" applyFill="1" applyBorder="1" applyAlignment="1">
      <alignment vertical="center"/>
    </xf>
    <xf numFmtId="0" fontId="5" fillId="2" borderId="65" xfId="0" applyFont="1" applyFill="1" applyBorder="1" applyAlignment="1">
      <alignment vertical="center"/>
    </xf>
    <xf numFmtId="0" fontId="5" fillId="2" borderId="66" xfId="0" applyFont="1" applyFill="1" applyBorder="1" applyAlignment="1">
      <alignment vertical="center"/>
    </xf>
    <xf numFmtId="0" fontId="5" fillId="2" borderId="7" xfId="0" applyFont="1" applyFill="1" applyBorder="1" applyAlignment="1">
      <alignment vertical="center"/>
    </xf>
    <xf numFmtId="0" fontId="7" fillId="14" borderId="0" xfId="0" applyFont="1" applyFill="1" applyAlignment="1">
      <alignment horizontal="center" vertical="center"/>
    </xf>
    <xf numFmtId="0" fontId="5" fillId="14" borderId="6" xfId="0" applyFont="1" applyFill="1" applyBorder="1" applyAlignment="1">
      <alignment vertical="center"/>
    </xf>
    <xf numFmtId="0" fontId="5" fillId="14" borderId="5" xfId="0" applyFont="1" applyFill="1" applyBorder="1" applyAlignment="1">
      <alignment vertical="center"/>
    </xf>
    <xf numFmtId="0" fontId="5" fillId="14" borderId="24" xfId="0" applyFont="1" applyFill="1" applyBorder="1" applyAlignment="1">
      <alignment vertical="center"/>
    </xf>
    <xf numFmtId="10" fontId="7" fillId="15" borderId="9" xfId="5" applyNumberFormat="1" applyFont="1" applyFill="1" applyBorder="1" applyAlignment="1">
      <alignment horizontal="center" vertical="center"/>
    </xf>
    <xf numFmtId="165" fontId="5" fillId="2" borderId="24" xfId="9" applyFont="1" applyFill="1" applyBorder="1" applyAlignment="1">
      <alignment horizontal="center" vertical="center" wrapText="1"/>
    </xf>
    <xf numFmtId="165" fontId="5" fillId="2" borderId="7" xfId="9" applyFont="1" applyFill="1" applyBorder="1" applyAlignment="1">
      <alignment horizontal="center" vertical="center" wrapText="1"/>
    </xf>
    <xf numFmtId="165" fontId="5" fillId="14" borderId="24" xfId="9" applyFont="1" applyFill="1" applyBorder="1" applyAlignment="1">
      <alignment horizontal="center" vertical="center" wrapText="1"/>
    </xf>
    <xf numFmtId="165" fontId="5" fillId="14" borderId="7" xfId="9" applyFont="1" applyFill="1" applyBorder="1" applyAlignment="1">
      <alignment horizontal="center" vertical="center" wrapText="1"/>
    </xf>
    <xf numFmtId="0" fontId="5" fillId="4" borderId="14" xfId="0" applyFont="1" applyFill="1" applyBorder="1" applyAlignment="1">
      <alignment horizontal="center" vertical="center"/>
    </xf>
    <xf numFmtId="0" fontId="5" fillId="4" borderId="30" xfId="0" applyFont="1" applyFill="1" applyBorder="1" applyAlignment="1">
      <alignment horizontal="center" vertical="center"/>
    </xf>
    <xf numFmtId="0" fontId="5" fillId="4" borderId="31" xfId="0" applyFont="1" applyFill="1" applyBorder="1" applyAlignment="1">
      <alignment horizontal="center" vertical="center"/>
    </xf>
    <xf numFmtId="0" fontId="22" fillId="15" borderId="40" xfId="0" applyFont="1" applyFill="1" applyBorder="1" applyAlignment="1">
      <alignment horizontal="center" vertical="center" wrapText="1"/>
    </xf>
    <xf numFmtId="0" fontId="22" fillId="15" borderId="41" xfId="0" applyFont="1" applyFill="1" applyBorder="1" applyAlignment="1">
      <alignment horizontal="center" vertical="center"/>
    </xf>
    <xf numFmtId="0" fontId="22" fillId="15" borderId="42" xfId="0" applyFont="1" applyFill="1" applyBorder="1" applyAlignment="1">
      <alignment horizontal="center" vertical="center"/>
    </xf>
    <xf numFmtId="0" fontId="5" fillId="0" borderId="25" xfId="0" applyFont="1" applyBorder="1" applyAlignment="1">
      <alignment horizontal="center" vertical="center"/>
    </xf>
    <xf numFmtId="0" fontId="5" fillId="0" borderId="27" xfId="0" applyFont="1" applyBorder="1" applyAlignment="1">
      <alignment horizontal="center" vertical="center"/>
    </xf>
    <xf numFmtId="49" fontId="7" fillId="0" borderId="3" xfId="0" applyNumberFormat="1" applyFont="1" applyBorder="1" applyAlignment="1">
      <alignment horizontal="center" vertical="center"/>
    </xf>
    <xf numFmtId="49" fontId="7" fillId="0" borderId="2" xfId="0" applyNumberFormat="1" applyFont="1" applyBorder="1" applyAlignment="1">
      <alignment horizontal="center" vertical="center"/>
    </xf>
    <xf numFmtId="0" fontId="7" fillId="4" borderId="3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17" fillId="0" borderId="22"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23" xfId="0" applyFont="1" applyBorder="1" applyAlignment="1">
      <alignment horizontal="center" vertical="center" wrapText="1"/>
    </xf>
    <xf numFmtId="0" fontId="7" fillId="0" borderId="32" xfId="0" applyFont="1" applyBorder="1" applyAlignment="1">
      <alignment horizontal="left" vertical="center"/>
    </xf>
    <xf numFmtId="0" fontId="7" fillId="0" borderId="3" xfId="0" applyFont="1" applyBorder="1" applyAlignment="1">
      <alignment horizontal="left" vertical="center"/>
    </xf>
    <xf numFmtId="0" fontId="7" fillId="0" borderId="27" xfId="0" applyFont="1" applyBorder="1" applyAlignment="1">
      <alignment horizontal="left" vertical="center"/>
    </xf>
    <xf numFmtId="14" fontId="7" fillId="15" borderId="3" xfId="0" applyNumberFormat="1" applyFont="1" applyFill="1" applyBorder="1" applyAlignment="1">
      <alignment horizontal="center" vertical="center"/>
    </xf>
    <xf numFmtId="14" fontId="7" fillId="15" borderId="2" xfId="0" applyNumberFormat="1" applyFont="1" applyFill="1" applyBorder="1" applyAlignment="1">
      <alignment horizontal="center" vertical="center"/>
    </xf>
    <xf numFmtId="0" fontId="20" fillId="0" borderId="18" xfId="0" applyFont="1" applyBorder="1" applyAlignment="1">
      <alignment horizontal="left" vertical="center" wrapText="1"/>
    </xf>
    <xf numFmtId="0" fontId="20" fillId="0" borderId="4" xfId="0" applyFont="1" applyBorder="1" applyAlignment="1">
      <alignment horizontal="left" vertical="center" wrapText="1"/>
    </xf>
    <xf numFmtId="0" fontId="5" fillId="0" borderId="4" xfId="0" applyFont="1" applyBorder="1" applyAlignment="1">
      <alignment horizontal="center" vertical="center"/>
    </xf>
    <xf numFmtId="0" fontId="5" fillId="0" borderId="9" xfId="0" applyFont="1" applyBorder="1" applyAlignment="1">
      <alignment horizontal="center" vertical="center"/>
    </xf>
    <xf numFmtId="0" fontId="19" fillId="0" borderId="32" xfId="0" applyFont="1" applyBorder="1" applyAlignment="1">
      <alignment horizontal="center" vertical="center"/>
    </xf>
    <xf numFmtId="0" fontId="19" fillId="0" borderId="3"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32" xfId="0" applyFont="1" applyBorder="1" applyAlignment="1">
      <alignment horizontal="left" vertical="center"/>
    </xf>
    <xf numFmtId="0" fontId="5" fillId="0" borderId="3" xfId="0" applyFont="1" applyBorder="1" applyAlignment="1">
      <alignment horizontal="left" vertical="center"/>
    </xf>
    <xf numFmtId="0" fontId="5" fillId="0" borderId="27" xfId="0" applyFont="1" applyBorder="1" applyAlignment="1">
      <alignment horizontal="left" vertical="center"/>
    </xf>
    <xf numFmtId="0" fontId="5" fillId="0" borderId="14"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168" fontId="5" fillId="14" borderId="5" xfId="9" applyNumberFormat="1" applyFont="1" applyFill="1" applyBorder="1" applyAlignment="1">
      <alignment horizontal="center" vertical="center"/>
    </xf>
    <xf numFmtId="168" fontId="5" fillId="14" borderId="6" xfId="9" applyNumberFormat="1" applyFont="1" applyFill="1" applyBorder="1" applyAlignment="1">
      <alignment horizontal="center" vertical="center"/>
    </xf>
    <xf numFmtId="168" fontId="5" fillId="14" borderId="8" xfId="9" applyNumberFormat="1" applyFont="1" applyFill="1" applyBorder="1" applyAlignment="1">
      <alignment horizontal="center" vertical="center"/>
    </xf>
    <xf numFmtId="0" fontId="5" fillId="0" borderId="0" xfId="0" applyFont="1" applyAlignment="1">
      <alignment horizontal="center" vertical="center"/>
    </xf>
    <xf numFmtId="0" fontId="7" fillId="0" borderId="33" xfId="0" applyFont="1" applyBorder="1" applyAlignment="1">
      <alignment horizontal="center" vertical="top"/>
    </xf>
    <xf numFmtId="0" fontId="2" fillId="0" borderId="59"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20" xfId="0" applyFont="1" applyBorder="1" applyAlignment="1">
      <alignment horizontal="center" vertical="center" wrapText="1"/>
    </xf>
    <xf numFmtId="2" fontId="2" fillId="6" borderId="60" xfId="0" applyNumberFormat="1" applyFont="1" applyFill="1" applyBorder="1" applyAlignment="1">
      <alignment horizontal="center" vertical="center" wrapText="1"/>
    </xf>
    <xf numFmtId="2" fontId="2" fillId="6" borderId="62" xfId="0" applyNumberFormat="1" applyFont="1" applyFill="1" applyBorder="1" applyAlignment="1">
      <alignment horizontal="center" vertical="center" wrapText="1"/>
    </xf>
    <xf numFmtId="2" fontId="2" fillId="6" borderId="20" xfId="0" applyNumberFormat="1" applyFont="1" applyFill="1" applyBorder="1" applyAlignment="1">
      <alignment horizontal="center" vertical="center" wrapText="1"/>
    </xf>
    <xf numFmtId="0" fontId="29" fillId="10" borderId="18" xfId="0" applyFont="1" applyFill="1" applyBorder="1" applyAlignment="1">
      <alignment horizontal="center" vertical="center" wrapText="1"/>
    </xf>
    <xf numFmtId="0" fontId="29" fillId="10" borderId="4" xfId="0" applyFont="1" applyFill="1" applyBorder="1" applyAlignment="1">
      <alignment horizontal="center" vertical="center" wrapText="1"/>
    </xf>
    <xf numFmtId="0" fontId="29" fillId="10" borderId="9" xfId="0" applyFont="1" applyFill="1" applyBorder="1" applyAlignment="1">
      <alignment horizontal="center" vertical="center" wrapText="1"/>
    </xf>
    <xf numFmtId="0" fontId="30" fillId="0" borderId="63" xfId="0" applyFont="1" applyBorder="1" applyAlignment="1">
      <alignment horizontal="center" vertical="center" wrapText="1"/>
    </xf>
    <xf numFmtId="0" fontId="30" fillId="0" borderId="68" xfId="0" applyFont="1" applyBorder="1" applyAlignment="1">
      <alignment horizontal="center" vertical="center" wrapText="1"/>
    </xf>
    <xf numFmtId="0" fontId="30" fillId="0" borderId="21" xfId="0" applyFont="1" applyBorder="1" applyAlignment="1">
      <alignment horizontal="center" vertical="center" wrapText="1"/>
    </xf>
    <xf numFmtId="0" fontId="38" fillId="12" borderId="39" xfId="0" applyFont="1" applyFill="1" applyBorder="1" applyAlignment="1">
      <alignment horizontal="center" vertical="center" wrapText="1"/>
    </xf>
    <xf numFmtId="0" fontId="38" fillId="12" borderId="10" xfId="0" applyFont="1" applyFill="1" applyBorder="1" applyAlignment="1">
      <alignment horizontal="center" vertical="center" wrapText="1"/>
    </xf>
    <xf numFmtId="0" fontId="38" fillId="12" borderId="11" xfId="0" applyFont="1" applyFill="1" applyBorder="1" applyAlignment="1">
      <alignment horizontal="center" vertical="center" wrapText="1"/>
    </xf>
    <xf numFmtId="0" fontId="37" fillId="13" borderId="18" xfId="0" applyFont="1" applyFill="1" applyBorder="1" applyAlignment="1">
      <alignment horizontal="center" vertical="center" wrapText="1"/>
    </xf>
    <xf numFmtId="0" fontId="37" fillId="13" borderId="4" xfId="0" applyFont="1" applyFill="1" applyBorder="1" applyAlignment="1">
      <alignment horizontal="center" vertical="center" wrapText="1"/>
    </xf>
    <xf numFmtId="0" fontId="37" fillId="13" borderId="9" xfId="0" applyFont="1" applyFill="1" applyBorder="1" applyAlignment="1">
      <alignment horizontal="center" vertical="center" wrapText="1"/>
    </xf>
    <xf numFmtId="2" fontId="2" fillId="6" borderId="4" xfId="0"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18" xfId="0" applyFont="1" applyBorder="1" applyAlignment="1">
      <alignment horizontal="center" vertical="center" wrapText="1"/>
    </xf>
    <xf numFmtId="0" fontId="37" fillId="13" borderId="5" xfId="0" applyFont="1" applyFill="1" applyBorder="1" applyAlignment="1">
      <alignment horizontal="center" vertical="center" wrapText="1"/>
    </xf>
    <xf numFmtId="0" fontId="37" fillId="13" borderId="6" xfId="0" applyFont="1" applyFill="1" applyBorder="1" applyAlignment="1">
      <alignment horizontal="center" vertical="center" wrapText="1"/>
    </xf>
    <xf numFmtId="0" fontId="37" fillId="13" borderId="8" xfId="0" applyFont="1" applyFill="1" applyBorder="1" applyAlignment="1">
      <alignment horizontal="center" vertical="center" wrapText="1"/>
    </xf>
    <xf numFmtId="0" fontId="29" fillId="10" borderId="19" xfId="0" applyFont="1" applyFill="1" applyBorder="1" applyAlignment="1">
      <alignment horizontal="center" vertical="center" wrapText="1"/>
    </xf>
    <xf numFmtId="0" fontId="29" fillId="10" borderId="20" xfId="0" applyFont="1" applyFill="1" applyBorder="1" applyAlignment="1">
      <alignment horizontal="center" vertical="center" wrapText="1"/>
    </xf>
    <xf numFmtId="0" fontId="29" fillId="10" borderId="21" xfId="0" applyFont="1" applyFill="1" applyBorder="1" applyAlignment="1">
      <alignment horizontal="center" vertical="center" wrapText="1"/>
    </xf>
    <xf numFmtId="0" fontId="18" fillId="3" borderId="25" xfId="3" applyFont="1" applyFill="1" applyBorder="1" applyAlignment="1">
      <alignment horizontal="left" vertical="center" wrapText="1"/>
    </xf>
    <xf numFmtId="0" fontId="18" fillId="3" borderId="27" xfId="3" applyFont="1" applyFill="1" applyBorder="1" applyAlignment="1">
      <alignment horizontal="left" vertical="center" wrapText="1"/>
    </xf>
    <xf numFmtId="0" fontId="17" fillId="3" borderId="4" xfId="3" applyFont="1" applyFill="1" applyBorder="1" applyAlignment="1">
      <alignment horizontal="center" vertical="center"/>
    </xf>
    <xf numFmtId="0" fontId="18" fillId="3" borderId="4" xfId="3" applyFont="1" applyFill="1" applyBorder="1" applyAlignment="1">
      <alignment horizontal="center" vertical="center" wrapText="1"/>
    </xf>
    <xf numFmtId="0" fontId="32" fillId="16" borderId="25" xfId="0" applyFont="1" applyFill="1" applyBorder="1" applyAlignment="1">
      <alignment horizontal="center" vertical="center"/>
    </xf>
    <xf numFmtId="0" fontId="32" fillId="16" borderId="3" xfId="0" applyFont="1" applyFill="1" applyBorder="1" applyAlignment="1">
      <alignment horizontal="center" vertical="center"/>
    </xf>
    <xf numFmtId="0" fontId="32" fillId="16" borderId="27" xfId="0" applyFont="1" applyFill="1" applyBorder="1" applyAlignment="1">
      <alignment horizontal="center" vertical="center"/>
    </xf>
    <xf numFmtId="0" fontId="17" fillId="3" borderId="4" xfId="3" applyFont="1" applyFill="1" applyBorder="1" applyAlignment="1">
      <alignment horizontal="center" vertical="center" wrapText="1"/>
    </xf>
    <xf numFmtId="0" fontId="16" fillId="3" borderId="25" xfId="3" applyFont="1" applyFill="1" applyBorder="1" applyAlignment="1">
      <alignment horizontal="center" vertical="center"/>
    </xf>
    <xf numFmtId="0" fontId="16" fillId="3" borderId="3" xfId="3" applyFont="1" applyFill="1" applyBorder="1" applyAlignment="1">
      <alignment horizontal="center" vertical="center"/>
    </xf>
    <xf numFmtId="0" fontId="16" fillId="3" borderId="27" xfId="3" applyFont="1" applyFill="1" applyBorder="1" applyAlignment="1">
      <alignment horizontal="center" vertical="center"/>
    </xf>
    <xf numFmtId="0" fontId="17" fillId="3" borderId="4" xfId="3" applyFont="1" applyFill="1" applyBorder="1" applyAlignment="1">
      <alignment horizontal="left" vertical="center"/>
    </xf>
    <xf numFmtId="167" fontId="18" fillId="3" borderId="4" xfId="3" applyNumberFormat="1" applyFont="1" applyFill="1" applyBorder="1" applyAlignment="1">
      <alignment horizontal="center" vertical="center" wrapText="1"/>
    </xf>
    <xf numFmtId="0" fontId="18" fillId="3" borderId="4" xfId="3" applyFont="1" applyFill="1" applyBorder="1" applyAlignment="1">
      <alignment horizontal="left" vertical="center" wrapText="1"/>
    </xf>
    <xf numFmtId="0" fontId="17" fillId="3" borderId="25" xfId="3" applyFont="1" applyFill="1" applyBorder="1" applyAlignment="1">
      <alignment horizontal="center" vertical="center"/>
    </xf>
    <xf numFmtId="0" fontId="17" fillId="3" borderId="27" xfId="3" applyFont="1" applyFill="1" applyBorder="1" applyAlignment="1">
      <alignment horizontal="center" vertical="center"/>
    </xf>
    <xf numFmtId="0" fontId="17" fillId="3" borderId="29" xfId="3" applyFont="1" applyFill="1" applyBorder="1" applyAlignment="1">
      <alignment horizontal="center" vertical="center" wrapText="1"/>
    </xf>
    <xf numFmtId="0" fontId="17" fillId="3" borderId="28" xfId="3" applyFont="1" applyFill="1" applyBorder="1" applyAlignment="1">
      <alignment horizontal="center" vertical="center" wrapText="1"/>
    </xf>
    <xf numFmtId="0" fontId="17" fillId="3" borderId="26" xfId="3" applyFont="1" applyFill="1" applyBorder="1" applyAlignment="1">
      <alignment horizontal="center" vertical="center" wrapText="1"/>
    </xf>
    <xf numFmtId="0" fontId="17" fillId="3" borderId="16" xfId="3" applyFont="1" applyFill="1" applyBorder="1" applyAlignment="1">
      <alignment horizontal="center" vertical="center" wrapText="1"/>
    </xf>
    <xf numFmtId="0" fontId="0" fillId="0" borderId="53" xfId="3" applyFont="1" applyBorder="1" applyAlignment="1">
      <alignment horizontal="left" vertical="center"/>
    </xf>
    <xf numFmtId="0" fontId="0" fillId="0" borderId="54" xfId="3" applyFont="1" applyBorder="1" applyAlignment="1">
      <alignment horizontal="left" vertical="center"/>
    </xf>
    <xf numFmtId="0" fontId="0" fillId="0" borderId="18" xfId="3" applyFont="1" applyBorder="1" applyAlignment="1">
      <alignment horizontal="left" vertical="center" wrapText="1"/>
    </xf>
    <xf numFmtId="0" fontId="0" fillId="0" borderId="4" xfId="3" applyFont="1" applyBorder="1" applyAlignment="1">
      <alignment horizontal="left" vertical="center" wrapText="1"/>
    </xf>
    <xf numFmtId="4" fontId="8" fillId="0" borderId="43" xfId="3" applyNumberFormat="1" applyFont="1" applyBorder="1" applyAlignment="1">
      <alignment horizontal="center" vertical="center"/>
    </xf>
    <xf numFmtId="0" fontId="9" fillId="9" borderId="5" xfId="3" applyFont="1" applyFill="1" applyBorder="1" applyAlignment="1">
      <alignment horizontal="center" vertical="center" wrapText="1"/>
    </xf>
    <xf numFmtId="0" fontId="9" fillId="9" borderId="6" xfId="3" applyFont="1" applyFill="1" applyBorder="1" applyAlignment="1">
      <alignment horizontal="center" vertical="center" wrapText="1"/>
    </xf>
    <xf numFmtId="0" fontId="0" fillId="0" borderId="13" xfId="3" applyFont="1" applyBorder="1" applyAlignment="1">
      <alignment horizontal="center" vertical="center"/>
    </xf>
    <xf numFmtId="0" fontId="0" fillId="0" borderId="0" xfId="3" applyFont="1" applyAlignment="1">
      <alignment horizontal="center" vertical="center"/>
    </xf>
    <xf numFmtId="0" fontId="0" fillId="0" borderId="17" xfId="3" applyFont="1" applyBorder="1" applyAlignment="1">
      <alignment horizontal="center" vertical="center"/>
    </xf>
    <xf numFmtId="0" fontId="25" fillId="0" borderId="13" xfId="3" applyFont="1" applyBorder="1" applyAlignment="1">
      <alignment horizontal="right" vertical="center"/>
    </xf>
    <xf numFmtId="0" fontId="26" fillId="0" borderId="0" xfId="3" applyFont="1" applyAlignment="1">
      <alignment horizontal="center"/>
    </xf>
    <xf numFmtId="0" fontId="25" fillId="0" borderId="0" xfId="3" applyFont="1" applyAlignment="1">
      <alignment horizontal="center" vertical="top"/>
    </xf>
    <xf numFmtId="0" fontId="24" fillId="0" borderId="5" xfId="3" applyFont="1" applyBorder="1" applyAlignment="1">
      <alignment horizontal="left" vertical="center" wrapText="1"/>
    </xf>
    <xf numFmtId="0" fontId="24" fillId="0" borderId="6" xfId="3" applyFont="1" applyBorder="1" applyAlignment="1">
      <alignment horizontal="left" vertical="center" wrapText="1"/>
    </xf>
    <xf numFmtId="0" fontId="24" fillId="0" borderId="8" xfId="3" applyFont="1" applyBorder="1" applyAlignment="1">
      <alignment horizontal="left" vertical="center" wrapText="1"/>
    </xf>
    <xf numFmtId="170" fontId="0" fillId="0" borderId="50" xfId="3" applyNumberFormat="1" applyFont="1" applyBorder="1" applyAlignment="1">
      <alignment horizontal="left"/>
    </xf>
    <xf numFmtId="170" fontId="0" fillId="0" borderId="51" xfId="3" applyNumberFormat="1" applyFont="1" applyBorder="1" applyAlignment="1">
      <alignment horizontal="left"/>
    </xf>
    <xf numFmtId="171" fontId="2" fillId="0" borderId="51" xfId="3" applyNumberFormat="1" applyFont="1" applyBorder="1" applyAlignment="1">
      <alignment horizontal="left"/>
    </xf>
    <xf numFmtId="171" fontId="0" fillId="0" borderId="51" xfId="3" applyNumberFormat="1" applyFont="1" applyBorder="1" applyAlignment="1">
      <alignment horizontal="left"/>
    </xf>
    <xf numFmtId="171" fontId="0" fillId="0" borderId="52" xfId="3" applyNumberFormat="1" applyFont="1" applyBorder="1" applyAlignment="1">
      <alignment horizontal="left"/>
    </xf>
    <xf numFmtId="0" fontId="4" fillId="0" borderId="53" xfId="3" applyFont="1" applyBorder="1" applyAlignment="1">
      <alignment horizontal="left" vertical="center"/>
    </xf>
    <xf numFmtId="0" fontId="4" fillId="0" borderId="54" xfId="3" applyFont="1" applyBorder="1" applyAlignment="1">
      <alignment horizontal="left" vertical="center"/>
    </xf>
    <xf numFmtId="0" fontId="8" fillId="0" borderId="50" xfId="3" applyFont="1" applyBorder="1" applyAlignment="1">
      <alignment horizontal="left" vertical="center"/>
    </xf>
    <xf numFmtId="0" fontId="8" fillId="0" borderId="51" xfId="3" applyFont="1" applyBorder="1" applyAlignment="1">
      <alignment horizontal="left" vertical="center"/>
    </xf>
    <xf numFmtId="0" fontId="2" fillId="0" borderId="18" xfId="3" applyFont="1" applyBorder="1" applyAlignment="1">
      <alignment horizontal="left" vertical="center" wrapText="1"/>
    </xf>
    <xf numFmtId="4" fontId="8" fillId="0" borderId="43" xfId="3" applyNumberFormat="1" applyFont="1" applyBorder="1" applyAlignment="1">
      <alignment horizontal="center" vertical="center" wrapText="1"/>
    </xf>
    <xf numFmtId="0" fontId="4" fillId="0" borderId="43" xfId="3" applyFont="1" applyBorder="1" applyAlignment="1">
      <alignment horizontal="center" vertical="center"/>
    </xf>
    <xf numFmtId="0" fontId="2" fillId="0" borderId="19" xfId="3" applyFont="1" applyBorder="1" applyAlignment="1">
      <alignment horizontal="left" vertical="center" wrapText="1"/>
    </xf>
    <xf numFmtId="0" fontId="0" fillId="0" borderId="20" xfId="3" applyFont="1" applyBorder="1" applyAlignment="1">
      <alignment horizontal="left" vertical="center" wrapText="1"/>
    </xf>
    <xf numFmtId="0" fontId="24" fillId="0" borderId="18" xfId="3" applyFont="1" applyBorder="1" applyAlignment="1">
      <alignment horizontal="left" vertical="center"/>
    </xf>
    <xf numFmtId="0" fontId="24" fillId="0" borderId="4" xfId="3" applyFont="1" applyBorder="1" applyAlignment="1">
      <alignment horizontal="left" vertical="center"/>
    </xf>
    <xf numFmtId="10" fontId="24" fillId="7" borderId="4" xfId="3" applyNumberFormat="1" applyFont="1" applyFill="1" applyBorder="1" applyAlignment="1" applyProtection="1">
      <alignment horizontal="center" vertical="center"/>
      <protection locked="0"/>
    </xf>
    <xf numFmtId="10" fontId="24" fillId="7" borderId="9" xfId="3" applyNumberFormat="1" applyFont="1" applyFill="1" applyBorder="1" applyAlignment="1" applyProtection="1">
      <alignment horizontal="center" vertical="center"/>
      <protection locked="0"/>
    </xf>
    <xf numFmtId="0" fontId="4" fillId="0" borderId="44" xfId="16" applyFont="1" applyBorder="1" applyAlignment="1">
      <alignment horizontal="left" vertical="top"/>
    </xf>
    <xf numFmtId="0" fontId="4" fillId="0" borderId="45" xfId="16" applyFont="1" applyBorder="1" applyAlignment="1">
      <alignment horizontal="left" vertical="top"/>
    </xf>
    <xf numFmtId="0" fontId="4" fillId="0" borderId="46" xfId="16" applyFont="1" applyBorder="1" applyAlignment="1">
      <alignment horizontal="left" vertical="top"/>
    </xf>
    <xf numFmtId="169" fontId="2" fillId="8" borderId="47" xfId="17" applyFill="1" applyBorder="1" applyAlignment="1" applyProtection="1">
      <alignment horizontal="left"/>
      <protection locked="0"/>
    </xf>
    <xf numFmtId="169" fontId="2" fillId="8" borderId="48" xfId="17" applyFill="1" applyBorder="1" applyAlignment="1" applyProtection="1">
      <alignment horizontal="left"/>
      <protection locked="0"/>
    </xf>
    <xf numFmtId="169" fontId="2" fillId="8" borderId="49" xfId="17" applyFill="1" applyBorder="1" applyAlignment="1" applyProtection="1">
      <alignment horizontal="left"/>
      <protection locked="0"/>
    </xf>
    <xf numFmtId="0" fontId="8" fillId="5" borderId="39" xfId="3" applyFont="1" applyFill="1" applyBorder="1" applyAlignment="1">
      <alignment horizontal="center" vertical="center"/>
    </xf>
    <xf numFmtId="0" fontId="8" fillId="5" borderId="10" xfId="3" applyFont="1" applyFill="1" applyBorder="1" applyAlignment="1">
      <alignment horizontal="center" vertical="center"/>
    </xf>
    <xf numFmtId="0" fontId="8" fillId="5" borderId="22" xfId="3" applyFont="1" applyFill="1" applyBorder="1" applyAlignment="1">
      <alignment horizontal="center" vertical="center"/>
    </xf>
    <xf numFmtId="0" fontId="8" fillId="5" borderId="12" xfId="3" applyFont="1" applyFill="1" applyBorder="1" applyAlignment="1">
      <alignment horizontal="center" vertical="center"/>
    </xf>
    <xf numFmtId="4" fontId="8" fillId="5" borderId="11" xfId="3" applyNumberFormat="1" applyFont="1" applyFill="1" applyBorder="1" applyAlignment="1">
      <alignment horizontal="center" vertical="center" wrapText="1"/>
    </xf>
    <xf numFmtId="4" fontId="8" fillId="5" borderId="23" xfId="3" applyNumberFormat="1" applyFont="1" applyFill="1" applyBorder="1" applyAlignment="1">
      <alignment horizontal="center" vertical="center" wrapText="1"/>
    </xf>
    <xf numFmtId="0" fontId="24" fillId="0" borderId="32" xfId="3" applyFont="1" applyBorder="1" applyAlignment="1">
      <alignment horizontal="center"/>
    </xf>
    <xf numFmtId="0" fontId="24" fillId="0" borderId="3" xfId="3" applyFont="1" applyBorder="1" applyAlignment="1">
      <alignment horizontal="center"/>
    </xf>
    <xf numFmtId="0" fontId="24" fillId="0" borderId="2" xfId="3" applyFont="1" applyBorder="1" applyAlignment="1">
      <alignment horizontal="center"/>
    </xf>
    <xf numFmtId="0" fontId="23" fillId="16" borderId="39" xfId="3" applyFont="1" applyFill="1" applyBorder="1" applyAlignment="1">
      <alignment horizontal="center" vertical="center"/>
    </xf>
    <xf numFmtId="0" fontId="23" fillId="16" borderId="10" xfId="3" applyFont="1" applyFill="1" applyBorder="1" applyAlignment="1">
      <alignment horizontal="center" vertical="center"/>
    </xf>
    <xf numFmtId="0" fontId="23" fillId="16" borderId="11" xfId="3" applyFont="1" applyFill="1" applyBorder="1" applyAlignment="1">
      <alignment horizontal="center" vertical="center"/>
    </xf>
    <xf numFmtId="0" fontId="5" fillId="0" borderId="18" xfId="3" applyFont="1" applyBorder="1" applyAlignment="1">
      <alignment horizontal="center" vertical="center"/>
    </xf>
    <xf numFmtId="0" fontId="5" fillId="0" borderId="4" xfId="3" applyFont="1" applyBorder="1" applyAlignment="1">
      <alignment horizontal="center" vertical="center"/>
    </xf>
    <xf numFmtId="0" fontId="5" fillId="0" borderId="9" xfId="3" applyFont="1" applyBorder="1" applyAlignment="1">
      <alignment horizontal="center" vertical="center"/>
    </xf>
    <xf numFmtId="0" fontId="4" fillId="5" borderId="39" xfId="3" applyFont="1" applyFill="1" applyBorder="1" applyAlignment="1">
      <alignment horizontal="center" vertical="center" wrapText="1"/>
    </xf>
    <xf numFmtId="0" fontId="4" fillId="5" borderId="10" xfId="3" applyFont="1" applyFill="1" applyBorder="1" applyAlignment="1">
      <alignment horizontal="center" vertical="center" wrapText="1"/>
    </xf>
    <xf numFmtId="0" fontId="4" fillId="5" borderId="11" xfId="3" applyFont="1" applyFill="1" applyBorder="1" applyAlignment="1">
      <alignment horizontal="center" vertical="center" wrapText="1"/>
    </xf>
    <xf numFmtId="0" fontId="4" fillId="5" borderId="22" xfId="3" applyFont="1" applyFill="1" applyBorder="1" applyAlignment="1">
      <alignment horizontal="center" vertical="center" wrapText="1"/>
    </xf>
    <xf numFmtId="0" fontId="4" fillId="5" borderId="12" xfId="3" applyFont="1" applyFill="1" applyBorder="1" applyAlignment="1">
      <alignment horizontal="center" vertical="center" wrapText="1"/>
    </xf>
    <xf numFmtId="0" fontId="4" fillId="5" borderId="23" xfId="3" applyFont="1" applyFill="1" applyBorder="1" applyAlignment="1">
      <alignment horizontal="center" vertical="center" wrapText="1"/>
    </xf>
    <xf numFmtId="0" fontId="24" fillId="0" borderId="19" xfId="3" applyFont="1" applyBorder="1" applyAlignment="1">
      <alignment horizontal="left" vertical="center" wrapText="1"/>
    </xf>
    <xf numFmtId="0" fontId="24" fillId="0" borderId="20" xfId="3" applyFont="1" applyBorder="1" applyAlignment="1">
      <alignment horizontal="left" vertical="center" wrapText="1"/>
    </xf>
    <xf numFmtId="10" fontId="24" fillId="7" borderId="20" xfId="3" applyNumberFormat="1" applyFont="1" applyFill="1" applyBorder="1" applyAlignment="1" applyProtection="1">
      <alignment horizontal="center" vertical="center"/>
      <protection locked="0"/>
    </xf>
    <xf numFmtId="10" fontId="24" fillId="7" borderId="21" xfId="3" applyNumberFormat="1" applyFont="1" applyFill="1" applyBorder="1" applyAlignment="1" applyProtection="1">
      <alignment horizontal="center" vertical="center"/>
      <protection locked="0"/>
    </xf>
    <xf numFmtId="0" fontId="24" fillId="0" borderId="56" xfId="3" applyFont="1" applyBorder="1" applyAlignment="1">
      <alignment horizontal="center"/>
    </xf>
    <xf numFmtId="0" fontId="24" fillId="0" borderId="57" xfId="3" applyFont="1" applyBorder="1" applyAlignment="1">
      <alignment horizontal="center"/>
    </xf>
    <xf numFmtId="0" fontId="24" fillId="0" borderId="58" xfId="3" applyFont="1" applyBorder="1" applyAlignment="1">
      <alignment horizontal="center"/>
    </xf>
    <xf numFmtId="0" fontId="2" fillId="0" borderId="0" xfId="0" applyFont="1" applyAlignment="1">
      <alignment horizontal="left" vertical="center" wrapText="1"/>
    </xf>
    <xf numFmtId="0" fontId="2" fillId="0" borderId="0" xfId="0" applyFont="1" applyAlignment="1">
      <alignment horizontal="right" vertical="center" wrapText="1"/>
    </xf>
    <xf numFmtId="0" fontId="0" fillId="16" borderId="0" xfId="0" applyFill="1" applyAlignment="1">
      <alignment horizontal="center"/>
    </xf>
    <xf numFmtId="0" fontId="33" fillId="16" borderId="0" xfId="0" applyFont="1" applyFill="1" applyAlignment="1">
      <alignment horizontal="right" vertical="center"/>
    </xf>
    <xf numFmtId="0" fontId="34" fillId="16" borderId="0" xfId="0" applyFont="1" applyFill="1" applyAlignment="1">
      <alignment horizontal="right" vertical="center"/>
    </xf>
    <xf numFmtId="0" fontId="35" fillId="16" borderId="0" xfId="0" applyFont="1" applyFill="1" applyAlignment="1">
      <alignment horizontal="right" vertical="center"/>
    </xf>
    <xf numFmtId="0" fontId="4" fillId="0" borderId="0" xfId="0" applyFont="1" applyAlignment="1">
      <alignment horizontal="center"/>
    </xf>
    <xf numFmtId="0" fontId="0" fillId="0" borderId="0" xfId="0" applyAlignment="1">
      <alignment horizontal="center"/>
    </xf>
    <xf numFmtId="2" fontId="2" fillId="5" borderId="4" xfId="0" applyNumberFormat="1" applyFont="1" applyFill="1" applyBorder="1" applyAlignment="1">
      <alignment horizontal="right" vertical="top"/>
    </xf>
    <xf numFmtId="0" fontId="4" fillId="5" borderId="4" xfId="0" applyFont="1" applyFill="1" applyBorder="1" applyAlignment="1">
      <alignment horizontal="left"/>
    </xf>
    <xf numFmtId="0" fontId="0" fillId="0" borderId="0" xfId="0" applyAlignment="1">
      <alignment horizontal="left"/>
    </xf>
    <xf numFmtId="0" fontId="4" fillId="0" borderId="4" xfId="0" applyFont="1" applyBorder="1" applyAlignment="1">
      <alignment horizontal="right" vertical="top"/>
    </xf>
    <xf numFmtId="4" fontId="2" fillId="5" borderId="4" xfId="0" applyNumberFormat="1" applyFont="1" applyFill="1" applyBorder="1" applyAlignment="1">
      <alignment horizontal="right" vertical="top"/>
    </xf>
    <xf numFmtId="4" fontId="4" fillId="5" borderId="4" xfId="0" applyNumberFormat="1" applyFont="1" applyFill="1" applyBorder="1" applyAlignment="1">
      <alignment horizontal="right" vertical="top"/>
    </xf>
    <xf numFmtId="0" fontId="4" fillId="5" borderId="4" xfId="0" applyFont="1" applyFill="1" applyBorder="1"/>
    <xf numFmtId="0" fontId="4" fillId="5" borderId="25" xfId="0" applyFont="1" applyFill="1" applyBorder="1" applyAlignment="1">
      <alignment horizontal="center"/>
    </xf>
    <xf numFmtId="0" fontId="4" fillId="5" borderId="27" xfId="0" applyFont="1" applyFill="1" applyBorder="1" applyAlignment="1">
      <alignment horizontal="center"/>
    </xf>
    <xf numFmtId="0" fontId="2" fillId="0" borderId="4" xfId="0" applyFont="1" applyBorder="1" applyAlignment="1">
      <alignment vertical="center" wrapText="1"/>
    </xf>
    <xf numFmtId="0" fontId="0" fillId="0" borderId="4" xfId="0" applyBorder="1" applyAlignment="1">
      <alignment vertical="center" wrapText="1"/>
    </xf>
    <xf numFmtId="173" fontId="0" fillId="0" borderId="4" xfId="0" applyNumberFormat="1" applyBorder="1" applyAlignment="1">
      <alignment horizontal="center" vertical="center"/>
    </xf>
    <xf numFmtId="2" fontId="4" fillId="5" borderId="4" xfId="0" applyNumberFormat="1" applyFont="1" applyFill="1" applyBorder="1" applyAlignment="1">
      <alignment horizontal="right" vertical="top"/>
    </xf>
    <xf numFmtId="0" fontId="0" fillId="0" borderId="0" xfId="0" applyAlignment="1">
      <alignment vertical="center"/>
    </xf>
    <xf numFmtId="0" fontId="0" fillId="0" borderId="0" xfId="0"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168" fontId="4" fillId="5" borderId="4" xfId="0" applyNumberFormat="1" applyFont="1" applyFill="1" applyBorder="1" applyAlignment="1">
      <alignment horizontal="right" vertical="top"/>
    </xf>
    <xf numFmtId="0" fontId="2" fillId="0" borderId="25" xfId="0" applyFont="1" applyBorder="1" applyAlignment="1">
      <alignment vertical="center" wrapText="1"/>
    </xf>
    <xf numFmtId="0" fontId="2" fillId="0" borderId="27" xfId="0" applyFont="1" applyBorder="1" applyAlignment="1">
      <alignment vertical="center" wrapText="1"/>
    </xf>
    <xf numFmtId="2" fontId="0" fillId="0" borderId="25" xfId="0" applyNumberFormat="1" applyBorder="1" applyAlignment="1">
      <alignment horizontal="center" vertical="center"/>
    </xf>
    <xf numFmtId="2" fontId="0" fillId="0" borderId="27" xfId="0" applyNumberFormat="1" applyBorder="1" applyAlignment="1">
      <alignment horizontal="center" vertical="center"/>
    </xf>
    <xf numFmtId="4" fontId="4" fillId="5" borderId="25" xfId="0" applyNumberFormat="1" applyFont="1" applyFill="1" applyBorder="1" applyAlignment="1">
      <alignment horizontal="right" vertical="top"/>
    </xf>
    <xf numFmtId="4" fontId="4" fillId="5" borderId="27" xfId="0" applyNumberFormat="1" applyFont="1" applyFill="1" applyBorder="1" applyAlignment="1">
      <alignment horizontal="right" vertical="top"/>
    </xf>
    <xf numFmtId="0" fontId="0" fillId="0" borderId="0" xfId="0"/>
    <xf numFmtId="0" fontId="4" fillId="5" borderId="4" xfId="0" applyFont="1" applyFill="1" applyBorder="1" applyAlignment="1">
      <alignment horizontal="right"/>
    </xf>
    <xf numFmtId="0" fontId="33" fillId="0" borderId="0" xfId="0" applyFont="1" applyAlignment="1">
      <alignment horizontal="right" vertical="center"/>
    </xf>
    <xf numFmtId="0" fontId="34" fillId="0" borderId="0" xfId="0" applyFont="1" applyAlignment="1">
      <alignment horizontal="right" vertical="center"/>
    </xf>
    <xf numFmtId="0" fontId="35" fillId="0" borderId="0" xfId="0" applyFont="1" applyAlignment="1">
      <alignment horizontal="right" vertical="center"/>
    </xf>
    <xf numFmtId="173" fontId="2" fillId="0" borderId="4" xfId="0" applyNumberFormat="1" applyFont="1" applyBorder="1" applyAlignment="1">
      <alignment horizontal="center" vertical="center"/>
    </xf>
  </cellXfs>
  <cellStyles count="18">
    <cellStyle name="Hiperlink 2" xfId="1" xr:uid="{00000000-0005-0000-0000-000000000000}"/>
    <cellStyle name="Moeda" xfId="15" builtinId="4"/>
    <cellStyle name="Moeda 2" xfId="2" xr:uid="{00000000-0005-0000-0000-000002000000}"/>
    <cellStyle name="Moeda_Composicao BDI v2.1" xfId="17" xr:uid="{00000000-0005-0000-0000-000003000000}"/>
    <cellStyle name="Normal" xfId="0" builtinId="0"/>
    <cellStyle name="Normal 2" xfId="3" xr:uid="{00000000-0005-0000-0000-000005000000}"/>
    <cellStyle name="Normal 2 2" xfId="13" xr:uid="{00000000-0005-0000-0000-000006000000}"/>
    <cellStyle name="Normal 3" xfId="4" xr:uid="{00000000-0005-0000-0000-000007000000}"/>
    <cellStyle name="Normal 4" xfId="12" xr:uid="{00000000-0005-0000-0000-000008000000}"/>
    <cellStyle name="Normal_FICHA DE VERIFICAÇÃO PRELIMINAR - Plano R" xfId="16" xr:uid="{00000000-0005-0000-0000-000009000000}"/>
    <cellStyle name="Porcentagem" xfId="5" builtinId="5"/>
    <cellStyle name="Porcentagem 2" xfId="6" xr:uid="{00000000-0005-0000-0000-00000B000000}"/>
    <cellStyle name="Separador de milhares 2 2" xfId="7" xr:uid="{00000000-0005-0000-0000-00000C000000}"/>
    <cellStyle name="Total 2" xfId="8" xr:uid="{00000000-0005-0000-0000-00000D000000}"/>
    <cellStyle name="Vírgula" xfId="9" builtinId="3"/>
    <cellStyle name="Vírgula 2" xfId="10" xr:uid="{00000000-0005-0000-0000-00000F000000}"/>
    <cellStyle name="Vírgula 2 2" xfId="14" xr:uid="{00000000-0005-0000-0000-000010000000}"/>
    <cellStyle name="Vírgula 3" xfId="11" xr:uid="{00000000-0005-0000-0000-000011000000}"/>
  </cellStyles>
  <dxfs count="1">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colors>
    <mruColors>
      <color rgb="FF53A9FF"/>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239486</xdr:colOff>
      <xdr:row>0</xdr:row>
      <xdr:rowOff>87086</xdr:rowOff>
    </xdr:from>
    <xdr:to>
      <xdr:col>1</xdr:col>
      <xdr:colOff>419100</xdr:colOff>
      <xdr:row>0</xdr:row>
      <xdr:rowOff>744343</xdr:rowOff>
    </xdr:to>
    <xdr:pic>
      <xdr:nvPicPr>
        <xdr:cNvPr id="3" name="Imagem 1">
          <a:extLst>
            <a:ext uri="{FF2B5EF4-FFF2-40B4-BE49-F238E27FC236}">
              <a16:creationId xmlns:a16="http://schemas.microsoft.com/office/drawing/2014/main" id="{B27F6B5B-AB34-4C7C-9751-DA1F79627D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239486" y="87086"/>
          <a:ext cx="653143" cy="6572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495300</xdr:colOff>
      <xdr:row>0</xdr:row>
      <xdr:rowOff>161925</xdr:rowOff>
    </xdr:from>
    <xdr:to>
      <xdr:col>1</xdr:col>
      <xdr:colOff>390939</xdr:colOff>
      <xdr:row>0</xdr:row>
      <xdr:rowOff>748386</xdr:rowOff>
    </xdr:to>
    <xdr:pic>
      <xdr:nvPicPr>
        <xdr:cNvPr id="4" name="Imagem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 r="877"/>
        <a:stretch/>
      </xdr:blipFill>
      <xdr:spPr bwMode="auto">
        <a:xfrm>
          <a:off x="495300" y="161925"/>
          <a:ext cx="591378" cy="586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65953</xdr:colOff>
      <xdr:row>0</xdr:row>
      <xdr:rowOff>111935</xdr:rowOff>
    </xdr:from>
    <xdr:to>
      <xdr:col>0</xdr:col>
      <xdr:colOff>576621</xdr:colOff>
      <xdr:row>0</xdr:row>
      <xdr:rowOff>623460</xdr:rowOff>
    </xdr:to>
    <xdr:pic>
      <xdr:nvPicPr>
        <xdr:cNvPr id="2" name="Imagem 1">
          <a:extLst>
            <a:ext uri="{FF2B5EF4-FFF2-40B4-BE49-F238E27FC236}">
              <a16:creationId xmlns:a16="http://schemas.microsoft.com/office/drawing/2014/main" id="{4566851C-6EC7-4DF6-84A8-86ED44157F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367" r="1367"/>
        <a:stretch/>
      </xdr:blipFill>
      <xdr:spPr bwMode="auto">
        <a:xfrm>
          <a:off x="65953" y="111935"/>
          <a:ext cx="510668" cy="51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405765</xdr:colOff>
      <xdr:row>0</xdr:row>
      <xdr:rowOff>102870</xdr:rowOff>
    </xdr:from>
    <xdr:to>
      <xdr:col>1</xdr:col>
      <xdr:colOff>36195</xdr:colOff>
      <xdr:row>3</xdr:row>
      <xdr:rowOff>17145</xdr:rowOff>
    </xdr:to>
    <xdr:pic>
      <xdr:nvPicPr>
        <xdr:cNvPr id="2" name="Imagem 1">
          <a:extLst>
            <a:ext uri="{FF2B5EF4-FFF2-40B4-BE49-F238E27FC236}">
              <a16:creationId xmlns:a16="http://schemas.microsoft.com/office/drawing/2014/main" id="{1C788A32-2BA5-43C3-A431-8A3756B63F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405765" y="102870"/>
          <a:ext cx="73533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171450</xdr:colOff>
      <xdr:row>0</xdr:row>
      <xdr:rowOff>66675</xdr:rowOff>
    </xdr:from>
    <xdr:to>
      <xdr:col>0</xdr:col>
      <xdr:colOff>904875</xdr:colOff>
      <xdr:row>2</xdr:row>
      <xdr:rowOff>180975</xdr:rowOff>
    </xdr:to>
    <xdr:pic>
      <xdr:nvPicPr>
        <xdr:cNvPr id="2" name="Imagem 1">
          <a:extLst>
            <a:ext uri="{FF2B5EF4-FFF2-40B4-BE49-F238E27FC236}">
              <a16:creationId xmlns:a16="http://schemas.microsoft.com/office/drawing/2014/main" id="{2FBC76D0-4753-4AEF-92AB-7A316D8BC5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171450" y="66675"/>
          <a:ext cx="73342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171450</xdr:colOff>
      <xdr:row>0</xdr:row>
      <xdr:rowOff>66675</xdr:rowOff>
    </xdr:from>
    <xdr:to>
      <xdr:col>0</xdr:col>
      <xdr:colOff>904875</xdr:colOff>
      <xdr:row>2</xdr:row>
      <xdr:rowOff>180975</xdr:rowOff>
    </xdr:to>
    <xdr:pic>
      <xdr:nvPicPr>
        <xdr:cNvPr id="2" name="Imagem 1">
          <a:extLst>
            <a:ext uri="{FF2B5EF4-FFF2-40B4-BE49-F238E27FC236}">
              <a16:creationId xmlns:a16="http://schemas.microsoft.com/office/drawing/2014/main" id="{729D52DD-A64F-41C8-A422-5EB7F01A38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171450" y="66675"/>
          <a:ext cx="73342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171450</xdr:colOff>
      <xdr:row>0</xdr:row>
      <xdr:rowOff>66675</xdr:rowOff>
    </xdr:from>
    <xdr:to>
      <xdr:col>0</xdr:col>
      <xdr:colOff>904875</xdr:colOff>
      <xdr:row>2</xdr:row>
      <xdr:rowOff>180975</xdr:rowOff>
    </xdr:to>
    <xdr:pic>
      <xdr:nvPicPr>
        <xdr:cNvPr id="2" name="Imagem 1">
          <a:extLst>
            <a:ext uri="{FF2B5EF4-FFF2-40B4-BE49-F238E27FC236}">
              <a16:creationId xmlns:a16="http://schemas.microsoft.com/office/drawing/2014/main" id="{D6F584E2-A34C-42FD-9E02-D7FA3C9634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171450" y="66675"/>
          <a:ext cx="73342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ERVI&#199;O%20-%20PAVIMENTA&#199;&#195;O%20DE%20LIMAS/NOVO/Planilha%20Or&#231;ament&#225;ria%20-%20Licitado.xls" TargetMode="External"/><Relationship Id="rId1" Type="http://schemas.openxmlformats.org/officeDocument/2006/relationships/externalLinkPath" Target="/SERVI&#199;O%20-%20PAVIMENTA&#199;&#195;O%20DE%20LIMAS/NOVO/Planilha%20Or&#231;ament&#225;ria%20-%20Licitad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FLAVIO%20LUKIM%20GRECO/PMLF/PMLF/2019%20-%20LEANDRO%20FERREIRA/005%20-%20PAVIMENTACAO%20MCID%20-%202018/PAVIMENTA&#199;&#195;O%20CT%201053.056-80-2018%20-%20SICONV%20866837-2018/2-CAIXA/PLANILHA%20M&#218;LTIPLA%20V3.0.5%20MOD-13.0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1">
          <cell r="J1" t="str">
            <v>PM</v>
          </cell>
        </row>
        <row r="2">
          <cell r="J2" t="str">
            <v>v3.0.5</v>
          </cell>
        </row>
        <row r="3">
          <cell r="O3">
            <v>1</v>
          </cell>
        </row>
        <row r="4">
          <cell r="O4">
            <v>1</v>
          </cell>
        </row>
      </sheetData>
      <sheetData sheetId="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OGU</v>
          </cell>
          <cell r="J4" t="str">
            <v>Equipamentos comunitários</v>
          </cell>
        </row>
        <row r="5">
          <cell r="F5" t="str">
            <v>MUNICÍPIO DE IGARATINGA</v>
          </cell>
          <cell r="J5" t="str">
            <v>Pavimentação</v>
          </cell>
        </row>
        <row r="6">
          <cell r="J6" t="str">
            <v xml:space="preserve">Drenagem </v>
          </cell>
        </row>
        <row r="7">
          <cell r="F7" t="str">
            <v>1068.628-95/2019</v>
          </cell>
          <cell r="J7" t="str">
            <v>Abastecimento de água</v>
          </cell>
        </row>
        <row r="8">
          <cell r="F8" t="str">
            <v>893948/2019</v>
          </cell>
          <cell r="J8" t="str">
            <v>Esgotamento sanitário</v>
          </cell>
        </row>
        <row r="9">
          <cell r="F9">
            <v>481104</v>
          </cell>
          <cell r="J9" t="str">
            <v>Energia elétrica e iluminação pública</v>
          </cell>
        </row>
        <row r="10">
          <cell r="F10">
            <v>55366.95</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J16" t="str">
            <v>Instrumentos e ações em planejamento e gestão pública</v>
          </cell>
        </row>
        <row r="17">
          <cell r="J17" t="str">
            <v>Ações complementares às obras</v>
          </cell>
        </row>
        <row r="18">
          <cell r="J18" t="str">
            <v>Gerenciamento</v>
          </cell>
        </row>
        <row r="19">
          <cell r="J19" t="str">
            <v>Trabalho social</v>
          </cell>
        </row>
        <row r="50">
          <cell r="F50" t="str">
            <v>FLÁVIO LUCAS GRECO SANTOS</v>
          </cell>
        </row>
        <row r="51">
          <cell r="F51" t="str">
            <v>ENGENHEIRO CIVIL</v>
          </cell>
        </row>
        <row r="52">
          <cell r="F52" t="str">
            <v>64880/D</v>
          </cell>
        </row>
        <row r="53">
          <cell r="F53" t="str">
            <v>20210089897</v>
          </cell>
        </row>
      </sheetData>
      <sheetData sheetId="2"/>
      <sheetData sheetId="3"/>
      <sheetData sheetId="4">
        <row r="8">
          <cell r="F8" t="str">
            <v>'[Referência 01-2021.xls]Banco'!$a5:$a$65536</v>
          </cell>
          <cell r="AF8" t="b">
            <v>1</v>
          </cell>
        </row>
        <row r="10">
          <cell r="AF10" t="b">
            <v>1</v>
          </cell>
        </row>
        <row r="11">
          <cell r="AF11" t="b">
            <v>1</v>
          </cell>
        </row>
        <row r="15">
          <cell r="M15" t="str">
            <v>LOTE</v>
          </cell>
          <cell r="X15">
            <v>536780.38</v>
          </cell>
          <cell r="Z15" t="str">
            <v/>
          </cell>
          <cell r="AA15">
            <v>55676.38</v>
          </cell>
          <cell r="AB15">
            <v>0</v>
          </cell>
        </row>
        <row r="16">
          <cell r="X16">
            <v>536780.38</v>
          </cell>
          <cell r="Z16" t="str">
            <v/>
          </cell>
          <cell r="AA16">
            <v>55676.38</v>
          </cell>
          <cell r="AB16">
            <v>0</v>
          </cell>
        </row>
        <row r="17">
          <cell r="X17">
            <v>641.46</v>
          </cell>
          <cell r="Z17" t="str">
            <v/>
          </cell>
          <cell r="AA17">
            <v>66.534046409818487</v>
          </cell>
          <cell r="AB17">
            <v>0</v>
          </cell>
        </row>
        <row r="18">
          <cell r="X18">
            <v>641.46</v>
          </cell>
          <cell r="Z18" t="str">
            <v>RA</v>
          </cell>
          <cell r="AA18">
            <v>66.534046409818487</v>
          </cell>
          <cell r="AB18">
            <v>0</v>
          </cell>
        </row>
        <row r="19">
          <cell r="X19">
            <v>512480.65</v>
          </cell>
          <cell r="Z19" t="str">
            <v/>
          </cell>
          <cell r="AA19">
            <v>53155.943240784989</v>
          </cell>
          <cell r="AB19">
            <v>0</v>
          </cell>
        </row>
        <row r="20">
          <cell r="X20">
            <v>27106.31</v>
          </cell>
          <cell r="Z20" t="str">
            <v>RA</v>
          </cell>
          <cell r="AA20">
            <v>2811.5431789027016</v>
          </cell>
          <cell r="AB20">
            <v>0</v>
          </cell>
        </row>
        <row r="21">
          <cell r="X21">
            <v>466762.01</v>
          </cell>
          <cell r="Z21" t="str">
            <v>RA</v>
          </cell>
          <cell r="AA21">
            <v>48413.876524927757</v>
          </cell>
          <cell r="AB21">
            <v>0</v>
          </cell>
        </row>
        <row r="22">
          <cell r="X22">
            <v>14640.8</v>
          </cell>
          <cell r="Z22" t="str">
            <v>RA</v>
          </cell>
          <cell r="AA22">
            <v>1518.5852066798716</v>
          </cell>
          <cell r="AB22">
            <v>0</v>
          </cell>
        </row>
        <row r="23">
          <cell r="X23">
            <v>3971.53</v>
          </cell>
          <cell r="Z23" t="str">
            <v>RA</v>
          </cell>
          <cell r="AA23">
            <v>411.93833027466468</v>
          </cell>
          <cell r="AB23">
            <v>0</v>
          </cell>
        </row>
        <row r="24">
          <cell r="X24">
            <v>23658.27</v>
          </cell>
          <cell r="Z24" t="str">
            <v/>
          </cell>
          <cell r="AA24">
            <v>2453.9027128051885</v>
          </cell>
          <cell r="AB24">
            <v>0</v>
          </cell>
        </row>
        <row r="25">
          <cell r="X25">
            <v>18467.419999999998</v>
          </cell>
          <cell r="Z25" t="str">
            <v>RA</v>
          </cell>
          <cell r="AA25">
            <v>1915.4930616867925</v>
          </cell>
          <cell r="AB25">
            <v>0</v>
          </cell>
        </row>
        <row r="26">
          <cell r="X26">
            <v>5190.8500000000004</v>
          </cell>
          <cell r="Z26" t="str">
            <v>RA</v>
          </cell>
          <cell r="AA26">
            <v>538.40965111839603</v>
          </cell>
          <cell r="AB26">
            <v>0</v>
          </cell>
        </row>
        <row r="27">
          <cell r="X27">
            <v>0</v>
          </cell>
          <cell r="Z27" t="str">
            <v/>
          </cell>
          <cell r="AA27">
            <v>0</v>
          </cell>
          <cell r="AB27">
            <v>0</v>
          </cell>
        </row>
        <row r="28">
          <cell r="X28">
            <v>0</v>
          </cell>
          <cell r="Z28" t="str">
            <v/>
          </cell>
          <cell r="AA28">
            <v>0</v>
          </cell>
          <cell r="AB28">
            <v>0</v>
          </cell>
        </row>
        <row r="29">
          <cell r="X29">
            <v>0</v>
          </cell>
          <cell r="Z29" t="str">
            <v/>
          </cell>
          <cell r="AA29">
            <v>0</v>
          </cell>
          <cell r="AB29">
            <v>0</v>
          </cell>
        </row>
        <row r="30">
          <cell r="X30">
            <v>0</v>
          </cell>
          <cell r="Z30" t="str">
            <v/>
          </cell>
          <cell r="AA30">
            <v>0</v>
          </cell>
          <cell r="AB30">
            <v>0</v>
          </cell>
        </row>
        <row r="31">
          <cell r="X31">
            <v>0</v>
          </cell>
          <cell r="Z31" t="str">
            <v/>
          </cell>
          <cell r="AA31">
            <v>0</v>
          </cell>
          <cell r="AB31">
            <v>0</v>
          </cell>
        </row>
      </sheetData>
      <sheetData sheetId="5">
        <row r="12">
          <cell r="A12">
            <v>2</v>
          </cell>
          <cell r="Q12" t="str">
            <v>SERVIÇOS PRELIMINARES</v>
          </cell>
          <cell r="AA12" t="str">
            <v>.</v>
          </cell>
        </row>
        <row r="15">
          <cell r="M15">
            <v>1</v>
          </cell>
          <cell r="Q15">
            <v>641.46</v>
          </cell>
        </row>
        <row r="16">
          <cell r="M16" t="str">
            <v/>
          </cell>
        </row>
        <row r="17">
          <cell r="M17" t="str">
            <v/>
          </cell>
        </row>
        <row r="18">
          <cell r="M18">
            <v>2</v>
          </cell>
        </row>
        <row r="19">
          <cell r="M19" t="str">
            <v/>
          </cell>
        </row>
        <row r="20">
          <cell r="M20">
            <v>3</v>
          </cell>
        </row>
        <row r="21">
          <cell r="M21">
            <v>3</v>
          </cell>
        </row>
        <row r="22">
          <cell r="M22">
            <v>3</v>
          </cell>
        </row>
        <row r="23">
          <cell r="M23">
            <v>3</v>
          </cell>
        </row>
        <row r="24">
          <cell r="M24" t="str">
            <v/>
          </cell>
        </row>
        <row r="25">
          <cell r="M25">
            <v>4</v>
          </cell>
        </row>
        <row r="26">
          <cell r="M26">
            <v>4</v>
          </cell>
        </row>
        <row r="27">
          <cell r="M27">
            <v>4</v>
          </cell>
        </row>
        <row r="28">
          <cell r="M28" t="str">
            <v/>
          </cell>
        </row>
        <row r="29">
          <cell r="M29">
            <v>5</v>
          </cell>
        </row>
        <row r="30">
          <cell r="M30">
            <v>5</v>
          </cell>
        </row>
        <row r="31">
          <cell r="M31">
            <v>5</v>
          </cell>
        </row>
      </sheetData>
      <sheetData sheetId="6">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sheetData>
      <sheetData sheetId="7"/>
      <sheetData sheetId="8"/>
      <sheetData sheetId="9">
        <row r="9">
          <cell r="J9">
            <v>1</v>
          </cell>
        </row>
        <row r="15">
          <cell r="A15" t="str">
            <v/>
          </cell>
          <cell r="B15">
            <v>1</v>
          </cell>
          <cell r="C15" t="str">
            <v>Administração Local</v>
          </cell>
          <cell r="H15" t="str">
            <v>Para aplicação de Adm. Local é necessário definir os eventos manualmente.</v>
          </cell>
        </row>
        <row r="20">
          <cell r="A20" t="str">
            <v>F</v>
          </cell>
        </row>
      </sheetData>
      <sheetData sheetId="10">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536780.38</v>
          </cell>
          <cell r="AA14">
            <v>55676.38</v>
          </cell>
          <cell r="AB14">
            <v>0</v>
          </cell>
        </row>
        <row r="15">
          <cell r="B15" t="str">
            <v>TR$</v>
          </cell>
          <cell r="O15">
            <v>536780.38</v>
          </cell>
          <cell r="AA15">
            <v>55676.38</v>
          </cell>
          <cell r="AB15">
            <v>0</v>
          </cell>
        </row>
      </sheetData>
      <sheetData sheetId="1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2">
        <row r="7">
          <cell r="O7">
            <v>536470.94999999995</v>
          </cell>
        </row>
        <row r="17">
          <cell r="AC17">
            <v>0</v>
          </cell>
          <cell r="AD17">
            <v>0</v>
          </cell>
        </row>
        <row r="18">
          <cell r="AC18">
            <v>0</v>
          </cell>
          <cell r="AD18">
            <v>0</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efreshError="1">
        <row r="6">
          <cell r="F6" t="str">
            <v>Leandro Ferreira/MG</v>
          </cell>
        </row>
        <row r="16">
          <cell r="F16" t="str">
            <v>Pavimentação e/ou recapeamento de vias públicas nos Bairros Centro, Bela Vista e Sumare</v>
          </cell>
        </row>
        <row r="17">
          <cell r="F17" t="str">
            <v>Pavimentação e/ou recapeamento de vias públicas nos Bairros Centro, Bela Vista e Sumare</v>
          </cell>
        </row>
        <row r="18">
          <cell r="F18" t="str">
            <v>DESONERADO</v>
          </cell>
        </row>
        <row r="22">
          <cell r="F22" t="str">
            <v>Flávio Lucas Greco Santos</v>
          </cell>
        </row>
        <row r="23">
          <cell r="F23" t="str">
            <v>64.880/D</v>
          </cell>
        </row>
        <row r="24">
          <cell r="F24" t="str">
            <v>4557755</v>
          </cell>
        </row>
      </sheetData>
      <sheetData sheetId="2"/>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2_3"/>
      <sheetName val="5_1_1"/>
      <sheetName val="5_1_2"/>
      <sheetName val="19_1_1"/>
      <sheetName val="21_5_1"/>
      <sheetName val="21_36_1"/>
      <sheetName val="MEMÓRIA  (2)"/>
      <sheetName val="MEMÓRIA "/>
      <sheetName val="1ª MEDIÇÃO"/>
      <sheetName val="DADOS"/>
      <sheetName val="BM"/>
      <sheetName val="Plan1"/>
      <sheetName val="BDI"/>
      <sheetName val="CÁLCULO DE BDI"/>
      <sheetName val="PLANILHA "/>
      <sheetName val="MEMÓRIA DE CÁLCULO"/>
      <sheetName val="CRONOGRAMA FÍSICO FINANCEIRO"/>
      <sheetName val="QUANTITATIVOS"/>
      <sheetName val="calcamento-pro-municipio"/>
      <sheetName val="cronograma ff"/>
      <sheetName val="Modelo Planilha Orcamentaria"/>
      <sheetName val="DIVISAO RECURSO"/>
      <sheetName val="PLANILHA ORÇAMENTÁRIA"/>
      <sheetName val="MEMÓRIA DE CÁLCULO "/>
      <sheetName val="MEMORIAL"/>
      <sheetName val="ORÇ SINT."/>
      <sheetName val="BASE SINT."/>
      <sheetName val="COMP UNIT DE PRECO - "/>
      <sheetName val="Orçamento Analítico"/>
      <sheetName val="COMP. UNIT "/>
      <sheetName val="COMP AUX."/>
      <sheetName val="Composição de Custo - 176H"/>
      <sheetName val="Comp. de Custo - 220H"/>
      <sheetName val="Comp. de Custo - 176H SEM SEG"/>
      <sheetName val="Planilha3"/>
      <sheetName val="CUSTO FIXO"/>
      <sheetName val="PLANILHA QUANTITATIVA"/>
      <sheetName val="COMPOSIÇAO DE CUSTO"/>
      <sheetName val="RESUMO REAL"/>
      <sheetName val="ORDEM DE SERVIÇO"/>
    </sheetNames>
    <sheetDataSet>
      <sheetData sheetId="0"/>
      <sheetData sheetId="1"/>
      <sheetData sheetId="2"/>
      <sheetData sheetId="3"/>
      <sheetData sheetId="4"/>
      <sheetData sheetId="5"/>
      <sheetData sheetId="6" refreshError="1"/>
      <sheetData sheetId="7"/>
      <sheetData sheetId="8" refreshError="1"/>
      <sheetData sheetId="9">
        <row r="33">
          <cell r="A33" t="str">
            <v>Empreitada Preço Global</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 xml:space="preserve">OBRA: PAVIMENTAÇÃO ASFÁLTICA, DRENAGEM  E SINALIZAÇÃO NA ESTRADA DENOMINADA QUILOMBO DO GAIA. </v>
          </cell>
        </row>
      </sheetData>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108"/>
  <sheetViews>
    <sheetView tabSelected="1" view="pageBreakPreview" zoomScaleNormal="100" zoomScaleSheetLayoutView="100" workbookViewId="0">
      <selection activeCell="D107" sqref="D107"/>
    </sheetView>
  </sheetViews>
  <sheetFormatPr defaultColWidth="8.85546875" defaultRowHeight="15" x14ac:dyDescent="0.2"/>
  <cols>
    <col min="1" max="1" width="6.85546875" style="5" bestFit="1" customWidth="1"/>
    <col min="2" max="2" width="17.140625" style="5" customWidth="1"/>
    <col min="3" max="3" width="11.85546875" style="5" bestFit="1" customWidth="1"/>
    <col min="4" max="4" width="105.5703125" style="10" customWidth="1"/>
    <col min="5" max="5" width="7.5703125" style="10" bestFit="1" customWidth="1"/>
    <col min="6" max="6" width="15.7109375" style="10" bestFit="1" customWidth="1"/>
    <col min="7" max="7" width="14" style="16" customWidth="1"/>
    <col min="8" max="8" width="14.28515625" style="16" customWidth="1"/>
    <col min="9" max="9" width="17.140625" style="16" bestFit="1" customWidth="1"/>
    <col min="10" max="10" width="29.28515625" style="10" customWidth="1"/>
    <col min="11" max="11" width="12.7109375" style="10" bestFit="1" customWidth="1"/>
    <col min="12" max="12" width="9.140625" style="10" customWidth="1"/>
    <col min="13" max="13" width="12.7109375" style="10" bestFit="1" customWidth="1"/>
    <col min="14" max="22" width="9.140625" style="10" customWidth="1"/>
    <col min="23" max="23" width="10.140625" style="10" bestFit="1" customWidth="1"/>
    <col min="24" max="24" width="23.85546875" style="10" customWidth="1"/>
    <col min="25" max="25" width="10.140625" style="10" bestFit="1" customWidth="1"/>
    <col min="26" max="16384" width="8.85546875" style="10"/>
  </cols>
  <sheetData>
    <row r="1" spans="1:9" ht="63" customHeight="1" x14ac:dyDescent="0.2">
      <c r="A1" s="199" t="s">
        <v>226</v>
      </c>
      <c r="B1" s="200"/>
      <c r="C1" s="200"/>
      <c r="D1" s="200"/>
      <c r="E1" s="200"/>
      <c r="F1" s="200"/>
      <c r="G1" s="200"/>
      <c r="H1" s="200"/>
      <c r="I1" s="201"/>
    </row>
    <row r="2" spans="1:9" ht="15.75" x14ac:dyDescent="0.2">
      <c r="A2" s="221" t="s">
        <v>2</v>
      </c>
      <c r="B2" s="222"/>
      <c r="C2" s="223"/>
      <c r="D2" s="223"/>
      <c r="E2" s="223"/>
      <c r="F2" s="223"/>
      <c r="G2" s="223"/>
      <c r="H2" s="223"/>
      <c r="I2" s="224"/>
    </row>
    <row r="3" spans="1:9" ht="15.75" x14ac:dyDescent="0.2">
      <c r="A3" s="225" t="s">
        <v>147</v>
      </c>
      <c r="B3" s="226"/>
      <c r="C3" s="226"/>
      <c r="D3" s="226"/>
      <c r="E3" s="227"/>
      <c r="F3" s="202" t="s">
        <v>35</v>
      </c>
      <c r="G3" s="203"/>
      <c r="H3" s="204" t="s">
        <v>419</v>
      </c>
      <c r="I3" s="205"/>
    </row>
    <row r="4" spans="1:9" ht="15.75" x14ac:dyDescent="0.2">
      <c r="A4" s="212" t="s">
        <v>230</v>
      </c>
      <c r="B4" s="213"/>
      <c r="C4" s="213"/>
      <c r="D4" s="213"/>
      <c r="E4" s="214"/>
      <c r="F4" s="202" t="s">
        <v>19</v>
      </c>
      <c r="G4" s="203"/>
      <c r="H4" s="215">
        <v>46295</v>
      </c>
      <c r="I4" s="216"/>
    </row>
    <row r="5" spans="1:9" ht="15.75" x14ac:dyDescent="0.2">
      <c r="A5" s="217" t="s">
        <v>231</v>
      </c>
      <c r="B5" s="218"/>
      <c r="C5" s="218"/>
      <c r="D5" s="218"/>
      <c r="E5" s="218"/>
      <c r="F5" s="219" t="s">
        <v>7</v>
      </c>
      <c r="G5" s="219"/>
      <c r="H5" s="219"/>
      <c r="I5" s="220"/>
    </row>
    <row r="6" spans="1:9" ht="15.75" x14ac:dyDescent="0.2">
      <c r="A6" s="206" t="s">
        <v>232</v>
      </c>
      <c r="B6" s="207"/>
      <c r="C6" s="207"/>
      <c r="D6" s="207"/>
      <c r="E6" s="208"/>
      <c r="F6" s="55" t="s">
        <v>6</v>
      </c>
      <c r="G6" s="52" t="s">
        <v>4</v>
      </c>
      <c r="H6" s="55" t="s">
        <v>20</v>
      </c>
      <c r="I6" s="56" t="s">
        <v>5</v>
      </c>
    </row>
    <row r="7" spans="1:9" ht="33" customHeight="1" x14ac:dyDescent="0.2">
      <c r="A7" s="206" t="s">
        <v>21</v>
      </c>
      <c r="B7" s="207"/>
      <c r="C7" s="207"/>
      <c r="D7" s="207"/>
      <c r="E7" s="208"/>
      <c r="F7" s="53" t="s">
        <v>22</v>
      </c>
      <c r="G7" s="93">
        <v>0.03</v>
      </c>
      <c r="H7" s="55" t="s">
        <v>23</v>
      </c>
      <c r="I7" s="191">
        <v>0.23749999999999999</v>
      </c>
    </row>
    <row r="8" spans="1:9" ht="2.25" customHeight="1" thickBot="1" x14ac:dyDescent="0.25">
      <c r="A8" s="209"/>
      <c r="B8" s="210"/>
      <c r="C8" s="210"/>
      <c r="D8" s="210"/>
      <c r="E8" s="210"/>
      <c r="F8" s="210"/>
      <c r="G8" s="210"/>
      <c r="H8" s="210"/>
      <c r="I8" s="211"/>
    </row>
    <row r="9" spans="1:9" s="11" customFormat="1" ht="44.25" customHeight="1" thickBot="1" x14ac:dyDescent="0.25">
      <c r="A9" s="1" t="s">
        <v>0</v>
      </c>
      <c r="B9" s="9" t="s">
        <v>24</v>
      </c>
      <c r="C9" s="3" t="s">
        <v>3</v>
      </c>
      <c r="D9" s="2" t="s">
        <v>1</v>
      </c>
      <c r="E9" s="2" t="s">
        <v>12</v>
      </c>
      <c r="F9" s="2" t="s">
        <v>14</v>
      </c>
      <c r="G9" s="6" t="s">
        <v>15</v>
      </c>
      <c r="H9" s="6" t="s">
        <v>17</v>
      </c>
      <c r="I9" s="7" t="s">
        <v>16</v>
      </c>
    </row>
    <row r="10" spans="1:9" s="12" customFormat="1" ht="2.25" customHeight="1" thickBot="1" x14ac:dyDescent="0.25">
      <c r="A10" s="196"/>
      <c r="B10" s="197"/>
      <c r="C10" s="197"/>
      <c r="D10" s="197"/>
      <c r="E10" s="197"/>
      <c r="F10" s="197"/>
      <c r="G10" s="197"/>
      <c r="H10" s="197"/>
      <c r="I10" s="198"/>
    </row>
    <row r="11" spans="1:9" ht="18.75" customHeight="1" thickBot="1" x14ac:dyDescent="0.25">
      <c r="A11" s="177" t="s">
        <v>233</v>
      </c>
      <c r="B11" s="178"/>
      <c r="C11" s="178"/>
      <c r="D11" s="178"/>
      <c r="E11" s="178"/>
      <c r="F11" s="179"/>
      <c r="G11" s="194" t="s">
        <v>234</v>
      </c>
      <c r="H11" s="195"/>
      <c r="I11" s="180">
        <f>SUM(I13+I16+I22+I25+I32+I37+I43+I47+I52)</f>
        <v>0</v>
      </c>
    </row>
    <row r="12" spans="1:9" s="12" customFormat="1" ht="2.25" customHeight="1" thickBot="1" x14ac:dyDescent="0.25">
      <c r="A12" s="196"/>
      <c r="B12" s="197"/>
      <c r="C12" s="197"/>
      <c r="D12" s="197"/>
      <c r="E12" s="197"/>
      <c r="F12" s="197"/>
      <c r="G12" s="197"/>
      <c r="H12" s="197"/>
      <c r="I12" s="198"/>
    </row>
    <row r="13" spans="1:9" ht="18.75" customHeight="1" thickBot="1" x14ac:dyDescent="0.25">
      <c r="A13" s="181" t="s">
        <v>94</v>
      </c>
      <c r="B13" s="182"/>
      <c r="C13" s="182"/>
      <c r="D13" s="182"/>
      <c r="E13" s="182"/>
      <c r="F13" s="183"/>
      <c r="G13" s="192" t="s">
        <v>82</v>
      </c>
      <c r="H13" s="193"/>
      <c r="I13" s="148">
        <f>SUM(I14:I15)</f>
        <v>0</v>
      </c>
    </row>
    <row r="14" spans="1:9" ht="60" x14ac:dyDescent="0.2">
      <c r="A14" s="141">
        <v>1</v>
      </c>
      <c r="B14" s="142" t="s">
        <v>25</v>
      </c>
      <c r="C14" s="142" t="s">
        <v>95</v>
      </c>
      <c r="D14" s="143" t="s">
        <v>96</v>
      </c>
      <c r="E14" s="144" t="s">
        <v>8</v>
      </c>
      <c r="F14" s="171">
        <f>'MEM. CÁLCULO'!D5</f>
        <v>2.88</v>
      </c>
      <c r="G14" s="145"/>
      <c r="H14" s="146">
        <f>TRUNC((G14)+(G14*$I$7),2)</f>
        <v>0</v>
      </c>
      <c r="I14" s="147">
        <f>TRUNC(F14*H14,2)</f>
        <v>0</v>
      </c>
    </row>
    <row r="15" spans="1:9" ht="45.75" thickBot="1" x14ac:dyDescent="0.25">
      <c r="A15" s="149">
        <v>2</v>
      </c>
      <c r="B15" s="150" t="s">
        <v>25</v>
      </c>
      <c r="C15" s="150" t="s">
        <v>148</v>
      </c>
      <c r="D15" s="151" t="s">
        <v>149</v>
      </c>
      <c r="E15" s="152" t="s">
        <v>9</v>
      </c>
      <c r="F15" s="172">
        <f>'MEM. CÁLCULO'!D6</f>
        <v>62.960000000000008</v>
      </c>
      <c r="G15" s="153"/>
      <c r="H15" s="154">
        <f>TRUNC((G15)+(G15*$I$7),2)</f>
        <v>0</v>
      </c>
      <c r="I15" s="155">
        <f>TRUNC(F15*H15,2)</f>
        <v>0</v>
      </c>
    </row>
    <row r="16" spans="1:9" ht="18.75" customHeight="1" thickBot="1" x14ac:dyDescent="0.25">
      <c r="A16" s="184" t="s">
        <v>152</v>
      </c>
      <c r="B16" s="185"/>
      <c r="C16" s="185"/>
      <c r="D16" s="185"/>
      <c r="E16" s="185"/>
      <c r="F16" s="186"/>
      <c r="G16" s="192" t="s">
        <v>82</v>
      </c>
      <c r="H16" s="193"/>
      <c r="I16" s="148">
        <f>SUM(I17:I21)</f>
        <v>0</v>
      </c>
    </row>
    <row r="17" spans="1:9" ht="45" x14ac:dyDescent="0.2">
      <c r="A17" s="141">
        <v>3</v>
      </c>
      <c r="B17" s="142" t="s">
        <v>25</v>
      </c>
      <c r="C17" s="142" t="s">
        <v>150</v>
      </c>
      <c r="D17" s="143" t="s">
        <v>151</v>
      </c>
      <c r="E17" s="144" t="s">
        <v>8</v>
      </c>
      <c r="F17" s="171">
        <f>'MEM. CÁLCULO'!D11</f>
        <v>405.59000000000003</v>
      </c>
      <c r="G17" s="145"/>
      <c r="H17" s="146">
        <f t="shared" ref="H17:H18" si="0">TRUNC((G17)+(G17*$I$7),2)</f>
        <v>0</v>
      </c>
      <c r="I17" s="147">
        <f>TRUNC(F17*H17,2)</f>
        <v>0</v>
      </c>
    </row>
    <row r="18" spans="1:9" ht="45" x14ac:dyDescent="0.2">
      <c r="A18" s="57">
        <v>4</v>
      </c>
      <c r="B18" s="54" t="s">
        <v>25</v>
      </c>
      <c r="C18" s="54" t="s">
        <v>153</v>
      </c>
      <c r="D18" s="13" t="s">
        <v>154</v>
      </c>
      <c r="E18" s="4" t="s">
        <v>97</v>
      </c>
      <c r="F18" s="173">
        <f>'MEM. CÁLCULO'!D17</f>
        <v>1.94</v>
      </c>
      <c r="G18" s="131"/>
      <c r="H18" s="132">
        <f t="shared" si="0"/>
        <v>0</v>
      </c>
      <c r="I18" s="133">
        <f t="shared" ref="I18:I26" si="1">TRUNC(F18*H18,2)</f>
        <v>0</v>
      </c>
    </row>
    <row r="19" spans="1:9" ht="45" x14ac:dyDescent="0.2">
      <c r="A19" s="57">
        <v>5</v>
      </c>
      <c r="B19" s="54" t="s">
        <v>25</v>
      </c>
      <c r="C19" s="54" t="s">
        <v>235</v>
      </c>
      <c r="D19" s="13" t="s">
        <v>236</v>
      </c>
      <c r="E19" s="4" t="s">
        <v>9</v>
      </c>
      <c r="F19" s="173">
        <f>'MEM. CÁLCULO'!D18</f>
        <v>98.009999999999991</v>
      </c>
      <c r="G19" s="131"/>
      <c r="H19" s="132">
        <f t="shared" ref="H19" si="2">TRUNC((G19)+(G19*$I$7),2)</f>
        <v>0</v>
      </c>
      <c r="I19" s="133">
        <f t="shared" si="1"/>
        <v>0</v>
      </c>
    </row>
    <row r="20" spans="1:9" ht="45" x14ac:dyDescent="0.2">
      <c r="A20" s="57">
        <v>6</v>
      </c>
      <c r="B20" s="54" t="s">
        <v>25</v>
      </c>
      <c r="C20" s="54" t="s">
        <v>157</v>
      </c>
      <c r="D20" s="13" t="s">
        <v>158</v>
      </c>
      <c r="E20" s="4" t="s">
        <v>129</v>
      </c>
      <c r="F20" s="173">
        <f>'MEM. CÁLCULO'!D23</f>
        <v>1</v>
      </c>
      <c r="G20" s="131"/>
      <c r="H20" s="132">
        <f t="shared" ref="H20" si="3">TRUNC((G20)+(G20*$I$7),2)</f>
        <v>0</v>
      </c>
      <c r="I20" s="133">
        <f t="shared" si="1"/>
        <v>0</v>
      </c>
    </row>
    <row r="21" spans="1:9" ht="30.75" thickBot="1" x14ac:dyDescent="0.25">
      <c r="A21" s="149">
        <v>7</v>
      </c>
      <c r="B21" s="150" t="s">
        <v>25</v>
      </c>
      <c r="C21" s="150" t="s">
        <v>203</v>
      </c>
      <c r="D21" s="151" t="s">
        <v>204</v>
      </c>
      <c r="E21" s="152" t="s">
        <v>8</v>
      </c>
      <c r="F21" s="172">
        <f>'MEM. CÁLCULO'!D24</f>
        <v>189.07</v>
      </c>
      <c r="G21" s="153"/>
      <c r="H21" s="154">
        <f t="shared" ref="H21" si="4">TRUNC((G21)+(G21*$I$7),2)</f>
        <v>0</v>
      </c>
      <c r="I21" s="155">
        <f t="shared" si="1"/>
        <v>0</v>
      </c>
    </row>
    <row r="22" spans="1:9" ht="18.75" customHeight="1" thickBot="1" x14ac:dyDescent="0.25">
      <c r="A22" s="184" t="s">
        <v>159</v>
      </c>
      <c r="B22" s="185"/>
      <c r="C22" s="185"/>
      <c r="D22" s="185"/>
      <c r="E22" s="185"/>
      <c r="F22" s="186"/>
      <c r="G22" s="192" t="s">
        <v>82</v>
      </c>
      <c r="H22" s="193"/>
      <c r="I22" s="148">
        <f>SUM(I23:I24)</f>
        <v>0</v>
      </c>
    </row>
    <row r="23" spans="1:9" ht="30" x14ac:dyDescent="0.2">
      <c r="A23" s="141">
        <v>8</v>
      </c>
      <c r="B23" s="142" t="s">
        <v>25</v>
      </c>
      <c r="C23" s="142" t="s">
        <v>160</v>
      </c>
      <c r="D23" s="143" t="s">
        <v>161</v>
      </c>
      <c r="E23" s="144" t="s">
        <v>97</v>
      </c>
      <c r="F23" s="171">
        <f>'MEM. CÁLCULO'!D33</f>
        <v>1.81</v>
      </c>
      <c r="G23" s="145"/>
      <c r="H23" s="146">
        <f t="shared" ref="H23:H24" si="5">TRUNC((G23)+(G23*$I$7),2)</f>
        <v>0</v>
      </c>
      <c r="I23" s="147">
        <f t="shared" si="1"/>
        <v>0</v>
      </c>
    </row>
    <row r="24" spans="1:9" ht="30.75" thickBot="1" x14ac:dyDescent="0.25">
      <c r="A24" s="149">
        <v>9</v>
      </c>
      <c r="B24" s="150" t="s">
        <v>25</v>
      </c>
      <c r="C24" s="150" t="s">
        <v>162</v>
      </c>
      <c r="D24" s="151" t="s">
        <v>163</v>
      </c>
      <c r="E24" s="152" t="s">
        <v>97</v>
      </c>
      <c r="F24" s="172">
        <f>'MEM. CÁLCULO'!D34</f>
        <v>154.86000000000001</v>
      </c>
      <c r="G24" s="153"/>
      <c r="H24" s="154">
        <f t="shared" si="5"/>
        <v>0</v>
      </c>
      <c r="I24" s="155">
        <f t="shared" si="1"/>
        <v>0</v>
      </c>
    </row>
    <row r="25" spans="1:9" ht="18.75" customHeight="1" thickBot="1" x14ac:dyDescent="0.25">
      <c r="A25" s="184" t="s">
        <v>164</v>
      </c>
      <c r="B25" s="185"/>
      <c r="C25" s="185"/>
      <c r="D25" s="185"/>
      <c r="E25" s="185"/>
      <c r="F25" s="186"/>
      <c r="G25" s="192" t="s">
        <v>82</v>
      </c>
      <c r="H25" s="193"/>
      <c r="I25" s="148">
        <f>SUM(I26:I31)</f>
        <v>0</v>
      </c>
    </row>
    <row r="26" spans="1:9" ht="30" x14ac:dyDescent="0.2">
      <c r="A26" s="141">
        <v>10</v>
      </c>
      <c r="B26" s="142" t="s">
        <v>25</v>
      </c>
      <c r="C26" s="142" t="s">
        <v>165</v>
      </c>
      <c r="D26" s="143" t="s">
        <v>166</v>
      </c>
      <c r="E26" s="144" t="s">
        <v>97</v>
      </c>
      <c r="F26" s="171">
        <f>'MEM. CÁLCULO'!D36</f>
        <v>2.68</v>
      </c>
      <c r="G26" s="145"/>
      <c r="H26" s="146">
        <f t="shared" ref="H26:H28" si="6">TRUNC((G26)+(G26*$I$7),2)</f>
        <v>0</v>
      </c>
      <c r="I26" s="147">
        <f t="shared" si="1"/>
        <v>0</v>
      </c>
    </row>
    <row r="27" spans="1:9" x14ac:dyDescent="0.2">
      <c r="A27" s="57">
        <v>11</v>
      </c>
      <c r="B27" s="54" t="s">
        <v>25</v>
      </c>
      <c r="C27" s="54" t="s">
        <v>98</v>
      </c>
      <c r="D27" s="13" t="s">
        <v>99</v>
      </c>
      <c r="E27" s="4" t="s">
        <v>8</v>
      </c>
      <c r="F27" s="173">
        <f>'MEM. CÁLCULO'!D40</f>
        <v>13.39</v>
      </c>
      <c r="G27" s="131"/>
      <c r="H27" s="132">
        <f t="shared" si="6"/>
        <v>0</v>
      </c>
      <c r="I27" s="133">
        <f t="shared" ref="I27:I33" si="7">TRUNC(F27*H27,2)</f>
        <v>0</v>
      </c>
    </row>
    <row r="28" spans="1:9" ht="30" x14ac:dyDescent="0.2">
      <c r="A28" s="57">
        <v>12</v>
      </c>
      <c r="B28" s="54" t="s">
        <v>25</v>
      </c>
      <c r="C28" s="54" t="s">
        <v>205</v>
      </c>
      <c r="D28" s="13" t="s">
        <v>206</v>
      </c>
      <c r="E28" s="4" t="s">
        <v>100</v>
      </c>
      <c r="F28" s="173">
        <f>'MEM. CÁLCULO'!D44</f>
        <v>171.91000000000003</v>
      </c>
      <c r="G28" s="131"/>
      <c r="H28" s="132">
        <f t="shared" si="6"/>
        <v>0</v>
      </c>
      <c r="I28" s="133">
        <f t="shared" si="7"/>
        <v>0</v>
      </c>
    </row>
    <row r="29" spans="1:9" ht="30" x14ac:dyDescent="0.2">
      <c r="A29" s="57">
        <v>13</v>
      </c>
      <c r="B29" s="54" t="s">
        <v>25</v>
      </c>
      <c r="C29" s="54" t="s">
        <v>207</v>
      </c>
      <c r="D29" s="13" t="s">
        <v>208</v>
      </c>
      <c r="E29" s="4" t="s">
        <v>100</v>
      </c>
      <c r="F29" s="173">
        <f>'MEM. CÁLCULO'!D56</f>
        <v>29.570000000000004</v>
      </c>
      <c r="G29" s="131"/>
      <c r="H29" s="132">
        <f t="shared" ref="H29:H31" si="8">TRUNC((G29)+(G29*$I$7),2)</f>
        <v>0</v>
      </c>
      <c r="I29" s="133">
        <f t="shared" ref="I29:I31" si="9">TRUNC(F29*H29,2)</f>
        <v>0</v>
      </c>
    </row>
    <row r="30" spans="1:9" ht="30" x14ac:dyDescent="0.2">
      <c r="A30" s="57">
        <v>14</v>
      </c>
      <c r="B30" s="54" t="s">
        <v>25</v>
      </c>
      <c r="C30" s="54" t="s">
        <v>167</v>
      </c>
      <c r="D30" s="13" t="s">
        <v>168</v>
      </c>
      <c r="E30" s="4" t="s">
        <v>97</v>
      </c>
      <c r="F30" s="173">
        <f>'MEM. CÁLCULO'!D60</f>
        <v>2.68</v>
      </c>
      <c r="G30" s="131"/>
      <c r="H30" s="132">
        <f t="shared" si="8"/>
        <v>0</v>
      </c>
      <c r="I30" s="133">
        <f t="shared" si="9"/>
        <v>0</v>
      </c>
    </row>
    <row r="31" spans="1:9" ht="45.75" thickBot="1" x14ac:dyDescent="0.25">
      <c r="A31" s="149">
        <v>15</v>
      </c>
      <c r="B31" s="150" t="s">
        <v>25</v>
      </c>
      <c r="C31" s="150" t="s">
        <v>169</v>
      </c>
      <c r="D31" s="151" t="s">
        <v>170</v>
      </c>
      <c r="E31" s="152" t="s">
        <v>8</v>
      </c>
      <c r="F31" s="172">
        <f>'MEM. CÁLCULO'!D64</f>
        <v>34.76</v>
      </c>
      <c r="G31" s="153"/>
      <c r="H31" s="154">
        <f t="shared" si="8"/>
        <v>0</v>
      </c>
      <c r="I31" s="155">
        <f t="shared" si="9"/>
        <v>0</v>
      </c>
    </row>
    <row r="32" spans="1:9" ht="18.75" customHeight="1" thickBot="1" x14ac:dyDescent="0.25">
      <c r="A32" s="184" t="s">
        <v>171</v>
      </c>
      <c r="B32" s="185"/>
      <c r="C32" s="185"/>
      <c r="D32" s="185"/>
      <c r="E32" s="185"/>
      <c r="F32" s="186"/>
      <c r="G32" s="192" t="s">
        <v>82</v>
      </c>
      <c r="H32" s="193"/>
      <c r="I32" s="148">
        <f>SUM(I33:I36)</f>
        <v>0</v>
      </c>
    </row>
    <row r="33" spans="1:9" ht="45" x14ac:dyDescent="0.2">
      <c r="A33" s="141">
        <v>16</v>
      </c>
      <c r="B33" s="142" t="s">
        <v>190</v>
      </c>
      <c r="C33" s="142" t="s">
        <v>237</v>
      </c>
      <c r="D33" s="143" t="s">
        <v>238</v>
      </c>
      <c r="E33" s="144" t="s">
        <v>9</v>
      </c>
      <c r="F33" s="171">
        <f>'MEM. CÁLCULO'!D69</f>
        <v>73.08</v>
      </c>
      <c r="G33" s="145"/>
      <c r="H33" s="146">
        <f>TRUNC((G33)+(G33*$I$7),2)</f>
        <v>0</v>
      </c>
      <c r="I33" s="147">
        <f t="shared" si="7"/>
        <v>0</v>
      </c>
    </row>
    <row r="34" spans="1:9" ht="60" x14ac:dyDescent="0.2">
      <c r="A34" s="160">
        <v>17</v>
      </c>
      <c r="B34" s="54" t="s">
        <v>25</v>
      </c>
      <c r="C34" s="54" t="s">
        <v>172</v>
      </c>
      <c r="D34" s="161" t="s">
        <v>173</v>
      </c>
      <c r="E34" s="162" t="s">
        <v>8</v>
      </c>
      <c r="F34" s="173">
        <f>'MEM. CÁLCULO'!D74</f>
        <v>360.03999999999996</v>
      </c>
      <c r="G34" s="131"/>
      <c r="H34" s="132">
        <f t="shared" ref="H34:H35" si="10">TRUNC((G34)+(G34*$I$7),2)</f>
        <v>0</v>
      </c>
      <c r="I34" s="133">
        <f t="shared" ref="I34" si="11">TRUNC(F34*H34,2)</f>
        <v>0</v>
      </c>
    </row>
    <row r="35" spans="1:9" ht="30.6" customHeight="1" x14ac:dyDescent="0.2">
      <c r="A35" s="149">
        <v>18</v>
      </c>
      <c r="B35" s="150" t="s">
        <v>25</v>
      </c>
      <c r="C35" s="150" t="s">
        <v>174</v>
      </c>
      <c r="D35" s="151" t="s">
        <v>175</v>
      </c>
      <c r="E35" s="152" t="s">
        <v>97</v>
      </c>
      <c r="F35" s="172">
        <f>'MEM. CÁLCULO'!D78</f>
        <v>2.6</v>
      </c>
      <c r="G35" s="153"/>
      <c r="H35" s="154">
        <f t="shared" si="10"/>
        <v>0</v>
      </c>
      <c r="I35" s="155">
        <f t="shared" ref="I35:I41" si="12">TRUNC(F35*H35,2)</f>
        <v>0</v>
      </c>
    </row>
    <row r="36" spans="1:9" ht="45.75" thickBot="1" x14ac:dyDescent="0.25">
      <c r="A36" s="149">
        <v>19</v>
      </c>
      <c r="B36" s="150" t="s">
        <v>225</v>
      </c>
      <c r="C36" s="150" t="s">
        <v>341</v>
      </c>
      <c r="D36" s="151" t="s">
        <v>220</v>
      </c>
      <c r="E36" s="152" t="s">
        <v>8</v>
      </c>
      <c r="F36" s="172">
        <f>'MEM. CÁLCULO'!D80</f>
        <v>21.000000000000004</v>
      </c>
      <c r="G36" s="153"/>
      <c r="H36" s="154">
        <f t="shared" ref="H36" si="13">TRUNC((G36)+(G36*$I$7),2)</f>
        <v>0</v>
      </c>
      <c r="I36" s="155">
        <f t="shared" ref="I36" si="14">TRUNC(F36*H36,2)</f>
        <v>0</v>
      </c>
    </row>
    <row r="37" spans="1:9" ht="18.75" customHeight="1" thickBot="1" x14ac:dyDescent="0.25">
      <c r="A37" s="184" t="s">
        <v>188</v>
      </c>
      <c r="B37" s="185"/>
      <c r="C37" s="185"/>
      <c r="D37" s="185"/>
      <c r="E37" s="185"/>
      <c r="F37" s="186"/>
      <c r="G37" s="192" t="s">
        <v>82</v>
      </c>
      <c r="H37" s="193"/>
      <c r="I37" s="148">
        <f>SUM(I38:I42)</f>
        <v>0</v>
      </c>
    </row>
    <row r="38" spans="1:9" ht="45" x14ac:dyDescent="0.2">
      <c r="A38" s="141">
        <v>20</v>
      </c>
      <c r="B38" s="142" t="s">
        <v>25</v>
      </c>
      <c r="C38" s="142" t="s">
        <v>176</v>
      </c>
      <c r="D38" s="143" t="s">
        <v>177</v>
      </c>
      <c r="E38" s="144" t="s">
        <v>8</v>
      </c>
      <c r="F38" s="171">
        <f>'MEM. CÁLCULO'!D86</f>
        <v>25.86</v>
      </c>
      <c r="G38" s="145"/>
      <c r="H38" s="146">
        <f t="shared" ref="H38:H41" si="15">TRUNC((G38)+(G38*$I$7),2)</f>
        <v>0</v>
      </c>
      <c r="I38" s="147">
        <f t="shared" si="12"/>
        <v>0</v>
      </c>
    </row>
    <row r="39" spans="1:9" ht="30" x14ac:dyDescent="0.2">
      <c r="A39" s="57">
        <v>21</v>
      </c>
      <c r="B39" s="54" t="s">
        <v>25</v>
      </c>
      <c r="C39" s="54" t="s">
        <v>178</v>
      </c>
      <c r="D39" s="13" t="s">
        <v>179</v>
      </c>
      <c r="E39" s="4" t="s">
        <v>8</v>
      </c>
      <c r="F39" s="173">
        <f>'MEM. CÁLCULO'!D92</f>
        <v>25.86</v>
      </c>
      <c r="G39" s="131"/>
      <c r="H39" s="132">
        <f t="shared" ref="H39:H40" si="16">TRUNC((G39)+(G39*$I$7),2)</f>
        <v>0</v>
      </c>
      <c r="I39" s="133">
        <f t="shared" si="12"/>
        <v>0</v>
      </c>
    </row>
    <row r="40" spans="1:9" ht="30" x14ac:dyDescent="0.2">
      <c r="A40" s="57">
        <v>22</v>
      </c>
      <c r="B40" s="54" t="s">
        <v>25</v>
      </c>
      <c r="C40" s="54" t="s">
        <v>184</v>
      </c>
      <c r="D40" s="13" t="s">
        <v>185</v>
      </c>
      <c r="E40" s="4" t="s">
        <v>8</v>
      </c>
      <c r="F40" s="173">
        <f>'MEM. CÁLCULO'!D93</f>
        <v>25.86</v>
      </c>
      <c r="G40" s="131"/>
      <c r="H40" s="132">
        <f t="shared" si="16"/>
        <v>0</v>
      </c>
      <c r="I40" s="133">
        <f t="shared" si="12"/>
        <v>0</v>
      </c>
    </row>
    <row r="41" spans="1:9" ht="30" x14ac:dyDescent="0.2">
      <c r="A41" s="149">
        <v>23</v>
      </c>
      <c r="B41" s="150" t="s">
        <v>25</v>
      </c>
      <c r="C41" s="150" t="s">
        <v>186</v>
      </c>
      <c r="D41" s="151" t="s">
        <v>187</v>
      </c>
      <c r="E41" s="152" t="s">
        <v>8</v>
      </c>
      <c r="F41" s="173">
        <f>'MEM. CÁLCULO'!D94</f>
        <v>25.86</v>
      </c>
      <c r="G41" s="153"/>
      <c r="H41" s="154">
        <f t="shared" si="15"/>
        <v>0</v>
      </c>
      <c r="I41" s="155">
        <f t="shared" si="12"/>
        <v>0</v>
      </c>
    </row>
    <row r="42" spans="1:9" ht="30.75" thickBot="1" x14ac:dyDescent="0.25">
      <c r="A42" s="149">
        <v>24</v>
      </c>
      <c r="B42" s="150" t="s">
        <v>25</v>
      </c>
      <c r="C42" s="150" t="s">
        <v>214</v>
      </c>
      <c r="D42" s="151" t="s">
        <v>215</v>
      </c>
      <c r="E42" s="152" t="s">
        <v>8</v>
      </c>
      <c r="F42" s="172">
        <f>'MEM. CÁLCULO'!D95</f>
        <v>54.13</v>
      </c>
      <c r="G42" s="153"/>
      <c r="H42" s="154">
        <f t="shared" ref="H42" si="17">TRUNC((G42)+(G42*$I$7),2)</f>
        <v>0</v>
      </c>
      <c r="I42" s="155">
        <f t="shared" ref="I42" si="18">TRUNC(F42*H42,2)</f>
        <v>0</v>
      </c>
    </row>
    <row r="43" spans="1:9" ht="18.75" customHeight="1" thickBot="1" x14ac:dyDescent="0.25">
      <c r="A43" s="184" t="s">
        <v>239</v>
      </c>
      <c r="B43" s="185"/>
      <c r="C43" s="185"/>
      <c r="D43" s="185"/>
      <c r="E43" s="185"/>
      <c r="F43" s="186"/>
      <c r="G43" s="192" t="s">
        <v>82</v>
      </c>
      <c r="H43" s="193"/>
      <c r="I43" s="148">
        <f>SUM(I44:I46)</f>
        <v>0</v>
      </c>
    </row>
    <row r="44" spans="1:9" ht="30" customHeight="1" x14ac:dyDescent="0.2">
      <c r="A44" s="141">
        <v>25</v>
      </c>
      <c r="B44" s="142" t="s">
        <v>25</v>
      </c>
      <c r="C44" s="142" t="s">
        <v>240</v>
      </c>
      <c r="D44" s="143" t="s">
        <v>241</v>
      </c>
      <c r="E44" s="144" t="s">
        <v>129</v>
      </c>
      <c r="F44" s="171">
        <f>'MEM. CÁLCULO'!D98</f>
        <v>1</v>
      </c>
      <c r="G44" s="145"/>
      <c r="H44" s="146">
        <f t="shared" ref="H44:H46" si="19">TRUNC((G44)+(G44*$I$7),2)</f>
        <v>0</v>
      </c>
      <c r="I44" s="147">
        <f t="shared" ref="I44:I46" si="20">TRUNC(F44*H44,2)</f>
        <v>0</v>
      </c>
    </row>
    <row r="45" spans="1:9" ht="30" customHeight="1" x14ac:dyDescent="0.2">
      <c r="A45" s="57">
        <v>26</v>
      </c>
      <c r="B45" s="54" t="s">
        <v>25</v>
      </c>
      <c r="C45" s="54" t="s">
        <v>242</v>
      </c>
      <c r="D45" s="13" t="s">
        <v>243</v>
      </c>
      <c r="E45" s="4" t="s">
        <v>129</v>
      </c>
      <c r="F45" s="171">
        <f>'MEM. CÁLCULO'!D99</f>
        <v>1</v>
      </c>
      <c r="G45" s="131"/>
      <c r="H45" s="132">
        <f t="shared" si="19"/>
        <v>0</v>
      </c>
      <c r="I45" s="133">
        <f t="shared" si="20"/>
        <v>0</v>
      </c>
    </row>
    <row r="46" spans="1:9" ht="30.75" thickBot="1" x14ac:dyDescent="0.25">
      <c r="A46" s="57">
        <v>27</v>
      </c>
      <c r="B46" s="54" t="s">
        <v>25</v>
      </c>
      <c r="C46" s="54" t="s">
        <v>244</v>
      </c>
      <c r="D46" s="13" t="s">
        <v>245</v>
      </c>
      <c r="E46" s="4" t="s">
        <v>8</v>
      </c>
      <c r="F46" s="173">
        <f>'MEM. CÁLCULO'!D100</f>
        <v>207.86</v>
      </c>
      <c r="G46" s="131"/>
      <c r="H46" s="132">
        <f t="shared" si="19"/>
        <v>0</v>
      </c>
      <c r="I46" s="133">
        <f t="shared" si="20"/>
        <v>0</v>
      </c>
    </row>
    <row r="47" spans="1:9" ht="18.75" customHeight="1" thickBot="1" x14ac:dyDescent="0.25">
      <c r="A47" s="184" t="s">
        <v>189</v>
      </c>
      <c r="B47" s="185"/>
      <c r="C47" s="185"/>
      <c r="D47" s="185"/>
      <c r="E47" s="185"/>
      <c r="F47" s="186"/>
      <c r="G47" s="192" t="s">
        <v>82</v>
      </c>
      <c r="H47" s="193"/>
      <c r="I47" s="148">
        <f>SUM(I48:I51)</f>
        <v>0</v>
      </c>
    </row>
    <row r="48" spans="1:9" ht="30" customHeight="1" x14ac:dyDescent="0.2">
      <c r="A48" s="141">
        <v>28</v>
      </c>
      <c r="B48" s="142" t="s">
        <v>190</v>
      </c>
      <c r="C48" s="142" t="s">
        <v>191</v>
      </c>
      <c r="D48" s="143" t="s">
        <v>192</v>
      </c>
      <c r="E48" s="144" t="s">
        <v>129</v>
      </c>
      <c r="F48" s="171">
        <f>'MEM. CÁLCULO'!D108</f>
        <v>26</v>
      </c>
      <c r="G48" s="145"/>
      <c r="H48" s="146">
        <f t="shared" ref="H48:H54" si="21">TRUNC((G48)+(G48*$I$7),2)</f>
        <v>0</v>
      </c>
      <c r="I48" s="147">
        <f t="shared" ref="I48:I54" si="22">TRUNC(F48*H48,2)</f>
        <v>0</v>
      </c>
    </row>
    <row r="49" spans="1:9" ht="30" customHeight="1" x14ac:dyDescent="0.2">
      <c r="A49" s="57">
        <v>29</v>
      </c>
      <c r="B49" s="54" t="s">
        <v>25</v>
      </c>
      <c r="C49" s="54" t="s">
        <v>193</v>
      </c>
      <c r="D49" s="13" t="s">
        <v>194</v>
      </c>
      <c r="E49" s="4" t="s">
        <v>129</v>
      </c>
      <c r="F49" s="173">
        <f>'MEM. CÁLCULO'!D109</f>
        <v>3</v>
      </c>
      <c r="G49" s="131"/>
      <c r="H49" s="132">
        <f t="shared" si="21"/>
        <v>0</v>
      </c>
      <c r="I49" s="133">
        <f t="shared" si="22"/>
        <v>0</v>
      </c>
    </row>
    <row r="50" spans="1:9" ht="60" x14ac:dyDescent="0.2">
      <c r="A50" s="57">
        <v>30</v>
      </c>
      <c r="B50" s="54" t="s">
        <v>25</v>
      </c>
      <c r="C50" s="54" t="s">
        <v>246</v>
      </c>
      <c r="D50" s="13" t="s">
        <v>247</v>
      </c>
      <c r="E50" s="4" t="s">
        <v>129</v>
      </c>
      <c r="F50" s="173">
        <f>'MEM. CÁLCULO'!D110</f>
        <v>8</v>
      </c>
      <c r="G50" s="131"/>
      <c r="H50" s="132">
        <f t="shared" si="21"/>
        <v>0</v>
      </c>
      <c r="I50" s="133">
        <f t="shared" si="22"/>
        <v>0</v>
      </c>
    </row>
    <row r="51" spans="1:9" ht="45.75" thickBot="1" x14ac:dyDescent="0.25">
      <c r="A51" s="57">
        <v>31</v>
      </c>
      <c r="B51" s="54" t="s">
        <v>25</v>
      </c>
      <c r="C51" s="54" t="s">
        <v>342</v>
      </c>
      <c r="D51" s="13" t="s">
        <v>343</v>
      </c>
      <c r="E51" s="4" t="s">
        <v>9</v>
      </c>
      <c r="F51" s="173">
        <f>'MEM. CÁLCULO'!D111</f>
        <v>12.600000000000001</v>
      </c>
      <c r="G51" s="131"/>
      <c r="H51" s="132">
        <f t="shared" ref="H51" si="23">TRUNC((G51)+(G51*$I$7),2)</f>
        <v>0</v>
      </c>
      <c r="I51" s="133">
        <f t="shared" ref="I51" si="24">TRUNC(F51*H51,2)</f>
        <v>0</v>
      </c>
    </row>
    <row r="52" spans="1:9" ht="18.75" customHeight="1" thickBot="1" x14ac:dyDescent="0.25">
      <c r="A52" s="184" t="s">
        <v>195</v>
      </c>
      <c r="B52" s="185"/>
      <c r="C52" s="185"/>
      <c r="D52" s="185"/>
      <c r="E52" s="185"/>
      <c r="F52" s="186"/>
      <c r="G52" s="192" t="s">
        <v>82</v>
      </c>
      <c r="H52" s="193"/>
      <c r="I52" s="148">
        <f>SUM(I53:I54)</f>
        <v>0</v>
      </c>
    </row>
    <row r="53" spans="1:9" ht="30" customHeight="1" x14ac:dyDescent="0.2">
      <c r="A53" s="141">
        <v>32</v>
      </c>
      <c r="B53" s="142" t="s">
        <v>25</v>
      </c>
      <c r="C53" s="142" t="s">
        <v>196</v>
      </c>
      <c r="D53" s="143" t="s">
        <v>197</v>
      </c>
      <c r="E53" s="144" t="s">
        <v>129</v>
      </c>
      <c r="F53" s="171">
        <f>'MEM. CÁLCULO'!D114</f>
        <v>1</v>
      </c>
      <c r="G53" s="145"/>
      <c r="H53" s="146">
        <f t="shared" si="21"/>
        <v>0</v>
      </c>
      <c r="I53" s="147">
        <f t="shared" si="22"/>
        <v>0</v>
      </c>
    </row>
    <row r="54" spans="1:9" ht="15.75" thickBot="1" x14ac:dyDescent="0.25">
      <c r="A54" s="57">
        <v>33</v>
      </c>
      <c r="B54" s="54" t="s">
        <v>25</v>
      </c>
      <c r="C54" s="54" t="s">
        <v>198</v>
      </c>
      <c r="D54" s="13" t="s">
        <v>199</v>
      </c>
      <c r="E54" s="4" t="s">
        <v>8</v>
      </c>
      <c r="F54" s="173">
        <f>'MEM. CÁLCULO'!D115</f>
        <v>371.22999999999996</v>
      </c>
      <c r="G54" s="131"/>
      <c r="H54" s="132">
        <f t="shared" si="21"/>
        <v>0</v>
      </c>
      <c r="I54" s="133">
        <f t="shared" si="22"/>
        <v>0</v>
      </c>
    </row>
    <row r="55" spans="1:9" s="12" customFormat="1" ht="2.25" customHeight="1" thickBot="1" x14ac:dyDescent="0.25">
      <c r="A55" s="196"/>
      <c r="B55" s="197"/>
      <c r="C55" s="197"/>
      <c r="D55" s="197"/>
      <c r="E55" s="197"/>
      <c r="F55" s="197"/>
      <c r="G55" s="197"/>
      <c r="H55" s="197"/>
      <c r="I55" s="198"/>
    </row>
    <row r="56" spans="1:9" ht="18.75" customHeight="1" thickBot="1" x14ac:dyDescent="0.25">
      <c r="A56" s="177" t="s">
        <v>335</v>
      </c>
      <c r="B56" s="178"/>
      <c r="C56" s="178"/>
      <c r="D56" s="178"/>
      <c r="E56" s="178"/>
      <c r="F56" s="179"/>
      <c r="G56" s="194" t="s">
        <v>420</v>
      </c>
      <c r="H56" s="195"/>
      <c r="I56" s="180">
        <f>SUM(I58+I61+I70+I73+I80+I85+I93+I95+I102)</f>
        <v>0</v>
      </c>
    </row>
    <row r="57" spans="1:9" s="12" customFormat="1" ht="2.25" customHeight="1" thickBot="1" x14ac:dyDescent="0.25">
      <c r="A57" s="196"/>
      <c r="B57" s="197"/>
      <c r="C57" s="197"/>
      <c r="D57" s="197"/>
      <c r="E57" s="197"/>
      <c r="F57" s="197"/>
      <c r="G57" s="197"/>
      <c r="H57" s="197"/>
      <c r="I57" s="198"/>
    </row>
    <row r="58" spans="1:9" ht="18.75" customHeight="1" thickBot="1" x14ac:dyDescent="0.25">
      <c r="A58" s="181" t="s">
        <v>94</v>
      </c>
      <c r="B58" s="182"/>
      <c r="C58" s="182"/>
      <c r="D58" s="182"/>
      <c r="E58" s="182"/>
      <c r="F58" s="183"/>
      <c r="G58" s="192" t="s">
        <v>82</v>
      </c>
      <c r="H58" s="193"/>
      <c r="I58" s="148">
        <f>SUM(I59:I60)</f>
        <v>0</v>
      </c>
    </row>
    <row r="59" spans="1:9" ht="60" x14ac:dyDescent="0.2">
      <c r="A59" s="141">
        <v>34</v>
      </c>
      <c r="B59" s="142" t="s">
        <v>25</v>
      </c>
      <c r="C59" s="142" t="s">
        <v>95</v>
      </c>
      <c r="D59" s="143" t="s">
        <v>96</v>
      </c>
      <c r="E59" s="144" t="s">
        <v>8</v>
      </c>
      <c r="F59" s="171">
        <f>'MEM. CÁLCULO'!D118</f>
        <v>2.88</v>
      </c>
      <c r="G59" s="145"/>
      <c r="H59" s="146">
        <f>TRUNC((G59)+(G59*$I$7),2)</f>
        <v>0</v>
      </c>
      <c r="I59" s="147">
        <f>TRUNC(F59*H59,2)</f>
        <v>0</v>
      </c>
    </row>
    <row r="60" spans="1:9" ht="45.75" thickBot="1" x14ac:dyDescent="0.25">
      <c r="A60" s="149">
        <v>35</v>
      </c>
      <c r="B60" s="150" t="s">
        <v>25</v>
      </c>
      <c r="C60" s="150" t="s">
        <v>148</v>
      </c>
      <c r="D60" s="151" t="s">
        <v>149</v>
      </c>
      <c r="E60" s="152" t="s">
        <v>9</v>
      </c>
      <c r="F60" s="172">
        <f>'MEM. CÁLCULO'!D119</f>
        <v>96.02</v>
      </c>
      <c r="G60" s="153"/>
      <c r="H60" s="154">
        <f>TRUNC((G60)+(G60*$I$7),2)</f>
        <v>0</v>
      </c>
      <c r="I60" s="155">
        <f>TRUNC(F60*H60,2)</f>
        <v>0</v>
      </c>
    </row>
    <row r="61" spans="1:9" ht="18.75" customHeight="1" thickBot="1" x14ac:dyDescent="0.25">
      <c r="A61" s="184" t="s">
        <v>152</v>
      </c>
      <c r="B61" s="185"/>
      <c r="C61" s="185"/>
      <c r="D61" s="185"/>
      <c r="E61" s="185"/>
      <c r="F61" s="186"/>
      <c r="G61" s="192" t="s">
        <v>82</v>
      </c>
      <c r="H61" s="193"/>
      <c r="I61" s="148">
        <f>SUM(I62:I69)</f>
        <v>0</v>
      </c>
    </row>
    <row r="62" spans="1:9" ht="45" x14ac:dyDescent="0.2">
      <c r="A62" s="141">
        <v>36</v>
      </c>
      <c r="B62" s="142" t="s">
        <v>25</v>
      </c>
      <c r="C62" s="142" t="s">
        <v>150</v>
      </c>
      <c r="D62" s="143" t="s">
        <v>151</v>
      </c>
      <c r="E62" s="144" t="s">
        <v>8</v>
      </c>
      <c r="F62" s="171">
        <f>'MEM. CÁLCULO'!D122</f>
        <v>261.48</v>
      </c>
      <c r="G62" s="145"/>
      <c r="H62" s="146">
        <f t="shared" ref="H62:H69" si="25">TRUNC((G62)+(G62*$I$7),2)</f>
        <v>0</v>
      </c>
      <c r="I62" s="147">
        <f>TRUNC(F62*H62,2)</f>
        <v>0</v>
      </c>
    </row>
    <row r="63" spans="1:9" ht="45" x14ac:dyDescent="0.2">
      <c r="A63" s="57">
        <v>37</v>
      </c>
      <c r="B63" s="54" t="s">
        <v>25</v>
      </c>
      <c r="C63" s="54" t="s">
        <v>153</v>
      </c>
      <c r="D63" s="13" t="s">
        <v>154</v>
      </c>
      <c r="E63" s="4" t="s">
        <v>97</v>
      </c>
      <c r="F63" s="173">
        <f>'MEM. CÁLCULO'!D124</f>
        <v>0.67</v>
      </c>
      <c r="G63" s="131"/>
      <c r="H63" s="132">
        <f t="shared" si="25"/>
        <v>0</v>
      </c>
      <c r="I63" s="133">
        <f t="shared" ref="I63:I69" si="26">TRUNC(F63*H63,2)</f>
        <v>0</v>
      </c>
    </row>
    <row r="64" spans="1:9" ht="45.75" x14ac:dyDescent="0.2">
      <c r="A64" s="57">
        <v>38</v>
      </c>
      <c r="B64" s="54" t="s">
        <v>25</v>
      </c>
      <c r="C64" s="54" t="s">
        <v>337</v>
      </c>
      <c r="D64" s="13" t="s">
        <v>339</v>
      </c>
      <c r="E64" s="4" t="s">
        <v>97</v>
      </c>
      <c r="F64" s="173">
        <f>'MEM. CÁLCULO'!D127</f>
        <v>2</v>
      </c>
      <c r="G64" s="131"/>
      <c r="H64" s="132">
        <f t="shared" si="25"/>
        <v>0</v>
      </c>
      <c r="I64" s="133">
        <f t="shared" si="26"/>
        <v>0</v>
      </c>
    </row>
    <row r="65" spans="1:9" ht="45" x14ac:dyDescent="0.2">
      <c r="A65" s="57">
        <v>39</v>
      </c>
      <c r="B65" s="54" t="s">
        <v>25</v>
      </c>
      <c r="C65" s="54" t="s">
        <v>155</v>
      </c>
      <c r="D65" s="13" t="s">
        <v>156</v>
      </c>
      <c r="E65" s="4" t="s">
        <v>8</v>
      </c>
      <c r="F65" s="173">
        <f>'MEM. CÁLCULO'!D128</f>
        <v>57.99</v>
      </c>
      <c r="G65" s="131"/>
      <c r="H65" s="132">
        <f t="shared" si="25"/>
        <v>0</v>
      </c>
      <c r="I65" s="133">
        <f t="shared" si="26"/>
        <v>0</v>
      </c>
    </row>
    <row r="66" spans="1:9" ht="45" x14ac:dyDescent="0.2">
      <c r="A66" s="57">
        <v>40</v>
      </c>
      <c r="B66" s="54" t="s">
        <v>25</v>
      </c>
      <c r="C66" s="54" t="s">
        <v>235</v>
      </c>
      <c r="D66" s="13" t="s">
        <v>236</v>
      </c>
      <c r="E66" s="4" t="s">
        <v>9</v>
      </c>
      <c r="F66" s="173">
        <f>'MEM. CÁLCULO'!D129</f>
        <v>35.15</v>
      </c>
      <c r="G66" s="131"/>
      <c r="H66" s="132">
        <f t="shared" si="25"/>
        <v>0</v>
      </c>
      <c r="I66" s="133">
        <f t="shared" si="26"/>
        <v>0</v>
      </c>
    </row>
    <row r="67" spans="1:9" ht="45" x14ac:dyDescent="0.2">
      <c r="A67" s="57">
        <v>41</v>
      </c>
      <c r="B67" s="54" t="s">
        <v>225</v>
      </c>
      <c r="C67" s="54" t="s">
        <v>340</v>
      </c>
      <c r="D67" s="13" t="s">
        <v>397</v>
      </c>
      <c r="E67" s="4" t="s">
        <v>129</v>
      </c>
      <c r="F67" s="173">
        <f>'MEM. CÁLCULO'!D131</f>
        <v>7</v>
      </c>
      <c r="G67" s="131"/>
      <c r="H67" s="132">
        <f t="shared" ref="H67" si="27">TRUNC((G67)+(G67*$I$7),2)</f>
        <v>0</v>
      </c>
      <c r="I67" s="133">
        <f t="shared" ref="I67" si="28">TRUNC(F67*H67,2)</f>
        <v>0</v>
      </c>
    </row>
    <row r="68" spans="1:9" ht="45" x14ac:dyDescent="0.2">
      <c r="A68" s="57">
        <v>42</v>
      </c>
      <c r="B68" s="54" t="s">
        <v>25</v>
      </c>
      <c r="C68" s="54" t="s">
        <v>157</v>
      </c>
      <c r="D68" s="13" t="s">
        <v>158</v>
      </c>
      <c r="E68" s="4" t="s">
        <v>129</v>
      </c>
      <c r="F68" s="173">
        <f>'MEM. CÁLCULO'!D132</f>
        <v>1</v>
      </c>
      <c r="G68" s="131"/>
      <c r="H68" s="132">
        <f t="shared" si="25"/>
        <v>0</v>
      </c>
      <c r="I68" s="133">
        <f t="shared" si="26"/>
        <v>0</v>
      </c>
    </row>
    <row r="69" spans="1:9" ht="30.75" thickBot="1" x14ac:dyDescent="0.25">
      <c r="A69" s="149">
        <v>43</v>
      </c>
      <c r="B69" s="150" t="s">
        <v>25</v>
      </c>
      <c r="C69" s="150" t="s">
        <v>203</v>
      </c>
      <c r="D69" s="151" t="s">
        <v>204</v>
      </c>
      <c r="E69" s="152" t="s">
        <v>8</v>
      </c>
      <c r="F69" s="172">
        <f>'MEM. CÁLCULO'!D133</f>
        <v>601.22</v>
      </c>
      <c r="G69" s="153"/>
      <c r="H69" s="154">
        <f t="shared" si="25"/>
        <v>0</v>
      </c>
      <c r="I69" s="155">
        <f t="shared" si="26"/>
        <v>0</v>
      </c>
    </row>
    <row r="70" spans="1:9" ht="18.75" customHeight="1" thickBot="1" x14ac:dyDescent="0.25">
      <c r="A70" s="184" t="s">
        <v>159</v>
      </c>
      <c r="B70" s="185"/>
      <c r="C70" s="185"/>
      <c r="D70" s="185"/>
      <c r="E70" s="185"/>
      <c r="F70" s="186"/>
      <c r="G70" s="192" t="s">
        <v>82</v>
      </c>
      <c r="H70" s="193"/>
      <c r="I70" s="148">
        <f>SUM(I71:I72)</f>
        <v>0</v>
      </c>
    </row>
    <row r="71" spans="1:9" ht="30" x14ac:dyDescent="0.2">
      <c r="A71" s="141">
        <v>44</v>
      </c>
      <c r="B71" s="142" t="s">
        <v>25</v>
      </c>
      <c r="C71" s="142" t="s">
        <v>160</v>
      </c>
      <c r="D71" s="143" t="s">
        <v>161</v>
      </c>
      <c r="E71" s="144" t="s">
        <v>97</v>
      </c>
      <c r="F71" s="171">
        <f>'MEM. CÁLCULO'!Q140</f>
        <v>5.81</v>
      </c>
      <c r="G71" s="145"/>
      <c r="H71" s="146">
        <f t="shared" ref="H71:H72" si="29">TRUNC((G71)+(G71*$I$7),2)</f>
        <v>0</v>
      </c>
      <c r="I71" s="147">
        <f t="shared" ref="I71:I72" si="30">TRUNC(F71*H71,2)</f>
        <v>0</v>
      </c>
    </row>
    <row r="72" spans="1:9" ht="30.75" thickBot="1" x14ac:dyDescent="0.25">
      <c r="A72" s="149">
        <v>45</v>
      </c>
      <c r="B72" s="150" t="s">
        <v>25</v>
      </c>
      <c r="C72" s="150" t="s">
        <v>162</v>
      </c>
      <c r="D72" s="151" t="s">
        <v>163</v>
      </c>
      <c r="E72" s="152" t="s">
        <v>97</v>
      </c>
      <c r="F72" s="172">
        <f>'MEM. CÁLCULO'!Q141</f>
        <v>74.819999999999993</v>
      </c>
      <c r="G72" s="153"/>
      <c r="H72" s="154">
        <f t="shared" si="29"/>
        <v>0</v>
      </c>
      <c r="I72" s="155">
        <f t="shared" si="30"/>
        <v>0</v>
      </c>
    </row>
    <row r="73" spans="1:9" ht="18.75" customHeight="1" thickBot="1" x14ac:dyDescent="0.25">
      <c r="A73" s="184" t="s">
        <v>164</v>
      </c>
      <c r="B73" s="185"/>
      <c r="C73" s="185"/>
      <c r="D73" s="185"/>
      <c r="E73" s="185"/>
      <c r="F73" s="186"/>
      <c r="G73" s="192" t="s">
        <v>82</v>
      </c>
      <c r="H73" s="193"/>
      <c r="I73" s="148">
        <f>SUM(I74:I79)</f>
        <v>0</v>
      </c>
    </row>
    <row r="74" spans="1:9" ht="30" x14ac:dyDescent="0.2">
      <c r="A74" s="141">
        <v>46</v>
      </c>
      <c r="B74" s="142" t="s">
        <v>25</v>
      </c>
      <c r="C74" s="142" t="s">
        <v>165</v>
      </c>
      <c r="D74" s="143" t="s">
        <v>166</v>
      </c>
      <c r="E74" s="144" t="s">
        <v>97</v>
      </c>
      <c r="F74" s="171">
        <f>'MEM. CÁLCULO'!D143</f>
        <v>1.2</v>
      </c>
      <c r="G74" s="145"/>
      <c r="H74" s="146">
        <f t="shared" ref="H74:H79" si="31">TRUNC((G74)+(G74*$I$7),2)</f>
        <v>0</v>
      </c>
      <c r="I74" s="147">
        <f t="shared" ref="I74:I79" si="32">TRUNC(F74*H74,2)</f>
        <v>0</v>
      </c>
    </row>
    <row r="75" spans="1:9" x14ac:dyDescent="0.2">
      <c r="A75" s="57">
        <v>47</v>
      </c>
      <c r="B75" s="54" t="s">
        <v>25</v>
      </c>
      <c r="C75" s="54" t="s">
        <v>98</v>
      </c>
      <c r="D75" s="13" t="s">
        <v>99</v>
      </c>
      <c r="E75" s="4" t="s">
        <v>8</v>
      </c>
      <c r="F75" s="173">
        <f>'MEM. CÁLCULO'!D145</f>
        <v>5.98</v>
      </c>
      <c r="G75" s="131"/>
      <c r="H75" s="132">
        <f t="shared" si="31"/>
        <v>0</v>
      </c>
      <c r="I75" s="133">
        <f t="shared" si="32"/>
        <v>0</v>
      </c>
    </row>
    <row r="76" spans="1:9" ht="30" x14ac:dyDescent="0.2">
      <c r="A76" s="57">
        <v>48</v>
      </c>
      <c r="B76" s="54" t="s">
        <v>25</v>
      </c>
      <c r="C76" s="54" t="s">
        <v>205</v>
      </c>
      <c r="D76" s="13" t="s">
        <v>206</v>
      </c>
      <c r="E76" s="4" t="s">
        <v>100</v>
      </c>
      <c r="F76" s="173">
        <f>'MEM. CÁLCULO'!D147</f>
        <v>62.730000000000004</v>
      </c>
      <c r="G76" s="131"/>
      <c r="H76" s="132">
        <f t="shared" si="31"/>
        <v>0</v>
      </c>
      <c r="I76" s="133">
        <f t="shared" si="32"/>
        <v>0</v>
      </c>
    </row>
    <row r="77" spans="1:9" ht="30" x14ac:dyDescent="0.2">
      <c r="A77" s="57">
        <v>49</v>
      </c>
      <c r="B77" s="54" t="s">
        <v>25</v>
      </c>
      <c r="C77" s="54" t="s">
        <v>207</v>
      </c>
      <c r="D77" s="13" t="s">
        <v>208</v>
      </c>
      <c r="E77" s="4" t="s">
        <v>100</v>
      </c>
      <c r="F77" s="173">
        <f>'MEM. CÁLCULO'!D153</f>
        <v>15.25</v>
      </c>
      <c r="G77" s="131"/>
      <c r="H77" s="132">
        <f t="shared" si="31"/>
        <v>0</v>
      </c>
      <c r="I77" s="133">
        <f t="shared" si="32"/>
        <v>0</v>
      </c>
    </row>
    <row r="78" spans="1:9" ht="30" x14ac:dyDescent="0.2">
      <c r="A78" s="57">
        <v>50</v>
      </c>
      <c r="B78" s="54" t="s">
        <v>25</v>
      </c>
      <c r="C78" s="54" t="s">
        <v>167</v>
      </c>
      <c r="D78" s="13" t="s">
        <v>168</v>
      </c>
      <c r="E78" s="4" t="s">
        <v>97</v>
      </c>
      <c r="F78" s="173">
        <f>'MEM. CÁLCULO'!D155</f>
        <v>1.2</v>
      </c>
      <c r="G78" s="131"/>
      <c r="H78" s="132">
        <f t="shared" si="31"/>
        <v>0</v>
      </c>
      <c r="I78" s="133">
        <f t="shared" si="32"/>
        <v>0</v>
      </c>
    </row>
    <row r="79" spans="1:9" ht="45.75" thickBot="1" x14ac:dyDescent="0.25">
      <c r="A79" s="149">
        <v>51</v>
      </c>
      <c r="B79" s="150" t="s">
        <v>25</v>
      </c>
      <c r="C79" s="150" t="s">
        <v>169</v>
      </c>
      <c r="D79" s="151" t="s">
        <v>170</v>
      </c>
      <c r="E79" s="152" t="s">
        <v>8</v>
      </c>
      <c r="F79" s="172">
        <f>'MEM. CÁLCULO'!D157</f>
        <v>10.15</v>
      </c>
      <c r="G79" s="153"/>
      <c r="H79" s="154">
        <f t="shared" si="31"/>
        <v>0</v>
      </c>
      <c r="I79" s="155">
        <f t="shared" si="32"/>
        <v>0</v>
      </c>
    </row>
    <row r="80" spans="1:9" ht="18.75" customHeight="1" thickBot="1" x14ac:dyDescent="0.25">
      <c r="A80" s="184" t="s">
        <v>171</v>
      </c>
      <c r="B80" s="185"/>
      <c r="C80" s="185"/>
      <c r="D80" s="185"/>
      <c r="E80" s="185"/>
      <c r="F80" s="186"/>
      <c r="G80" s="192" t="s">
        <v>82</v>
      </c>
      <c r="H80" s="193"/>
      <c r="I80" s="148">
        <f>SUM(I81:I84)</f>
        <v>0</v>
      </c>
    </row>
    <row r="81" spans="1:9" ht="45" x14ac:dyDescent="0.2">
      <c r="A81" s="141">
        <v>52</v>
      </c>
      <c r="B81" s="142" t="s">
        <v>190</v>
      </c>
      <c r="C81" s="142" t="s">
        <v>237</v>
      </c>
      <c r="D81" s="143" t="s">
        <v>238</v>
      </c>
      <c r="E81" s="144" t="s">
        <v>9</v>
      </c>
      <c r="F81" s="171">
        <f>'MEM. CÁLCULO'!D160</f>
        <v>48.13</v>
      </c>
      <c r="G81" s="145"/>
      <c r="H81" s="146">
        <f>TRUNC((G81)+(G81*$I$7),2)</f>
        <v>0</v>
      </c>
      <c r="I81" s="147">
        <f t="shared" ref="I81:I84" si="33">TRUNC(F81*H81,2)</f>
        <v>0</v>
      </c>
    </row>
    <row r="82" spans="1:9" ht="60" x14ac:dyDescent="0.2">
      <c r="A82" s="160">
        <v>53</v>
      </c>
      <c r="B82" s="54" t="s">
        <v>25</v>
      </c>
      <c r="C82" s="54" t="s">
        <v>172</v>
      </c>
      <c r="D82" s="161" t="s">
        <v>173</v>
      </c>
      <c r="E82" s="162" t="s">
        <v>8</v>
      </c>
      <c r="F82" s="173">
        <f>'MEM. CÁLCULO'!D161</f>
        <v>422.9</v>
      </c>
      <c r="G82" s="131"/>
      <c r="H82" s="132">
        <f t="shared" ref="H82:H84" si="34">TRUNC((G82)+(G82*$I$7),2)</f>
        <v>0</v>
      </c>
      <c r="I82" s="133">
        <f t="shared" si="33"/>
        <v>0</v>
      </c>
    </row>
    <row r="83" spans="1:9" ht="30.6" customHeight="1" x14ac:dyDescent="0.2">
      <c r="A83" s="149">
        <v>54</v>
      </c>
      <c r="B83" s="150" t="s">
        <v>25</v>
      </c>
      <c r="C83" s="150" t="s">
        <v>174</v>
      </c>
      <c r="D83" s="151" t="s">
        <v>175</v>
      </c>
      <c r="E83" s="152" t="s">
        <v>97</v>
      </c>
      <c r="F83" s="172">
        <f>'MEM. CÁLCULO'!D164</f>
        <v>1.56</v>
      </c>
      <c r="G83" s="153"/>
      <c r="H83" s="154">
        <f t="shared" si="34"/>
        <v>0</v>
      </c>
      <c r="I83" s="155">
        <f t="shared" si="33"/>
        <v>0</v>
      </c>
    </row>
    <row r="84" spans="1:9" ht="45.75" thickBot="1" x14ac:dyDescent="0.25">
      <c r="A84" s="149">
        <v>55</v>
      </c>
      <c r="B84" s="150" t="s">
        <v>225</v>
      </c>
      <c r="C84" s="150" t="s">
        <v>341</v>
      </c>
      <c r="D84" s="151" t="s">
        <v>220</v>
      </c>
      <c r="E84" s="152" t="s">
        <v>8</v>
      </c>
      <c r="F84" s="172">
        <f>'MEM. CÁLCULO'!D165</f>
        <v>23.28</v>
      </c>
      <c r="G84" s="153"/>
      <c r="H84" s="154">
        <f t="shared" si="34"/>
        <v>0</v>
      </c>
      <c r="I84" s="155">
        <f t="shared" si="33"/>
        <v>0</v>
      </c>
    </row>
    <row r="85" spans="1:9" ht="18.75" customHeight="1" thickBot="1" x14ac:dyDescent="0.25">
      <c r="A85" s="184" t="s">
        <v>188</v>
      </c>
      <c r="B85" s="185"/>
      <c r="C85" s="185"/>
      <c r="D85" s="185"/>
      <c r="E85" s="185"/>
      <c r="F85" s="186"/>
      <c r="G85" s="192" t="s">
        <v>82</v>
      </c>
      <c r="H85" s="193"/>
      <c r="I85" s="148">
        <f>SUM(I86:I92)</f>
        <v>0</v>
      </c>
    </row>
    <row r="86" spans="1:9" ht="45" x14ac:dyDescent="0.2">
      <c r="A86" s="141">
        <v>56</v>
      </c>
      <c r="B86" s="142" t="s">
        <v>25</v>
      </c>
      <c r="C86" s="142" t="s">
        <v>176</v>
      </c>
      <c r="D86" s="143" t="s">
        <v>177</v>
      </c>
      <c r="E86" s="144" t="s">
        <v>8</v>
      </c>
      <c r="F86" s="171">
        <f>'MEM. CÁLCULO'!D172</f>
        <v>10.15</v>
      </c>
      <c r="G86" s="145"/>
      <c r="H86" s="146">
        <f t="shared" ref="H86:H92" si="35">TRUNC((G86)+(G86*$I$7),2)</f>
        <v>0</v>
      </c>
      <c r="I86" s="147">
        <f t="shared" ref="I86:I92" si="36">TRUNC(F86*H86,2)</f>
        <v>0</v>
      </c>
    </row>
    <row r="87" spans="1:9" ht="30" x14ac:dyDescent="0.2">
      <c r="A87" s="57">
        <v>57</v>
      </c>
      <c r="B87" s="54" t="s">
        <v>25</v>
      </c>
      <c r="C87" s="54" t="s">
        <v>178</v>
      </c>
      <c r="D87" s="13" t="s">
        <v>179</v>
      </c>
      <c r="E87" s="4" t="s">
        <v>8</v>
      </c>
      <c r="F87" s="173">
        <f>'MEM. CÁLCULO'!D174</f>
        <v>10.15</v>
      </c>
      <c r="G87" s="131"/>
      <c r="H87" s="132">
        <f t="shared" si="35"/>
        <v>0</v>
      </c>
      <c r="I87" s="133">
        <f t="shared" si="36"/>
        <v>0</v>
      </c>
    </row>
    <row r="88" spans="1:9" ht="30.75" x14ac:dyDescent="0.2">
      <c r="A88" s="57">
        <v>58</v>
      </c>
      <c r="B88" s="54" t="s">
        <v>25</v>
      </c>
      <c r="C88" s="54" t="s">
        <v>180</v>
      </c>
      <c r="D88" s="13" t="s">
        <v>181</v>
      </c>
      <c r="E88" s="4" t="s">
        <v>8</v>
      </c>
      <c r="F88" s="173">
        <f>'MEM. CÁLCULO'!D175</f>
        <v>57.99</v>
      </c>
      <c r="G88" s="131"/>
      <c r="H88" s="132">
        <f t="shared" si="35"/>
        <v>0</v>
      </c>
      <c r="I88" s="133">
        <f t="shared" si="36"/>
        <v>0</v>
      </c>
    </row>
    <row r="89" spans="1:9" x14ac:dyDescent="0.2">
      <c r="A89" s="57">
        <v>59</v>
      </c>
      <c r="B89" s="54" t="s">
        <v>25</v>
      </c>
      <c r="C89" s="54" t="s">
        <v>182</v>
      </c>
      <c r="D89" s="13" t="s">
        <v>183</v>
      </c>
      <c r="E89" s="4" t="s">
        <v>8</v>
      </c>
      <c r="F89" s="173">
        <f>'MEM. CÁLCULO'!D176</f>
        <v>29.74</v>
      </c>
      <c r="G89" s="131"/>
      <c r="H89" s="132">
        <f t="shared" si="35"/>
        <v>0</v>
      </c>
      <c r="I89" s="133">
        <f t="shared" si="36"/>
        <v>0</v>
      </c>
    </row>
    <row r="90" spans="1:9" ht="30" x14ac:dyDescent="0.2">
      <c r="A90" s="57">
        <v>60</v>
      </c>
      <c r="B90" s="54" t="s">
        <v>25</v>
      </c>
      <c r="C90" s="54" t="s">
        <v>184</v>
      </c>
      <c r="D90" s="13" t="s">
        <v>185</v>
      </c>
      <c r="E90" s="4" t="s">
        <v>8</v>
      </c>
      <c r="F90" s="173">
        <f>'MEM. CÁLCULO'!D177</f>
        <v>97.88</v>
      </c>
      <c r="G90" s="131"/>
      <c r="H90" s="132">
        <f t="shared" si="35"/>
        <v>0</v>
      </c>
      <c r="I90" s="133">
        <f t="shared" si="36"/>
        <v>0</v>
      </c>
    </row>
    <row r="91" spans="1:9" ht="30" x14ac:dyDescent="0.2">
      <c r="A91" s="149">
        <v>61</v>
      </c>
      <c r="B91" s="150" t="s">
        <v>25</v>
      </c>
      <c r="C91" s="150" t="s">
        <v>186</v>
      </c>
      <c r="D91" s="151" t="s">
        <v>187</v>
      </c>
      <c r="E91" s="152" t="s">
        <v>8</v>
      </c>
      <c r="F91" s="173">
        <f>'MEM. CÁLCULO'!D180</f>
        <v>97.88</v>
      </c>
      <c r="G91" s="153"/>
      <c r="H91" s="154">
        <f t="shared" si="35"/>
        <v>0</v>
      </c>
      <c r="I91" s="155">
        <f t="shared" si="36"/>
        <v>0</v>
      </c>
    </row>
    <row r="92" spans="1:9" ht="30.75" thickBot="1" x14ac:dyDescent="0.25">
      <c r="A92" s="149">
        <v>62</v>
      </c>
      <c r="B92" s="150" t="s">
        <v>25</v>
      </c>
      <c r="C92" s="150" t="s">
        <v>214</v>
      </c>
      <c r="D92" s="151" t="s">
        <v>215</v>
      </c>
      <c r="E92" s="152" t="s">
        <v>8</v>
      </c>
      <c r="F92" s="172">
        <f>'MEM. CÁLCULO'!D181</f>
        <v>77.87</v>
      </c>
      <c r="G92" s="153"/>
      <c r="H92" s="154">
        <f t="shared" si="35"/>
        <v>0</v>
      </c>
      <c r="I92" s="155">
        <f t="shared" si="36"/>
        <v>0</v>
      </c>
    </row>
    <row r="93" spans="1:9" ht="18.75" customHeight="1" thickBot="1" x14ac:dyDescent="0.25">
      <c r="A93" s="184" t="s">
        <v>239</v>
      </c>
      <c r="B93" s="185"/>
      <c r="C93" s="185"/>
      <c r="D93" s="185"/>
      <c r="E93" s="185"/>
      <c r="F93" s="186"/>
      <c r="G93" s="192" t="s">
        <v>82</v>
      </c>
      <c r="H93" s="193"/>
      <c r="I93" s="148">
        <f>SUM(I94:I94)</f>
        <v>0</v>
      </c>
    </row>
    <row r="94" spans="1:9" ht="30.75" thickBot="1" x14ac:dyDescent="0.25">
      <c r="A94" s="57">
        <v>63</v>
      </c>
      <c r="B94" s="54" t="s">
        <v>25</v>
      </c>
      <c r="C94" s="54" t="s">
        <v>244</v>
      </c>
      <c r="D94" s="13" t="s">
        <v>245</v>
      </c>
      <c r="E94" s="4" t="s">
        <v>8</v>
      </c>
      <c r="F94" s="173">
        <f>'MEM. CÁLCULO'!D184</f>
        <v>415.18999999999994</v>
      </c>
      <c r="G94" s="131"/>
      <c r="H94" s="132">
        <f t="shared" ref="H94" si="37">TRUNC((G94)+(G94*$I$7),2)</f>
        <v>0</v>
      </c>
      <c r="I94" s="133">
        <f t="shared" ref="I94" si="38">TRUNC(F94*H94,2)</f>
        <v>0</v>
      </c>
    </row>
    <row r="95" spans="1:9" ht="18.75" customHeight="1" thickBot="1" x14ac:dyDescent="0.25">
      <c r="A95" s="184" t="s">
        <v>189</v>
      </c>
      <c r="B95" s="185"/>
      <c r="C95" s="185"/>
      <c r="D95" s="185"/>
      <c r="E95" s="185"/>
      <c r="F95" s="186"/>
      <c r="G95" s="192" t="s">
        <v>82</v>
      </c>
      <c r="H95" s="193"/>
      <c r="I95" s="148">
        <f>SUM(I96:I101)</f>
        <v>0</v>
      </c>
    </row>
    <row r="96" spans="1:9" ht="30" customHeight="1" x14ac:dyDescent="0.2">
      <c r="A96" s="141">
        <v>64</v>
      </c>
      <c r="B96" s="142" t="s">
        <v>190</v>
      </c>
      <c r="C96" s="142" t="s">
        <v>191</v>
      </c>
      <c r="D96" s="143" t="s">
        <v>192</v>
      </c>
      <c r="E96" s="144" t="s">
        <v>129</v>
      </c>
      <c r="F96" s="171">
        <f>'MEM. CÁLCULO'!D193</f>
        <v>26</v>
      </c>
      <c r="G96" s="145"/>
      <c r="H96" s="146">
        <f t="shared" ref="H96:H100" si="39">TRUNC((G96)+(G96*$I$7),2)</f>
        <v>0</v>
      </c>
      <c r="I96" s="147">
        <f t="shared" ref="I96:I100" si="40">TRUNC(F96*H96,2)</f>
        <v>0</v>
      </c>
    </row>
    <row r="97" spans="1:9" ht="30" customHeight="1" x14ac:dyDescent="0.2">
      <c r="A97" s="57">
        <v>65</v>
      </c>
      <c r="B97" s="54" t="s">
        <v>25</v>
      </c>
      <c r="C97" s="54" t="s">
        <v>193</v>
      </c>
      <c r="D97" s="13" t="s">
        <v>194</v>
      </c>
      <c r="E97" s="4" t="s">
        <v>129</v>
      </c>
      <c r="F97" s="171">
        <f>'MEM. CÁLCULO'!D194</f>
        <v>7</v>
      </c>
      <c r="G97" s="131"/>
      <c r="H97" s="132">
        <f t="shared" si="39"/>
        <v>0</v>
      </c>
      <c r="I97" s="133">
        <f t="shared" si="40"/>
        <v>0</v>
      </c>
    </row>
    <row r="98" spans="1:9" ht="60" x14ac:dyDescent="0.2">
      <c r="A98" s="57">
        <v>66</v>
      </c>
      <c r="B98" s="54" t="s">
        <v>25</v>
      </c>
      <c r="C98" s="54" t="s">
        <v>246</v>
      </c>
      <c r="D98" s="13" t="s">
        <v>247</v>
      </c>
      <c r="E98" s="4" t="s">
        <v>129</v>
      </c>
      <c r="F98" s="171">
        <f>'MEM. CÁLCULO'!D195</f>
        <v>7</v>
      </c>
      <c r="G98" s="131"/>
      <c r="H98" s="132">
        <f t="shared" si="39"/>
        <v>0</v>
      </c>
      <c r="I98" s="133">
        <f t="shared" si="40"/>
        <v>0</v>
      </c>
    </row>
    <row r="99" spans="1:9" ht="105" x14ac:dyDescent="0.2">
      <c r="A99" s="57">
        <v>67</v>
      </c>
      <c r="B99" s="54" t="s">
        <v>225</v>
      </c>
      <c r="C99" s="54" t="s">
        <v>346</v>
      </c>
      <c r="D99" s="13" t="s">
        <v>403</v>
      </c>
      <c r="E99" s="4" t="s">
        <v>129</v>
      </c>
      <c r="F99" s="171">
        <f>'MEM. CÁLCULO'!D196</f>
        <v>2</v>
      </c>
      <c r="G99" s="131"/>
      <c r="H99" s="132">
        <f t="shared" ref="H99" si="41">TRUNC((G99)+(G99*$I$7),2)</f>
        <v>0</v>
      </c>
      <c r="I99" s="133">
        <f t="shared" ref="I99" si="42">TRUNC(F99*H99,2)</f>
        <v>0</v>
      </c>
    </row>
    <row r="100" spans="1:9" ht="45" x14ac:dyDescent="0.2">
      <c r="A100" s="57">
        <v>68</v>
      </c>
      <c r="B100" s="54" t="s">
        <v>25</v>
      </c>
      <c r="C100" s="54" t="s">
        <v>342</v>
      </c>
      <c r="D100" s="13" t="s">
        <v>343</v>
      </c>
      <c r="E100" s="4" t="s">
        <v>9</v>
      </c>
      <c r="F100" s="173">
        <f>'MEM. CÁLCULO'!D197</f>
        <v>13.42</v>
      </c>
      <c r="G100" s="131"/>
      <c r="H100" s="132">
        <f t="shared" si="39"/>
        <v>0</v>
      </c>
      <c r="I100" s="133">
        <f t="shared" si="40"/>
        <v>0</v>
      </c>
    </row>
    <row r="101" spans="1:9" ht="60.75" thickBot="1" x14ac:dyDescent="0.25">
      <c r="A101" s="57">
        <v>69</v>
      </c>
      <c r="B101" s="54" t="s">
        <v>225</v>
      </c>
      <c r="C101" s="54" t="s">
        <v>347</v>
      </c>
      <c r="D101" s="13" t="s">
        <v>412</v>
      </c>
      <c r="E101" s="4" t="s">
        <v>129</v>
      </c>
      <c r="F101" s="173">
        <f>'MEM. CÁLCULO'!D199</f>
        <v>7</v>
      </c>
      <c r="G101" s="131"/>
      <c r="H101" s="132">
        <f t="shared" ref="H101" si="43">TRUNC((G101)+(G101*$I$7),2)</f>
        <v>0</v>
      </c>
      <c r="I101" s="133">
        <f t="shared" ref="I101" si="44">TRUNC(F101*H101,2)</f>
        <v>0</v>
      </c>
    </row>
    <row r="102" spans="1:9" ht="18.75" customHeight="1" thickBot="1" x14ac:dyDescent="0.25">
      <c r="A102" s="184" t="s">
        <v>195</v>
      </c>
      <c r="B102" s="185"/>
      <c r="C102" s="185"/>
      <c r="D102" s="185"/>
      <c r="E102" s="185"/>
      <c r="F102" s="186"/>
      <c r="G102" s="192" t="s">
        <v>82</v>
      </c>
      <c r="H102" s="193"/>
      <c r="I102" s="148">
        <f>SUM(I103:I104)</f>
        <v>0</v>
      </c>
    </row>
    <row r="103" spans="1:9" ht="30" customHeight="1" x14ac:dyDescent="0.2">
      <c r="A103" s="141">
        <v>70</v>
      </c>
      <c r="B103" s="142" t="s">
        <v>25</v>
      </c>
      <c r="C103" s="142" t="s">
        <v>196</v>
      </c>
      <c r="D103" s="143" t="s">
        <v>197</v>
      </c>
      <c r="E103" s="144" t="s">
        <v>129</v>
      </c>
      <c r="F103" s="171">
        <f>'MEM. CÁLCULO'!D201</f>
        <v>1</v>
      </c>
      <c r="G103" s="145"/>
      <c r="H103" s="146">
        <f t="shared" ref="H103:H104" si="45">TRUNC((G103)+(G103*$I$7),2)</f>
        <v>0</v>
      </c>
      <c r="I103" s="147">
        <f t="shared" ref="I103:I104" si="46">TRUNC(F103*H103,2)</f>
        <v>0</v>
      </c>
    </row>
    <row r="104" spans="1:9" ht="15.75" thickBot="1" x14ac:dyDescent="0.25">
      <c r="A104" s="57">
        <v>71</v>
      </c>
      <c r="B104" s="54" t="s">
        <v>25</v>
      </c>
      <c r="C104" s="54" t="s">
        <v>198</v>
      </c>
      <c r="D104" s="13" t="s">
        <v>199</v>
      </c>
      <c r="E104" s="4" t="s">
        <v>8</v>
      </c>
      <c r="F104" s="171">
        <f>'MEM. CÁLCULO'!D202</f>
        <v>439.40000000000003</v>
      </c>
      <c r="G104" s="131"/>
      <c r="H104" s="132">
        <f t="shared" si="45"/>
        <v>0</v>
      </c>
      <c r="I104" s="133">
        <f t="shared" si="46"/>
        <v>0</v>
      </c>
    </row>
    <row r="105" spans="1:9" ht="16.5" thickBot="1" x14ac:dyDescent="0.25">
      <c r="A105" s="187"/>
      <c r="B105" s="179"/>
      <c r="C105" s="188"/>
      <c r="D105" s="189" t="s">
        <v>18</v>
      </c>
      <c r="E105" s="188"/>
      <c r="F105" s="190"/>
      <c r="G105" s="231">
        <f>SUM(I11+I56)</f>
        <v>0</v>
      </c>
      <c r="H105" s="232"/>
      <c r="I105" s="233"/>
    </row>
    <row r="106" spans="1:9" ht="57" customHeight="1" x14ac:dyDescent="0.2">
      <c r="A106" s="228"/>
      <c r="B106" s="229"/>
      <c r="C106" s="229"/>
      <c r="D106" s="229"/>
      <c r="E106" s="229"/>
      <c r="F106" s="229"/>
      <c r="G106" s="229"/>
      <c r="H106" s="229"/>
      <c r="I106" s="230"/>
    </row>
    <row r="107" spans="1:9" ht="15.75" customHeight="1" x14ac:dyDescent="0.2">
      <c r="A107" s="8"/>
      <c r="D107" s="170"/>
      <c r="E107" s="234"/>
      <c r="F107" s="234"/>
      <c r="G107" s="234"/>
      <c r="H107" s="14"/>
      <c r="I107" s="15"/>
    </row>
    <row r="108" spans="1:9" ht="24" customHeight="1" thickBot="1" x14ac:dyDescent="0.25">
      <c r="A108" s="156"/>
      <c r="B108" s="157"/>
      <c r="C108" s="157"/>
      <c r="D108" s="174"/>
      <c r="E108" s="235"/>
      <c r="F108" s="235"/>
      <c r="G108" s="235"/>
      <c r="H108" s="175"/>
      <c r="I108" s="176"/>
    </row>
  </sheetData>
  <mergeCells count="41">
    <mergeCell ref="E107:G107"/>
    <mergeCell ref="E108:G108"/>
    <mergeCell ref="G58:H58"/>
    <mergeCell ref="G61:H61"/>
    <mergeCell ref="G70:H70"/>
    <mergeCell ref="G73:H73"/>
    <mergeCell ref="G95:H95"/>
    <mergeCell ref="G102:H102"/>
    <mergeCell ref="A106:I106"/>
    <mergeCell ref="G47:H47"/>
    <mergeCell ref="G37:H37"/>
    <mergeCell ref="G52:H52"/>
    <mergeCell ref="G25:H25"/>
    <mergeCell ref="G56:H56"/>
    <mergeCell ref="A57:I57"/>
    <mergeCell ref="A55:I55"/>
    <mergeCell ref="G105:I105"/>
    <mergeCell ref="A1:I1"/>
    <mergeCell ref="G13:H13"/>
    <mergeCell ref="F3:G3"/>
    <mergeCell ref="H3:I3"/>
    <mergeCell ref="A6:E6"/>
    <mergeCell ref="A7:E7"/>
    <mergeCell ref="A8:I8"/>
    <mergeCell ref="A4:E4"/>
    <mergeCell ref="F4:G4"/>
    <mergeCell ref="H4:I4"/>
    <mergeCell ref="A5:E5"/>
    <mergeCell ref="F5:I5"/>
    <mergeCell ref="A10:I10"/>
    <mergeCell ref="A2:I2"/>
    <mergeCell ref="A3:E3"/>
    <mergeCell ref="G80:H80"/>
    <mergeCell ref="G85:H85"/>
    <mergeCell ref="G93:H93"/>
    <mergeCell ref="G11:H11"/>
    <mergeCell ref="A12:I12"/>
    <mergeCell ref="G43:H43"/>
    <mergeCell ref="G16:H16"/>
    <mergeCell ref="G32:H32"/>
    <mergeCell ref="G22:H22"/>
  </mergeCells>
  <phoneticPr fontId="3" type="noConversion"/>
  <printOptions horizontalCentered="1"/>
  <pageMargins left="0.23622047244094491" right="0.23622047244094491" top="0.74803149606299213" bottom="0.39370078740157483" header="0" footer="0"/>
  <pageSetup paperSize="9" scale="69" fitToHeight="0"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S202"/>
  <sheetViews>
    <sheetView view="pageBreakPreview" zoomScaleNormal="100" zoomScaleSheetLayoutView="100" workbookViewId="0">
      <selection sqref="A1:R1"/>
    </sheetView>
  </sheetViews>
  <sheetFormatPr defaultColWidth="8.85546875" defaultRowHeight="12.75" x14ac:dyDescent="0.2"/>
  <cols>
    <col min="1" max="1" width="8.85546875" style="95"/>
    <col min="2" max="2" width="55.42578125" style="91" customWidth="1"/>
    <col min="3" max="3" width="8.28515625" style="95" bestFit="1" customWidth="1"/>
    <col min="4" max="11" width="12.85546875" style="95" customWidth="1"/>
    <col min="12" max="12" width="11.5703125" style="95" bestFit="1" customWidth="1"/>
    <col min="13" max="17" width="12.85546875" style="95" customWidth="1"/>
    <col min="18" max="18" width="20.85546875" style="97" customWidth="1"/>
    <col min="19" max="16384" width="8.85546875" style="95"/>
  </cols>
  <sheetData>
    <row r="1" spans="1:19" ht="58.9" customHeight="1" x14ac:dyDescent="0.2">
      <c r="A1" s="251" t="s">
        <v>83</v>
      </c>
      <c r="B1" s="252"/>
      <c r="C1" s="252"/>
      <c r="D1" s="252"/>
      <c r="E1" s="252"/>
      <c r="F1" s="252"/>
      <c r="G1" s="252"/>
      <c r="H1" s="252"/>
      <c r="I1" s="252"/>
      <c r="J1" s="252"/>
      <c r="K1" s="252"/>
      <c r="L1" s="252"/>
      <c r="M1" s="252"/>
      <c r="N1" s="252"/>
      <c r="O1" s="252"/>
      <c r="P1" s="252"/>
      <c r="Q1" s="252"/>
      <c r="R1" s="253"/>
      <c r="S1" s="94"/>
    </row>
    <row r="2" spans="1:19" s="96" customFormat="1" ht="46.15" customHeight="1" x14ac:dyDescent="0.2">
      <c r="A2" s="100" t="s">
        <v>0</v>
      </c>
      <c r="B2" s="98" t="s">
        <v>1</v>
      </c>
      <c r="C2" s="98" t="s">
        <v>84</v>
      </c>
      <c r="D2" s="98" t="s">
        <v>85</v>
      </c>
      <c r="E2" s="98" t="s">
        <v>102</v>
      </c>
      <c r="F2" s="98" t="s">
        <v>101</v>
      </c>
      <c r="G2" s="98" t="s">
        <v>209</v>
      </c>
      <c r="H2" s="98" t="s">
        <v>202</v>
      </c>
      <c r="I2" s="98" t="s">
        <v>86</v>
      </c>
      <c r="J2" s="98" t="s">
        <v>87</v>
      </c>
      <c r="K2" s="98" t="s">
        <v>88</v>
      </c>
      <c r="L2" s="98" t="s">
        <v>89</v>
      </c>
      <c r="M2" s="98" t="s">
        <v>93</v>
      </c>
      <c r="N2" s="98" t="s">
        <v>210</v>
      </c>
      <c r="O2" s="98" t="s">
        <v>90</v>
      </c>
      <c r="P2" s="98" t="s">
        <v>200</v>
      </c>
      <c r="Q2" s="98" t="s">
        <v>91</v>
      </c>
      <c r="R2" s="101" t="s">
        <v>92</v>
      </c>
    </row>
    <row r="3" spans="1:19" s="168" customFormat="1" ht="21" customHeight="1" x14ac:dyDescent="0.2">
      <c r="A3" s="254" t="str">
        <f>'PLANILHA ORÇAMENTÁRIA'!A11</f>
        <v>ITEM A - PRAÇA 21 DE ABRIL</v>
      </c>
      <c r="B3" s="255"/>
      <c r="C3" s="255"/>
      <c r="D3" s="255"/>
      <c r="E3" s="255"/>
      <c r="F3" s="255"/>
      <c r="G3" s="255"/>
      <c r="H3" s="255"/>
      <c r="I3" s="255"/>
      <c r="J3" s="255"/>
      <c r="K3" s="255"/>
      <c r="L3" s="255"/>
      <c r="M3" s="255"/>
      <c r="N3" s="255"/>
      <c r="O3" s="255"/>
      <c r="P3" s="255"/>
      <c r="Q3" s="255"/>
      <c r="R3" s="256"/>
      <c r="S3" s="167"/>
    </row>
    <row r="4" spans="1:19" ht="14.45" customHeight="1" x14ac:dyDescent="0.2">
      <c r="A4" s="245" t="str">
        <f>'PLANILHA ORÇAMENTÁRIA'!A13</f>
        <v>SERVIÇOS PRELIMINARES</v>
      </c>
      <c r="B4" s="246"/>
      <c r="C4" s="246"/>
      <c r="D4" s="246"/>
      <c r="E4" s="246"/>
      <c r="F4" s="246"/>
      <c r="G4" s="246"/>
      <c r="H4" s="246"/>
      <c r="I4" s="246"/>
      <c r="J4" s="246"/>
      <c r="K4" s="246"/>
      <c r="L4" s="246"/>
      <c r="M4" s="246"/>
      <c r="N4" s="246"/>
      <c r="O4" s="246"/>
      <c r="P4" s="246"/>
      <c r="Q4" s="246"/>
      <c r="R4" s="247"/>
      <c r="S4" s="94"/>
    </row>
    <row r="5" spans="1:19" ht="76.5" x14ac:dyDescent="0.2">
      <c r="A5" s="107">
        <f>'PLANILHA ORÇAMENTÁRIA'!A14</f>
        <v>1</v>
      </c>
      <c r="B5" s="92" t="str">
        <f>'PLANILHA ORÇAMENTÁRIA'!D14</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5" s="92" t="str">
        <f>'PLANILHA ORÇAMENTÁRIA'!E14</f>
        <v>m²</v>
      </c>
      <c r="D5" s="134">
        <f>O5</f>
        <v>2.88</v>
      </c>
      <c r="E5" s="105"/>
      <c r="F5" s="105"/>
      <c r="G5" s="105"/>
      <c r="H5" s="105"/>
      <c r="I5" s="105"/>
      <c r="J5" s="105">
        <v>2.4</v>
      </c>
      <c r="K5" s="105">
        <v>1.2</v>
      </c>
      <c r="L5" s="105"/>
      <c r="M5" s="105"/>
      <c r="N5" s="105"/>
      <c r="O5" s="105">
        <f>ROUND(J5*K5,2)</f>
        <v>2.88</v>
      </c>
      <c r="P5" s="105"/>
      <c r="Q5" s="105"/>
      <c r="R5" s="104" t="s">
        <v>201</v>
      </c>
    </row>
    <row r="6" spans="1:19" ht="22.5" x14ac:dyDescent="0.2">
      <c r="A6" s="236">
        <f>'PLANILHA ORÇAMENTÁRIA'!A15</f>
        <v>2</v>
      </c>
      <c r="B6" s="239" t="str">
        <f>'PLANILHA ORÇAMENTÁRIA'!D15</f>
        <v>LOCAÇÃO DE OBRA COM GABARITO DE TÁBUAS CORRIDAS PONTALETADAS A CADA 2,00M, REAPROVEITAMENTO (2X), INCLUSIVE ACOMPANHAMENTO DE EQUIPE TOPOGRÁFICA PARA MARCAÇÃO DE PONTO TOPOGRÁFICO</v>
      </c>
      <c r="C6" s="239" t="str">
        <f>'PLANILHA ORÇAMENTÁRIA'!E15</f>
        <v>m</v>
      </c>
      <c r="D6" s="242">
        <f>SUM(H6:H9)</f>
        <v>62.960000000000008</v>
      </c>
      <c r="E6" s="99"/>
      <c r="F6" s="99"/>
      <c r="G6" s="105"/>
      <c r="H6" s="105">
        <v>19.690000000000001</v>
      </c>
      <c r="I6" s="105"/>
      <c r="J6" s="105"/>
      <c r="K6" s="105"/>
      <c r="L6" s="105"/>
      <c r="M6" s="105"/>
      <c r="N6" s="105"/>
      <c r="O6" s="105"/>
      <c r="P6" s="105"/>
      <c r="Q6" s="105"/>
      <c r="R6" s="104" t="s">
        <v>248</v>
      </c>
    </row>
    <row r="7" spans="1:19" ht="22.5" x14ac:dyDescent="0.2">
      <c r="A7" s="237"/>
      <c r="B7" s="240"/>
      <c r="C7" s="240"/>
      <c r="D7" s="243"/>
      <c r="E7" s="99"/>
      <c r="F7" s="99"/>
      <c r="G7" s="105"/>
      <c r="H7" s="105">
        <v>16.149999999999999</v>
      </c>
      <c r="I7" s="105"/>
      <c r="J7" s="105"/>
      <c r="K7" s="105"/>
      <c r="L7" s="105"/>
      <c r="M7" s="105"/>
      <c r="N7" s="105"/>
      <c r="O7" s="92"/>
      <c r="P7" s="92"/>
      <c r="Q7" s="105"/>
      <c r="R7" s="104" t="s">
        <v>249</v>
      </c>
    </row>
    <row r="8" spans="1:19" ht="45" x14ac:dyDescent="0.2">
      <c r="A8" s="237"/>
      <c r="B8" s="240"/>
      <c r="C8" s="240"/>
      <c r="D8" s="243"/>
      <c r="E8" s="99"/>
      <c r="F8" s="99"/>
      <c r="G8" s="105"/>
      <c r="H8" s="105">
        <f>1.2+3.04</f>
        <v>4.24</v>
      </c>
      <c r="I8" s="105"/>
      <c r="J8" s="105"/>
      <c r="K8" s="105"/>
      <c r="L8" s="105"/>
      <c r="M8" s="105"/>
      <c r="N8" s="105"/>
      <c r="O8" s="92"/>
      <c r="P8" s="92"/>
      <c r="Q8" s="105"/>
      <c r="R8" s="104" t="s">
        <v>336</v>
      </c>
    </row>
    <row r="9" spans="1:19" ht="33.75" x14ac:dyDescent="0.2">
      <c r="A9" s="237"/>
      <c r="B9" s="240"/>
      <c r="C9" s="240"/>
      <c r="D9" s="243"/>
      <c r="E9" s="99"/>
      <c r="F9" s="99"/>
      <c r="G9" s="105"/>
      <c r="H9" s="105">
        <f>3.04+17.07+2.77</f>
        <v>22.88</v>
      </c>
      <c r="I9" s="105"/>
      <c r="J9" s="105"/>
      <c r="K9" s="105"/>
      <c r="L9" s="105"/>
      <c r="M9" s="105"/>
      <c r="N9" s="105"/>
      <c r="O9" s="92"/>
      <c r="P9" s="92"/>
      <c r="Q9" s="105"/>
      <c r="R9" s="104" t="s">
        <v>250</v>
      </c>
    </row>
    <row r="10" spans="1:19" ht="14.45" customHeight="1" x14ac:dyDescent="0.2">
      <c r="A10" s="245" t="str">
        <f>'PLANILHA ORÇAMENTÁRIA'!A16</f>
        <v>DEMOLIÇÃO / REMOÇÃO</v>
      </c>
      <c r="B10" s="246"/>
      <c r="C10" s="246"/>
      <c r="D10" s="246"/>
      <c r="E10" s="246"/>
      <c r="F10" s="246"/>
      <c r="G10" s="246"/>
      <c r="H10" s="246"/>
      <c r="I10" s="246"/>
      <c r="J10" s="246"/>
      <c r="K10" s="246"/>
      <c r="L10" s="246"/>
      <c r="M10" s="246"/>
      <c r="N10" s="246"/>
      <c r="O10" s="246"/>
      <c r="P10" s="246"/>
      <c r="Q10" s="246"/>
      <c r="R10" s="247"/>
      <c r="S10" s="94"/>
    </row>
    <row r="11" spans="1:19" x14ac:dyDescent="0.2">
      <c r="A11" s="236">
        <f>'PLANILHA ORÇAMENTÁRIA'!A17</f>
        <v>3</v>
      </c>
      <c r="B11" s="239" t="str">
        <f>'PLANILHA ORÇAMENTÁRIA'!D17</f>
        <v>DEMOLIÇÃO MANUAL DE PISO CIMENTADO OU CONTRAPISO DE ARGAMASSA, COM ESPESSURA MÁXIMA DE 10CM, INCLUSIVE AFASTAMENTO E EMPILHAMENTO, EXCLUSIVE TRANSPORTE E RETIRADA DO MATERIAL DEMOLIDO</v>
      </c>
      <c r="C11" s="239" t="str">
        <f>'PLANILHA ORÇAMENTÁRIA'!E17</f>
        <v>m²</v>
      </c>
      <c r="D11" s="242">
        <f>SUM(P11:P16)</f>
        <v>405.59000000000003</v>
      </c>
      <c r="E11" s="99"/>
      <c r="F11" s="99"/>
      <c r="G11" s="105"/>
      <c r="H11" s="105"/>
      <c r="I11" s="105"/>
      <c r="J11" s="105"/>
      <c r="K11" s="105"/>
      <c r="L11" s="105"/>
      <c r="M11" s="105"/>
      <c r="N11" s="105"/>
      <c r="O11" s="105"/>
      <c r="P11" s="105">
        <v>220.19</v>
      </c>
      <c r="Q11" s="105"/>
      <c r="R11" s="104" t="s">
        <v>251</v>
      </c>
    </row>
    <row r="12" spans="1:19" ht="33.75" x14ac:dyDescent="0.2">
      <c r="A12" s="237"/>
      <c r="B12" s="240"/>
      <c r="C12" s="240"/>
      <c r="D12" s="243"/>
      <c r="E12" s="99"/>
      <c r="F12" s="99"/>
      <c r="G12" s="105"/>
      <c r="H12" s="105"/>
      <c r="I12" s="105"/>
      <c r="J12" s="105"/>
      <c r="K12" s="105"/>
      <c r="L12" s="105"/>
      <c r="M12" s="105"/>
      <c r="N12" s="105"/>
      <c r="O12" s="105"/>
      <c r="P12" s="105">
        <f>ROUND(1.95*1.96,2)</f>
        <v>3.82</v>
      </c>
      <c r="Q12" s="105"/>
      <c r="R12" s="104" t="s">
        <v>252</v>
      </c>
    </row>
    <row r="13" spans="1:19" ht="33.75" x14ac:dyDescent="0.2">
      <c r="A13" s="237"/>
      <c r="B13" s="240"/>
      <c r="C13" s="240"/>
      <c r="D13" s="243"/>
      <c r="E13" s="99"/>
      <c r="F13" s="99"/>
      <c r="G13" s="105"/>
      <c r="H13" s="105"/>
      <c r="I13" s="105"/>
      <c r="J13" s="105"/>
      <c r="K13" s="105"/>
      <c r="L13" s="105"/>
      <c r="M13" s="105"/>
      <c r="N13" s="105"/>
      <c r="O13" s="105"/>
      <c r="P13" s="105">
        <f>ROUND(1.97*2.58,2)</f>
        <v>5.08</v>
      </c>
      <c r="Q13" s="105"/>
      <c r="R13" s="104" t="s">
        <v>253</v>
      </c>
    </row>
    <row r="14" spans="1:19" ht="33.75" x14ac:dyDescent="0.2">
      <c r="A14" s="237"/>
      <c r="B14" s="240"/>
      <c r="C14" s="240"/>
      <c r="D14" s="243"/>
      <c r="E14" s="99"/>
      <c r="F14" s="99"/>
      <c r="G14" s="105"/>
      <c r="H14" s="105"/>
      <c r="I14" s="105"/>
      <c r="J14" s="105"/>
      <c r="K14" s="105"/>
      <c r="L14" s="105"/>
      <c r="M14" s="105"/>
      <c r="N14" s="105"/>
      <c r="O14" s="105"/>
      <c r="P14" s="105">
        <f>ROUND(1.98*1.97,2)</f>
        <v>3.9</v>
      </c>
      <c r="Q14" s="105"/>
      <c r="R14" s="104" t="s">
        <v>254</v>
      </c>
    </row>
    <row r="15" spans="1:19" ht="33.75" x14ac:dyDescent="0.2">
      <c r="A15" s="237"/>
      <c r="B15" s="240"/>
      <c r="C15" s="240"/>
      <c r="D15" s="243"/>
      <c r="E15" s="99"/>
      <c r="F15" s="99"/>
      <c r="G15" s="105"/>
      <c r="H15" s="105"/>
      <c r="I15" s="105"/>
      <c r="J15" s="105"/>
      <c r="K15" s="105"/>
      <c r="L15" s="105"/>
      <c r="M15" s="105"/>
      <c r="N15" s="105"/>
      <c r="O15" s="105"/>
      <c r="P15" s="105">
        <f>ROUND(1.91*2.06,2)</f>
        <v>3.93</v>
      </c>
      <c r="Q15" s="105"/>
      <c r="R15" s="104" t="s">
        <v>255</v>
      </c>
    </row>
    <row r="16" spans="1:19" ht="22.5" x14ac:dyDescent="0.2">
      <c r="A16" s="238"/>
      <c r="B16" s="241"/>
      <c r="C16" s="241"/>
      <c r="D16" s="244"/>
      <c r="E16" s="99"/>
      <c r="F16" s="99"/>
      <c r="G16" s="105"/>
      <c r="H16" s="105"/>
      <c r="I16" s="105"/>
      <c r="J16" s="105"/>
      <c r="K16" s="105"/>
      <c r="L16" s="105"/>
      <c r="M16" s="105"/>
      <c r="N16" s="105"/>
      <c r="O16" s="92"/>
      <c r="P16" s="105">
        <v>168.67</v>
      </c>
      <c r="Q16" s="105"/>
      <c r="R16" s="104" t="s">
        <v>424</v>
      </c>
    </row>
    <row r="17" spans="1:19" ht="51" x14ac:dyDescent="0.2">
      <c r="A17" s="159">
        <f>'PLANILHA ORÇAMENTÁRIA'!A18</f>
        <v>4</v>
      </c>
      <c r="B17" s="158" t="str">
        <f>'PLANILHA ORÇAMENTÁRIA'!D18</f>
        <v>DEMOLIÇÃO MANUAL DE ALVENARIA DE TIJOLO CERÂMICO OU BLOCO DE CONCRETO, INCLUSIVE AFASTAMENTO E EMPILHAMENTO, EXCLUSIVE TRANSPORTE E RETIRADA DO MATERIAL DEMOLIDO</v>
      </c>
      <c r="C17" s="158" t="str">
        <f>'PLANILHA ORÇAMENTÁRIA'!E18</f>
        <v>m³</v>
      </c>
      <c r="D17" s="135">
        <f>SUM(Q17:Q17)</f>
        <v>1.94</v>
      </c>
      <c r="E17" s="99"/>
      <c r="F17" s="99"/>
      <c r="G17" s="105"/>
      <c r="H17" s="105">
        <v>15.55</v>
      </c>
      <c r="I17" s="105"/>
      <c r="J17" s="105">
        <v>0.25</v>
      </c>
      <c r="K17" s="105">
        <v>0.5</v>
      </c>
      <c r="L17" s="105"/>
      <c r="M17" s="105"/>
      <c r="N17" s="105"/>
      <c r="O17" s="92"/>
      <c r="P17" s="92"/>
      <c r="Q17" s="105">
        <f>ROUND(H17*J17*K17,2)</f>
        <v>1.94</v>
      </c>
      <c r="R17" s="104" t="s">
        <v>256</v>
      </c>
    </row>
    <row r="18" spans="1:19" ht="22.5" x14ac:dyDescent="0.2">
      <c r="A18" s="236">
        <f>'PLANILHA ORÇAMENTÁRIA'!A19</f>
        <v>5</v>
      </c>
      <c r="B18" s="239" t="str">
        <f>'PLANILHA ORÇAMENTÁRIA'!D19</f>
        <v>REMOÇÃO MANUAL DE GUIA DE MEIO-FIO PRÉ-MOLDADA EM CONCRETO, COM REAPROVEITAMENTO, INCLUSIVE AFASTAMENTO E EMPILHAMENTO, EXCLUSIVE TRANSPORTE E RETIRADA DO MATERIAL REMOVIDO NÃO REAPROVEITÁVEL</v>
      </c>
      <c r="C18" s="239" t="str">
        <f>'PLANILHA ORÇAMENTÁRIA'!E19</f>
        <v>m</v>
      </c>
      <c r="D18" s="242">
        <f>SUM(I18:I22)</f>
        <v>98.009999999999991</v>
      </c>
      <c r="E18" s="99"/>
      <c r="F18" s="99"/>
      <c r="G18" s="105"/>
      <c r="H18" s="105"/>
      <c r="I18" s="105">
        <v>18.829999999999998</v>
      </c>
      <c r="J18" s="105"/>
      <c r="K18" s="105"/>
      <c r="L18" s="105"/>
      <c r="M18" s="105"/>
      <c r="N18" s="105"/>
      <c r="O18" s="92"/>
      <c r="P18" s="92"/>
      <c r="Q18" s="105"/>
      <c r="R18" s="104" t="s">
        <v>257</v>
      </c>
    </row>
    <row r="19" spans="1:19" ht="22.5" x14ac:dyDescent="0.2">
      <c r="A19" s="237"/>
      <c r="B19" s="240"/>
      <c r="C19" s="240"/>
      <c r="D19" s="243"/>
      <c r="E19" s="99"/>
      <c r="F19" s="99"/>
      <c r="G19" s="105"/>
      <c r="H19" s="105"/>
      <c r="I19" s="105">
        <v>21.28</v>
      </c>
      <c r="J19" s="105"/>
      <c r="K19" s="105"/>
      <c r="L19" s="105"/>
      <c r="M19" s="105"/>
      <c r="N19" s="105"/>
      <c r="O19" s="92"/>
      <c r="P19" s="92"/>
      <c r="Q19" s="105"/>
      <c r="R19" s="104" t="s">
        <v>258</v>
      </c>
    </row>
    <row r="20" spans="1:19" ht="22.5" x14ac:dyDescent="0.2">
      <c r="A20" s="237"/>
      <c r="B20" s="240"/>
      <c r="C20" s="240"/>
      <c r="D20" s="243"/>
      <c r="E20" s="99"/>
      <c r="F20" s="99"/>
      <c r="G20" s="105"/>
      <c r="H20" s="105"/>
      <c r="I20" s="105">
        <v>17.3</v>
      </c>
      <c r="J20" s="105"/>
      <c r="K20" s="105"/>
      <c r="L20" s="105"/>
      <c r="M20" s="105"/>
      <c r="N20" s="105"/>
      <c r="O20" s="92"/>
      <c r="P20" s="92"/>
      <c r="Q20" s="105"/>
      <c r="R20" s="104" t="s">
        <v>259</v>
      </c>
    </row>
    <row r="21" spans="1:19" ht="22.5" x14ac:dyDescent="0.2">
      <c r="A21" s="237"/>
      <c r="B21" s="240"/>
      <c r="C21" s="240"/>
      <c r="D21" s="243"/>
      <c r="E21" s="99"/>
      <c r="F21" s="99"/>
      <c r="G21" s="105"/>
      <c r="H21" s="105"/>
      <c r="I21" s="105">
        <v>15.78</v>
      </c>
      <c r="J21" s="105"/>
      <c r="K21" s="105"/>
      <c r="L21" s="105"/>
      <c r="M21" s="105"/>
      <c r="N21" s="105"/>
      <c r="O21" s="92"/>
      <c r="P21" s="92"/>
      <c r="Q21" s="105"/>
      <c r="R21" s="104" t="s">
        <v>260</v>
      </c>
    </row>
    <row r="22" spans="1:19" ht="22.5" x14ac:dyDescent="0.2">
      <c r="A22" s="238"/>
      <c r="B22" s="241"/>
      <c r="C22" s="241"/>
      <c r="D22" s="244"/>
      <c r="E22" s="99"/>
      <c r="F22" s="99"/>
      <c r="G22" s="105"/>
      <c r="H22" s="105"/>
      <c r="I22" s="105">
        <v>24.82</v>
      </c>
      <c r="J22" s="105"/>
      <c r="K22" s="105"/>
      <c r="L22" s="105"/>
      <c r="M22" s="105"/>
      <c r="N22" s="105"/>
      <c r="O22" s="92"/>
      <c r="P22" s="92"/>
      <c r="Q22" s="105"/>
      <c r="R22" s="104" t="s">
        <v>261</v>
      </c>
    </row>
    <row r="23" spans="1:19" ht="51" x14ac:dyDescent="0.2">
      <c r="A23" s="107">
        <f>'PLANILHA ORÇAMENTÁRIA'!A20</f>
        <v>6</v>
      </c>
      <c r="B23" s="92" t="str">
        <f>'PLANILHA ORÇAMENTÁRIA'!D20</f>
        <v>CORTE DE ÁRVORE COM MOTOSSERRA, DIÂMETRO DO TRONCO ACIMA DE TRINTA (30) CENTÍMETROS ATÉ CINQUENTA (50) CENTÍMETROS, EXCLUSIVE DESTOCAMENTO E AFASTAMENTO</v>
      </c>
      <c r="C23" s="92" t="str">
        <f>'PLANILHA ORÇAMENTÁRIA'!E20</f>
        <v>Unid.</v>
      </c>
      <c r="D23" s="134">
        <f>E23</f>
        <v>1</v>
      </c>
      <c r="E23" s="99">
        <v>1</v>
      </c>
      <c r="F23" s="99"/>
      <c r="G23" s="105"/>
      <c r="H23" s="105"/>
      <c r="I23" s="105"/>
      <c r="J23" s="105"/>
      <c r="K23" s="105"/>
      <c r="L23" s="105"/>
      <c r="M23" s="105"/>
      <c r="N23" s="105"/>
      <c r="O23" s="92"/>
      <c r="P23" s="92"/>
      <c r="Q23" s="105"/>
      <c r="R23" s="104" t="s">
        <v>262</v>
      </c>
    </row>
    <row r="24" spans="1:19" x14ac:dyDescent="0.2">
      <c r="A24" s="236">
        <f>'PLANILHA ORÇAMENTÁRIA'!A21</f>
        <v>7</v>
      </c>
      <c r="B24" s="239" t="str">
        <f>'PLANILHA ORÇAMENTÁRIA'!D21</f>
        <v>DESMATAMENTO, DESTOCAMENTO E LIMPEZA, INCLUSIVE TRANSPORTE ATÉ CINQUENTA (50) METROS</v>
      </c>
      <c r="C24" s="239" t="str">
        <f>'PLANILHA ORÇAMENTÁRIA'!E21</f>
        <v>m²</v>
      </c>
      <c r="D24" s="242">
        <f>SUM(P24:P31)</f>
        <v>189.07</v>
      </c>
      <c r="E24" s="99"/>
      <c r="F24" s="99"/>
      <c r="G24" s="105"/>
      <c r="H24" s="105"/>
      <c r="I24" s="105"/>
      <c r="J24" s="105"/>
      <c r="K24" s="105"/>
      <c r="L24" s="105"/>
      <c r="M24" s="105"/>
      <c r="N24" s="105"/>
      <c r="O24" s="92"/>
      <c r="P24" s="105">
        <v>24.51</v>
      </c>
      <c r="Q24" s="105"/>
      <c r="R24" s="104" t="s">
        <v>263</v>
      </c>
    </row>
    <row r="25" spans="1:19" x14ac:dyDescent="0.2">
      <c r="A25" s="237"/>
      <c r="B25" s="240"/>
      <c r="C25" s="240"/>
      <c r="D25" s="243"/>
      <c r="E25" s="99"/>
      <c r="F25" s="99"/>
      <c r="G25" s="105"/>
      <c r="H25" s="105"/>
      <c r="I25" s="105"/>
      <c r="J25" s="105"/>
      <c r="K25" s="105"/>
      <c r="L25" s="105"/>
      <c r="M25" s="105"/>
      <c r="N25" s="105"/>
      <c r="O25" s="92"/>
      <c r="P25" s="105">
        <v>7.35</v>
      </c>
      <c r="Q25" s="105"/>
      <c r="R25" s="104" t="s">
        <v>264</v>
      </c>
    </row>
    <row r="26" spans="1:19" x14ac:dyDescent="0.2">
      <c r="A26" s="237"/>
      <c r="B26" s="240"/>
      <c r="C26" s="240"/>
      <c r="D26" s="243"/>
      <c r="E26" s="99"/>
      <c r="F26" s="99"/>
      <c r="G26" s="105"/>
      <c r="H26" s="105"/>
      <c r="I26" s="105"/>
      <c r="J26" s="105"/>
      <c r="K26" s="105"/>
      <c r="L26" s="105"/>
      <c r="M26" s="105"/>
      <c r="N26" s="105"/>
      <c r="O26" s="92"/>
      <c r="P26" s="105">
        <v>7.47</v>
      </c>
      <c r="Q26" s="105"/>
      <c r="R26" s="104" t="s">
        <v>265</v>
      </c>
    </row>
    <row r="27" spans="1:19" x14ac:dyDescent="0.2">
      <c r="A27" s="237"/>
      <c r="B27" s="240"/>
      <c r="C27" s="240"/>
      <c r="D27" s="243"/>
      <c r="E27" s="99"/>
      <c r="F27" s="99"/>
      <c r="G27" s="105"/>
      <c r="H27" s="105"/>
      <c r="I27" s="105"/>
      <c r="J27" s="105"/>
      <c r="K27" s="105"/>
      <c r="L27" s="105"/>
      <c r="M27" s="105"/>
      <c r="N27" s="105"/>
      <c r="O27" s="92"/>
      <c r="P27" s="105">
        <v>31.18</v>
      </c>
      <c r="Q27" s="105"/>
      <c r="R27" s="104" t="s">
        <v>266</v>
      </c>
    </row>
    <row r="28" spans="1:19" x14ac:dyDescent="0.2">
      <c r="A28" s="237"/>
      <c r="B28" s="240"/>
      <c r="C28" s="240"/>
      <c r="D28" s="243"/>
      <c r="E28" s="99"/>
      <c r="F28" s="99"/>
      <c r="G28" s="105"/>
      <c r="H28" s="105"/>
      <c r="I28" s="105"/>
      <c r="J28" s="105"/>
      <c r="K28" s="105"/>
      <c r="L28" s="105"/>
      <c r="M28" s="105"/>
      <c r="N28" s="105"/>
      <c r="O28" s="92"/>
      <c r="P28" s="105">
        <v>17.350000000000001</v>
      </c>
      <c r="Q28" s="105"/>
      <c r="R28" s="104" t="s">
        <v>267</v>
      </c>
    </row>
    <row r="29" spans="1:19" x14ac:dyDescent="0.2">
      <c r="A29" s="237"/>
      <c r="B29" s="240"/>
      <c r="C29" s="240"/>
      <c r="D29" s="243"/>
      <c r="E29" s="99"/>
      <c r="F29" s="99"/>
      <c r="G29" s="105"/>
      <c r="H29" s="105"/>
      <c r="I29" s="105"/>
      <c r="J29" s="105"/>
      <c r="K29" s="105"/>
      <c r="L29" s="105"/>
      <c r="M29" s="105"/>
      <c r="N29" s="105"/>
      <c r="O29" s="92"/>
      <c r="P29" s="105">
        <v>33.81</v>
      </c>
      <c r="Q29" s="105"/>
      <c r="R29" s="104" t="s">
        <v>268</v>
      </c>
    </row>
    <row r="30" spans="1:19" x14ac:dyDescent="0.2">
      <c r="A30" s="237"/>
      <c r="B30" s="240"/>
      <c r="C30" s="240"/>
      <c r="D30" s="243"/>
      <c r="E30" s="99"/>
      <c r="F30" s="99"/>
      <c r="G30" s="105"/>
      <c r="H30" s="105"/>
      <c r="I30" s="105"/>
      <c r="J30" s="105"/>
      <c r="K30" s="105"/>
      <c r="L30" s="105"/>
      <c r="M30" s="105"/>
      <c r="N30" s="105"/>
      <c r="O30" s="92"/>
      <c r="P30" s="105">
        <v>4.51</v>
      </c>
      <c r="Q30" s="105"/>
      <c r="R30" s="104" t="s">
        <v>269</v>
      </c>
    </row>
    <row r="31" spans="1:19" x14ac:dyDescent="0.2">
      <c r="A31" s="238"/>
      <c r="B31" s="241"/>
      <c r="C31" s="241"/>
      <c r="D31" s="244"/>
      <c r="E31" s="99"/>
      <c r="F31" s="99"/>
      <c r="G31" s="105"/>
      <c r="H31" s="105"/>
      <c r="I31" s="105"/>
      <c r="J31" s="105"/>
      <c r="K31" s="105"/>
      <c r="L31" s="105"/>
      <c r="M31" s="105"/>
      <c r="N31" s="105"/>
      <c r="O31" s="92"/>
      <c r="P31" s="105">
        <v>62.89</v>
      </c>
      <c r="Q31" s="105"/>
      <c r="R31" s="104" t="s">
        <v>270</v>
      </c>
    </row>
    <row r="32" spans="1:19" ht="14.45" customHeight="1" x14ac:dyDescent="0.2">
      <c r="A32" s="245" t="str">
        <f>'PLANILHA ORÇAMENTÁRIA'!A22</f>
        <v>MOVIMENTAÇÃO DE TERRA</v>
      </c>
      <c r="B32" s="246"/>
      <c r="C32" s="246"/>
      <c r="D32" s="246"/>
      <c r="E32" s="246"/>
      <c r="F32" s="246"/>
      <c r="G32" s="246"/>
      <c r="H32" s="246"/>
      <c r="I32" s="246"/>
      <c r="J32" s="246"/>
      <c r="K32" s="246"/>
      <c r="L32" s="246"/>
      <c r="M32" s="246"/>
      <c r="N32" s="246"/>
      <c r="O32" s="246"/>
      <c r="P32" s="246"/>
      <c r="Q32" s="246"/>
      <c r="R32" s="247"/>
      <c r="S32" s="94"/>
    </row>
    <row r="33" spans="1:19" ht="38.25" x14ac:dyDescent="0.2">
      <c r="A33" s="107">
        <f>'PLANILHA ORÇAMENTÁRIA'!A23</f>
        <v>8</v>
      </c>
      <c r="B33" s="92" t="str">
        <f>'PLANILHA ORÇAMENTÁRIA'!D23</f>
        <v>ESCAVAÇÃO MANUAL DE TERRA (DESATERRO MANUAL), INCLUSIVE DESCARGA LATERAL, EXCLUSIVE RETIRADA E TRANSPORTE DO MATERIAL ESCAVADO</v>
      </c>
      <c r="C33" s="92" t="str">
        <f>'PLANILHA ORÇAMENTÁRIA'!E23</f>
        <v>m³</v>
      </c>
      <c r="D33" s="134">
        <f>Q33</f>
        <v>1.81</v>
      </c>
      <c r="E33" s="99"/>
      <c r="F33" s="99"/>
      <c r="G33" s="105"/>
      <c r="H33" s="105"/>
      <c r="I33" s="105"/>
      <c r="J33" s="105"/>
      <c r="K33" s="105"/>
      <c r="L33" s="105"/>
      <c r="M33" s="105"/>
      <c r="N33" s="105"/>
      <c r="O33" s="92"/>
      <c r="P33" s="92"/>
      <c r="Q33" s="105">
        <v>1.81</v>
      </c>
      <c r="R33" s="104" t="s">
        <v>272</v>
      </c>
    </row>
    <row r="34" spans="1:19" ht="38.25" x14ac:dyDescent="0.2">
      <c r="A34" s="107">
        <f>'PLANILHA ORÇAMENTÁRIA'!A24</f>
        <v>9</v>
      </c>
      <c r="B34" s="92" t="str">
        <f>'PLANILHA ORÇAMENTÁRIA'!D24</f>
        <v>REATERRO MANUAL DE VALA, INCLUSIVE ESPALHAMENTO E COMPACTAÇÃO MECANIZADA COM PLACA VIBRATÓRIA</v>
      </c>
      <c r="C34" s="92" t="str">
        <f>'PLANILHA ORÇAMENTÁRIA'!E24</f>
        <v>m³</v>
      </c>
      <c r="D34" s="134">
        <f>SUM(Q34:Q34)</f>
        <v>154.86000000000001</v>
      </c>
      <c r="E34" s="99"/>
      <c r="F34" s="99"/>
      <c r="G34" s="105"/>
      <c r="H34" s="105"/>
      <c r="I34" s="105"/>
      <c r="J34" s="105"/>
      <c r="K34" s="105"/>
      <c r="L34" s="105"/>
      <c r="M34" s="105"/>
      <c r="N34" s="105"/>
      <c r="O34" s="92"/>
      <c r="P34" s="105"/>
      <c r="Q34" s="105">
        <v>154.86000000000001</v>
      </c>
      <c r="R34" s="104" t="s">
        <v>271</v>
      </c>
    </row>
    <row r="35" spans="1:19" ht="14.45" customHeight="1" x14ac:dyDescent="0.2">
      <c r="A35" s="245" t="str">
        <f>'PLANILHA ORÇAMENTÁRIA'!A25</f>
        <v>MURO DE ARRIMO</v>
      </c>
      <c r="B35" s="246"/>
      <c r="C35" s="246"/>
      <c r="D35" s="246"/>
      <c r="E35" s="246"/>
      <c r="F35" s="246"/>
      <c r="G35" s="246"/>
      <c r="H35" s="246"/>
      <c r="I35" s="246"/>
      <c r="J35" s="246"/>
      <c r="K35" s="246"/>
      <c r="L35" s="246"/>
      <c r="M35" s="246"/>
      <c r="N35" s="246"/>
      <c r="O35" s="246"/>
      <c r="P35" s="246"/>
      <c r="Q35" s="246"/>
      <c r="R35" s="247"/>
      <c r="S35" s="94"/>
    </row>
    <row r="36" spans="1:19" ht="33.75" x14ac:dyDescent="0.2">
      <c r="A36" s="259">
        <f>'PLANILHA ORÇAMENTÁRIA'!A26</f>
        <v>10</v>
      </c>
      <c r="B36" s="258" t="str">
        <f>'PLANILHA ORÇAMENTÁRIA'!D26</f>
        <v>ESCAVAÇÃO MANUAL DE VALA COM PROFUNDIDADE MENOR OU IGUAL A 1,5M, INCLUSIVE DESCARGA LATERAL</v>
      </c>
      <c r="C36" s="258" t="str">
        <f>'PLANILHA ORÇAMENTÁRIA'!E26</f>
        <v>m³</v>
      </c>
      <c r="D36" s="257">
        <f>SUM(Q36:Q39)</f>
        <v>2.68</v>
      </c>
      <c r="E36" s="99"/>
      <c r="F36" s="99"/>
      <c r="G36" s="105"/>
      <c r="H36" s="105"/>
      <c r="I36" s="105">
        <f>0.73+3.6+2.6+3.6+2.6+3.6+2.65+3.6+3.97</f>
        <v>26.95</v>
      </c>
      <c r="J36" s="105">
        <v>0.2</v>
      </c>
      <c r="K36" s="105">
        <v>0.2</v>
      </c>
      <c r="L36" s="105"/>
      <c r="M36" s="105"/>
      <c r="N36" s="105"/>
      <c r="O36" s="105"/>
      <c r="P36" s="105"/>
      <c r="Q36" s="105">
        <f>ROUND(I36*J36*K36,2)</f>
        <v>1.08</v>
      </c>
      <c r="R36" s="104" t="s">
        <v>273</v>
      </c>
    </row>
    <row r="37" spans="1:19" ht="33.75" x14ac:dyDescent="0.2">
      <c r="A37" s="259"/>
      <c r="B37" s="258"/>
      <c r="C37" s="258"/>
      <c r="D37" s="257"/>
      <c r="E37" s="99"/>
      <c r="F37" s="99"/>
      <c r="G37" s="105"/>
      <c r="H37" s="105"/>
      <c r="I37" s="105">
        <f>1.37+3.16</f>
        <v>4.53</v>
      </c>
      <c r="J37" s="105">
        <v>0.2</v>
      </c>
      <c r="K37" s="105">
        <v>0.2</v>
      </c>
      <c r="L37" s="105"/>
      <c r="M37" s="105"/>
      <c r="N37" s="105"/>
      <c r="O37" s="105"/>
      <c r="P37" s="105"/>
      <c r="Q37" s="105">
        <f>ROUND(I37*J37*K37,2)</f>
        <v>0.18</v>
      </c>
      <c r="R37" s="104" t="s">
        <v>274</v>
      </c>
    </row>
    <row r="38" spans="1:19" ht="33.75" x14ac:dyDescent="0.2">
      <c r="A38" s="259"/>
      <c r="B38" s="258"/>
      <c r="C38" s="258"/>
      <c r="D38" s="257"/>
      <c r="E38" s="99"/>
      <c r="F38" s="99"/>
      <c r="G38" s="105"/>
      <c r="H38" s="105"/>
      <c r="I38" s="105">
        <f>3.16+17.46+2.9</f>
        <v>23.52</v>
      </c>
      <c r="J38" s="105">
        <v>0.2</v>
      </c>
      <c r="K38" s="105">
        <v>0.2</v>
      </c>
      <c r="L38" s="105"/>
      <c r="M38" s="105"/>
      <c r="N38" s="105"/>
      <c r="O38" s="105"/>
      <c r="P38" s="105"/>
      <c r="Q38" s="105">
        <f>ROUND(I38*J38*K38,2)</f>
        <v>0.94</v>
      </c>
      <c r="R38" s="104" t="s">
        <v>275</v>
      </c>
    </row>
    <row r="39" spans="1:19" ht="33.75" x14ac:dyDescent="0.2">
      <c r="A39" s="259"/>
      <c r="B39" s="258"/>
      <c r="C39" s="258"/>
      <c r="D39" s="257"/>
      <c r="E39" s="99"/>
      <c r="F39" s="99"/>
      <c r="G39" s="105"/>
      <c r="H39" s="105"/>
      <c r="I39" s="105">
        <f>2.85+9.12</f>
        <v>11.969999999999999</v>
      </c>
      <c r="J39" s="105">
        <v>0.2</v>
      </c>
      <c r="K39" s="105">
        <v>0.2</v>
      </c>
      <c r="L39" s="105"/>
      <c r="M39" s="105"/>
      <c r="N39" s="105"/>
      <c r="O39" s="105"/>
      <c r="P39" s="105"/>
      <c r="Q39" s="105">
        <f>ROUND(I39*J39*K39,2)</f>
        <v>0.48</v>
      </c>
      <c r="R39" s="104" t="s">
        <v>276</v>
      </c>
    </row>
    <row r="40" spans="1:19" ht="33.75" x14ac:dyDescent="0.2">
      <c r="A40" s="259">
        <f>'PLANILHA ORÇAMENTÁRIA'!A27</f>
        <v>11</v>
      </c>
      <c r="B40" s="258" t="str">
        <f>'PLANILHA ORÇAMENTÁRIA'!D27</f>
        <v>APILOAMENTO MANUAL EM FUNDO DE VALA COM SOQUETE, EXCLUSIVE ESCAVAÇÃO</v>
      </c>
      <c r="C40" s="258" t="str">
        <f>'PLANILHA ORÇAMENTÁRIA'!E27</f>
        <v>m²</v>
      </c>
      <c r="D40" s="257">
        <f>SUM(O40:O43)</f>
        <v>13.39</v>
      </c>
      <c r="E40" s="99"/>
      <c r="F40" s="99"/>
      <c r="G40" s="109"/>
      <c r="H40" s="105"/>
      <c r="I40" s="105">
        <f>0.73+3.6+2.6+3.6+2.6+3.6+2.65+3.6+3.97</f>
        <v>26.95</v>
      </c>
      <c r="J40" s="105">
        <v>0.2</v>
      </c>
      <c r="K40" s="105"/>
      <c r="L40" s="105"/>
      <c r="M40" s="105"/>
      <c r="N40" s="105"/>
      <c r="O40" s="105">
        <f>ROUND(I40*J40,2)</f>
        <v>5.39</v>
      </c>
      <c r="P40" s="92"/>
      <c r="Q40" s="105"/>
      <c r="R40" s="104" t="s">
        <v>273</v>
      </c>
    </row>
    <row r="41" spans="1:19" ht="33.75" x14ac:dyDescent="0.2">
      <c r="A41" s="259"/>
      <c r="B41" s="258"/>
      <c r="C41" s="258"/>
      <c r="D41" s="257"/>
      <c r="E41" s="99"/>
      <c r="F41" s="99"/>
      <c r="G41" s="109"/>
      <c r="H41" s="105"/>
      <c r="I41" s="105">
        <f>1.37+3.16</f>
        <v>4.53</v>
      </c>
      <c r="J41" s="105">
        <v>0.2</v>
      </c>
      <c r="K41" s="105"/>
      <c r="L41" s="105"/>
      <c r="M41" s="105"/>
      <c r="N41" s="105"/>
      <c r="O41" s="105">
        <f t="shared" ref="O41:O43" si="0">ROUND(I41*J41,2)</f>
        <v>0.91</v>
      </c>
      <c r="P41" s="92"/>
      <c r="Q41" s="105"/>
      <c r="R41" s="104" t="s">
        <v>274</v>
      </c>
    </row>
    <row r="42" spans="1:19" ht="33.75" x14ac:dyDescent="0.2">
      <c r="A42" s="259"/>
      <c r="B42" s="258"/>
      <c r="C42" s="258"/>
      <c r="D42" s="257"/>
      <c r="E42" s="99"/>
      <c r="F42" s="99"/>
      <c r="G42" s="109"/>
      <c r="H42" s="105"/>
      <c r="I42" s="105">
        <f>3.16+17.46+2.9</f>
        <v>23.52</v>
      </c>
      <c r="J42" s="105">
        <v>0.2</v>
      </c>
      <c r="K42" s="105"/>
      <c r="L42" s="105"/>
      <c r="M42" s="105"/>
      <c r="N42" s="105"/>
      <c r="O42" s="105">
        <f t="shared" si="0"/>
        <v>4.7</v>
      </c>
      <c r="P42" s="92"/>
      <c r="Q42" s="105"/>
      <c r="R42" s="104" t="s">
        <v>275</v>
      </c>
    </row>
    <row r="43" spans="1:19" ht="33.75" x14ac:dyDescent="0.2">
      <c r="A43" s="259"/>
      <c r="B43" s="258"/>
      <c r="C43" s="258"/>
      <c r="D43" s="257"/>
      <c r="E43" s="99"/>
      <c r="F43" s="99"/>
      <c r="G43" s="109"/>
      <c r="H43" s="105"/>
      <c r="I43" s="105">
        <f>2.85+9.12</f>
        <v>11.969999999999999</v>
      </c>
      <c r="J43" s="105">
        <v>0.2</v>
      </c>
      <c r="K43" s="105"/>
      <c r="L43" s="105"/>
      <c r="M43" s="105"/>
      <c r="N43" s="105"/>
      <c r="O43" s="105">
        <f t="shared" si="0"/>
        <v>2.39</v>
      </c>
      <c r="P43" s="105"/>
      <c r="Q43" s="105"/>
      <c r="R43" s="104" t="s">
        <v>276</v>
      </c>
    </row>
    <row r="44" spans="1:19" ht="33.75" x14ac:dyDescent="0.2">
      <c r="A44" s="259">
        <f>'PLANILHA ORÇAMENTÁRIA'!A28</f>
        <v>12</v>
      </c>
      <c r="B44" s="258" t="str">
        <f>'PLANILHA ORÇAMENTÁRIA'!D28</f>
        <v>CORTE, DOBRA E MONTAGEM DE AÇO CA-50, DIÂMETRO (6,3MM A 12,5MM), INCLUSIVE ESPAÇADOR</v>
      </c>
      <c r="C44" s="258" t="str">
        <f>'PLANILHA ORÇAMENTÁRIA'!E28</f>
        <v>Kg</v>
      </c>
      <c r="D44" s="257">
        <f>SUM(N44:N55)</f>
        <v>171.91000000000003</v>
      </c>
      <c r="E44" s="99">
        <v>4</v>
      </c>
      <c r="F44" s="99"/>
      <c r="G44" s="109">
        <v>0.245</v>
      </c>
      <c r="H44" s="105"/>
      <c r="I44" s="105">
        <f>0.73+3.6+2.6+3.6+2.6+3.6+2.65+3.6+3.97</f>
        <v>26.95</v>
      </c>
      <c r="J44" s="105"/>
      <c r="K44" s="105"/>
      <c r="L44" s="105"/>
      <c r="M44" s="105"/>
      <c r="N44" s="92">
        <f>ROUND(I44*E44*G44,2)</f>
        <v>26.41</v>
      </c>
      <c r="O44" s="92"/>
      <c r="P44" s="92"/>
      <c r="Q44" s="105"/>
      <c r="R44" s="104" t="s">
        <v>288</v>
      </c>
    </row>
    <row r="45" spans="1:19" ht="33.75" x14ac:dyDescent="0.2">
      <c r="A45" s="259"/>
      <c r="B45" s="258"/>
      <c r="C45" s="258"/>
      <c r="D45" s="257"/>
      <c r="E45" s="99">
        <v>4</v>
      </c>
      <c r="F45" s="99"/>
      <c r="G45" s="109">
        <v>0.245</v>
      </c>
      <c r="H45" s="105"/>
      <c r="I45" s="105">
        <f>1.37+3.16</f>
        <v>4.53</v>
      </c>
      <c r="J45" s="105"/>
      <c r="K45" s="105"/>
      <c r="L45" s="105"/>
      <c r="M45" s="105"/>
      <c r="N45" s="92">
        <f t="shared" ref="N45:N47" si="1">ROUND(I45*E45*G45,2)</f>
        <v>4.4400000000000004</v>
      </c>
      <c r="O45" s="92"/>
      <c r="P45" s="92"/>
      <c r="Q45" s="105"/>
      <c r="R45" s="104" t="s">
        <v>287</v>
      </c>
    </row>
    <row r="46" spans="1:19" ht="33.75" x14ac:dyDescent="0.2">
      <c r="A46" s="259"/>
      <c r="B46" s="258"/>
      <c r="C46" s="258"/>
      <c r="D46" s="257"/>
      <c r="E46" s="99">
        <v>4</v>
      </c>
      <c r="F46" s="99"/>
      <c r="G46" s="109">
        <v>0.245</v>
      </c>
      <c r="H46" s="105"/>
      <c r="I46" s="105">
        <f>3.16+17.46+2.9</f>
        <v>23.52</v>
      </c>
      <c r="J46" s="105"/>
      <c r="K46" s="105"/>
      <c r="L46" s="105"/>
      <c r="M46" s="105"/>
      <c r="N46" s="92">
        <f t="shared" si="1"/>
        <v>23.05</v>
      </c>
      <c r="O46" s="92"/>
      <c r="P46" s="92"/>
      <c r="Q46" s="105"/>
      <c r="R46" s="104" t="s">
        <v>286</v>
      </c>
    </row>
    <row r="47" spans="1:19" ht="33.75" x14ac:dyDescent="0.2">
      <c r="A47" s="259"/>
      <c r="B47" s="258"/>
      <c r="C47" s="258"/>
      <c r="D47" s="257"/>
      <c r="E47" s="99">
        <v>4</v>
      </c>
      <c r="F47" s="99"/>
      <c r="G47" s="109">
        <v>0.245</v>
      </c>
      <c r="H47" s="105"/>
      <c r="I47" s="105">
        <f>2.85+9.12</f>
        <v>11.969999999999999</v>
      </c>
      <c r="J47" s="105"/>
      <c r="K47" s="105"/>
      <c r="L47" s="105"/>
      <c r="M47" s="105"/>
      <c r="N47" s="92">
        <f t="shared" si="1"/>
        <v>11.73</v>
      </c>
      <c r="O47" s="92"/>
      <c r="P47" s="92"/>
      <c r="Q47" s="105"/>
      <c r="R47" s="104" t="s">
        <v>285</v>
      </c>
    </row>
    <row r="48" spans="1:19" ht="45" x14ac:dyDescent="0.2">
      <c r="A48" s="259"/>
      <c r="B48" s="258"/>
      <c r="C48" s="258"/>
      <c r="D48" s="257"/>
      <c r="E48" s="99">
        <f>ROUNDUP(I44/0.2,0)</f>
        <v>135</v>
      </c>
      <c r="F48" s="99"/>
      <c r="G48" s="109">
        <v>0.245</v>
      </c>
      <c r="H48" s="105"/>
      <c r="I48" s="105"/>
      <c r="J48" s="105"/>
      <c r="K48" s="105">
        <f>(0.55+1.35)/2+0.2</f>
        <v>1.1500000000000001</v>
      </c>
      <c r="L48" s="105"/>
      <c r="M48" s="105"/>
      <c r="N48" s="92">
        <f>ROUND(K48*E48*G48,2)</f>
        <v>38.04</v>
      </c>
      <c r="O48" s="92"/>
      <c r="P48" s="92"/>
      <c r="Q48" s="105"/>
      <c r="R48" s="104" t="s">
        <v>277</v>
      </c>
    </row>
    <row r="49" spans="1:18" ht="45" x14ac:dyDescent="0.2">
      <c r="A49" s="259"/>
      <c r="B49" s="258"/>
      <c r="C49" s="258"/>
      <c r="D49" s="257"/>
      <c r="E49" s="99">
        <f>ROUNDUP(I45/0.2,0)</f>
        <v>23</v>
      </c>
      <c r="F49" s="99"/>
      <c r="G49" s="109">
        <v>0.245</v>
      </c>
      <c r="H49" s="105"/>
      <c r="I49" s="105"/>
      <c r="J49" s="105"/>
      <c r="K49" s="105">
        <f>0.45+0.2</f>
        <v>0.65</v>
      </c>
      <c r="L49" s="105"/>
      <c r="M49" s="105"/>
      <c r="N49" s="92">
        <f>ROUND(K49*E49*G49,2)</f>
        <v>3.66</v>
      </c>
      <c r="O49" s="92"/>
      <c r="P49" s="92"/>
      <c r="Q49" s="105"/>
      <c r="R49" s="104" t="s">
        <v>278</v>
      </c>
    </row>
    <row r="50" spans="1:18" ht="45" x14ac:dyDescent="0.2">
      <c r="A50" s="259"/>
      <c r="B50" s="258"/>
      <c r="C50" s="258"/>
      <c r="D50" s="257"/>
      <c r="E50" s="99">
        <f>ROUNDUP(I46/0.2,0)</f>
        <v>118</v>
      </c>
      <c r="F50" s="99"/>
      <c r="G50" s="109">
        <v>0.245</v>
      </c>
      <c r="H50" s="105"/>
      <c r="I50" s="105"/>
      <c r="J50" s="105"/>
      <c r="K50" s="105">
        <f>(0.12+0.4)/2+0.2</f>
        <v>0.46</v>
      </c>
      <c r="L50" s="105"/>
      <c r="M50" s="105"/>
      <c r="N50" s="105">
        <f>ROUND(K50*E50*G50,2)</f>
        <v>13.3</v>
      </c>
      <c r="O50" s="92"/>
      <c r="P50" s="92"/>
      <c r="Q50" s="105"/>
      <c r="R50" s="104" t="s">
        <v>279</v>
      </c>
    </row>
    <row r="51" spans="1:18" ht="56.25" x14ac:dyDescent="0.2">
      <c r="A51" s="259"/>
      <c r="B51" s="258"/>
      <c r="C51" s="258"/>
      <c r="D51" s="257"/>
      <c r="E51" s="99">
        <f>ROUNDUP(2.85/0.2,0)</f>
        <v>15</v>
      </c>
      <c r="F51" s="99"/>
      <c r="G51" s="109">
        <v>0.245</v>
      </c>
      <c r="H51" s="105"/>
      <c r="I51" s="105"/>
      <c r="J51" s="105"/>
      <c r="K51" s="105">
        <f>0.35+0.2</f>
        <v>0.55000000000000004</v>
      </c>
      <c r="L51" s="105"/>
      <c r="M51" s="105"/>
      <c r="N51" s="105">
        <f>ROUND(K51*E51*G51,2)</f>
        <v>2.02</v>
      </c>
      <c r="O51" s="92"/>
      <c r="P51" s="92"/>
      <c r="Q51" s="105"/>
      <c r="R51" s="104" t="s">
        <v>280</v>
      </c>
    </row>
    <row r="52" spans="1:18" ht="67.5" x14ac:dyDescent="0.2">
      <c r="A52" s="259"/>
      <c r="B52" s="258"/>
      <c r="C52" s="258"/>
      <c r="D52" s="257"/>
      <c r="E52" s="99">
        <f>ROUNDUP((0.55+1.35)/2/0.2,0)</f>
        <v>5</v>
      </c>
      <c r="F52" s="99"/>
      <c r="G52" s="109">
        <v>0.245</v>
      </c>
      <c r="H52" s="105"/>
      <c r="I52" s="105">
        <f>I44</f>
        <v>26.95</v>
      </c>
      <c r="J52" s="105"/>
      <c r="K52" s="105"/>
      <c r="L52" s="105"/>
      <c r="M52" s="105"/>
      <c r="N52" s="92">
        <f>ROUND(I52*E52*G52,2)</f>
        <v>33.01</v>
      </c>
      <c r="O52" s="92"/>
      <c r="P52" s="92"/>
      <c r="Q52" s="105"/>
      <c r="R52" s="104" t="s">
        <v>281</v>
      </c>
    </row>
    <row r="53" spans="1:18" ht="67.5" x14ac:dyDescent="0.2">
      <c r="A53" s="259"/>
      <c r="B53" s="258"/>
      <c r="C53" s="258"/>
      <c r="D53" s="257"/>
      <c r="E53" s="99">
        <f>ROUNDUP(0.45/0.2,0)</f>
        <v>3</v>
      </c>
      <c r="F53" s="99"/>
      <c r="G53" s="109">
        <v>0.245</v>
      </c>
      <c r="H53" s="105"/>
      <c r="I53" s="105">
        <f t="shared" ref="I53:I54" si="2">I45</f>
        <v>4.53</v>
      </c>
      <c r="J53" s="105"/>
      <c r="K53" s="105"/>
      <c r="L53" s="105"/>
      <c r="M53" s="105"/>
      <c r="N53" s="92">
        <f>ROUND(I53*E53*G53,2)</f>
        <v>3.33</v>
      </c>
      <c r="O53" s="92"/>
      <c r="P53" s="92"/>
      <c r="Q53" s="105"/>
      <c r="R53" s="104" t="s">
        <v>282</v>
      </c>
    </row>
    <row r="54" spans="1:18" ht="67.5" x14ac:dyDescent="0.2">
      <c r="A54" s="259"/>
      <c r="B54" s="258"/>
      <c r="C54" s="258"/>
      <c r="D54" s="257"/>
      <c r="E54" s="99">
        <f>ROUNDUP((0.12+0.4)/2/0.2,0)</f>
        <v>2</v>
      </c>
      <c r="F54" s="99"/>
      <c r="G54" s="109">
        <v>0.245</v>
      </c>
      <c r="H54" s="105"/>
      <c r="I54" s="105">
        <f t="shared" si="2"/>
        <v>23.52</v>
      </c>
      <c r="J54" s="105"/>
      <c r="K54" s="105"/>
      <c r="L54" s="105"/>
      <c r="M54" s="105"/>
      <c r="N54" s="92">
        <f>ROUND(I54*E54*G54,2)</f>
        <v>11.52</v>
      </c>
      <c r="O54" s="92"/>
      <c r="P54" s="92"/>
      <c r="Q54" s="105"/>
      <c r="R54" s="104" t="s">
        <v>283</v>
      </c>
    </row>
    <row r="55" spans="1:18" ht="67.5" x14ac:dyDescent="0.2">
      <c r="A55" s="259"/>
      <c r="B55" s="258"/>
      <c r="C55" s="258"/>
      <c r="D55" s="257"/>
      <c r="E55" s="99">
        <f>ROUNDUP(0.35/0.2,0)</f>
        <v>2</v>
      </c>
      <c r="F55" s="99"/>
      <c r="G55" s="109">
        <v>0.245</v>
      </c>
      <c r="H55" s="105"/>
      <c r="I55" s="105">
        <v>2.85</v>
      </c>
      <c r="J55" s="105"/>
      <c r="K55" s="105"/>
      <c r="L55" s="105"/>
      <c r="M55" s="105"/>
      <c r="N55" s="105">
        <f>ROUND(I55*E55*G55,2)</f>
        <v>1.4</v>
      </c>
      <c r="O55" s="105"/>
      <c r="P55" s="105"/>
      <c r="Q55" s="105"/>
      <c r="R55" s="104" t="s">
        <v>284</v>
      </c>
    </row>
    <row r="56" spans="1:18" ht="45" x14ac:dyDescent="0.2">
      <c r="A56" s="259">
        <f>'PLANILHA ORÇAMENTÁRIA'!A29</f>
        <v>13</v>
      </c>
      <c r="B56" s="258" t="str">
        <f>'PLANILHA ORÇAMENTÁRIA'!D29</f>
        <v>CORTE, DOBRA E MONTAGEM DE AÇO CA-60, DIÂMETRO (4,2MM A 5,0MM), INCLUSIVE ESPAÇADOR</v>
      </c>
      <c r="C56" s="258" t="str">
        <f>'PLANILHA ORÇAMENTÁRIA'!E29</f>
        <v>Kg</v>
      </c>
      <c r="D56" s="257">
        <f>SUM(N56:N59)</f>
        <v>29.570000000000004</v>
      </c>
      <c r="E56" s="99">
        <f>ROUNDUP(I52/0.2,0)</f>
        <v>135</v>
      </c>
      <c r="F56" s="99"/>
      <c r="G56" s="109">
        <v>0.154</v>
      </c>
      <c r="H56" s="105"/>
      <c r="I56" s="105">
        <f>0.14+0.14+0.14+0.14+0.1</f>
        <v>0.66</v>
      </c>
      <c r="J56" s="105"/>
      <c r="K56" s="105"/>
      <c r="L56" s="105"/>
      <c r="M56" s="105"/>
      <c r="N56" s="105">
        <f t="shared" ref="N56:N59" si="3">ROUND(I56*E56*G56,2)</f>
        <v>13.72</v>
      </c>
      <c r="O56" s="105"/>
      <c r="P56" s="105"/>
      <c r="Q56" s="105"/>
      <c r="R56" s="104" t="s">
        <v>289</v>
      </c>
    </row>
    <row r="57" spans="1:18" ht="45" x14ac:dyDescent="0.2">
      <c r="A57" s="259"/>
      <c r="B57" s="258"/>
      <c r="C57" s="258"/>
      <c r="D57" s="257"/>
      <c r="E57" s="99">
        <f t="shared" ref="E57:E59" si="4">ROUNDUP(I53/0.2,0)</f>
        <v>23</v>
      </c>
      <c r="F57" s="99"/>
      <c r="G57" s="109">
        <v>0.154</v>
      </c>
      <c r="H57" s="105"/>
      <c r="I57" s="105">
        <f>0.14+0.14+0.14+0.14+0.1</f>
        <v>0.66</v>
      </c>
      <c r="J57" s="105"/>
      <c r="K57" s="105"/>
      <c r="L57" s="105"/>
      <c r="M57" s="105"/>
      <c r="N57" s="105">
        <f t="shared" si="3"/>
        <v>2.34</v>
      </c>
      <c r="O57" s="105"/>
      <c r="P57" s="105"/>
      <c r="Q57" s="105"/>
      <c r="R57" s="104" t="s">
        <v>290</v>
      </c>
    </row>
    <row r="58" spans="1:18" ht="45" x14ac:dyDescent="0.2">
      <c r="A58" s="259"/>
      <c r="B58" s="258"/>
      <c r="C58" s="258"/>
      <c r="D58" s="257"/>
      <c r="E58" s="99">
        <f t="shared" si="4"/>
        <v>118</v>
      </c>
      <c r="F58" s="99"/>
      <c r="G58" s="109">
        <v>0.154</v>
      </c>
      <c r="H58" s="105"/>
      <c r="I58" s="105">
        <f>0.14+0.14+0.14+0.14+0.1</f>
        <v>0.66</v>
      </c>
      <c r="J58" s="105"/>
      <c r="K58" s="105"/>
      <c r="L58" s="105"/>
      <c r="M58" s="105"/>
      <c r="N58" s="105">
        <f t="shared" si="3"/>
        <v>11.99</v>
      </c>
      <c r="O58" s="105"/>
      <c r="P58" s="105"/>
      <c r="Q58" s="105"/>
      <c r="R58" s="104" t="s">
        <v>291</v>
      </c>
    </row>
    <row r="59" spans="1:18" ht="45" x14ac:dyDescent="0.2">
      <c r="A59" s="259"/>
      <c r="B59" s="258"/>
      <c r="C59" s="258"/>
      <c r="D59" s="257"/>
      <c r="E59" s="99">
        <f t="shared" si="4"/>
        <v>15</v>
      </c>
      <c r="F59" s="99"/>
      <c r="G59" s="109">
        <v>0.154</v>
      </c>
      <c r="H59" s="105"/>
      <c r="I59" s="105">
        <f>0.14+0.14+0.14+0.14+0.1</f>
        <v>0.66</v>
      </c>
      <c r="J59" s="105"/>
      <c r="K59" s="105"/>
      <c r="L59" s="105"/>
      <c r="M59" s="105"/>
      <c r="N59" s="105">
        <f t="shared" si="3"/>
        <v>1.52</v>
      </c>
      <c r="O59" s="105"/>
      <c r="P59" s="105"/>
      <c r="Q59" s="105"/>
      <c r="R59" s="104" t="s">
        <v>292</v>
      </c>
    </row>
    <row r="60" spans="1:18" ht="22.5" x14ac:dyDescent="0.2">
      <c r="A60" s="236">
        <f>'PLANILHA ORÇAMENTÁRIA'!A30</f>
        <v>14</v>
      </c>
      <c r="B60" s="239" t="str">
        <f>'PLANILHA ORÇAMENTÁRIA'!D30</f>
        <v>FORNECIMENTO DE CONCRETO ESTRUTURAL, PREPARADO EM OBRA COM BETONEIRA, COM FCK 20MPA, INCLUSIVE LANÇAMENTO, ADENSAMENTO E ACABAMENTO (FUNDAÇÃO)</v>
      </c>
      <c r="C60" s="239" t="str">
        <f>'PLANILHA ORÇAMENTÁRIA'!E30</f>
        <v>m³</v>
      </c>
      <c r="D60" s="242">
        <f>SUM(Q60:Q63)</f>
        <v>2.68</v>
      </c>
      <c r="E60" s="105"/>
      <c r="F60" s="99"/>
      <c r="G60" s="109"/>
      <c r="H60" s="105"/>
      <c r="I60" s="105">
        <f>0.73+3.6+2.6+3.6+2.6+3.6+2.65+3.6+3.97</f>
        <v>26.95</v>
      </c>
      <c r="J60" s="105">
        <v>0.2</v>
      </c>
      <c r="K60" s="105">
        <v>0.2</v>
      </c>
      <c r="L60" s="105"/>
      <c r="M60" s="105"/>
      <c r="N60" s="105"/>
      <c r="O60" s="105"/>
      <c r="P60" s="105"/>
      <c r="Q60" s="105">
        <f>ROUND(I60*J60*K60,2)</f>
        <v>1.08</v>
      </c>
      <c r="R60" s="104" t="s">
        <v>293</v>
      </c>
    </row>
    <row r="61" spans="1:18" ht="22.5" x14ac:dyDescent="0.2">
      <c r="A61" s="237"/>
      <c r="B61" s="240"/>
      <c r="C61" s="240"/>
      <c r="D61" s="243"/>
      <c r="E61" s="105"/>
      <c r="F61" s="99"/>
      <c r="G61" s="109"/>
      <c r="H61" s="105"/>
      <c r="I61" s="105">
        <f>1.37+3.16</f>
        <v>4.53</v>
      </c>
      <c r="J61" s="105">
        <v>0.2</v>
      </c>
      <c r="K61" s="105">
        <v>0.2</v>
      </c>
      <c r="L61" s="105"/>
      <c r="M61" s="105"/>
      <c r="N61" s="105"/>
      <c r="O61" s="105"/>
      <c r="P61" s="105"/>
      <c r="Q61" s="105">
        <f>ROUND(I61*J61*K61,2)</f>
        <v>0.18</v>
      </c>
      <c r="R61" s="104" t="s">
        <v>294</v>
      </c>
    </row>
    <row r="62" spans="1:18" ht="22.5" x14ac:dyDescent="0.2">
      <c r="A62" s="237"/>
      <c r="B62" s="240"/>
      <c r="C62" s="240"/>
      <c r="D62" s="243"/>
      <c r="E62" s="105"/>
      <c r="F62" s="99"/>
      <c r="G62" s="109"/>
      <c r="H62" s="105"/>
      <c r="I62" s="105">
        <f>3.16+17.46+2.9</f>
        <v>23.52</v>
      </c>
      <c r="J62" s="105">
        <v>0.2</v>
      </c>
      <c r="K62" s="105">
        <v>0.2</v>
      </c>
      <c r="L62" s="105"/>
      <c r="M62" s="105"/>
      <c r="N62" s="105"/>
      <c r="O62" s="105"/>
      <c r="P62" s="105"/>
      <c r="Q62" s="105">
        <f>ROUND(I62*J62*K62,2)</f>
        <v>0.94</v>
      </c>
      <c r="R62" s="104" t="s">
        <v>295</v>
      </c>
    </row>
    <row r="63" spans="1:18" ht="22.5" x14ac:dyDescent="0.2">
      <c r="A63" s="238"/>
      <c r="B63" s="241"/>
      <c r="C63" s="241"/>
      <c r="D63" s="244"/>
      <c r="E63" s="105"/>
      <c r="F63" s="99"/>
      <c r="G63" s="109"/>
      <c r="H63" s="105"/>
      <c r="I63" s="105">
        <f>2.85+9.12</f>
        <v>11.969999999999999</v>
      </c>
      <c r="J63" s="105">
        <v>0.2</v>
      </c>
      <c r="K63" s="105">
        <v>0.2</v>
      </c>
      <c r="L63" s="105"/>
      <c r="M63" s="105"/>
      <c r="N63" s="105"/>
      <c r="O63" s="105"/>
      <c r="P63" s="105"/>
      <c r="Q63" s="105">
        <f>ROUND(I63*J63*K63,2)</f>
        <v>0.48</v>
      </c>
      <c r="R63" s="104" t="s">
        <v>296</v>
      </c>
    </row>
    <row r="64" spans="1:18" ht="33.75" x14ac:dyDescent="0.2">
      <c r="A64" s="236">
        <f>'PLANILHA ORÇAMENTÁRIA'!A31</f>
        <v>15</v>
      </c>
      <c r="B64" s="239" t="str">
        <f>'PLANILHA ORÇAMENTÁRIA'!D31</f>
        <v>ALVENARIA DE BLOCO DE CONCRETO CHEIO SEM ARMAÇÃO, EM CONCRETO COM FCK DE 20MPA , ESP. 19CM, PARA REVESTIMENTO, INCLUSIVE ARGAMASSA PARA ASSENTAMENTO (DETALHE D - CADERNO SEDS)</v>
      </c>
      <c r="C64" s="239" t="str">
        <f>'PLANILHA ORÇAMENTÁRIA'!E31</f>
        <v>m²</v>
      </c>
      <c r="D64" s="242">
        <f>SUM(O64:O67)</f>
        <v>34.76</v>
      </c>
      <c r="E64" s="105"/>
      <c r="F64" s="99"/>
      <c r="G64" s="109"/>
      <c r="H64" s="105"/>
      <c r="I64" s="105">
        <f>0.73+3.6+2.6+3.6+2.6+3.6+2.65+3.6+3.97</f>
        <v>26.95</v>
      </c>
      <c r="J64" s="105"/>
      <c r="K64" s="105">
        <f>(0.55+1.35)/2</f>
        <v>0.95000000000000007</v>
      </c>
      <c r="L64" s="105"/>
      <c r="M64" s="105"/>
      <c r="N64" s="105"/>
      <c r="O64" s="105">
        <f>ROUND(I64*K64,2)</f>
        <v>25.6</v>
      </c>
      <c r="P64" s="105"/>
      <c r="Q64" s="105"/>
      <c r="R64" s="104" t="s">
        <v>297</v>
      </c>
    </row>
    <row r="65" spans="1:19" ht="33.75" x14ac:dyDescent="0.2">
      <c r="A65" s="237"/>
      <c r="B65" s="240"/>
      <c r="C65" s="240"/>
      <c r="D65" s="243"/>
      <c r="E65" s="105"/>
      <c r="F65" s="99"/>
      <c r="G65" s="109"/>
      <c r="H65" s="105"/>
      <c r="I65" s="105">
        <f>1.37+3.16</f>
        <v>4.53</v>
      </c>
      <c r="J65" s="105"/>
      <c r="K65" s="105">
        <v>0.45</v>
      </c>
      <c r="L65" s="105"/>
      <c r="M65" s="105"/>
      <c r="N65" s="105"/>
      <c r="O65" s="105">
        <f t="shared" ref="O65:O67" si="5">ROUND(I65*K65,2)</f>
        <v>2.04</v>
      </c>
      <c r="P65" s="105"/>
      <c r="Q65" s="105"/>
      <c r="R65" s="104" t="s">
        <v>298</v>
      </c>
    </row>
    <row r="66" spans="1:19" ht="33.75" x14ac:dyDescent="0.2">
      <c r="A66" s="237"/>
      <c r="B66" s="240"/>
      <c r="C66" s="240"/>
      <c r="D66" s="243"/>
      <c r="E66" s="105"/>
      <c r="F66" s="99"/>
      <c r="G66" s="109"/>
      <c r="H66" s="105"/>
      <c r="I66" s="105">
        <f>3.16+17.46+2.9</f>
        <v>23.52</v>
      </c>
      <c r="J66" s="105"/>
      <c r="K66" s="105">
        <f>(0.12+0.4)/2</f>
        <v>0.26</v>
      </c>
      <c r="L66" s="105"/>
      <c r="M66" s="105"/>
      <c r="N66" s="105"/>
      <c r="O66" s="105">
        <f t="shared" si="5"/>
        <v>6.12</v>
      </c>
      <c r="P66" s="105"/>
      <c r="Q66" s="105"/>
      <c r="R66" s="104" t="s">
        <v>299</v>
      </c>
    </row>
    <row r="67" spans="1:19" ht="33.75" x14ac:dyDescent="0.2">
      <c r="A67" s="238"/>
      <c r="B67" s="241"/>
      <c r="C67" s="241"/>
      <c r="D67" s="244"/>
      <c r="E67" s="105"/>
      <c r="F67" s="99"/>
      <c r="G67" s="109"/>
      <c r="H67" s="105"/>
      <c r="I67" s="105">
        <v>2.85</v>
      </c>
      <c r="J67" s="105"/>
      <c r="K67" s="105">
        <v>0.35</v>
      </c>
      <c r="L67" s="105"/>
      <c r="M67" s="105"/>
      <c r="N67" s="105"/>
      <c r="O67" s="105">
        <f t="shared" si="5"/>
        <v>1</v>
      </c>
      <c r="P67" s="105"/>
      <c r="Q67" s="105"/>
      <c r="R67" s="104" t="s">
        <v>300</v>
      </c>
    </row>
    <row r="68" spans="1:19" ht="14.45" customHeight="1" x14ac:dyDescent="0.2">
      <c r="A68" s="245" t="str">
        <f>'PLANILHA ORÇAMENTÁRIA'!A32</f>
        <v>PISOS</v>
      </c>
      <c r="B68" s="246"/>
      <c r="C68" s="246"/>
      <c r="D68" s="246"/>
      <c r="E68" s="246"/>
      <c r="F68" s="246"/>
      <c r="G68" s="246"/>
      <c r="H68" s="246"/>
      <c r="I68" s="246"/>
      <c r="J68" s="246"/>
      <c r="K68" s="246"/>
      <c r="L68" s="246"/>
      <c r="M68" s="246"/>
      <c r="N68" s="246"/>
      <c r="O68" s="246"/>
      <c r="P68" s="246"/>
      <c r="Q68" s="246"/>
      <c r="R68" s="247"/>
      <c r="S68" s="94"/>
    </row>
    <row r="69" spans="1:19" ht="22.5" x14ac:dyDescent="0.2">
      <c r="A69" s="236">
        <f>'PLANILHA ORÇAMENTÁRIA'!A33</f>
        <v>16</v>
      </c>
      <c r="B69" s="239" t="str">
        <f>'PLANILHA ORÇAMENTÁRIA'!D33</f>
        <v>ASSENTAMENTO DE GUIA (MEIO-FIO) EM TRECHO RETO, CONFECCIONADA EM CONCRETO PRÉ-FABRICADO, DIMENSÕES 100X15X13X30 CM (COMPRIMENTO X BASE INFERIOR X BASE SUPERIOR X ALTURA). AF_01/2024</v>
      </c>
      <c r="C69" s="239" t="str">
        <f>'PLANILHA ORÇAMENTÁRIA'!E33</f>
        <v>m</v>
      </c>
      <c r="D69" s="242">
        <f>SUM(H69:H73)</f>
        <v>73.08</v>
      </c>
      <c r="E69" s="99"/>
      <c r="F69" s="99"/>
      <c r="G69" s="109"/>
      <c r="H69" s="105">
        <v>4.2300000000000004</v>
      </c>
      <c r="I69" s="105"/>
      <c r="J69" s="105"/>
      <c r="K69" s="105"/>
      <c r="L69" s="105"/>
      <c r="M69" s="105"/>
      <c r="N69" s="105"/>
      <c r="O69" s="105"/>
      <c r="P69" s="105"/>
      <c r="Q69" s="105"/>
      <c r="R69" s="104" t="s">
        <v>301</v>
      </c>
    </row>
    <row r="70" spans="1:19" ht="22.5" x14ac:dyDescent="0.2">
      <c r="A70" s="237"/>
      <c r="B70" s="240"/>
      <c r="C70" s="240"/>
      <c r="D70" s="243"/>
      <c r="E70" s="99"/>
      <c r="F70" s="99"/>
      <c r="G70" s="109"/>
      <c r="H70" s="105">
        <v>22.56</v>
      </c>
      <c r="I70" s="105"/>
      <c r="J70" s="105"/>
      <c r="K70" s="105"/>
      <c r="L70" s="105"/>
      <c r="M70" s="105"/>
      <c r="N70" s="105"/>
      <c r="O70" s="105"/>
      <c r="P70" s="105"/>
      <c r="Q70" s="105"/>
      <c r="R70" s="104" t="s">
        <v>302</v>
      </c>
    </row>
    <row r="71" spans="1:19" ht="22.5" x14ac:dyDescent="0.2">
      <c r="A71" s="237"/>
      <c r="B71" s="240"/>
      <c r="C71" s="240"/>
      <c r="D71" s="243"/>
      <c r="E71" s="99"/>
      <c r="F71" s="99"/>
      <c r="G71" s="109"/>
      <c r="H71" s="105">
        <v>9.68</v>
      </c>
      <c r="I71" s="105"/>
      <c r="J71" s="105"/>
      <c r="K71" s="105"/>
      <c r="L71" s="105"/>
      <c r="M71" s="105"/>
      <c r="N71" s="105"/>
      <c r="O71" s="105"/>
      <c r="P71" s="105"/>
      <c r="Q71" s="105"/>
      <c r="R71" s="104" t="s">
        <v>303</v>
      </c>
    </row>
    <row r="72" spans="1:19" ht="22.5" x14ac:dyDescent="0.2">
      <c r="A72" s="237"/>
      <c r="B72" s="240"/>
      <c r="C72" s="240"/>
      <c r="D72" s="243"/>
      <c r="E72" s="99"/>
      <c r="F72" s="99"/>
      <c r="G72" s="109"/>
      <c r="H72" s="105">
        <v>20.079999999999998</v>
      </c>
      <c r="I72" s="105"/>
      <c r="J72" s="105"/>
      <c r="K72" s="105"/>
      <c r="L72" s="105"/>
      <c r="M72" s="105"/>
      <c r="N72" s="105"/>
      <c r="O72" s="105"/>
      <c r="P72" s="105"/>
      <c r="Q72" s="105"/>
      <c r="R72" s="104" t="s">
        <v>304</v>
      </c>
    </row>
    <row r="73" spans="1:19" ht="22.5" x14ac:dyDescent="0.2">
      <c r="A73" s="237"/>
      <c r="B73" s="240"/>
      <c r="C73" s="240"/>
      <c r="D73" s="243"/>
      <c r="E73" s="99"/>
      <c r="F73" s="99"/>
      <c r="G73" s="109"/>
      <c r="H73" s="105">
        <v>16.53</v>
      </c>
      <c r="I73" s="105"/>
      <c r="J73" s="105"/>
      <c r="K73" s="105"/>
      <c r="L73" s="105"/>
      <c r="M73" s="105"/>
      <c r="N73" s="105"/>
      <c r="O73" s="105"/>
      <c r="P73" s="105"/>
      <c r="Q73" s="105"/>
      <c r="R73" s="104" t="s">
        <v>305</v>
      </c>
    </row>
    <row r="74" spans="1:19" ht="30" customHeight="1" x14ac:dyDescent="0.2">
      <c r="A74" s="236">
        <f>'PLANILHA ORÇAMENTÁRIA'!A34</f>
        <v>17</v>
      </c>
      <c r="B74" s="239" t="str">
        <f>'PLANILHA ORÇAMENTÁRIA'!D34</f>
        <v>EXECUÇÃO DE PAVIMENTO COM PISO INTERTRAVADO, TIPO RETANGULAR, ESP. 6CM, COM FCK DE 35MPA, INCLUSIVE COLCHÃO DE AREIA, ESP. 6CM, PARA ASSENTAMENTO, COMPACTAÇÃO MECANIZADA, CARGA E DESCARGA MECÂNICA EM CAMINHÃO, EXCLUSIVE TRANSPORTE DE PISO INTERTRAVADO</v>
      </c>
      <c r="C74" s="239" t="str">
        <f>'PLANILHA ORÇAMENTÁRIA'!E34</f>
        <v>m²</v>
      </c>
      <c r="D74" s="242">
        <f>SUM(P74:P77)</f>
        <v>360.03999999999996</v>
      </c>
      <c r="E74" s="99"/>
      <c r="F74" s="99"/>
      <c r="G74" s="109"/>
      <c r="H74" s="105"/>
      <c r="I74" s="105"/>
      <c r="J74" s="105"/>
      <c r="K74" s="105"/>
      <c r="L74" s="105"/>
      <c r="M74" s="105"/>
      <c r="N74" s="105"/>
      <c r="O74" s="105"/>
      <c r="P74" s="105">
        <v>183.77</v>
      </c>
      <c r="Q74" s="105"/>
      <c r="R74" s="104" t="s">
        <v>306</v>
      </c>
    </row>
    <row r="75" spans="1:19" ht="30" customHeight="1" x14ac:dyDescent="0.2">
      <c r="A75" s="237"/>
      <c r="B75" s="240"/>
      <c r="C75" s="240"/>
      <c r="D75" s="243"/>
      <c r="E75" s="99"/>
      <c r="F75" s="99"/>
      <c r="G75" s="109"/>
      <c r="H75" s="105"/>
      <c r="I75" s="105"/>
      <c r="J75" s="105"/>
      <c r="K75" s="105"/>
      <c r="L75" s="105"/>
      <c r="M75" s="105"/>
      <c r="N75" s="105"/>
      <c r="O75" s="105"/>
      <c r="P75" s="105">
        <v>3.82</v>
      </c>
      <c r="Q75" s="105"/>
      <c r="R75" s="104" t="s">
        <v>307</v>
      </c>
    </row>
    <row r="76" spans="1:19" ht="30" customHeight="1" x14ac:dyDescent="0.2">
      <c r="A76" s="237"/>
      <c r="B76" s="240"/>
      <c r="C76" s="240"/>
      <c r="D76" s="243"/>
      <c r="E76" s="99"/>
      <c r="F76" s="99"/>
      <c r="G76" s="109"/>
      <c r="H76" s="105"/>
      <c r="I76" s="105"/>
      <c r="J76" s="105"/>
      <c r="K76" s="105"/>
      <c r="L76" s="105"/>
      <c r="M76" s="105"/>
      <c r="N76" s="105"/>
      <c r="O76" s="105"/>
      <c r="P76" s="105">
        <v>3.78</v>
      </c>
      <c r="Q76" s="105"/>
      <c r="R76" s="104" t="s">
        <v>308</v>
      </c>
    </row>
    <row r="77" spans="1:19" ht="30" customHeight="1" x14ac:dyDescent="0.2">
      <c r="A77" s="237"/>
      <c r="B77" s="240"/>
      <c r="C77" s="240"/>
      <c r="D77" s="243"/>
      <c r="E77" s="99"/>
      <c r="F77" s="99"/>
      <c r="G77" s="109"/>
      <c r="H77" s="105"/>
      <c r="I77" s="105"/>
      <c r="J77" s="105"/>
      <c r="K77" s="105"/>
      <c r="L77" s="105"/>
      <c r="M77" s="105"/>
      <c r="N77" s="105"/>
      <c r="O77" s="105"/>
      <c r="P77" s="105">
        <v>168.67</v>
      </c>
      <c r="Q77" s="105"/>
      <c r="R77" s="104" t="s">
        <v>424</v>
      </c>
    </row>
    <row r="78" spans="1:19" ht="45" x14ac:dyDescent="0.2">
      <c r="A78" s="236">
        <f>'PLANILHA ORÇAMENTÁRIA'!A35</f>
        <v>18</v>
      </c>
      <c r="B78" s="239" t="str">
        <f>'PLANILHA ORÇAMENTÁRIA'!D35</f>
        <v>ESCADA DE CONCRETO 20 MPa, APARENTE, ESPELHO = 15 A 18 CM, ARMAÇÃO, FÔRMA PLASTIFICADA, ESCORAMENTO E DESFORMA</v>
      </c>
      <c r="C78" s="239" t="str">
        <f>'PLANILHA ORÇAMENTÁRIA'!E35</f>
        <v>m³</v>
      </c>
      <c r="D78" s="242">
        <f>SUM(Q78:Q79)</f>
        <v>2.6</v>
      </c>
      <c r="E78" s="99"/>
      <c r="F78" s="99"/>
      <c r="G78" s="109"/>
      <c r="H78" s="105"/>
      <c r="I78" s="105"/>
      <c r="J78" s="105">
        <v>2</v>
      </c>
      <c r="K78" s="105"/>
      <c r="L78" s="105"/>
      <c r="M78" s="105"/>
      <c r="N78" s="105"/>
      <c r="O78" s="105"/>
      <c r="P78" s="105">
        <v>0.76</v>
      </c>
      <c r="Q78" s="105">
        <f>ROUND(J78*P78,2)</f>
        <v>1.52</v>
      </c>
      <c r="R78" s="104" t="s">
        <v>309</v>
      </c>
    </row>
    <row r="79" spans="1:19" ht="45" x14ac:dyDescent="0.2">
      <c r="A79" s="237"/>
      <c r="B79" s="240"/>
      <c r="C79" s="240"/>
      <c r="D79" s="243"/>
      <c r="E79" s="99"/>
      <c r="F79" s="99"/>
      <c r="G79" s="109"/>
      <c r="H79" s="105"/>
      <c r="I79" s="105"/>
      <c r="J79" s="105">
        <v>2</v>
      </c>
      <c r="K79" s="105"/>
      <c r="L79" s="105"/>
      <c r="M79" s="105"/>
      <c r="N79" s="105"/>
      <c r="O79" s="105"/>
      <c r="P79" s="105">
        <v>0.54</v>
      </c>
      <c r="Q79" s="105">
        <f>ROUND(J79*P79,2)</f>
        <v>1.08</v>
      </c>
      <c r="R79" s="104" t="s">
        <v>310</v>
      </c>
    </row>
    <row r="80" spans="1:19" ht="45" x14ac:dyDescent="0.2">
      <c r="A80" s="236">
        <f>'PLANILHA ORÇAMENTÁRIA'!A36</f>
        <v>19</v>
      </c>
      <c r="B80" s="239" t="str">
        <f>'PLANILHA ORÇAMENTÁRIA'!D36</f>
        <v>REVESTIMENTO DE PISO COM PEDRA MIRACEMA NA COR CINZA, PEÇAS COM 11,5X23CM, ESP. 1CM, ACABAMENTO NATURAL, INCLUSIVE FORNECIMENTO DO MATERIAL DE REVESTIMENTO, ASSENTAMENTO COM ARGAMASSA INDUSTRIALIZADA E REJUNTAMENTO</v>
      </c>
      <c r="C80" s="239" t="str">
        <f>'PLANILHA ORÇAMENTÁRIA'!E36</f>
        <v>m²</v>
      </c>
      <c r="D80" s="242">
        <f>SUM(O80:O84)</f>
        <v>21.000000000000004</v>
      </c>
      <c r="E80" s="99">
        <v>13</v>
      </c>
      <c r="F80" s="99"/>
      <c r="G80" s="109"/>
      <c r="H80" s="105"/>
      <c r="I80" s="105">
        <v>0.28000000000000003</v>
      </c>
      <c r="J80" s="105">
        <v>2</v>
      </c>
      <c r="K80" s="105"/>
      <c r="L80" s="105"/>
      <c r="M80" s="105"/>
      <c r="N80" s="105"/>
      <c r="O80" s="105">
        <f>ROUND(I80*J80*E80,2)</f>
        <v>7.28</v>
      </c>
      <c r="P80" s="105"/>
      <c r="Q80" s="105"/>
      <c r="R80" s="104" t="s">
        <v>311</v>
      </c>
    </row>
    <row r="81" spans="1:19" ht="45" x14ac:dyDescent="0.2">
      <c r="A81" s="237"/>
      <c r="B81" s="240"/>
      <c r="C81" s="240"/>
      <c r="D81" s="243"/>
      <c r="E81" s="99">
        <v>13</v>
      </c>
      <c r="F81" s="99"/>
      <c r="G81" s="109"/>
      <c r="H81" s="105"/>
      <c r="I81" s="105"/>
      <c r="J81" s="105">
        <v>2</v>
      </c>
      <c r="K81" s="105">
        <v>0.18</v>
      </c>
      <c r="L81" s="105"/>
      <c r="M81" s="105"/>
      <c r="N81" s="105"/>
      <c r="O81" s="105">
        <f>ROUND(K81*J81*E81,2)</f>
        <v>4.68</v>
      </c>
      <c r="P81" s="105"/>
      <c r="Q81" s="105"/>
      <c r="R81" s="104" t="s">
        <v>312</v>
      </c>
    </row>
    <row r="82" spans="1:19" ht="33.75" x14ac:dyDescent="0.2">
      <c r="A82" s="237"/>
      <c r="B82" s="240"/>
      <c r="C82" s="240"/>
      <c r="D82" s="243"/>
      <c r="E82" s="99">
        <v>7</v>
      </c>
      <c r="F82" s="99"/>
      <c r="G82" s="109"/>
      <c r="H82" s="105"/>
      <c r="I82" s="105">
        <v>0.28000000000000003</v>
      </c>
      <c r="J82" s="105">
        <v>2</v>
      </c>
      <c r="K82" s="105"/>
      <c r="L82" s="105"/>
      <c r="M82" s="105"/>
      <c r="N82" s="105"/>
      <c r="O82" s="105">
        <f>ROUND(I82*J82*E82,2)</f>
        <v>3.92</v>
      </c>
      <c r="P82" s="105"/>
      <c r="Q82" s="105"/>
      <c r="R82" s="104" t="s">
        <v>313</v>
      </c>
    </row>
    <row r="83" spans="1:19" ht="45" x14ac:dyDescent="0.2">
      <c r="A83" s="237"/>
      <c r="B83" s="240"/>
      <c r="C83" s="240"/>
      <c r="D83" s="243"/>
      <c r="E83" s="99">
        <v>7</v>
      </c>
      <c r="F83" s="99"/>
      <c r="G83" s="109"/>
      <c r="H83" s="105"/>
      <c r="I83" s="105"/>
      <c r="J83" s="105">
        <v>2</v>
      </c>
      <c r="K83" s="105">
        <v>0.18</v>
      </c>
      <c r="L83" s="105"/>
      <c r="M83" s="105"/>
      <c r="N83" s="105"/>
      <c r="O83" s="105">
        <f>ROUND(K83*J83*E83,2)</f>
        <v>2.52</v>
      </c>
      <c r="P83" s="105"/>
      <c r="Q83" s="105"/>
      <c r="R83" s="104" t="s">
        <v>314</v>
      </c>
    </row>
    <row r="84" spans="1:19" ht="19.149999999999999" customHeight="1" x14ac:dyDescent="0.2">
      <c r="A84" s="238"/>
      <c r="B84" s="241"/>
      <c r="C84" s="241"/>
      <c r="D84" s="244"/>
      <c r="E84" s="99"/>
      <c r="F84" s="99"/>
      <c r="G84" s="109"/>
      <c r="H84" s="105"/>
      <c r="I84" s="105"/>
      <c r="J84" s="105"/>
      <c r="K84" s="105"/>
      <c r="L84" s="105"/>
      <c r="M84" s="105"/>
      <c r="N84" s="105"/>
      <c r="O84" s="105">
        <f>ROUND((0.4*2)+(0.9*2),2)</f>
        <v>2.6</v>
      </c>
      <c r="P84" s="105"/>
      <c r="Q84" s="105"/>
      <c r="R84" s="104" t="s">
        <v>315</v>
      </c>
    </row>
    <row r="85" spans="1:19" ht="14.45" customHeight="1" x14ac:dyDescent="0.2">
      <c r="A85" s="245" t="str">
        <f>'PLANILHA ORÇAMENTÁRIA'!A37</f>
        <v>REVESTIMENTOS E PINTURA</v>
      </c>
      <c r="B85" s="246"/>
      <c r="C85" s="246"/>
      <c r="D85" s="246"/>
      <c r="E85" s="246"/>
      <c r="F85" s="246"/>
      <c r="G85" s="246"/>
      <c r="H85" s="246"/>
      <c r="I85" s="246"/>
      <c r="J85" s="246"/>
      <c r="K85" s="246"/>
      <c r="L85" s="246"/>
      <c r="M85" s="246"/>
      <c r="N85" s="246"/>
      <c r="O85" s="246"/>
      <c r="P85" s="246"/>
      <c r="Q85" s="246"/>
      <c r="R85" s="247"/>
      <c r="S85" s="94"/>
    </row>
    <row r="86" spans="1:19" ht="56.25" x14ac:dyDescent="0.2">
      <c r="A86" s="259">
        <f>'PLANILHA ORÇAMENTÁRIA'!A38</f>
        <v>20</v>
      </c>
      <c r="B86" s="258" t="str">
        <f>'PLANILHA ORÇAMENTÁRIA'!D38</f>
        <v>CHAPISCO COM ARGAMASSA, TRAÇO 1:3 (CIMENTO E AREIA), ESP. 5MM, APLICADO EM ALVENARIA/ESTRUTURA DE CONCRETO COM COLHER, INCLUSIVE ARGAMASSA COM PREPARO MECANIZADO</v>
      </c>
      <c r="C86" s="258" t="str">
        <f>'PLANILHA ORÇAMENTÁRIA'!E38</f>
        <v>m²</v>
      </c>
      <c r="D86" s="257">
        <f>SUM(O86:O91)</f>
        <v>25.86</v>
      </c>
      <c r="E86" s="99"/>
      <c r="F86" s="99"/>
      <c r="G86" s="109"/>
      <c r="H86" s="105"/>
      <c r="I86" s="105">
        <f>(3.6*4)+1.5</f>
        <v>15.9</v>
      </c>
      <c r="J86" s="105"/>
      <c r="K86" s="105">
        <f>(0.55+1.35)/2</f>
        <v>0.95000000000000007</v>
      </c>
      <c r="L86" s="105"/>
      <c r="M86" s="105"/>
      <c r="N86" s="105"/>
      <c r="O86" s="105">
        <f>ROUND(I86*K86,2)</f>
        <v>15.11</v>
      </c>
      <c r="P86" s="105"/>
      <c r="Q86" s="105"/>
      <c r="R86" s="104" t="s">
        <v>316</v>
      </c>
    </row>
    <row r="87" spans="1:19" ht="33.75" x14ac:dyDescent="0.2">
      <c r="A87" s="259"/>
      <c r="B87" s="258"/>
      <c r="C87" s="258"/>
      <c r="D87" s="257"/>
      <c r="E87" s="99"/>
      <c r="F87" s="99"/>
      <c r="G87" s="109"/>
      <c r="H87" s="105"/>
      <c r="I87" s="105">
        <f>1.37+3.16</f>
        <v>4.53</v>
      </c>
      <c r="J87" s="105"/>
      <c r="K87" s="105">
        <v>0.45</v>
      </c>
      <c r="L87" s="105"/>
      <c r="M87" s="105"/>
      <c r="N87" s="105"/>
      <c r="O87" s="105">
        <f t="shared" ref="O87:O91" si="6">ROUND(I87*K87,2)</f>
        <v>2.04</v>
      </c>
      <c r="P87" s="105"/>
      <c r="Q87" s="105"/>
      <c r="R87" s="104" t="s">
        <v>298</v>
      </c>
    </row>
    <row r="88" spans="1:19" ht="33.75" x14ac:dyDescent="0.2">
      <c r="A88" s="259"/>
      <c r="B88" s="258"/>
      <c r="C88" s="258"/>
      <c r="D88" s="257"/>
      <c r="E88" s="99"/>
      <c r="F88" s="99"/>
      <c r="G88" s="109"/>
      <c r="H88" s="105"/>
      <c r="I88" s="105">
        <f>3.36*2</f>
        <v>6.72</v>
      </c>
      <c r="J88" s="105"/>
      <c r="K88" s="105">
        <v>0.12</v>
      </c>
      <c r="L88" s="105"/>
      <c r="M88" s="105"/>
      <c r="N88" s="105"/>
      <c r="O88" s="105">
        <f t="shared" si="6"/>
        <v>0.81</v>
      </c>
      <c r="P88" s="105"/>
      <c r="Q88" s="105"/>
      <c r="R88" s="104" t="s">
        <v>317</v>
      </c>
    </row>
    <row r="89" spans="1:19" ht="33.75" x14ac:dyDescent="0.2">
      <c r="A89" s="259"/>
      <c r="B89" s="258"/>
      <c r="C89" s="258"/>
      <c r="D89" s="257"/>
      <c r="E89" s="99"/>
      <c r="F89" s="99"/>
      <c r="G89" s="109"/>
      <c r="H89" s="105"/>
      <c r="I89" s="105">
        <f>3.16+17.46+2.9</f>
        <v>23.52</v>
      </c>
      <c r="J89" s="105"/>
      <c r="K89" s="105">
        <f>(0.12+0.4)/2</f>
        <v>0.26</v>
      </c>
      <c r="L89" s="105"/>
      <c r="M89" s="105"/>
      <c r="N89" s="105"/>
      <c r="O89" s="105">
        <f t="shared" si="6"/>
        <v>6.12</v>
      </c>
      <c r="P89" s="105"/>
      <c r="Q89" s="105"/>
      <c r="R89" s="104" t="s">
        <v>299</v>
      </c>
    </row>
    <row r="90" spans="1:19" ht="33.75" x14ac:dyDescent="0.2">
      <c r="A90" s="259"/>
      <c r="B90" s="258"/>
      <c r="C90" s="258"/>
      <c r="D90" s="257"/>
      <c r="E90" s="99"/>
      <c r="F90" s="99"/>
      <c r="G90" s="109"/>
      <c r="H90" s="105"/>
      <c r="I90" s="105">
        <f>3.27*2</f>
        <v>6.54</v>
      </c>
      <c r="J90" s="105"/>
      <c r="K90" s="105">
        <v>0.12</v>
      </c>
      <c r="L90" s="105"/>
      <c r="M90" s="105"/>
      <c r="N90" s="105"/>
      <c r="O90" s="105">
        <f t="shared" si="6"/>
        <v>0.78</v>
      </c>
      <c r="P90" s="105"/>
      <c r="Q90" s="105"/>
      <c r="R90" s="104" t="s">
        <v>318</v>
      </c>
    </row>
    <row r="91" spans="1:19" ht="33.75" x14ac:dyDescent="0.2">
      <c r="A91" s="259"/>
      <c r="B91" s="258"/>
      <c r="C91" s="258"/>
      <c r="D91" s="257"/>
      <c r="E91" s="99"/>
      <c r="F91" s="99"/>
      <c r="G91" s="109"/>
      <c r="H91" s="105"/>
      <c r="I91" s="105">
        <v>2.85</v>
      </c>
      <c r="J91" s="105"/>
      <c r="K91" s="105">
        <v>0.35</v>
      </c>
      <c r="L91" s="105"/>
      <c r="M91" s="105"/>
      <c r="N91" s="105"/>
      <c r="O91" s="105">
        <f t="shared" si="6"/>
        <v>1</v>
      </c>
      <c r="P91" s="105"/>
      <c r="Q91" s="105"/>
      <c r="R91" s="104" t="s">
        <v>300</v>
      </c>
    </row>
    <row r="92" spans="1:19" ht="38.25" x14ac:dyDescent="0.2">
      <c r="A92" s="107">
        <f>'PLANILHA ORÇAMENTÁRIA'!A39</f>
        <v>21</v>
      </c>
      <c r="B92" s="92" t="str">
        <f>'PLANILHA ORÇAMENTÁRIA'!D39</f>
        <v>REBOCO COM ARGAMASSA, TRAÇO 1:2:8 (CIMENTO, CAL E AREIA), ESP. 25MM, APLICAÇÃO MANUAL, INCLUSIVE ARGAMASSA COM PREPARO MECANIZADO</v>
      </c>
      <c r="C92" s="92" t="str">
        <f>'PLANILHA ORÇAMENTÁRIA'!E39</f>
        <v>m²</v>
      </c>
      <c r="D92" s="134">
        <f>O92</f>
        <v>25.86</v>
      </c>
      <c r="E92" s="99"/>
      <c r="F92" s="99"/>
      <c r="G92" s="109"/>
      <c r="H92" s="105"/>
      <c r="I92" s="105"/>
      <c r="J92" s="105"/>
      <c r="K92" s="105"/>
      <c r="L92" s="105"/>
      <c r="M92" s="105"/>
      <c r="N92" s="105"/>
      <c r="O92" s="105">
        <f>D86</f>
        <v>25.86</v>
      </c>
      <c r="P92" s="105"/>
      <c r="Q92" s="105"/>
      <c r="R92" s="104" t="s">
        <v>211</v>
      </c>
    </row>
    <row r="93" spans="1:19" ht="38.25" x14ac:dyDescent="0.2">
      <c r="A93" s="159">
        <f>'PLANILHA ORÇAMENTÁRIA'!A40</f>
        <v>22</v>
      </c>
      <c r="B93" s="158" t="str">
        <f>'PLANILHA ORÇAMENTÁRIA'!D40</f>
        <v>PREPARAÇÃO PARA EMASSAMENTO OU PINTURA (LÁTEX/ACRÍLICA) EM PAREDE, INCLUSIVE UMA (1) DEMÃO DE SELADOR ACRÍLICO</v>
      </c>
      <c r="C93" s="158" t="str">
        <f>'PLANILHA ORÇAMENTÁRIA'!E40</f>
        <v>m²</v>
      </c>
      <c r="D93" s="135">
        <f>O93</f>
        <v>25.86</v>
      </c>
      <c r="E93" s="99"/>
      <c r="F93" s="99"/>
      <c r="G93" s="109"/>
      <c r="H93" s="105"/>
      <c r="I93" s="105"/>
      <c r="J93" s="105"/>
      <c r="K93" s="105"/>
      <c r="L93" s="105"/>
      <c r="M93" s="105"/>
      <c r="N93" s="105"/>
      <c r="O93" s="105">
        <f>D92</f>
        <v>25.86</v>
      </c>
      <c r="P93" s="105"/>
      <c r="Q93" s="105"/>
      <c r="R93" s="104" t="s">
        <v>319</v>
      </c>
    </row>
    <row r="94" spans="1:19" ht="38.25" x14ac:dyDescent="0.2">
      <c r="A94" s="107">
        <f>'PLANILHA ORÇAMENTÁRIA'!A41</f>
        <v>23</v>
      </c>
      <c r="B94" s="92" t="str">
        <f>'PLANILHA ORÇAMENTÁRIA'!D41</f>
        <v>PINTURA ACRÍLICA EM PAREDE, DUAS (2) DEMÃOS, COM APLICAÇÃO MANUAL, EXCLUSIVE SELADOR ACRÍLICO E MASSA ACRÍLICA/CORRIDA (PVA)</v>
      </c>
      <c r="C94" s="92" t="str">
        <f>'PLANILHA ORÇAMENTÁRIA'!E41</f>
        <v>m²</v>
      </c>
      <c r="D94" s="134">
        <f>O94</f>
        <v>25.86</v>
      </c>
      <c r="E94" s="99"/>
      <c r="F94" s="99"/>
      <c r="G94" s="109"/>
      <c r="H94" s="105"/>
      <c r="I94" s="105"/>
      <c r="J94" s="105"/>
      <c r="K94" s="105"/>
      <c r="L94" s="105"/>
      <c r="M94" s="105"/>
      <c r="N94" s="105"/>
      <c r="O94" s="105">
        <f>D93</f>
        <v>25.86</v>
      </c>
      <c r="P94" s="105"/>
      <c r="Q94" s="105"/>
      <c r="R94" s="104" t="s">
        <v>320</v>
      </c>
    </row>
    <row r="95" spans="1:19" ht="56.25" x14ac:dyDescent="0.2">
      <c r="A95" s="236">
        <f>'PLANILHA ORÇAMENTÁRIA'!A42</f>
        <v>24</v>
      </c>
      <c r="B95" s="239" t="str">
        <f>'PLANILHA ORÇAMENTÁRIA'!D42</f>
        <v>CAIAÇÃO MANUAL, TRÊS DEMÃOS (EXECUÇÃO, INCLUI FORNECIMENTO E APLICAÇÃO DA CAL HIDRATADA PARA CAIAÇÃO)</v>
      </c>
      <c r="C95" s="239" t="str">
        <f>'PLANILHA ORÇAMENTÁRIA'!E42</f>
        <v>m²</v>
      </c>
      <c r="D95" s="242">
        <f>SUM(O95:O96)</f>
        <v>54.13</v>
      </c>
      <c r="E95" s="99"/>
      <c r="F95" s="99"/>
      <c r="G95" s="109"/>
      <c r="H95" s="105"/>
      <c r="I95" s="105">
        <f>D69</f>
        <v>73.08</v>
      </c>
      <c r="J95" s="105">
        <f>0.13+0.1+0.1</f>
        <v>0.33</v>
      </c>
      <c r="K95" s="105"/>
      <c r="L95" s="105"/>
      <c r="M95" s="105"/>
      <c r="N95" s="105"/>
      <c r="O95" s="105">
        <f>ROUND(I95*J95,2)</f>
        <v>24.12</v>
      </c>
      <c r="P95" s="105"/>
      <c r="Q95" s="105"/>
      <c r="R95" s="104" t="s">
        <v>321</v>
      </c>
    </row>
    <row r="96" spans="1:19" ht="56.25" x14ac:dyDescent="0.2">
      <c r="A96" s="238"/>
      <c r="B96" s="241"/>
      <c r="C96" s="241"/>
      <c r="D96" s="244"/>
      <c r="E96" s="99"/>
      <c r="F96" s="99"/>
      <c r="G96" s="109"/>
      <c r="H96" s="105"/>
      <c r="I96" s="105">
        <f>53.86+52.32+1</f>
        <v>107.18</v>
      </c>
      <c r="J96" s="105">
        <f>0.13+0.15</f>
        <v>0.28000000000000003</v>
      </c>
      <c r="K96" s="105"/>
      <c r="L96" s="105"/>
      <c r="M96" s="105"/>
      <c r="N96" s="105"/>
      <c r="O96" s="105">
        <f>ROUND(I96*J96,2)</f>
        <v>30.01</v>
      </c>
      <c r="P96" s="105"/>
      <c r="Q96" s="105"/>
      <c r="R96" s="104" t="s">
        <v>322</v>
      </c>
    </row>
    <row r="97" spans="1:19" ht="14.45" customHeight="1" x14ac:dyDescent="0.2">
      <c r="A97" s="245" t="str">
        <f>'PLANILHA ORÇAMENTÁRIA'!A43</f>
        <v>PAISAGISMO</v>
      </c>
      <c r="B97" s="246"/>
      <c r="C97" s="246"/>
      <c r="D97" s="246"/>
      <c r="E97" s="246"/>
      <c r="F97" s="246"/>
      <c r="G97" s="246"/>
      <c r="H97" s="246"/>
      <c r="I97" s="246"/>
      <c r="J97" s="246"/>
      <c r="K97" s="246"/>
      <c r="L97" s="246"/>
      <c r="M97" s="246"/>
      <c r="N97" s="246"/>
      <c r="O97" s="246"/>
      <c r="P97" s="246"/>
      <c r="Q97" s="246"/>
      <c r="R97" s="247"/>
      <c r="S97" s="94"/>
    </row>
    <row r="98" spans="1:19" ht="38.25" x14ac:dyDescent="0.2">
      <c r="A98" s="107">
        <f>'PLANILHA ORÇAMENTÁRIA'!A44</f>
        <v>25</v>
      </c>
      <c r="B98" s="92" t="str">
        <f>'PLANILHA ORÇAMENTÁRIA'!D44</f>
        <v>PLANTIO E PREPARO DE COVAS PARA ÁRVORES COM ALTURA MÉDIA DE 2,00M, DIMENSÕES (60X60X60)CM, EXCLUSIVE FORNECIMENTO DAS MUDAS</v>
      </c>
      <c r="C98" s="92" t="str">
        <f>'PLANILHA ORÇAMENTÁRIA'!E44</f>
        <v>Unid.</v>
      </c>
      <c r="D98" s="134">
        <f>E98</f>
        <v>1</v>
      </c>
      <c r="E98" s="99">
        <v>1</v>
      </c>
      <c r="F98" s="99"/>
      <c r="G98" s="109"/>
      <c r="H98" s="105"/>
      <c r="I98" s="105"/>
      <c r="J98" s="105"/>
      <c r="K98" s="105"/>
      <c r="L98" s="105"/>
      <c r="M98" s="105"/>
      <c r="N98" s="105"/>
      <c r="O98" s="105"/>
      <c r="P98" s="105"/>
      <c r="Q98" s="105"/>
      <c r="R98" s="104" t="s">
        <v>323</v>
      </c>
    </row>
    <row r="99" spans="1:19" ht="25.5" x14ac:dyDescent="0.2">
      <c r="A99" s="107">
        <f>'PLANILHA ORÇAMENTÁRIA'!A45</f>
        <v>26</v>
      </c>
      <c r="B99" s="92" t="str">
        <f>'PLANILHA ORÇAMENTÁRIA'!D45</f>
        <v>FORNECIMENTO DE PALMEIRA JERIVÁ COM ALTURA MÉDIA DE 2,00M, EXCLUSIVE PLANTIO</v>
      </c>
      <c r="C99" s="92" t="str">
        <f>'PLANILHA ORÇAMENTÁRIA'!E45</f>
        <v>Unid.</v>
      </c>
      <c r="D99" s="134">
        <f>E99</f>
        <v>1</v>
      </c>
      <c r="E99" s="99">
        <v>1</v>
      </c>
      <c r="F99" s="99"/>
      <c r="G99" s="109"/>
      <c r="H99" s="105"/>
      <c r="I99" s="105"/>
      <c r="J99" s="105"/>
      <c r="K99" s="105"/>
      <c r="L99" s="105"/>
      <c r="M99" s="105"/>
      <c r="N99" s="105"/>
      <c r="O99" s="105"/>
      <c r="P99" s="105"/>
      <c r="Q99" s="105"/>
      <c r="R99" s="104" t="s">
        <v>323</v>
      </c>
    </row>
    <row r="100" spans="1:19" ht="22.5" x14ac:dyDescent="0.2">
      <c r="A100" s="236">
        <f>'PLANILHA ORÇAMENTÁRIA'!A46</f>
        <v>27</v>
      </c>
      <c r="B100" s="239" t="str">
        <f>'PLANILHA ORÇAMENTÁRIA'!D46</f>
        <v>PLANTIO DE GRAMA ESMERALDA EM PLACAS, INCLUSIVE TERRA VEGETAL E CONSERVAÇÃO POR TRINTA (30) DIAS</v>
      </c>
      <c r="C100" s="239" t="str">
        <f>'PLANILHA ORÇAMENTÁRIA'!E46</f>
        <v>m²</v>
      </c>
      <c r="D100" s="242">
        <f>SUM(P100:P106)</f>
        <v>207.86</v>
      </c>
      <c r="E100" s="99"/>
      <c r="F100" s="99"/>
      <c r="G100" s="109"/>
      <c r="H100" s="105"/>
      <c r="I100" s="105"/>
      <c r="J100" s="105"/>
      <c r="K100" s="105"/>
      <c r="L100" s="105"/>
      <c r="M100" s="105"/>
      <c r="N100" s="105"/>
      <c r="O100" s="105"/>
      <c r="P100" s="105">
        <v>4.7</v>
      </c>
      <c r="Q100" s="105"/>
      <c r="R100" s="104" t="s">
        <v>324</v>
      </c>
    </row>
    <row r="101" spans="1:19" ht="22.5" x14ac:dyDescent="0.2">
      <c r="A101" s="237"/>
      <c r="B101" s="240"/>
      <c r="C101" s="240"/>
      <c r="D101" s="243"/>
      <c r="E101" s="99"/>
      <c r="F101" s="99"/>
      <c r="G101" s="109"/>
      <c r="H101" s="105"/>
      <c r="I101" s="105"/>
      <c r="J101" s="105"/>
      <c r="K101" s="105"/>
      <c r="L101" s="105"/>
      <c r="M101" s="105"/>
      <c r="N101" s="105"/>
      <c r="O101" s="105"/>
      <c r="P101" s="105">
        <v>31.32</v>
      </c>
      <c r="Q101" s="105"/>
      <c r="R101" s="104" t="s">
        <v>325</v>
      </c>
    </row>
    <row r="102" spans="1:19" ht="22.5" x14ac:dyDescent="0.2">
      <c r="A102" s="237"/>
      <c r="B102" s="240"/>
      <c r="C102" s="240"/>
      <c r="D102" s="243"/>
      <c r="E102" s="99"/>
      <c r="F102" s="99"/>
      <c r="G102" s="109"/>
      <c r="H102" s="105"/>
      <c r="I102" s="105"/>
      <c r="J102" s="105"/>
      <c r="K102" s="105"/>
      <c r="L102" s="105"/>
      <c r="M102" s="105"/>
      <c r="N102" s="105"/>
      <c r="O102" s="105"/>
      <c r="P102" s="105">
        <v>74.290000000000006</v>
      </c>
      <c r="Q102" s="105"/>
      <c r="R102" s="104" t="s">
        <v>326</v>
      </c>
    </row>
    <row r="103" spans="1:19" ht="22.5" x14ac:dyDescent="0.2">
      <c r="A103" s="237"/>
      <c r="B103" s="240"/>
      <c r="C103" s="240"/>
      <c r="D103" s="243"/>
      <c r="E103" s="99"/>
      <c r="F103" s="99"/>
      <c r="G103" s="109"/>
      <c r="H103" s="105"/>
      <c r="I103" s="105"/>
      <c r="J103" s="105"/>
      <c r="K103" s="105"/>
      <c r="L103" s="105"/>
      <c r="M103" s="105"/>
      <c r="N103" s="105"/>
      <c r="O103" s="105"/>
      <c r="P103" s="105">
        <v>20.25</v>
      </c>
      <c r="Q103" s="105"/>
      <c r="R103" s="104" t="s">
        <v>327</v>
      </c>
    </row>
    <row r="104" spans="1:19" ht="22.5" x14ac:dyDescent="0.2">
      <c r="A104" s="237"/>
      <c r="B104" s="240"/>
      <c r="C104" s="240"/>
      <c r="D104" s="243"/>
      <c r="E104" s="99"/>
      <c r="F104" s="99"/>
      <c r="G104" s="109"/>
      <c r="H104" s="105"/>
      <c r="I104" s="105"/>
      <c r="J104" s="105"/>
      <c r="K104" s="105"/>
      <c r="L104" s="105"/>
      <c r="M104" s="105"/>
      <c r="N104" s="105"/>
      <c r="O104" s="105"/>
      <c r="P104" s="105">
        <v>14.58</v>
      </c>
      <c r="Q104" s="105"/>
      <c r="R104" s="104" t="s">
        <v>328</v>
      </c>
    </row>
    <row r="105" spans="1:19" ht="22.5" x14ac:dyDescent="0.2">
      <c r="A105" s="237"/>
      <c r="B105" s="240"/>
      <c r="C105" s="240"/>
      <c r="D105" s="243"/>
      <c r="E105" s="99"/>
      <c r="F105" s="99"/>
      <c r="G105" s="109"/>
      <c r="H105" s="105"/>
      <c r="I105" s="105"/>
      <c r="J105" s="105"/>
      <c r="K105" s="105"/>
      <c r="L105" s="105"/>
      <c r="M105" s="105"/>
      <c r="N105" s="105"/>
      <c r="O105" s="105"/>
      <c r="P105" s="105">
        <v>5.38</v>
      </c>
      <c r="Q105" s="105"/>
      <c r="R105" s="104" t="s">
        <v>329</v>
      </c>
    </row>
    <row r="106" spans="1:19" ht="22.5" x14ac:dyDescent="0.2">
      <c r="A106" s="238"/>
      <c r="B106" s="241"/>
      <c r="C106" s="241"/>
      <c r="D106" s="244"/>
      <c r="E106" s="99"/>
      <c r="F106" s="99"/>
      <c r="G106" s="109"/>
      <c r="H106" s="105"/>
      <c r="I106" s="105"/>
      <c r="J106" s="105"/>
      <c r="K106" s="105"/>
      <c r="L106" s="105"/>
      <c r="M106" s="105"/>
      <c r="N106" s="105"/>
      <c r="O106" s="105"/>
      <c r="P106" s="105">
        <v>57.34</v>
      </c>
      <c r="Q106" s="105"/>
      <c r="R106" s="104" t="s">
        <v>330</v>
      </c>
    </row>
    <row r="107" spans="1:19" ht="14.45" customHeight="1" x14ac:dyDescent="0.2">
      <c r="A107" s="245" t="str">
        <f>'PLANILHA ORÇAMENTÁRIA'!A47</f>
        <v>MOBILIÁRIO URBANO E ILUMINAÇÃO</v>
      </c>
      <c r="B107" s="246"/>
      <c r="C107" s="246"/>
      <c r="D107" s="246"/>
      <c r="E107" s="246"/>
      <c r="F107" s="246"/>
      <c r="G107" s="246"/>
      <c r="H107" s="246"/>
      <c r="I107" s="246"/>
      <c r="J107" s="246"/>
      <c r="K107" s="246"/>
      <c r="L107" s="246"/>
      <c r="M107" s="246"/>
      <c r="N107" s="246"/>
      <c r="O107" s="246"/>
      <c r="P107" s="246"/>
      <c r="Q107" s="246"/>
      <c r="R107" s="247"/>
      <c r="S107" s="94"/>
    </row>
    <row r="108" spans="1:19" ht="38.25" x14ac:dyDescent="0.2">
      <c r="A108" s="107">
        <f>'PLANILHA ORÇAMENTÁRIA'!A48</f>
        <v>28</v>
      </c>
      <c r="B108" s="92" t="str">
        <f>'PLANILHA ORÇAMENTÁRIA'!D48</f>
        <v>LUMINÁRIA DE LED PARA ILUMINAÇÃO PÚBLICA, DE 33 W ATÉ 50 W - FORNECIMENTO E INSTALAÇÃO. AF_02/2025_PS</v>
      </c>
      <c r="C108" s="92" t="str">
        <f>'PLANILHA ORÇAMENTÁRIA'!E48</f>
        <v>Unid.</v>
      </c>
      <c r="D108" s="134">
        <f>E108</f>
        <v>26</v>
      </c>
      <c r="E108" s="99">
        <v>26</v>
      </c>
      <c r="F108" s="99"/>
      <c r="G108" s="109"/>
      <c r="H108" s="105"/>
      <c r="I108" s="105"/>
      <c r="J108" s="105"/>
      <c r="K108" s="105"/>
      <c r="L108" s="105"/>
      <c r="M108" s="105"/>
      <c r="N108" s="105"/>
      <c r="O108" s="105"/>
      <c r="P108" s="105"/>
      <c r="Q108" s="105"/>
      <c r="R108" s="104" t="s">
        <v>331</v>
      </c>
    </row>
    <row r="109" spans="1:19" ht="38.25" x14ac:dyDescent="0.2">
      <c r="A109" s="107">
        <f>'PLANILHA ORÇAMENTÁRIA'!A49</f>
        <v>29</v>
      </c>
      <c r="B109" s="92" t="str">
        <f>'PLANILHA ORÇAMENTÁRIA'!D49</f>
        <v>POSTE DE AÇO GALVANIZADO, ALTURA LIVRE MÍNIMA DE 6M, COM 2 REFLETORES DE LED, POTÊNCIA DE 200W CADA, INCLUSIVE FIAÇÃO, SUPORTE E FUNDAÇÃO</v>
      </c>
      <c r="C109" s="92" t="str">
        <f>'PLANILHA ORÇAMENTÁRIA'!E49</f>
        <v>Unid.</v>
      </c>
      <c r="D109" s="135">
        <f>E109</f>
        <v>3</v>
      </c>
      <c r="E109" s="137">
        <v>3</v>
      </c>
      <c r="F109" s="137"/>
      <c r="G109" s="138"/>
      <c r="H109" s="139"/>
      <c r="I109" s="139"/>
      <c r="J109" s="139"/>
      <c r="K109" s="139"/>
      <c r="L109" s="139"/>
      <c r="M109" s="139"/>
      <c r="N109" s="139"/>
      <c r="O109" s="139"/>
      <c r="P109" s="139"/>
      <c r="Q109" s="139"/>
      <c r="R109" s="136" t="s">
        <v>332</v>
      </c>
    </row>
    <row r="110" spans="1:19" ht="89.25" x14ac:dyDescent="0.2">
      <c r="A110" s="107">
        <f>'PLANILHA ORÇAMENTÁRIA'!A50</f>
        <v>30</v>
      </c>
      <c r="B110" s="92" t="str">
        <f>'PLANILHA ORÇAMENTÁRIA'!D50</f>
        <v>BANCO EM CONCRETO APARENTE, TIPO-2, PADRÃO SEE-MG, SEM ENCOSTO, POLIDO COM ACABAMENTO EM VERNIZ, ESP. 5CM, COMPRIMENTO 150CM, LARGURA 40CM, ALTURA 45CM, INCLUSIVE CORTE NO PISO PARA FIXAÇÃO COM CONCRETO NÃO ESTRUTURAL, PREPARADO EM OBRA COM BETONEIRA, COM FCK 15 MPA</v>
      </c>
      <c r="C110" s="92" t="str">
        <f>'PLANILHA ORÇAMENTÁRIA'!E50</f>
        <v>Unid.</v>
      </c>
      <c r="D110" s="135">
        <f>E110</f>
        <v>8</v>
      </c>
      <c r="E110" s="137">
        <v>8</v>
      </c>
      <c r="F110" s="137"/>
      <c r="G110" s="138"/>
      <c r="H110" s="139"/>
      <c r="I110" s="139"/>
      <c r="J110" s="139"/>
      <c r="K110" s="139"/>
      <c r="L110" s="139"/>
      <c r="M110" s="139"/>
      <c r="N110" s="139"/>
      <c r="O110" s="139"/>
      <c r="P110" s="139"/>
      <c r="Q110" s="139"/>
      <c r="R110" s="136" t="s">
        <v>333</v>
      </c>
    </row>
    <row r="111" spans="1:19" ht="36" customHeight="1" x14ac:dyDescent="0.2">
      <c r="A111" s="236">
        <f>'PLANILHA ORÇAMENTÁRIA'!A51</f>
        <v>31</v>
      </c>
      <c r="B111" s="239" t="str">
        <f>'PLANILHA ORÇAMENTÁRIA'!D51</f>
        <v>CORRIMÃO DUPLO EM TUBO GALVANIZADO, COM COSTURA, DIÂMETRO DE 1.1/2", ESP. 3MM, FIXADO EM PISO COM MONTANTE VERTICAL, DIÂMETRO DE 1.1/2", INCLUSIVE SUPORTE PARA CORRIMÃO EM BARRA CHATA (1"X1/2"), EXCLUSIVE PINTURA</v>
      </c>
      <c r="C111" s="239" t="str">
        <f>'PLANILHA ORÇAMENTÁRIA'!E51</f>
        <v>m</v>
      </c>
      <c r="D111" s="242">
        <f>SUM(I111:I112)</f>
        <v>12.600000000000001</v>
      </c>
      <c r="E111" s="137"/>
      <c r="F111" s="137"/>
      <c r="G111" s="138"/>
      <c r="H111" s="139"/>
      <c r="I111" s="139">
        <f>4.28*2</f>
        <v>8.56</v>
      </c>
      <c r="J111" s="139"/>
      <c r="K111" s="139"/>
      <c r="L111" s="139"/>
      <c r="M111" s="139"/>
      <c r="N111" s="139"/>
      <c r="O111" s="139"/>
      <c r="P111" s="139"/>
      <c r="Q111" s="139"/>
      <c r="R111" s="136" t="s">
        <v>345</v>
      </c>
    </row>
    <row r="112" spans="1:19" ht="36" customHeight="1" x14ac:dyDescent="0.2">
      <c r="A112" s="238"/>
      <c r="B112" s="241"/>
      <c r="C112" s="241"/>
      <c r="D112" s="244"/>
      <c r="E112" s="137"/>
      <c r="F112" s="137"/>
      <c r="G112" s="138"/>
      <c r="H112" s="139"/>
      <c r="I112" s="139">
        <f>2.02*2</f>
        <v>4.04</v>
      </c>
      <c r="J112" s="139"/>
      <c r="K112" s="139"/>
      <c r="L112" s="139"/>
      <c r="M112" s="139"/>
      <c r="N112" s="139"/>
      <c r="O112" s="139"/>
      <c r="P112" s="139"/>
      <c r="Q112" s="139"/>
      <c r="R112" s="136" t="s">
        <v>344</v>
      </c>
    </row>
    <row r="113" spans="1:19" ht="14.45" customHeight="1" x14ac:dyDescent="0.2">
      <c r="A113" s="245" t="str">
        <f>'PLANILHA ORÇAMENTÁRIA'!A52</f>
        <v>ENTREGA DE OBRA</v>
      </c>
      <c r="B113" s="246"/>
      <c r="C113" s="246"/>
      <c r="D113" s="246"/>
      <c r="E113" s="246"/>
      <c r="F113" s="246"/>
      <c r="G113" s="246"/>
      <c r="H113" s="246"/>
      <c r="I113" s="246"/>
      <c r="J113" s="246"/>
      <c r="K113" s="246"/>
      <c r="L113" s="246"/>
      <c r="M113" s="246"/>
      <c r="N113" s="246"/>
      <c r="O113" s="246"/>
      <c r="P113" s="246"/>
      <c r="Q113" s="246"/>
      <c r="R113" s="247"/>
      <c r="S113" s="94"/>
    </row>
    <row r="114" spans="1:19" ht="25.5" x14ac:dyDescent="0.2">
      <c r="A114" s="107">
        <f>'PLANILHA ORÇAMENTÁRIA'!A53</f>
        <v>32</v>
      </c>
      <c r="B114" s="92" t="str">
        <f>'PLANILHA ORÇAMENTÁRIA'!D53</f>
        <v>PLACA DE ALUMÍNIO FUNDIDO, DIMENSÃO (60X40)CM, PARA INAUGURAÇÃO, INCLUSIVE FIXAÇÃO</v>
      </c>
      <c r="C114" s="92" t="str">
        <f>'PLANILHA ORÇAMENTÁRIA'!E53</f>
        <v>Unid.</v>
      </c>
      <c r="D114" s="135">
        <f>E114</f>
        <v>1</v>
      </c>
      <c r="E114" s="137">
        <v>1</v>
      </c>
      <c r="F114" s="137"/>
      <c r="G114" s="138"/>
      <c r="H114" s="139"/>
      <c r="I114" s="139"/>
      <c r="J114" s="139"/>
      <c r="K114" s="139"/>
      <c r="L114" s="139"/>
      <c r="M114" s="139"/>
      <c r="N114" s="139"/>
      <c r="O114" s="139"/>
      <c r="P114" s="139"/>
      <c r="Q114" s="139"/>
      <c r="R114" s="136" t="s">
        <v>212</v>
      </c>
    </row>
    <row r="115" spans="1:19" ht="68.25" thickBot="1" x14ac:dyDescent="0.25">
      <c r="A115" s="110">
        <f>'PLANILHA ORÇAMENTÁRIA'!A54</f>
        <v>33</v>
      </c>
      <c r="B115" s="111" t="str">
        <f>'PLANILHA ORÇAMENTÁRIA'!D54</f>
        <v>LIMPEZA FINAL PARA ENTREGA DA OBRA</v>
      </c>
      <c r="C115" s="111" t="str">
        <f>'PLANILHA ORÇAMENTÁRIA'!E54</f>
        <v>m²</v>
      </c>
      <c r="D115" s="140">
        <f>P115</f>
        <v>371.22999999999996</v>
      </c>
      <c r="E115" s="106"/>
      <c r="F115" s="106"/>
      <c r="G115" s="112"/>
      <c r="H115" s="103"/>
      <c r="I115" s="103"/>
      <c r="J115" s="103"/>
      <c r="K115" s="103"/>
      <c r="L115" s="103"/>
      <c r="M115" s="103"/>
      <c r="N115" s="103"/>
      <c r="O115" s="103"/>
      <c r="P115" s="103">
        <f>168.67+183.77+3.82+3.77+7.28+3.92</f>
        <v>371.22999999999996</v>
      </c>
      <c r="Q115" s="103"/>
      <c r="R115" s="102" t="s">
        <v>334</v>
      </c>
    </row>
    <row r="116" spans="1:19" s="168" customFormat="1" ht="21" customHeight="1" thickBot="1" x14ac:dyDescent="0.25">
      <c r="A116" s="260" t="str">
        <f>'PLANILHA ORÇAMENTÁRIA'!A56</f>
        <v>ITEM B - PRAÇA 13 DE MAIO</v>
      </c>
      <c r="B116" s="261"/>
      <c r="C116" s="261"/>
      <c r="D116" s="261"/>
      <c r="E116" s="261"/>
      <c r="F116" s="261"/>
      <c r="G116" s="261"/>
      <c r="H116" s="261"/>
      <c r="I116" s="261"/>
      <c r="J116" s="261"/>
      <c r="K116" s="261"/>
      <c r="L116" s="261"/>
      <c r="M116" s="261"/>
      <c r="N116" s="261"/>
      <c r="O116" s="261"/>
      <c r="P116" s="261"/>
      <c r="Q116" s="261"/>
      <c r="R116" s="262"/>
      <c r="S116" s="167"/>
    </row>
    <row r="117" spans="1:19" ht="14.45" customHeight="1" x14ac:dyDescent="0.2">
      <c r="A117" s="263" t="str">
        <f>'PLANILHA ORÇAMENTÁRIA'!A58</f>
        <v>SERVIÇOS PRELIMINARES</v>
      </c>
      <c r="B117" s="264"/>
      <c r="C117" s="264"/>
      <c r="D117" s="264"/>
      <c r="E117" s="264"/>
      <c r="F117" s="264"/>
      <c r="G117" s="264"/>
      <c r="H117" s="264"/>
      <c r="I117" s="264"/>
      <c r="J117" s="264"/>
      <c r="K117" s="264"/>
      <c r="L117" s="264"/>
      <c r="M117" s="264"/>
      <c r="N117" s="264"/>
      <c r="O117" s="264"/>
      <c r="P117" s="264"/>
      <c r="Q117" s="264"/>
      <c r="R117" s="265"/>
      <c r="S117" s="94"/>
    </row>
    <row r="118" spans="1:19" ht="76.5" x14ac:dyDescent="0.2">
      <c r="A118" s="107">
        <f>'PLANILHA ORÇAMENTÁRIA'!A59</f>
        <v>34</v>
      </c>
      <c r="B118" s="92" t="str">
        <f>'PLANILHA ORÇAMENTÁRIA'!D59</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118" s="92" t="str">
        <f>'PLANILHA ORÇAMENTÁRIA'!E59</f>
        <v>m²</v>
      </c>
      <c r="D118" s="134">
        <f>O118</f>
        <v>2.88</v>
      </c>
      <c r="E118" s="105"/>
      <c r="F118" s="105"/>
      <c r="G118" s="105"/>
      <c r="H118" s="105"/>
      <c r="I118" s="105"/>
      <c r="J118" s="105">
        <v>2.4</v>
      </c>
      <c r="K118" s="105">
        <v>1.2</v>
      </c>
      <c r="L118" s="105"/>
      <c r="M118" s="105"/>
      <c r="N118" s="105"/>
      <c r="O118" s="105">
        <f>ROUND(J118*K118,2)</f>
        <v>2.88</v>
      </c>
      <c r="P118" s="105"/>
      <c r="Q118" s="105"/>
      <c r="R118" s="104" t="s">
        <v>201</v>
      </c>
    </row>
    <row r="119" spans="1:19" ht="33.75" x14ac:dyDescent="0.2">
      <c r="A119" s="236">
        <f>'PLANILHA ORÇAMENTÁRIA'!A60</f>
        <v>35</v>
      </c>
      <c r="B119" s="239" t="str">
        <f>'PLANILHA ORÇAMENTÁRIA'!D60</f>
        <v>LOCAÇÃO DE OBRA COM GABARITO DE TÁBUAS CORRIDAS PONTALETADAS A CADA 2,00M, REAPROVEITAMENTO (2X), INCLUSIVE ACOMPANHAMENTO DE EQUIPE TOPOGRÁFICA PARA MARCAÇÃO DE PONTO TOPOGRÁFICO</v>
      </c>
      <c r="C119" s="239" t="str">
        <f>'PLANILHA ORÇAMENTÁRIA'!E60</f>
        <v>m</v>
      </c>
      <c r="D119" s="242">
        <f>SUM(H119:H120)</f>
        <v>96.02</v>
      </c>
      <c r="E119" s="99"/>
      <c r="F119" s="99"/>
      <c r="G119" s="105"/>
      <c r="H119" s="105">
        <v>87.52</v>
      </c>
      <c r="I119" s="105"/>
      <c r="J119" s="105"/>
      <c r="K119" s="105"/>
      <c r="L119" s="105"/>
      <c r="M119" s="105"/>
      <c r="N119" s="105"/>
      <c r="O119" s="105"/>
      <c r="P119" s="105"/>
      <c r="Q119" s="105"/>
      <c r="R119" s="104" t="s">
        <v>348</v>
      </c>
    </row>
    <row r="120" spans="1:19" ht="22.5" x14ac:dyDescent="0.2">
      <c r="A120" s="237"/>
      <c r="B120" s="240"/>
      <c r="C120" s="240"/>
      <c r="D120" s="243"/>
      <c r="E120" s="99"/>
      <c r="F120" s="99"/>
      <c r="G120" s="105"/>
      <c r="H120" s="105">
        <f>4.17+4.33</f>
        <v>8.5</v>
      </c>
      <c r="I120" s="105"/>
      <c r="J120" s="105"/>
      <c r="K120" s="105"/>
      <c r="L120" s="105"/>
      <c r="M120" s="105"/>
      <c r="N120" s="105"/>
      <c r="O120" s="92"/>
      <c r="P120" s="92"/>
      <c r="Q120" s="105"/>
      <c r="R120" s="104" t="s">
        <v>349</v>
      </c>
    </row>
    <row r="121" spans="1:19" ht="14.45" customHeight="1" x14ac:dyDescent="0.2">
      <c r="A121" s="245" t="str">
        <f>'PLANILHA ORÇAMENTÁRIA'!A61</f>
        <v>DEMOLIÇÃO / REMOÇÃO</v>
      </c>
      <c r="B121" s="246"/>
      <c r="C121" s="246"/>
      <c r="D121" s="246"/>
      <c r="E121" s="246"/>
      <c r="F121" s="246"/>
      <c r="G121" s="246"/>
      <c r="H121" s="246"/>
      <c r="I121" s="246"/>
      <c r="J121" s="246"/>
      <c r="K121" s="246"/>
      <c r="L121" s="246"/>
      <c r="M121" s="246"/>
      <c r="N121" s="246"/>
      <c r="O121" s="246"/>
      <c r="P121" s="246"/>
      <c r="Q121" s="246"/>
      <c r="R121" s="247"/>
      <c r="S121" s="94"/>
    </row>
    <row r="122" spans="1:19" ht="30.6" customHeight="1" x14ac:dyDescent="0.2">
      <c r="A122" s="236">
        <f>'PLANILHA ORÇAMENTÁRIA'!A62</f>
        <v>36</v>
      </c>
      <c r="B122" s="239" t="str">
        <f>'PLANILHA ORÇAMENTÁRIA'!D62</f>
        <v>DEMOLIÇÃO MANUAL DE PISO CIMENTADO OU CONTRAPISO DE ARGAMASSA, COM ESPESSURA MÁXIMA DE 10CM, INCLUSIVE AFASTAMENTO E EMPILHAMENTO, EXCLUSIVE TRANSPORTE E RETIRADA DO MATERIAL DEMOLIDO</v>
      </c>
      <c r="C122" s="239" t="str">
        <f>'PLANILHA ORÇAMENTÁRIA'!E62</f>
        <v>m²</v>
      </c>
      <c r="D122" s="242">
        <f>SUM(P122:P123)</f>
        <v>261.48</v>
      </c>
      <c r="E122" s="99"/>
      <c r="F122" s="99"/>
      <c r="G122" s="105"/>
      <c r="H122" s="105"/>
      <c r="I122" s="105"/>
      <c r="J122" s="105"/>
      <c r="K122" s="105"/>
      <c r="L122" s="105"/>
      <c r="M122" s="105"/>
      <c r="N122" s="105"/>
      <c r="O122" s="105"/>
      <c r="P122" s="105">
        <v>61.79</v>
      </c>
      <c r="Q122" s="105"/>
      <c r="R122" s="104" t="s">
        <v>350</v>
      </c>
    </row>
    <row r="123" spans="1:19" ht="30.6" customHeight="1" x14ac:dyDescent="0.2">
      <c r="A123" s="238"/>
      <c r="B123" s="241"/>
      <c r="C123" s="241"/>
      <c r="D123" s="244"/>
      <c r="E123" s="99"/>
      <c r="F123" s="99"/>
      <c r="G123" s="105"/>
      <c r="H123" s="105"/>
      <c r="I123" s="105"/>
      <c r="J123" s="105"/>
      <c r="K123" s="105"/>
      <c r="L123" s="105"/>
      <c r="M123" s="105"/>
      <c r="N123" s="105"/>
      <c r="O123" s="105"/>
      <c r="P123" s="105">
        <v>199.69</v>
      </c>
      <c r="Q123" s="105"/>
      <c r="R123" s="136" t="s">
        <v>424</v>
      </c>
    </row>
    <row r="124" spans="1:19" x14ac:dyDescent="0.2">
      <c r="A124" s="236">
        <f>'PLANILHA ORÇAMENTÁRIA'!A63</f>
        <v>37</v>
      </c>
      <c r="B124" s="239" t="str">
        <f>'PLANILHA ORÇAMENTÁRIA'!D63</f>
        <v>DEMOLIÇÃO MANUAL DE ALVENARIA DE TIJOLO CERÂMICO OU BLOCO DE CONCRETO, INCLUSIVE AFASTAMENTO E EMPILHAMENTO, EXCLUSIVE TRANSPORTE E RETIRADA DO MATERIAL DEMOLIDO</v>
      </c>
      <c r="C124" s="239" t="str">
        <f>'PLANILHA ORÇAMENTÁRIA'!E63</f>
        <v>m³</v>
      </c>
      <c r="D124" s="242">
        <f>SUM(Q124:Q126)</f>
        <v>0.67</v>
      </c>
      <c r="E124" s="99"/>
      <c r="F124" s="99"/>
      <c r="G124" s="105"/>
      <c r="H124" s="105"/>
      <c r="I124" s="105">
        <v>2.4</v>
      </c>
      <c r="J124" s="105">
        <v>0.08</v>
      </c>
      <c r="K124" s="105">
        <v>0.3</v>
      </c>
      <c r="L124" s="105"/>
      <c r="M124" s="105"/>
      <c r="N124" s="105"/>
      <c r="O124" s="92"/>
      <c r="P124" s="92"/>
      <c r="Q124" s="105">
        <f>ROUND(I124*J124*K124,2)</f>
        <v>0.06</v>
      </c>
      <c r="R124" s="248" t="s">
        <v>351</v>
      </c>
    </row>
    <row r="125" spans="1:19" x14ac:dyDescent="0.2">
      <c r="A125" s="237"/>
      <c r="B125" s="240"/>
      <c r="C125" s="240"/>
      <c r="D125" s="243"/>
      <c r="E125" s="99"/>
      <c r="F125" s="99"/>
      <c r="G125" s="105"/>
      <c r="H125" s="105"/>
      <c r="I125" s="105">
        <v>2.4</v>
      </c>
      <c r="J125" s="105">
        <v>0.08</v>
      </c>
      <c r="K125" s="105">
        <v>0.3</v>
      </c>
      <c r="L125" s="105"/>
      <c r="M125" s="105"/>
      <c r="N125" s="105"/>
      <c r="O125" s="92"/>
      <c r="P125" s="92"/>
      <c r="Q125" s="105">
        <f t="shared" ref="Q125:Q126" si="7">ROUND(I125*J125*K125,2)</f>
        <v>0.06</v>
      </c>
      <c r="R125" s="249"/>
    </row>
    <row r="126" spans="1:19" x14ac:dyDescent="0.2">
      <c r="A126" s="237"/>
      <c r="B126" s="240"/>
      <c r="C126" s="240"/>
      <c r="D126" s="243"/>
      <c r="E126" s="99"/>
      <c r="F126" s="99"/>
      <c r="G126" s="105"/>
      <c r="H126" s="105"/>
      <c r="I126" s="105">
        <v>2.4</v>
      </c>
      <c r="J126" s="105">
        <v>0.24</v>
      </c>
      <c r="K126" s="105">
        <v>0.95</v>
      </c>
      <c r="L126" s="105"/>
      <c r="M126" s="105"/>
      <c r="N126" s="105"/>
      <c r="O126" s="92"/>
      <c r="P126" s="92"/>
      <c r="Q126" s="105">
        <f t="shared" si="7"/>
        <v>0.55000000000000004</v>
      </c>
      <c r="R126" s="250"/>
    </row>
    <row r="127" spans="1:19" ht="51" x14ac:dyDescent="0.2">
      <c r="A127" s="107">
        <f>'PLANILHA ORÇAMENTÁRIA'!A64</f>
        <v>38</v>
      </c>
      <c r="B127" s="92" t="str">
        <f>'PLANILHA ORÇAMENTÁRIA'!D64</f>
        <v>DEMOLIÇÃO MANUAL DE CONCRETO, SEM ARMAÇÃO, INCLUSIVE AFASTAMENTO E EMPILHAMENTO, EXCLUSIVE TRANSPORTE E RETIRADA DO MATERIAL DEMOLIDO (BANCOS)</v>
      </c>
      <c r="C127" s="92" t="str">
        <f>'PLANILHA ORÇAMENTÁRIA'!E64</f>
        <v>m³</v>
      </c>
      <c r="D127" s="134">
        <f>Q127</f>
        <v>2</v>
      </c>
      <c r="E127" s="99"/>
      <c r="F127" s="99"/>
      <c r="G127" s="105"/>
      <c r="H127" s="105"/>
      <c r="I127" s="105"/>
      <c r="J127" s="105"/>
      <c r="K127" s="105"/>
      <c r="L127" s="105"/>
      <c r="M127" s="105"/>
      <c r="N127" s="105"/>
      <c r="O127" s="92"/>
      <c r="P127" s="92"/>
      <c r="Q127" s="105">
        <f>0.2*10</f>
        <v>2</v>
      </c>
      <c r="R127" s="104" t="s">
        <v>352</v>
      </c>
    </row>
    <row r="128" spans="1:19" ht="56.25" x14ac:dyDescent="0.2">
      <c r="A128" s="107">
        <f>'PLANILHA ORÇAMENTÁRIA'!A65</f>
        <v>39</v>
      </c>
      <c r="B128" s="92" t="str">
        <f>'PLANILHA ORÇAMENTÁRIA'!D65</f>
        <v>DEMOLIÇÃO MANUAL DE REBOCO OU EMBOÇO, COM ESPESSURA DE ATÉ 55MM, INCLUSIVE AFASTAMENTO E EMPILHAMENTO, EXCLUSIVE TRANSPORTE E RETIRADA DO MATERIAL DEMOLIDO</v>
      </c>
      <c r="C128" s="92" t="str">
        <f>'PLANILHA ORÇAMENTÁRIA'!E65</f>
        <v>m²</v>
      </c>
      <c r="D128" s="135">
        <f>P128</f>
        <v>57.99</v>
      </c>
      <c r="E128" s="99"/>
      <c r="F128" s="99"/>
      <c r="G128" s="105"/>
      <c r="H128" s="105"/>
      <c r="I128" s="105"/>
      <c r="J128" s="105"/>
      <c r="K128" s="105"/>
      <c r="L128" s="105"/>
      <c r="M128" s="105"/>
      <c r="N128" s="105"/>
      <c r="O128" s="92"/>
      <c r="P128" s="105">
        <v>57.99</v>
      </c>
      <c r="Q128" s="105"/>
      <c r="R128" s="104" t="s">
        <v>353</v>
      </c>
    </row>
    <row r="129" spans="1:19" ht="30" customHeight="1" x14ac:dyDescent="0.2">
      <c r="A129" s="236">
        <f>'PLANILHA ORÇAMENTÁRIA'!A66</f>
        <v>40</v>
      </c>
      <c r="B129" s="239" t="str">
        <f>'PLANILHA ORÇAMENTÁRIA'!D66</f>
        <v>REMOÇÃO MANUAL DE GUIA DE MEIO-FIO PRÉ-MOLDADA EM CONCRETO, COM REAPROVEITAMENTO, INCLUSIVE AFASTAMENTO E EMPILHAMENTO, EXCLUSIVE TRANSPORTE E RETIRADA DO MATERIAL REMOVIDO NÃO REAPROVEITÁVEL</v>
      </c>
      <c r="C129" s="239" t="str">
        <f>'PLANILHA ORÇAMENTÁRIA'!E66</f>
        <v>m</v>
      </c>
      <c r="D129" s="242">
        <f>SUM(I129:I130)</f>
        <v>35.15</v>
      </c>
      <c r="E129" s="99"/>
      <c r="F129" s="99"/>
      <c r="G129" s="105"/>
      <c r="H129" s="105"/>
      <c r="I129" s="105">
        <v>2.61</v>
      </c>
      <c r="J129" s="105"/>
      <c r="K129" s="105"/>
      <c r="L129" s="105"/>
      <c r="M129" s="105"/>
      <c r="N129" s="105"/>
      <c r="O129" s="92"/>
      <c r="P129" s="105"/>
      <c r="Q129" s="105"/>
      <c r="R129" s="104" t="s">
        <v>354</v>
      </c>
    </row>
    <row r="130" spans="1:19" ht="30" customHeight="1" x14ac:dyDescent="0.2">
      <c r="A130" s="238"/>
      <c r="B130" s="241"/>
      <c r="C130" s="241"/>
      <c r="D130" s="244"/>
      <c r="E130" s="99"/>
      <c r="F130" s="99"/>
      <c r="G130" s="105"/>
      <c r="H130" s="105"/>
      <c r="I130" s="105">
        <v>32.54</v>
      </c>
      <c r="J130" s="105"/>
      <c r="K130" s="105"/>
      <c r="L130" s="105"/>
      <c r="M130" s="105"/>
      <c r="N130" s="105"/>
      <c r="O130" s="92"/>
      <c r="P130" s="105"/>
      <c r="Q130" s="105"/>
      <c r="R130" s="104" t="s">
        <v>355</v>
      </c>
    </row>
    <row r="131" spans="1:19" ht="51" x14ac:dyDescent="0.2">
      <c r="A131" s="107">
        <f>'PLANILHA ORÇAMENTÁRIA'!A67</f>
        <v>41</v>
      </c>
      <c r="B131" s="92" t="str">
        <f>'PLANILHA ORÇAMENTÁRIA'!D67</f>
        <v>REMOÇÃO MANUAL DE EQUIPAMENTOS DE ACADEMIA AO AR LIVRE COM REAPROVEITAMENTO, INCLUSIVE AFASTAMENTO ATÉ 50M E EMPILHAMENTO DO MATERIAL DEMOLIDO</v>
      </c>
      <c r="C131" s="92" t="str">
        <f>'PLANILHA ORÇAMENTÁRIA'!E67</f>
        <v>Unid.</v>
      </c>
      <c r="D131" s="135">
        <f>E131</f>
        <v>7</v>
      </c>
      <c r="E131" s="99">
        <v>7</v>
      </c>
      <c r="F131" s="99"/>
      <c r="G131" s="105"/>
      <c r="H131" s="105"/>
      <c r="I131" s="105"/>
      <c r="J131" s="105"/>
      <c r="K131" s="105"/>
      <c r="L131" s="105"/>
      <c r="M131" s="105"/>
      <c r="N131" s="105"/>
      <c r="O131" s="92"/>
      <c r="P131" s="105"/>
      <c r="Q131" s="105"/>
      <c r="R131" s="104" t="s">
        <v>356</v>
      </c>
    </row>
    <row r="132" spans="1:19" ht="51" x14ac:dyDescent="0.2">
      <c r="A132" s="107">
        <f>'PLANILHA ORÇAMENTÁRIA'!A68</f>
        <v>42</v>
      </c>
      <c r="B132" s="92" t="str">
        <f>'PLANILHA ORÇAMENTÁRIA'!D68</f>
        <v>CORTE DE ÁRVORE COM MOTOSSERRA, DIÂMETRO DO TRONCO ACIMA DE TRINTA (30) CENTÍMETROS ATÉ CINQUENTA (50) CENTÍMETROS, EXCLUSIVE DESTOCAMENTO E AFASTAMENTO</v>
      </c>
      <c r="C132" s="92" t="str">
        <f>'PLANILHA ORÇAMENTÁRIA'!E68</f>
        <v>Unid.</v>
      </c>
      <c r="D132" s="134">
        <f>E132</f>
        <v>1</v>
      </c>
      <c r="E132" s="99">
        <v>1</v>
      </c>
      <c r="F132" s="99"/>
      <c r="G132" s="105"/>
      <c r="H132" s="105"/>
      <c r="I132" s="105"/>
      <c r="J132" s="105"/>
      <c r="K132" s="105"/>
      <c r="L132" s="105"/>
      <c r="M132" s="105"/>
      <c r="N132" s="105"/>
      <c r="O132" s="92"/>
      <c r="P132" s="92"/>
      <c r="Q132" s="105"/>
      <c r="R132" s="104" t="s">
        <v>357</v>
      </c>
    </row>
    <row r="133" spans="1:19" x14ac:dyDescent="0.2">
      <c r="A133" s="236">
        <f>'PLANILHA ORÇAMENTÁRIA'!A69</f>
        <v>43</v>
      </c>
      <c r="B133" s="239" t="str">
        <f>'PLANILHA ORÇAMENTÁRIA'!D69</f>
        <v>DESMATAMENTO, DESTOCAMENTO E LIMPEZA, INCLUSIVE TRANSPORTE ATÉ CINQUENTA (50) METROS</v>
      </c>
      <c r="C133" s="239" t="str">
        <f>'PLANILHA ORÇAMENTÁRIA'!E69</f>
        <v>m²</v>
      </c>
      <c r="D133" s="242">
        <f>SUM(P133:P138)</f>
        <v>601.22</v>
      </c>
      <c r="E133" s="99"/>
      <c r="F133" s="99"/>
      <c r="G133" s="105"/>
      <c r="H133" s="105"/>
      <c r="I133" s="105"/>
      <c r="J133" s="105"/>
      <c r="K133" s="105"/>
      <c r="L133" s="105"/>
      <c r="M133" s="105"/>
      <c r="N133" s="105"/>
      <c r="O133" s="92"/>
      <c r="P133" s="105">
        <v>542.84</v>
      </c>
      <c r="Q133" s="105"/>
      <c r="R133" s="104" t="s">
        <v>358</v>
      </c>
    </row>
    <row r="134" spans="1:19" x14ac:dyDescent="0.2">
      <c r="A134" s="237"/>
      <c r="B134" s="240"/>
      <c r="C134" s="240"/>
      <c r="D134" s="243"/>
      <c r="E134" s="99"/>
      <c r="F134" s="99"/>
      <c r="G134" s="105"/>
      <c r="H134" s="105"/>
      <c r="I134" s="105"/>
      <c r="J134" s="105"/>
      <c r="K134" s="105"/>
      <c r="L134" s="105"/>
      <c r="M134" s="105"/>
      <c r="N134" s="105"/>
      <c r="O134" s="92"/>
      <c r="P134" s="105">
        <v>37.159999999999997</v>
      </c>
      <c r="Q134" s="105"/>
      <c r="R134" s="104" t="s">
        <v>359</v>
      </c>
    </row>
    <row r="135" spans="1:19" x14ac:dyDescent="0.2">
      <c r="A135" s="237"/>
      <c r="B135" s="240"/>
      <c r="C135" s="240"/>
      <c r="D135" s="243"/>
      <c r="E135" s="99"/>
      <c r="F135" s="99"/>
      <c r="G135" s="105"/>
      <c r="H135" s="105"/>
      <c r="I135" s="105"/>
      <c r="J135" s="105"/>
      <c r="K135" s="105"/>
      <c r="L135" s="105"/>
      <c r="M135" s="105"/>
      <c r="N135" s="105"/>
      <c r="O135" s="92"/>
      <c r="P135" s="105">
        <v>0.97</v>
      </c>
      <c r="Q135" s="105"/>
      <c r="R135" s="104" t="s">
        <v>360</v>
      </c>
    </row>
    <row r="136" spans="1:19" x14ac:dyDescent="0.2">
      <c r="A136" s="237"/>
      <c r="B136" s="240"/>
      <c r="C136" s="240"/>
      <c r="D136" s="243"/>
      <c r="E136" s="99"/>
      <c r="F136" s="99"/>
      <c r="G136" s="105"/>
      <c r="H136" s="105"/>
      <c r="I136" s="105"/>
      <c r="J136" s="105"/>
      <c r="K136" s="105"/>
      <c r="L136" s="105"/>
      <c r="M136" s="105"/>
      <c r="N136" s="105"/>
      <c r="O136" s="92"/>
      <c r="P136" s="105">
        <v>1.52</v>
      </c>
      <c r="Q136" s="105"/>
      <c r="R136" s="104" t="s">
        <v>360</v>
      </c>
    </row>
    <row r="137" spans="1:19" x14ac:dyDescent="0.2">
      <c r="A137" s="237"/>
      <c r="B137" s="240"/>
      <c r="C137" s="240"/>
      <c r="D137" s="243"/>
      <c r="E137" s="99"/>
      <c r="F137" s="99"/>
      <c r="G137" s="105"/>
      <c r="H137" s="105"/>
      <c r="I137" s="105"/>
      <c r="J137" s="105"/>
      <c r="K137" s="105"/>
      <c r="L137" s="105"/>
      <c r="M137" s="105"/>
      <c r="N137" s="105"/>
      <c r="O137" s="92"/>
      <c r="P137" s="105">
        <v>13.77</v>
      </c>
      <c r="Q137" s="105"/>
      <c r="R137" s="104" t="s">
        <v>360</v>
      </c>
    </row>
    <row r="138" spans="1:19" x14ac:dyDescent="0.2">
      <c r="A138" s="238"/>
      <c r="B138" s="241"/>
      <c r="C138" s="241"/>
      <c r="D138" s="244"/>
      <c r="E138" s="99"/>
      <c r="F138" s="99"/>
      <c r="G138" s="105"/>
      <c r="H138" s="105"/>
      <c r="I138" s="105"/>
      <c r="J138" s="105"/>
      <c r="K138" s="105"/>
      <c r="L138" s="105"/>
      <c r="M138" s="105"/>
      <c r="N138" s="105"/>
      <c r="O138" s="92"/>
      <c r="P138" s="105">
        <v>4.96</v>
      </c>
      <c r="Q138" s="105"/>
      <c r="R138" s="104" t="s">
        <v>360</v>
      </c>
    </row>
    <row r="139" spans="1:19" ht="14.45" customHeight="1" x14ac:dyDescent="0.2">
      <c r="A139" s="245" t="str">
        <f>'PLANILHA ORÇAMENTÁRIA'!A70</f>
        <v>MOVIMENTAÇÃO DE TERRA</v>
      </c>
      <c r="B139" s="246"/>
      <c r="C139" s="246"/>
      <c r="D139" s="246"/>
      <c r="E139" s="246"/>
      <c r="F139" s="246"/>
      <c r="G139" s="246"/>
      <c r="H139" s="246"/>
      <c r="I139" s="246"/>
      <c r="J139" s="246"/>
      <c r="K139" s="246"/>
      <c r="L139" s="246"/>
      <c r="M139" s="246"/>
      <c r="N139" s="246"/>
      <c r="O139" s="246"/>
      <c r="P139" s="246"/>
      <c r="Q139" s="246"/>
      <c r="R139" s="247"/>
      <c r="S139" s="94"/>
    </row>
    <row r="140" spans="1:19" ht="38.25" x14ac:dyDescent="0.2">
      <c r="A140" s="107">
        <f>'PLANILHA ORÇAMENTÁRIA'!A71</f>
        <v>44</v>
      </c>
      <c r="B140" s="92" t="str">
        <f>'PLANILHA ORÇAMENTÁRIA'!D71</f>
        <v>ESCAVAÇÃO MANUAL DE TERRA (DESATERRO MANUAL), INCLUSIVE DESCARGA LATERAL, EXCLUSIVE RETIRADA E TRANSPORTE DO MATERIAL ESCAVADO</v>
      </c>
      <c r="C140" s="92" t="str">
        <f>'PLANILHA ORÇAMENTÁRIA'!E71</f>
        <v>m³</v>
      </c>
      <c r="D140" s="134">
        <f>Q140</f>
        <v>5.81</v>
      </c>
      <c r="E140" s="99"/>
      <c r="F140" s="99"/>
      <c r="G140" s="105"/>
      <c r="H140" s="105"/>
      <c r="I140" s="105"/>
      <c r="J140" s="105"/>
      <c r="K140" s="105"/>
      <c r="L140" s="105"/>
      <c r="M140" s="105"/>
      <c r="N140" s="105"/>
      <c r="O140" s="105"/>
      <c r="P140" s="105"/>
      <c r="Q140" s="105">
        <v>5.81</v>
      </c>
      <c r="R140" s="104" t="s">
        <v>272</v>
      </c>
    </row>
    <row r="141" spans="1:19" ht="38.25" x14ac:dyDescent="0.2">
      <c r="A141" s="107">
        <f>'PLANILHA ORÇAMENTÁRIA'!A72</f>
        <v>45</v>
      </c>
      <c r="B141" s="92" t="str">
        <f>'PLANILHA ORÇAMENTÁRIA'!D72</f>
        <v>REATERRO MANUAL DE VALA, INCLUSIVE ESPALHAMENTO E COMPACTAÇÃO MECANIZADA COM PLACA VIBRATÓRIA</v>
      </c>
      <c r="C141" s="92" t="str">
        <f>'PLANILHA ORÇAMENTÁRIA'!E72</f>
        <v>m³</v>
      </c>
      <c r="D141" s="134">
        <f>Q141</f>
        <v>74.819999999999993</v>
      </c>
      <c r="E141" s="99"/>
      <c r="F141" s="99"/>
      <c r="G141" s="105"/>
      <c r="H141" s="105"/>
      <c r="I141" s="105"/>
      <c r="J141" s="105"/>
      <c r="K141" s="105"/>
      <c r="L141" s="105"/>
      <c r="M141" s="105"/>
      <c r="N141" s="105"/>
      <c r="O141" s="105"/>
      <c r="P141" s="105"/>
      <c r="Q141" s="105">
        <v>74.819999999999993</v>
      </c>
      <c r="R141" s="104" t="s">
        <v>271</v>
      </c>
    </row>
    <row r="142" spans="1:19" ht="14.45" customHeight="1" x14ac:dyDescent="0.2">
      <c r="A142" s="245" t="str">
        <f>'PLANILHA ORÇAMENTÁRIA'!A73</f>
        <v>MURO DE ARRIMO</v>
      </c>
      <c r="B142" s="246"/>
      <c r="C142" s="246"/>
      <c r="D142" s="246"/>
      <c r="E142" s="246"/>
      <c r="F142" s="246"/>
      <c r="G142" s="246"/>
      <c r="H142" s="246"/>
      <c r="I142" s="246"/>
      <c r="J142" s="246"/>
      <c r="K142" s="246"/>
      <c r="L142" s="246"/>
      <c r="M142" s="246"/>
      <c r="N142" s="246"/>
      <c r="O142" s="246"/>
      <c r="P142" s="246"/>
      <c r="Q142" s="246"/>
      <c r="R142" s="247"/>
      <c r="S142" s="94"/>
    </row>
    <row r="143" spans="1:19" ht="33.75" x14ac:dyDescent="0.2">
      <c r="A143" s="236">
        <f>'PLANILHA ORÇAMENTÁRIA'!A74</f>
        <v>46</v>
      </c>
      <c r="B143" s="239" t="str">
        <f>'PLANILHA ORÇAMENTÁRIA'!D74</f>
        <v>ESCAVAÇÃO MANUAL DE VALA COM PROFUNDIDADE MENOR OU IGUAL A 1,5M, INCLUSIVE DESCARGA LATERAL</v>
      </c>
      <c r="C143" s="239" t="str">
        <f>'PLANILHA ORÇAMENTÁRIA'!E74</f>
        <v>m³</v>
      </c>
      <c r="D143" s="242">
        <f>SUM(Q143:Q144)</f>
        <v>1.2</v>
      </c>
      <c r="E143" s="99"/>
      <c r="F143" s="99"/>
      <c r="G143" s="105"/>
      <c r="H143" s="105"/>
      <c r="I143" s="105">
        <f>2.45+1.22+3.02+14.7</f>
        <v>21.39</v>
      </c>
      <c r="J143" s="105">
        <v>0.2</v>
      </c>
      <c r="K143" s="105">
        <v>0.2</v>
      </c>
      <c r="L143" s="105"/>
      <c r="M143" s="105"/>
      <c r="N143" s="105"/>
      <c r="O143" s="105"/>
      <c r="P143" s="105"/>
      <c r="Q143" s="105">
        <f>ROUND(I143*J143*K143,2)</f>
        <v>0.86</v>
      </c>
      <c r="R143" s="104" t="s">
        <v>361</v>
      </c>
    </row>
    <row r="144" spans="1:19" ht="19.149999999999999" customHeight="1" x14ac:dyDescent="0.2">
      <c r="A144" s="238"/>
      <c r="B144" s="241"/>
      <c r="C144" s="241"/>
      <c r="D144" s="244"/>
      <c r="E144" s="99"/>
      <c r="F144" s="99"/>
      <c r="G144" s="105"/>
      <c r="H144" s="105"/>
      <c r="I144" s="105">
        <f>4.17+4.33</f>
        <v>8.5</v>
      </c>
      <c r="J144" s="105">
        <v>0.2</v>
      </c>
      <c r="K144" s="105">
        <v>0.2</v>
      </c>
      <c r="L144" s="105"/>
      <c r="M144" s="105"/>
      <c r="N144" s="105"/>
      <c r="O144" s="105"/>
      <c r="P144" s="105"/>
      <c r="Q144" s="105">
        <f>ROUND(I144*J144*K144,2)</f>
        <v>0.34</v>
      </c>
      <c r="R144" s="104" t="s">
        <v>349</v>
      </c>
    </row>
    <row r="145" spans="1:19" ht="33.75" x14ac:dyDescent="0.2">
      <c r="A145" s="236">
        <f>'PLANILHA ORÇAMENTÁRIA'!A75</f>
        <v>47</v>
      </c>
      <c r="B145" s="239" t="str">
        <f>'PLANILHA ORÇAMENTÁRIA'!D75</f>
        <v>APILOAMENTO MANUAL EM FUNDO DE VALA COM SOQUETE, EXCLUSIVE ESCAVAÇÃO</v>
      </c>
      <c r="C145" s="239" t="str">
        <f>'PLANILHA ORÇAMENTÁRIA'!E75</f>
        <v>m²</v>
      </c>
      <c r="D145" s="242">
        <f>SUM(O145:O146)</f>
        <v>5.98</v>
      </c>
      <c r="E145" s="99"/>
      <c r="F145" s="99"/>
      <c r="G145" s="105"/>
      <c r="H145" s="105"/>
      <c r="I145" s="105">
        <f>2.45+1.22+3.02+14.7</f>
        <v>21.39</v>
      </c>
      <c r="J145" s="105">
        <v>0.2</v>
      </c>
      <c r="K145" s="105"/>
      <c r="L145" s="105"/>
      <c r="M145" s="105"/>
      <c r="N145" s="105"/>
      <c r="O145" s="105">
        <f t="shared" ref="O145:O146" si="8">ROUND(I145*J145,2)</f>
        <v>4.28</v>
      </c>
      <c r="P145" s="105"/>
      <c r="Q145" s="105"/>
      <c r="R145" s="104" t="s">
        <v>361</v>
      </c>
    </row>
    <row r="146" spans="1:19" ht="22.5" x14ac:dyDescent="0.2">
      <c r="A146" s="238"/>
      <c r="B146" s="241"/>
      <c r="C146" s="241"/>
      <c r="D146" s="244"/>
      <c r="E146" s="99"/>
      <c r="F146" s="99"/>
      <c r="G146" s="105"/>
      <c r="H146" s="105"/>
      <c r="I146" s="105">
        <f>4.17+4.33</f>
        <v>8.5</v>
      </c>
      <c r="J146" s="105">
        <v>0.2</v>
      </c>
      <c r="K146" s="105"/>
      <c r="L146" s="105"/>
      <c r="M146" s="105"/>
      <c r="N146" s="105"/>
      <c r="O146" s="105">
        <f t="shared" si="8"/>
        <v>1.7</v>
      </c>
      <c r="P146" s="105"/>
      <c r="Q146" s="105"/>
      <c r="R146" s="104" t="s">
        <v>349</v>
      </c>
    </row>
    <row r="147" spans="1:19" ht="33.75" x14ac:dyDescent="0.2">
      <c r="A147" s="236">
        <f>'PLANILHA ORÇAMENTÁRIA'!A76</f>
        <v>48</v>
      </c>
      <c r="B147" s="239" t="str">
        <f>'PLANILHA ORÇAMENTÁRIA'!D76</f>
        <v>CORTE, DOBRA E MONTAGEM DE AÇO CA-50, DIÂMETRO (6,3MM A 12,5MM), INCLUSIVE ESPAÇADOR</v>
      </c>
      <c r="C147" s="239" t="str">
        <f>'PLANILHA ORÇAMENTÁRIA'!E76</f>
        <v>Kg</v>
      </c>
      <c r="D147" s="242">
        <f>SUM(N147:N152)</f>
        <v>62.730000000000004</v>
      </c>
      <c r="E147" s="99">
        <v>4</v>
      </c>
      <c r="F147" s="99"/>
      <c r="G147" s="109">
        <v>0.245</v>
      </c>
      <c r="H147" s="105"/>
      <c r="I147" s="105">
        <f>2.45+1.22+3.02+14.7</f>
        <v>21.39</v>
      </c>
      <c r="J147" s="105"/>
      <c r="K147" s="105"/>
      <c r="L147" s="105"/>
      <c r="M147" s="105"/>
      <c r="N147" s="92">
        <f>ROUND(I147*E147*G147,2)</f>
        <v>20.96</v>
      </c>
      <c r="O147" s="92"/>
      <c r="P147" s="92"/>
      <c r="Q147" s="105"/>
      <c r="R147" s="104" t="s">
        <v>365</v>
      </c>
    </row>
    <row r="148" spans="1:19" ht="33.75" x14ac:dyDescent="0.2">
      <c r="A148" s="237"/>
      <c r="B148" s="240"/>
      <c r="C148" s="240"/>
      <c r="D148" s="243"/>
      <c r="E148" s="99">
        <v>4</v>
      </c>
      <c r="F148" s="99"/>
      <c r="G148" s="109">
        <v>0.245</v>
      </c>
      <c r="H148" s="105"/>
      <c r="I148" s="105">
        <f>4.17+4.33</f>
        <v>8.5</v>
      </c>
      <c r="J148" s="105"/>
      <c r="K148" s="105"/>
      <c r="L148" s="105"/>
      <c r="M148" s="105"/>
      <c r="N148" s="92">
        <f t="shared" ref="N148" si="9">ROUND(I148*E148*G148,2)</f>
        <v>8.33</v>
      </c>
      <c r="O148" s="92"/>
      <c r="P148" s="92"/>
      <c r="Q148" s="105"/>
      <c r="R148" s="104" t="s">
        <v>364</v>
      </c>
    </row>
    <row r="149" spans="1:19" ht="45" x14ac:dyDescent="0.2">
      <c r="A149" s="237"/>
      <c r="B149" s="240"/>
      <c r="C149" s="240"/>
      <c r="D149" s="243"/>
      <c r="E149" s="99">
        <f>ROUNDUP(I147/0.2,0)</f>
        <v>107</v>
      </c>
      <c r="F149" s="99"/>
      <c r="G149" s="109">
        <v>0.245</v>
      </c>
      <c r="H149" s="105"/>
      <c r="I149" s="105"/>
      <c r="J149" s="105"/>
      <c r="K149" s="105">
        <f>(0.1+0.3)/2+0.2</f>
        <v>0.4</v>
      </c>
      <c r="L149" s="105"/>
      <c r="M149" s="105"/>
      <c r="N149" s="92">
        <f>ROUND(K149*E149*G149,2)</f>
        <v>10.49</v>
      </c>
      <c r="O149" s="92"/>
      <c r="P149" s="92"/>
      <c r="Q149" s="105"/>
      <c r="R149" s="104" t="s">
        <v>362</v>
      </c>
    </row>
    <row r="150" spans="1:19" ht="45" x14ac:dyDescent="0.2">
      <c r="A150" s="237"/>
      <c r="B150" s="240"/>
      <c r="C150" s="240"/>
      <c r="D150" s="243"/>
      <c r="E150" s="99">
        <f>ROUNDUP(I148/0.2,0)</f>
        <v>43</v>
      </c>
      <c r="F150" s="99"/>
      <c r="G150" s="109">
        <v>0.245</v>
      </c>
      <c r="H150" s="105"/>
      <c r="I150" s="105"/>
      <c r="J150" s="105"/>
      <c r="K150" s="105">
        <f>(0.18+1.2)/2+0.2</f>
        <v>0.8899999999999999</v>
      </c>
      <c r="L150" s="105"/>
      <c r="M150" s="105"/>
      <c r="N150" s="92">
        <f>ROUND(K150*E150*G150,2)</f>
        <v>9.3800000000000008</v>
      </c>
      <c r="O150" s="92"/>
      <c r="P150" s="92"/>
      <c r="Q150" s="105"/>
      <c r="R150" s="104" t="s">
        <v>363</v>
      </c>
    </row>
    <row r="151" spans="1:19" ht="67.5" x14ac:dyDescent="0.2">
      <c r="A151" s="237"/>
      <c r="B151" s="240"/>
      <c r="C151" s="240"/>
      <c r="D151" s="243"/>
      <c r="E151" s="99">
        <f>ROUNDUP((0.1+0.3)/2/0.2,0)</f>
        <v>1</v>
      </c>
      <c r="F151" s="99"/>
      <c r="G151" s="109">
        <v>0.245</v>
      </c>
      <c r="H151" s="105"/>
      <c r="I151" s="105">
        <f>I147</f>
        <v>21.39</v>
      </c>
      <c r="J151" s="105"/>
      <c r="K151" s="105"/>
      <c r="L151" s="105"/>
      <c r="M151" s="105"/>
      <c r="N151" s="92">
        <f>ROUND(I151*E151*G151,2)</f>
        <v>5.24</v>
      </c>
      <c r="O151" s="92"/>
      <c r="P151" s="92"/>
      <c r="Q151" s="105"/>
      <c r="R151" s="104" t="s">
        <v>283</v>
      </c>
    </row>
    <row r="152" spans="1:19" ht="67.5" x14ac:dyDescent="0.2">
      <c r="A152" s="238"/>
      <c r="B152" s="241"/>
      <c r="C152" s="241"/>
      <c r="D152" s="244"/>
      <c r="E152" s="99">
        <f>ROUNDUP((0.18+1.2)/2/0.2,0)</f>
        <v>4</v>
      </c>
      <c r="F152" s="99"/>
      <c r="G152" s="109">
        <v>0.245</v>
      </c>
      <c r="H152" s="105"/>
      <c r="I152" s="105">
        <f>I148</f>
        <v>8.5</v>
      </c>
      <c r="J152" s="105"/>
      <c r="K152" s="105"/>
      <c r="L152" s="105"/>
      <c r="M152" s="105"/>
      <c r="N152" s="105">
        <f>ROUND(I152*E152*G152,2)</f>
        <v>8.33</v>
      </c>
      <c r="O152" s="105"/>
      <c r="P152" s="105"/>
      <c r="Q152" s="105"/>
      <c r="R152" s="104" t="s">
        <v>284</v>
      </c>
    </row>
    <row r="153" spans="1:19" ht="56.25" x14ac:dyDescent="0.2">
      <c r="A153" s="236">
        <f>'PLANILHA ORÇAMENTÁRIA'!A77</f>
        <v>49</v>
      </c>
      <c r="B153" s="239" t="str">
        <f>'PLANILHA ORÇAMENTÁRIA'!D77</f>
        <v>CORTE, DOBRA E MONTAGEM DE AÇO CA-60, DIÂMETRO (4,2MM A 5,0MM), INCLUSIVE ESPAÇADOR</v>
      </c>
      <c r="C153" s="239" t="str">
        <f>'PLANILHA ORÇAMENTÁRIA'!E77</f>
        <v>Kg</v>
      </c>
      <c r="D153" s="242">
        <f>SUM(N153:N154)</f>
        <v>15.25</v>
      </c>
      <c r="E153" s="99">
        <f>ROUNDUP(I151/0.2,0)</f>
        <v>107</v>
      </c>
      <c r="F153" s="99"/>
      <c r="G153" s="109">
        <v>0.154</v>
      </c>
      <c r="H153" s="105"/>
      <c r="I153" s="105">
        <f>0.14+0.14+0.14+0.14+0.1</f>
        <v>0.66</v>
      </c>
      <c r="J153" s="105"/>
      <c r="K153" s="105"/>
      <c r="L153" s="105"/>
      <c r="M153" s="105"/>
      <c r="N153" s="105">
        <f t="shared" ref="N153:N154" si="10">ROUND(I153*E153*G153,2)</f>
        <v>10.88</v>
      </c>
      <c r="O153" s="105"/>
      <c r="P153" s="105"/>
      <c r="Q153" s="105"/>
      <c r="R153" s="104" t="s">
        <v>366</v>
      </c>
    </row>
    <row r="154" spans="1:19" ht="56.25" x14ac:dyDescent="0.2">
      <c r="A154" s="238"/>
      <c r="B154" s="241"/>
      <c r="C154" s="241"/>
      <c r="D154" s="244"/>
      <c r="E154" s="99">
        <f>ROUNDUP(I152/0.2,0)</f>
        <v>43</v>
      </c>
      <c r="F154" s="99"/>
      <c r="G154" s="109">
        <v>0.154</v>
      </c>
      <c r="H154" s="105"/>
      <c r="I154" s="105">
        <f>0.14+0.14+0.14+0.14+0.1</f>
        <v>0.66</v>
      </c>
      <c r="J154" s="105"/>
      <c r="K154" s="105"/>
      <c r="L154" s="105"/>
      <c r="M154" s="105"/>
      <c r="N154" s="105">
        <f t="shared" si="10"/>
        <v>4.37</v>
      </c>
      <c r="O154" s="105"/>
      <c r="P154" s="105"/>
      <c r="Q154" s="105"/>
      <c r="R154" s="104" t="s">
        <v>367</v>
      </c>
    </row>
    <row r="155" spans="1:19" ht="33.75" x14ac:dyDescent="0.2">
      <c r="A155" s="236">
        <f>'PLANILHA ORÇAMENTÁRIA'!A78</f>
        <v>50</v>
      </c>
      <c r="B155" s="239" t="str">
        <f>'PLANILHA ORÇAMENTÁRIA'!D78</f>
        <v>FORNECIMENTO DE CONCRETO ESTRUTURAL, PREPARADO EM OBRA COM BETONEIRA, COM FCK 20MPA, INCLUSIVE LANÇAMENTO, ADENSAMENTO E ACABAMENTO (FUNDAÇÃO)</v>
      </c>
      <c r="C155" s="239" t="str">
        <f>'PLANILHA ORÇAMENTÁRIA'!E78</f>
        <v>m³</v>
      </c>
      <c r="D155" s="242">
        <f>SUM(Q155:Q156)</f>
        <v>1.2</v>
      </c>
      <c r="E155" s="99"/>
      <c r="F155" s="99"/>
      <c r="G155" s="105"/>
      <c r="H155" s="105"/>
      <c r="I155" s="105">
        <f>2.45+1.22+3.02+14.7</f>
        <v>21.39</v>
      </c>
      <c r="J155" s="105">
        <v>0.2</v>
      </c>
      <c r="K155" s="105">
        <v>0.2</v>
      </c>
      <c r="L155" s="105"/>
      <c r="M155" s="105"/>
      <c r="N155" s="105"/>
      <c r="O155" s="105"/>
      <c r="P155" s="105"/>
      <c r="Q155" s="105">
        <f>ROUND(I155*J155*K155,2)</f>
        <v>0.86</v>
      </c>
      <c r="R155" s="104" t="s">
        <v>361</v>
      </c>
    </row>
    <row r="156" spans="1:19" ht="22.5" x14ac:dyDescent="0.2">
      <c r="A156" s="238"/>
      <c r="B156" s="241"/>
      <c r="C156" s="241"/>
      <c r="D156" s="244"/>
      <c r="E156" s="99"/>
      <c r="F156" s="99"/>
      <c r="G156" s="105"/>
      <c r="H156" s="105"/>
      <c r="I156" s="105">
        <f>4.17+4.33</f>
        <v>8.5</v>
      </c>
      <c r="J156" s="105">
        <v>0.2</v>
      </c>
      <c r="K156" s="105">
        <v>0.2</v>
      </c>
      <c r="L156" s="105"/>
      <c r="M156" s="105"/>
      <c r="N156" s="105"/>
      <c r="O156" s="105"/>
      <c r="P156" s="105"/>
      <c r="Q156" s="105">
        <f>ROUND(I156*J156*K156,2)</f>
        <v>0.34</v>
      </c>
      <c r="R156" s="104" t="s">
        <v>349</v>
      </c>
    </row>
    <row r="157" spans="1:19" ht="52.9" customHeight="1" x14ac:dyDescent="0.2">
      <c r="A157" s="236">
        <f>'PLANILHA ORÇAMENTÁRIA'!A79</f>
        <v>51</v>
      </c>
      <c r="B157" s="239" t="str">
        <f>'PLANILHA ORÇAMENTÁRIA'!D79</f>
        <v>ALVENARIA DE BLOCO DE CONCRETO CHEIO SEM ARMAÇÃO, EM CONCRETO COM FCK DE 20MPA , ESP. 19CM, PARA REVESTIMENTO, INCLUSIVE ARGAMASSA PARA ASSENTAMENTO (DETALHE D - CADERNO SEDS)</v>
      </c>
      <c r="C157" s="239" t="str">
        <f>'PLANILHA ORÇAMENTÁRIA'!E79</f>
        <v>m²</v>
      </c>
      <c r="D157" s="242">
        <f>SUM(O157:O158)</f>
        <v>10.15</v>
      </c>
      <c r="E157" s="99"/>
      <c r="F157" s="99"/>
      <c r="G157" s="105"/>
      <c r="H157" s="105"/>
      <c r="I157" s="105">
        <f>2.45+1.22+3.02+14.7</f>
        <v>21.39</v>
      </c>
      <c r="J157" s="105"/>
      <c r="K157" s="105">
        <f>(0.3+0.1)/2</f>
        <v>0.2</v>
      </c>
      <c r="L157" s="105"/>
      <c r="M157" s="105"/>
      <c r="N157" s="105"/>
      <c r="O157" s="105">
        <f>ROUND(I157*K157,2)</f>
        <v>4.28</v>
      </c>
      <c r="P157" s="105"/>
      <c r="Q157" s="105"/>
      <c r="R157" s="104" t="s">
        <v>368</v>
      </c>
    </row>
    <row r="158" spans="1:19" ht="33.75" x14ac:dyDescent="0.2">
      <c r="A158" s="238"/>
      <c r="B158" s="241"/>
      <c r="C158" s="241"/>
      <c r="D158" s="244"/>
      <c r="E158" s="99"/>
      <c r="F158" s="99"/>
      <c r="G158" s="105"/>
      <c r="H158" s="105"/>
      <c r="I158" s="105">
        <f>4.17+4.33</f>
        <v>8.5</v>
      </c>
      <c r="J158" s="105"/>
      <c r="K158" s="105">
        <f>(1.2+0.18)/2</f>
        <v>0.69</v>
      </c>
      <c r="L158" s="105"/>
      <c r="M158" s="105"/>
      <c r="N158" s="105"/>
      <c r="O158" s="105">
        <f t="shared" ref="O158" si="11">ROUND(I158*K158,2)</f>
        <v>5.87</v>
      </c>
      <c r="P158" s="105"/>
      <c r="Q158" s="105"/>
      <c r="R158" s="104" t="s">
        <v>369</v>
      </c>
    </row>
    <row r="159" spans="1:19" ht="14.45" customHeight="1" x14ac:dyDescent="0.2">
      <c r="A159" s="245" t="str">
        <f>'PLANILHA ORÇAMENTÁRIA'!A80</f>
        <v>PISOS</v>
      </c>
      <c r="B159" s="246"/>
      <c r="C159" s="246"/>
      <c r="D159" s="246"/>
      <c r="E159" s="246"/>
      <c r="F159" s="246"/>
      <c r="G159" s="246"/>
      <c r="H159" s="246"/>
      <c r="I159" s="246"/>
      <c r="J159" s="246"/>
      <c r="K159" s="246"/>
      <c r="L159" s="246"/>
      <c r="M159" s="246"/>
      <c r="N159" s="246"/>
      <c r="O159" s="246"/>
      <c r="P159" s="246"/>
      <c r="Q159" s="246"/>
      <c r="R159" s="247"/>
      <c r="S159" s="94"/>
    </row>
    <row r="160" spans="1:19" ht="51" x14ac:dyDescent="0.2">
      <c r="A160" s="107">
        <f>'PLANILHA ORÇAMENTÁRIA'!A81</f>
        <v>52</v>
      </c>
      <c r="B160" s="92" t="str">
        <f>'PLANILHA ORÇAMENTÁRIA'!D81</f>
        <v>ASSENTAMENTO DE GUIA (MEIO-FIO) EM TRECHO RETO, CONFECCIONADA EM CONCRETO PRÉ-FABRICADO, DIMENSÕES 100X15X13X30 CM (COMPRIMENTO X BASE INFERIOR X BASE SUPERIOR X ALTURA). AF_01/2024</v>
      </c>
      <c r="C160" s="92" t="str">
        <f>'PLANILHA ORÇAMENTÁRIA'!E81</f>
        <v>m</v>
      </c>
      <c r="D160" s="134">
        <f>I160</f>
        <v>48.13</v>
      </c>
      <c r="E160" s="99"/>
      <c r="F160" s="99"/>
      <c r="G160" s="105"/>
      <c r="H160" s="105"/>
      <c r="I160" s="105">
        <v>48.13</v>
      </c>
      <c r="J160" s="105"/>
      <c r="K160" s="105"/>
      <c r="L160" s="105"/>
      <c r="M160" s="105"/>
      <c r="N160" s="105"/>
      <c r="O160" s="105"/>
      <c r="P160" s="105"/>
      <c r="Q160" s="105"/>
      <c r="R160" s="104" t="s">
        <v>370</v>
      </c>
    </row>
    <row r="161" spans="1:19" ht="42" customHeight="1" x14ac:dyDescent="0.2">
      <c r="A161" s="236">
        <f>'PLANILHA ORÇAMENTÁRIA'!A82</f>
        <v>53</v>
      </c>
      <c r="B161" s="239" t="str">
        <f>'PLANILHA ORÇAMENTÁRIA'!D82</f>
        <v>EXECUÇÃO DE PAVIMENTO COM PISO INTERTRAVADO, TIPO RETANGULAR, ESP. 6CM, COM FCK DE 35MPA, INCLUSIVE COLCHÃO DE AREIA, ESP. 6CM, PARA ASSENTAMENTO, COMPACTAÇÃO MECANIZADA, CARGA E DESCARGA MECÂNICA EM CAMINHÃO, EXCLUSIVE TRANSPORTE DE PISO INTERTRAVADO</v>
      </c>
      <c r="C161" s="239" t="str">
        <f>'PLANILHA ORÇAMENTÁRIA'!E82</f>
        <v>m²</v>
      </c>
      <c r="D161" s="242">
        <f>SUM(P161:P163)</f>
        <v>422.9</v>
      </c>
      <c r="E161" s="99"/>
      <c r="F161" s="99"/>
      <c r="G161" s="105"/>
      <c r="H161" s="105"/>
      <c r="I161" s="105"/>
      <c r="J161" s="105"/>
      <c r="K161" s="105"/>
      <c r="L161" s="105"/>
      <c r="M161" s="105"/>
      <c r="N161" s="105"/>
      <c r="O161" s="105"/>
      <c r="P161" s="105">
        <v>192.42</v>
      </c>
      <c r="Q161" s="105"/>
      <c r="R161" s="104" t="s">
        <v>371</v>
      </c>
    </row>
    <row r="162" spans="1:19" ht="42" customHeight="1" x14ac:dyDescent="0.2">
      <c r="A162" s="237"/>
      <c r="B162" s="240"/>
      <c r="C162" s="240"/>
      <c r="D162" s="243"/>
      <c r="E162" s="99"/>
      <c r="F162" s="99"/>
      <c r="G162" s="105"/>
      <c r="H162" s="105"/>
      <c r="I162" s="105"/>
      <c r="J162" s="105"/>
      <c r="K162" s="105"/>
      <c r="L162" s="105"/>
      <c r="M162" s="105"/>
      <c r="N162" s="105"/>
      <c r="O162" s="105"/>
      <c r="P162" s="105">
        <v>30.79</v>
      </c>
      <c r="Q162" s="105"/>
      <c r="R162" s="104" t="s">
        <v>372</v>
      </c>
    </row>
    <row r="163" spans="1:19" ht="42" customHeight="1" x14ac:dyDescent="0.2">
      <c r="A163" s="238"/>
      <c r="B163" s="241"/>
      <c r="C163" s="241"/>
      <c r="D163" s="244"/>
      <c r="E163" s="99"/>
      <c r="F163" s="99"/>
      <c r="G163" s="105"/>
      <c r="H163" s="105"/>
      <c r="I163" s="105"/>
      <c r="J163" s="105"/>
      <c r="K163" s="105"/>
      <c r="L163" s="105"/>
      <c r="M163" s="105"/>
      <c r="N163" s="105"/>
      <c r="O163" s="105"/>
      <c r="P163" s="105">
        <v>199.69</v>
      </c>
      <c r="Q163" s="105"/>
      <c r="R163" s="104" t="s">
        <v>424</v>
      </c>
    </row>
    <row r="164" spans="1:19" ht="38.25" x14ac:dyDescent="0.2">
      <c r="A164" s="107">
        <f>'PLANILHA ORÇAMENTÁRIA'!A83</f>
        <v>54</v>
      </c>
      <c r="B164" s="92" t="str">
        <f>'PLANILHA ORÇAMENTÁRIA'!D83</f>
        <v>ESCADA DE CONCRETO 20 MPa, APARENTE, ESPELHO = 15 A 18 CM, ARMAÇÃO, FÔRMA PLASTIFICADA, ESCORAMENTO E DESFORMA</v>
      </c>
      <c r="C164" s="92" t="str">
        <f>'PLANILHA ORÇAMENTÁRIA'!E83</f>
        <v>m³</v>
      </c>
      <c r="D164" s="134">
        <f>Q164</f>
        <v>1.56</v>
      </c>
      <c r="E164" s="99"/>
      <c r="F164" s="99"/>
      <c r="G164" s="105"/>
      <c r="H164" s="105"/>
      <c r="I164" s="105"/>
      <c r="J164" s="105">
        <v>2</v>
      </c>
      <c r="K164" s="105"/>
      <c r="L164" s="105"/>
      <c r="M164" s="105"/>
      <c r="N164" s="105"/>
      <c r="O164" s="105"/>
      <c r="P164" s="105">
        <v>0.78</v>
      </c>
      <c r="Q164" s="105">
        <f>ROUND(J164*P164,2)</f>
        <v>1.56</v>
      </c>
      <c r="R164" s="104" t="s">
        <v>373</v>
      </c>
    </row>
    <row r="165" spans="1:19" ht="33.75" x14ac:dyDescent="0.2">
      <c r="A165" s="236">
        <f>'PLANILHA ORÇAMENTÁRIA'!A84</f>
        <v>55</v>
      </c>
      <c r="B165" s="239" t="str">
        <f>'PLANILHA ORÇAMENTÁRIA'!D84</f>
        <v>REVESTIMENTO DE PISO COM PEDRA MIRACEMA NA COR CINZA, PEÇAS COM 11,5X23CM, ESP. 1CM, ACABAMENTO NATURAL, INCLUSIVE FORNECIMENTO DO MATERIAL DE REVESTIMENTO, ASSENTAMENTO COM ARGAMASSA INDUSTRIALIZADA E REJUNTAMENTO</v>
      </c>
      <c r="C165" s="239" t="str">
        <f>'PLANILHA ORÇAMENTÁRIA'!E84</f>
        <v>m²</v>
      </c>
      <c r="D165" s="242">
        <f>SUM(O165:O170)</f>
        <v>23.28</v>
      </c>
      <c r="E165" s="99">
        <v>11</v>
      </c>
      <c r="F165" s="99"/>
      <c r="G165" s="109"/>
      <c r="H165" s="105"/>
      <c r="I165" s="105">
        <v>0.28000000000000003</v>
      </c>
      <c r="J165" s="105">
        <v>2</v>
      </c>
      <c r="K165" s="105"/>
      <c r="L165" s="105"/>
      <c r="M165" s="105"/>
      <c r="N165" s="105"/>
      <c r="O165" s="105">
        <f>ROUND(I165*J165*E165,2)</f>
        <v>6.16</v>
      </c>
      <c r="P165" s="105"/>
      <c r="Q165" s="105"/>
      <c r="R165" s="104" t="s">
        <v>374</v>
      </c>
    </row>
    <row r="166" spans="1:19" ht="45" x14ac:dyDescent="0.2">
      <c r="A166" s="237"/>
      <c r="B166" s="240"/>
      <c r="C166" s="240"/>
      <c r="D166" s="243"/>
      <c r="E166" s="99">
        <v>11</v>
      </c>
      <c r="F166" s="99"/>
      <c r="G166" s="109"/>
      <c r="H166" s="105"/>
      <c r="I166" s="105"/>
      <c r="J166" s="105">
        <v>2</v>
      </c>
      <c r="K166" s="105">
        <v>0.18</v>
      </c>
      <c r="L166" s="105"/>
      <c r="M166" s="105"/>
      <c r="N166" s="105"/>
      <c r="O166" s="105">
        <f>ROUND(K166*J166*E166,2)</f>
        <v>3.96</v>
      </c>
      <c r="P166" s="105"/>
      <c r="Q166" s="105"/>
      <c r="R166" s="104" t="s">
        <v>375</v>
      </c>
    </row>
    <row r="167" spans="1:19" ht="33.75" x14ac:dyDescent="0.2">
      <c r="A167" s="237"/>
      <c r="B167" s="240"/>
      <c r="C167" s="240"/>
      <c r="D167" s="243"/>
      <c r="E167" s="99">
        <v>8</v>
      </c>
      <c r="F167" s="99"/>
      <c r="G167" s="109"/>
      <c r="H167" s="105"/>
      <c r="I167" s="109">
        <v>0.35299999999999998</v>
      </c>
      <c r="J167" s="105">
        <v>1.88</v>
      </c>
      <c r="K167" s="105"/>
      <c r="L167" s="105"/>
      <c r="M167" s="105"/>
      <c r="N167" s="105"/>
      <c r="O167" s="105">
        <f>ROUND(I167*J167*E167,2)</f>
        <v>5.31</v>
      </c>
      <c r="P167" s="105"/>
      <c r="Q167" s="105"/>
      <c r="R167" s="104" t="s">
        <v>376</v>
      </c>
    </row>
    <row r="168" spans="1:19" ht="45" x14ac:dyDescent="0.2">
      <c r="A168" s="237"/>
      <c r="B168" s="240"/>
      <c r="C168" s="240"/>
      <c r="D168" s="243"/>
      <c r="E168" s="99">
        <v>8</v>
      </c>
      <c r="F168" s="99"/>
      <c r="G168" s="109"/>
      <c r="H168" s="105"/>
      <c r="I168" s="105"/>
      <c r="J168" s="105">
        <v>1.88</v>
      </c>
      <c r="K168" s="169">
        <v>0.1875</v>
      </c>
      <c r="L168" s="105"/>
      <c r="M168" s="105"/>
      <c r="N168" s="105"/>
      <c r="O168" s="105">
        <f>ROUND(K168*J168*E168,2)</f>
        <v>2.82</v>
      </c>
      <c r="P168" s="105"/>
      <c r="Q168" s="105"/>
      <c r="R168" s="104" t="s">
        <v>377</v>
      </c>
    </row>
    <row r="169" spans="1:19" ht="22.5" x14ac:dyDescent="0.2">
      <c r="A169" s="237"/>
      <c r="B169" s="240"/>
      <c r="C169" s="240"/>
      <c r="D169" s="243"/>
      <c r="E169" s="99"/>
      <c r="F169" s="99"/>
      <c r="G169" s="109"/>
      <c r="H169" s="105"/>
      <c r="I169" s="109"/>
      <c r="J169" s="105"/>
      <c r="K169" s="105"/>
      <c r="L169" s="105"/>
      <c r="M169" s="105"/>
      <c r="N169" s="105"/>
      <c r="O169" s="105">
        <f>2*1.17</f>
        <v>2.34</v>
      </c>
      <c r="P169" s="105"/>
      <c r="Q169" s="105"/>
      <c r="R169" s="104" t="s">
        <v>378</v>
      </c>
    </row>
    <row r="170" spans="1:19" ht="22.5" x14ac:dyDescent="0.2">
      <c r="A170" s="238"/>
      <c r="B170" s="241"/>
      <c r="C170" s="241"/>
      <c r="D170" s="244"/>
      <c r="E170" s="99"/>
      <c r="F170" s="99"/>
      <c r="G170" s="109"/>
      <c r="H170" s="105"/>
      <c r="I170" s="105"/>
      <c r="J170" s="105"/>
      <c r="K170" s="169"/>
      <c r="L170" s="105"/>
      <c r="M170" s="105"/>
      <c r="N170" s="105"/>
      <c r="O170" s="105">
        <v>2.69</v>
      </c>
      <c r="P170" s="105"/>
      <c r="Q170" s="105"/>
      <c r="R170" s="104" t="s">
        <v>379</v>
      </c>
    </row>
    <row r="171" spans="1:19" ht="14.45" customHeight="1" x14ac:dyDescent="0.2">
      <c r="A171" s="245" t="str">
        <f>'PLANILHA ORÇAMENTÁRIA'!A85</f>
        <v>REVESTIMENTOS E PINTURA</v>
      </c>
      <c r="B171" s="246"/>
      <c r="C171" s="246"/>
      <c r="D171" s="246"/>
      <c r="E171" s="246"/>
      <c r="F171" s="246"/>
      <c r="G171" s="246"/>
      <c r="H171" s="246"/>
      <c r="I171" s="246"/>
      <c r="J171" s="246"/>
      <c r="K171" s="246"/>
      <c r="L171" s="246"/>
      <c r="M171" s="246"/>
      <c r="N171" s="246"/>
      <c r="O171" s="246"/>
      <c r="P171" s="246"/>
      <c r="Q171" s="246"/>
      <c r="R171" s="247"/>
      <c r="S171" s="94"/>
    </row>
    <row r="172" spans="1:19" ht="33.75" x14ac:dyDescent="0.2">
      <c r="A172" s="236">
        <f>'PLANILHA ORÇAMENTÁRIA'!A86</f>
        <v>56</v>
      </c>
      <c r="B172" s="239" t="str">
        <f>'PLANILHA ORÇAMENTÁRIA'!D86</f>
        <v>CHAPISCO COM ARGAMASSA, TRAÇO 1:3 (CIMENTO E AREIA), ESP. 5MM, APLICADO EM ALVENARIA/ESTRUTURA DE CONCRETO COM COLHER, INCLUSIVE ARGAMASSA COM PREPARO MECANIZADO</v>
      </c>
      <c r="C172" s="239" t="str">
        <f>'PLANILHA ORÇAMENTÁRIA'!E86</f>
        <v>m²</v>
      </c>
      <c r="D172" s="242">
        <f>SUM(O172:O173)</f>
        <v>10.15</v>
      </c>
      <c r="E172" s="99"/>
      <c r="F172" s="99"/>
      <c r="G172" s="105"/>
      <c r="H172" s="105"/>
      <c r="I172" s="105">
        <f>2.45+1.22+3.02+14.7</f>
        <v>21.39</v>
      </c>
      <c r="J172" s="105"/>
      <c r="K172" s="105">
        <f>(0.3+0.1)/2</f>
        <v>0.2</v>
      </c>
      <c r="L172" s="105"/>
      <c r="M172" s="105"/>
      <c r="N172" s="105"/>
      <c r="O172" s="105">
        <f>ROUND(I172*K172,2)</f>
        <v>4.28</v>
      </c>
      <c r="P172" s="105"/>
      <c r="Q172" s="105"/>
      <c r="R172" s="104" t="s">
        <v>380</v>
      </c>
    </row>
    <row r="173" spans="1:19" ht="45" x14ac:dyDescent="0.2">
      <c r="A173" s="237"/>
      <c r="B173" s="240"/>
      <c r="C173" s="240"/>
      <c r="D173" s="243"/>
      <c r="E173" s="99"/>
      <c r="F173" s="99"/>
      <c r="G173" s="105"/>
      <c r="H173" s="105"/>
      <c r="I173" s="105">
        <f>4.17+4.33</f>
        <v>8.5</v>
      </c>
      <c r="J173" s="105"/>
      <c r="K173" s="105">
        <f>(1.2+0.18)/2</f>
        <v>0.69</v>
      </c>
      <c r="L173" s="105"/>
      <c r="M173" s="105"/>
      <c r="N173" s="105"/>
      <c r="O173" s="105">
        <f t="shared" ref="O173" si="12">ROUND(I173*K173,2)</f>
        <v>5.87</v>
      </c>
      <c r="P173" s="105"/>
      <c r="Q173" s="105"/>
      <c r="R173" s="104" t="s">
        <v>381</v>
      </c>
    </row>
    <row r="174" spans="1:19" ht="38.25" x14ac:dyDescent="0.2">
      <c r="A174" s="107">
        <f>'PLANILHA ORÇAMENTÁRIA'!A87</f>
        <v>57</v>
      </c>
      <c r="B174" s="92" t="str">
        <f>'PLANILHA ORÇAMENTÁRIA'!D87</f>
        <v>REBOCO COM ARGAMASSA, TRAÇO 1:2:8 (CIMENTO, CAL E AREIA), ESP. 25MM, APLICAÇÃO MANUAL, INCLUSIVE ARGAMASSA COM PREPARO MECANIZADO</v>
      </c>
      <c r="C174" s="92" t="str">
        <f>'PLANILHA ORÇAMENTÁRIA'!E87</f>
        <v>m²</v>
      </c>
      <c r="D174" s="134">
        <f>O174</f>
        <v>10.15</v>
      </c>
      <c r="E174" s="99"/>
      <c r="F174" s="99"/>
      <c r="G174" s="105"/>
      <c r="H174" s="105"/>
      <c r="I174" s="105"/>
      <c r="J174" s="105"/>
      <c r="K174" s="105"/>
      <c r="L174" s="105"/>
      <c r="M174" s="105"/>
      <c r="N174" s="105"/>
      <c r="O174" s="105">
        <f>D172</f>
        <v>10.15</v>
      </c>
      <c r="P174" s="105"/>
      <c r="Q174" s="105"/>
      <c r="R174" s="104" t="s">
        <v>211</v>
      </c>
    </row>
    <row r="175" spans="1:19" ht="51" x14ac:dyDescent="0.2">
      <c r="A175" s="107">
        <f>'PLANILHA ORÇAMENTÁRIA'!A88</f>
        <v>58</v>
      </c>
      <c r="B175" s="92" t="str">
        <f>'PLANILHA ORÇAMENTÁRIA'!D88</f>
        <v>REBOCO COM ARGAMASSA, TRAÇO 1:2:8 (CIMENTO, CAL E AREIA), ESP. 40MM, APLICAÇÃO MANUAL, INCLUSIVE ARGAMASSA COM PREPARO MECANIZADO (PREENCHIMENTO)</v>
      </c>
      <c r="C175" s="92" t="str">
        <f>'PLANILHA ORÇAMENTÁRIA'!E88</f>
        <v>m²</v>
      </c>
      <c r="D175" s="134">
        <f>O175</f>
        <v>57.99</v>
      </c>
      <c r="E175" s="99"/>
      <c r="F175" s="99"/>
      <c r="G175" s="105"/>
      <c r="H175" s="105"/>
      <c r="I175" s="105"/>
      <c r="J175" s="105"/>
      <c r="K175" s="105"/>
      <c r="L175" s="105"/>
      <c r="M175" s="105"/>
      <c r="N175" s="105"/>
      <c r="O175" s="105">
        <f>D128</f>
        <v>57.99</v>
      </c>
      <c r="P175" s="105"/>
      <c r="Q175" s="105"/>
      <c r="R175" s="104" t="s">
        <v>382</v>
      </c>
    </row>
    <row r="176" spans="1:19" ht="45" x14ac:dyDescent="0.2">
      <c r="A176" s="107">
        <f>'PLANILHA ORÇAMENTÁRIA'!A89</f>
        <v>59</v>
      </c>
      <c r="B176" s="92" t="str">
        <f>'PLANILHA ORÇAMENTÁRIA'!D89</f>
        <v>LIXAMENTO MANUAL EM PAREDE PARA REMOÇÃO DE TINTA</v>
      </c>
      <c r="C176" s="92" t="str">
        <f>'PLANILHA ORÇAMENTÁRIA'!E89</f>
        <v>m²</v>
      </c>
      <c r="D176" s="134">
        <f>P176</f>
        <v>29.74</v>
      </c>
      <c r="E176" s="99"/>
      <c r="F176" s="99"/>
      <c r="G176" s="105"/>
      <c r="H176" s="105"/>
      <c r="I176" s="105"/>
      <c r="J176" s="105"/>
      <c r="K176" s="105"/>
      <c r="L176" s="105"/>
      <c r="M176" s="105"/>
      <c r="N176" s="105"/>
      <c r="O176" s="105"/>
      <c r="P176" s="105">
        <v>29.74</v>
      </c>
      <c r="Q176" s="105"/>
      <c r="R176" s="104" t="s">
        <v>383</v>
      </c>
    </row>
    <row r="177" spans="1:19" ht="33.75" x14ac:dyDescent="0.2">
      <c r="A177" s="236">
        <f>'PLANILHA ORÇAMENTÁRIA'!A90</f>
        <v>60</v>
      </c>
      <c r="B177" s="239" t="str">
        <f>'PLANILHA ORÇAMENTÁRIA'!D90</f>
        <v>PREPARAÇÃO PARA EMASSAMENTO OU PINTURA (LÁTEX/ACRÍLICA) EM PAREDE, INCLUSIVE UMA (1) DEMÃO DE SELADOR ACRÍLICO</v>
      </c>
      <c r="C177" s="239" t="str">
        <f>'PLANILHA ORÇAMENTÁRIA'!E90</f>
        <v>m²</v>
      </c>
      <c r="D177" s="242">
        <f>SUM(O177:O179)</f>
        <v>97.88</v>
      </c>
      <c r="E177" s="99"/>
      <c r="F177" s="99"/>
      <c r="G177" s="105"/>
      <c r="H177" s="105"/>
      <c r="I177" s="105"/>
      <c r="J177" s="105"/>
      <c r="K177" s="105"/>
      <c r="L177" s="105"/>
      <c r="M177" s="105"/>
      <c r="N177" s="105"/>
      <c r="O177" s="105">
        <f>D174</f>
        <v>10.15</v>
      </c>
      <c r="P177" s="105"/>
      <c r="Q177" s="105"/>
      <c r="R177" s="104" t="s">
        <v>384</v>
      </c>
    </row>
    <row r="178" spans="1:19" ht="45" x14ac:dyDescent="0.2">
      <c r="A178" s="237"/>
      <c r="B178" s="240"/>
      <c r="C178" s="240"/>
      <c r="D178" s="243"/>
      <c r="E178" s="99"/>
      <c r="F178" s="99"/>
      <c r="G178" s="105"/>
      <c r="H178" s="105"/>
      <c r="I178" s="105"/>
      <c r="J178" s="105"/>
      <c r="K178" s="105"/>
      <c r="L178" s="105"/>
      <c r="M178" s="105"/>
      <c r="N178" s="105"/>
      <c r="O178" s="105">
        <f>D175</f>
        <v>57.99</v>
      </c>
      <c r="P178" s="105"/>
      <c r="Q178" s="105"/>
      <c r="R178" s="104" t="s">
        <v>385</v>
      </c>
    </row>
    <row r="179" spans="1:19" ht="33.75" x14ac:dyDescent="0.2">
      <c r="A179" s="238"/>
      <c r="B179" s="241"/>
      <c r="C179" s="241"/>
      <c r="D179" s="244"/>
      <c r="E179" s="99"/>
      <c r="F179" s="99"/>
      <c r="G179" s="105"/>
      <c r="H179" s="105"/>
      <c r="I179" s="105"/>
      <c r="J179" s="105"/>
      <c r="K179" s="105"/>
      <c r="L179" s="105"/>
      <c r="M179" s="105"/>
      <c r="N179" s="105"/>
      <c r="O179" s="105">
        <f>D176</f>
        <v>29.74</v>
      </c>
      <c r="P179" s="105"/>
      <c r="Q179" s="105"/>
      <c r="R179" s="104" t="s">
        <v>386</v>
      </c>
    </row>
    <row r="180" spans="1:19" ht="38.25" x14ac:dyDescent="0.2">
      <c r="A180" s="107">
        <f>'PLANILHA ORÇAMENTÁRIA'!A91</f>
        <v>61</v>
      </c>
      <c r="B180" s="92" t="str">
        <f>'PLANILHA ORÇAMENTÁRIA'!D91</f>
        <v>PINTURA ACRÍLICA EM PAREDE, DUAS (2) DEMÃOS, COM APLICAÇÃO MANUAL, EXCLUSIVE SELADOR ACRÍLICO E MASSA ACRÍLICA/CORRIDA (PVA)</v>
      </c>
      <c r="C180" s="92" t="str">
        <f>'PLANILHA ORÇAMENTÁRIA'!E91</f>
        <v>m²</v>
      </c>
      <c r="D180" s="134">
        <f>O180</f>
        <v>97.88</v>
      </c>
      <c r="E180" s="99"/>
      <c r="F180" s="99"/>
      <c r="G180" s="105"/>
      <c r="H180" s="105"/>
      <c r="I180" s="105"/>
      <c r="J180" s="105"/>
      <c r="K180" s="105"/>
      <c r="L180" s="105"/>
      <c r="M180" s="105"/>
      <c r="N180" s="105"/>
      <c r="O180" s="105">
        <f>D177</f>
        <v>97.88</v>
      </c>
      <c r="P180" s="105"/>
      <c r="Q180" s="105"/>
      <c r="R180" s="104" t="s">
        <v>320</v>
      </c>
    </row>
    <row r="181" spans="1:19" ht="39.6" customHeight="1" x14ac:dyDescent="0.2">
      <c r="A181" s="236">
        <f>'PLANILHA ORÇAMENTÁRIA'!A92</f>
        <v>62</v>
      </c>
      <c r="B181" s="239" t="str">
        <f>'PLANILHA ORÇAMENTÁRIA'!D92</f>
        <v>CAIAÇÃO MANUAL, TRÊS DEMÃOS (EXECUÇÃO, INCLUI FORNECIMENTO E APLICAÇÃO DA CAL HIDRATADA PARA CAIAÇÃO)</v>
      </c>
      <c r="C181" s="239" t="str">
        <f>'PLANILHA ORÇAMENTÁRIA'!E92</f>
        <v>m²</v>
      </c>
      <c r="D181" s="242">
        <f>SUM(O181:O182)</f>
        <v>77.87</v>
      </c>
      <c r="E181" s="99"/>
      <c r="F181" s="99"/>
      <c r="G181" s="105"/>
      <c r="H181" s="105"/>
      <c r="I181" s="105">
        <f>D160</f>
        <v>48.13</v>
      </c>
      <c r="J181" s="105">
        <f>0.13+0.1+0.1</f>
        <v>0.33</v>
      </c>
      <c r="K181" s="105"/>
      <c r="L181" s="105"/>
      <c r="M181" s="105"/>
      <c r="N181" s="105"/>
      <c r="O181" s="105">
        <f>ROUND(I181*J181,2)</f>
        <v>15.88</v>
      </c>
      <c r="P181" s="105"/>
      <c r="Q181" s="105"/>
      <c r="R181" s="104" t="s">
        <v>321</v>
      </c>
    </row>
    <row r="182" spans="1:19" ht="56.25" x14ac:dyDescent="0.2">
      <c r="A182" s="238"/>
      <c r="B182" s="241"/>
      <c r="C182" s="241"/>
      <c r="D182" s="244"/>
      <c r="E182" s="99"/>
      <c r="F182" s="99"/>
      <c r="G182" s="105"/>
      <c r="H182" s="105"/>
      <c r="I182" s="105">
        <v>221.41</v>
      </c>
      <c r="J182" s="105">
        <f>0.13+0.15</f>
        <v>0.28000000000000003</v>
      </c>
      <c r="K182" s="105"/>
      <c r="L182" s="105"/>
      <c r="M182" s="105"/>
      <c r="N182" s="105"/>
      <c r="O182" s="105">
        <f>ROUND(I182*J182,2)</f>
        <v>61.99</v>
      </c>
      <c r="P182" s="105"/>
      <c r="Q182" s="105"/>
      <c r="R182" s="104" t="s">
        <v>322</v>
      </c>
    </row>
    <row r="183" spans="1:19" ht="14.45" customHeight="1" x14ac:dyDescent="0.2">
      <c r="A183" s="245" t="str">
        <f>'PLANILHA ORÇAMENTÁRIA'!A93</f>
        <v>PAISAGISMO</v>
      </c>
      <c r="B183" s="246"/>
      <c r="C183" s="246"/>
      <c r="D183" s="246"/>
      <c r="E183" s="246"/>
      <c r="F183" s="246"/>
      <c r="G183" s="246"/>
      <c r="H183" s="246"/>
      <c r="I183" s="246"/>
      <c r="J183" s="246"/>
      <c r="K183" s="246"/>
      <c r="L183" s="246"/>
      <c r="M183" s="246"/>
      <c r="N183" s="246"/>
      <c r="O183" s="246"/>
      <c r="P183" s="246"/>
      <c r="Q183" s="246"/>
      <c r="R183" s="247"/>
      <c r="S183" s="94"/>
    </row>
    <row r="184" spans="1:19" x14ac:dyDescent="0.2">
      <c r="A184" s="236">
        <f>'PLANILHA ORÇAMENTÁRIA'!A94</f>
        <v>63</v>
      </c>
      <c r="B184" s="239" t="str">
        <f>'PLANILHA ORÇAMENTÁRIA'!D94</f>
        <v>PLANTIO DE GRAMA ESMERALDA EM PLACAS, INCLUSIVE TERRA VEGETAL E CONSERVAÇÃO POR TRINTA (30) DIAS</v>
      </c>
      <c r="C184" s="239" t="str">
        <f>'PLANILHA ORÇAMENTÁRIA'!E94</f>
        <v>m²</v>
      </c>
      <c r="D184" s="242">
        <f>SUM(Q184:Q191)</f>
        <v>415.18999999999994</v>
      </c>
      <c r="E184" s="99"/>
      <c r="F184" s="99"/>
      <c r="G184" s="105"/>
      <c r="H184" s="105"/>
      <c r="I184" s="105"/>
      <c r="J184" s="105"/>
      <c r="K184" s="105"/>
      <c r="L184" s="105"/>
      <c r="M184" s="105"/>
      <c r="N184" s="105"/>
      <c r="O184" s="105"/>
      <c r="P184" s="105"/>
      <c r="Q184" s="105">
        <v>72.59</v>
      </c>
      <c r="R184" s="104" t="s">
        <v>263</v>
      </c>
    </row>
    <row r="185" spans="1:19" x14ac:dyDescent="0.2">
      <c r="A185" s="237"/>
      <c r="B185" s="240"/>
      <c r="C185" s="240"/>
      <c r="D185" s="243"/>
      <c r="E185" s="99"/>
      <c r="F185" s="99"/>
      <c r="G185" s="105"/>
      <c r="H185" s="105"/>
      <c r="I185" s="105"/>
      <c r="J185" s="105"/>
      <c r="K185" s="105"/>
      <c r="L185" s="105"/>
      <c r="M185" s="105"/>
      <c r="N185" s="105"/>
      <c r="O185" s="105"/>
      <c r="P185" s="105"/>
      <c r="Q185" s="105">
        <v>58.01</v>
      </c>
      <c r="R185" s="104" t="s">
        <v>264</v>
      </c>
    </row>
    <row r="186" spans="1:19" x14ac:dyDescent="0.2">
      <c r="A186" s="237"/>
      <c r="B186" s="240"/>
      <c r="C186" s="240"/>
      <c r="D186" s="243"/>
      <c r="E186" s="99"/>
      <c r="F186" s="99"/>
      <c r="G186" s="105"/>
      <c r="H186" s="105"/>
      <c r="I186" s="105"/>
      <c r="J186" s="105"/>
      <c r="K186" s="105"/>
      <c r="L186" s="105"/>
      <c r="M186" s="105"/>
      <c r="N186" s="105"/>
      <c r="O186" s="105"/>
      <c r="P186" s="105"/>
      <c r="Q186" s="105">
        <v>263.94</v>
      </c>
      <c r="R186" s="104" t="s">
        <v>265</v>
      </c>
    </row>
    <row r="187" spans="1:19" x14ac:dyDescent="0.2">
      <c r="A187" s="237"/>
      <c r="B187" s="240"/>
      <c r="C187" s="240"/>
      <c r="D187" s="243"/>
      <c r="E187" s="99"/>
      <c r="F187" s="99"/>
      <c r="G187" s="109"/>
      <c r="H187" s="105"/>
      <c r="I187" s="105"/>
      <c r="J187" s="105"/>
      <c r="K187" s="105"/>
      <c r="L187" s="105"/>
      <c r="M187" s="105"/>
      <c r="N187" s="105"/>
      <c r="O187" s="105"/>
      <c r="P187" s="105"/>
      <c r="Q187" s="105">
        <v>0.97</v>
      </c>
      <c r="R187" s="104" t="s">
        <v>360</v>
      </c>
    </row>
    <row r="188" spans="1:19" x14ac:dyDescent="0.2">
      <c r="A188" s="237"/>
      <c r="B188" s="240"/>
      <c r="C188" s="240"/>
      <c r="D188" s="243"/>
      <c r="E188" s="99"/>
      <c r="F188" s="99"/>
      <c r="G188" s="109"/>
      <c r="H188" s="105"/>
      <c r="I188" s="105"/>
      <c r="J188" s="105"/>
      <c r="K188" s="105"/>
      <c r="L188" s="105"/>
      <c r="M188" s="105"/>
      <c r="N188" s="105"/>
      <c r="O188" s="105"/>
      <c r="P188" s="105"/>
      <c r="Q188" s="105">
        <v>1.52</v>
      </c>
      <c r="R188" s="104" t="s">
        <v>360</v>
      </c>
    </row>
    <row r="189" spans="1:19" x14ac:dyDescent="0.2">
      <c r="A189" s="237"/>
      <c r="B189" s="240"/>
      <c r="C189" s="240"/>
      <c r="D189" s="243"/>
      <c r="E189" s="99"/>
      <c r="F189" s="99"/>
      <c r="G189" s="109"/>
      <c r="H189" s="105"/>
      <c r="I189" s="105"/>
      <c r="J189" s="105"/>
      <c r="K189" s="105"/>
      <c r="L189" s="105"/>
      <c r="M189" s="105"/>
      <c r="N189" s="105"/>
      <c r="O189" s="105"/>
      <c r="P189" s="105"/>
      <c r="Q189" s="105">
        <v>4.71</v>
      </c>
      <c r="R189" s="104" t="s">
        <v>360</v>
      </c>
    </row>
    <row r="190" spans="1:19" x14ac:dyDescent="0.2">
      <c r="A190" s="237"/>
      <c r="B190" s="240"/>
      <c r="C190" s="240"/>
      <c r="D190" s="243"/>
      <c r="E190" s="99"/>
      <c r="F190" s="99"/>
      <c r="G190" s="109"/>
      <c r="H190" s="105"/>
      <c r="I190" s="105"/>
      <c r="J190" s="105"/>
      <c r="K190" s="105"/>
      <c r="L190" s="105"/>
      <c r="M190" s="105"/>
      <c r="N190" s="105"/>
      <c r="O190" s="105"/>
      <c r="P190" s="105"/>
      <c r="Q190" s="105">
        <v>8.49</v>
      </c>
      <c r="R190" s="104" t="s">
        <v>360</v>
      </c>
    </row>
    <row r="191" spans="1:19" x14ac:dyDescent="0.2">
      <c r="A191" s="238"/>
      <c r="B191" s="241"/>
      <c r="C191" s="241"/>
      <c r="D191" s="244"/>
      <c r="E191" s="99"/>
      <c r="F191" s="99"/>
      <c r="G191" s="109"/>
      <c r="H191" s="105"/>
      <c r="I191" s="105"/>
      <c r="J191" s="105"/>
      <c r="K191" s="105"/>
      <c r="L191" s="105"/>
      <c r="M191" s="105"/>
      <c r="N191" s="105"/>
      <c r="O191" s="105"/>
      <c r="P191" s="105"/>
      <c r="Q191" s="105">
        <v>4.96</v>
      </c>
      <c r="R191" s="104" t="s">
        <v>360</v>
      </c>
    </row>
    <row r="192" spans="1:19" ht="14.45" customHeight="1" x14ac:dyDescent="0.2">
      <c r="A192" s="245" t="str">
        <f>'PLANILHA ORÇAMENTÁRIA'!A95</f>
        <v>MOBILIÁRIO URBANO E ILUMINAÇÃO</v>
      </c>
      <c r="B192" s="246"/>
      <c r="C192" s="246"/>
      <c r="D192" s="246"/>
      <c r="E192" s="246"/>
      <c r="F192" s="246"/>
      <c r="G192" s="246"/>
      <c r="H192" s="246"/>
      <c r="I192" s="246"/>
      <c r="J192" s="246"/>
      <c r="K192" s="246"/>
      <c r="L192" s="246"/>
      <c r="M192" s="246"/>
      <c r="N192" s="246"/>
      <c r="O192" s="246"/>
      <c r="P192" s="246"/>
      <c r="Q192" s="246"/>
      <c r="R192" s="247"/>
      <c r="S192" s="94"/>
    </row>
    <row r="193" spans="1:19" ht="38.25" x14ac:dyDescent="0.2">
      <c r="A193" s="107">
        <f>'PLANILHA ORÇAMENTÁRIA'!A96</f>
        <v>64</v>
      </c>
      <c r="B193" s="92" t="str">
        <f>'PLANILHA ORÇAMENTÁRIA'!D96</f>
        <v>LUMINÁRIA DE LED PARA ILUMINAÇÃO PÚBLICA, DE 33 W ATÉ 50 W - FORNECIMENTO E INSTALAÇÃO. AF_02/2025_PS</v>
      </c>
      <c r="C193" s="92" t="str">
        <f>'PLANILHA ORÇAMENTÁRIA'!E96</f>
        <v>Unid.</v>
      </c>
      <c r="D193" s="134">
        <f>E193</f>
        <v>26</v>
      </c>
      <c r="E193" s="99">
        <v>26</v>
      </c>
      <c r="F193" s="99"/>
      <c r="G193" s="109"/>
      <c r="H193" s="105"/>
      <c r="I193" s="105"/>
      <c r="J193" s="105"/>
      <c r="K193" s="105"/>
      <c r="L193" s="105"/>
      <c r="M193" s="105"/>
      <c r="N193" s="105"/>
      <c r="O193" s="105"/>
      <c r="P193" s="105"/>
      <c r="Q193" s="105"/>
      <c r="R193" s="104" t="s">
        <v>331</v>
      </c>
    </row>
    <row r="194" spans="1:19" ht="38.25" x14ac:dyDescent="0.2">
      <c r="A194" s="107">
        <f>'PLANILHA ORÇAMENTÁRIA'!A97</f>
        <v>65</v>
      </c>
      <c r="B194" s="92" t="str">
        <f>'PLANILHA ORÇAMENTÁRIA'!D97</f>
        <v>POSTE DE AÇO GALVANIZADO, ALTURA LIVRE MÍNIMA DE 6M, COM 2 REFLETORES DE LED, POTÊNCIA DE 200W CADA, INCLUSIVE FIAÇÃO, SUPORTE E FUNDAÇÃO</v>
      </c>
      <c r="C194" s="92" t="str">
        <f>'PLANILHA ORÇAMENTÁRIA'!E97</f>
        <v>Unid.</v>
      </c>
      <c r="D194" s="134">
        <f>E194</f>
        <v>7</v>
      </c>
      <c r="E194" s="99">
        <v>7</v>
      </c>
      <c r="F194" s="99"/>
      <c r="G194" s="109"/>
      <c r="H194" s="105"/>
      <c r="I194" s="105"/>
      <c r="J194" s="105"/>
      <c r="K194" s="105"/>
      <c r="L194" s="105"/>
      <c r="M194" s="105"/>
      <c r="N194" s="105"/>
      <c r="O194" s="105"/>
      <c r="P194" s="105"/>
      <c r="Q194" s="105"/>
      <c r="R194" s="136" t="s">
        <v>387</v>
      </c>
    </row>
    <row r="195" spans="1:19" ht="89.25" x14ac:dyDescent="0.2">
      <c r="A195" s="107">
        <f>'PLANILHA ORÇAMENTÁRIA'!A98</f>
        <v>66</v>
      </c>
      <c r="B195" s="92" t="str">
        <f>'PLANILHA ORÇAMENTÁRIA'!D98</f>
        <v>BANCO EM CONCRETO APARENTE, TIPO-2, PADRÃO SEE-MG, SEM ENCOSTO, POLIDO COM ACABAMENTO EM VERNIZ, ESP. 5CM, COMPRIMENTO 150CM, LARGURA 40CM, ALTURA 45CM, INCLUSIVE CORTE NO PISO PARA FIXAÇÃO COM CONCRETO NÃO ESTRUTURAL, PREPARADO EM OBRA COM BETONEIRA, COM FCK 15 MPA</v>
      </c>
      <c r="C195" s="92" t="str">
        <f>'PLANILHA ORÇAMENTÁRIA'!E98</f>
        <v>Unid.</v>
      </c>
      <c r="D195" s="134">
        <f>E195</f>
        <v>7</v>
      </c>
      <c r="E195" s="99">
        <v>7</v>
      </c>
      <c r="F195" s="99"/>
      <c r="G195" s="109"/>
      <c r="H195" s="105"/>
      <c r="I195" s="105"/>
      <c r="J195" s="105"/>
      <c r="K195" s="105"/>
      <c r="L195" s="105"/>
      <c r="M195" s="105"/>
      <c r="N195" s="105"/>
      <c r="O195" s="105"/>
      <c r="P195" s="105"/>
      <c r="Q195" s="105"/>
      <c r="R195" s="136" t="s">
        <v>387</v>
      </c>
    </row>
    <row r="196" spans="1:19" ht="127.5" x14ac:dyDescent="0.2">
      <c r="A196" s="107">
        <f>'PLANILHA ORÇAMENTÁRIA'!A99</f>
        <v>67</v>
      </c>
      <c r="B196" s="92" t="str">
        <f>'PLANILHA ORÇAMENTÁRIA'!D99</f>
        <v>BANCO EM ALVENARIA, SEM ENCOSTO, COM DIÂMETRO EXTERNO DE 2,30M, PROFUNDIDADE DE 40CM, ALTURA DE 45CM, INCLUSIVE FIXAÇÃO NO PISO COM CONCRETO NÃO ESTRUTURAL PREPARADO EM OBRA COM BETONEIRA (FCK=15MPA), INCLUSIVE APLICAÇÃO DE CHAPISCO (TRAÇO 1:3, ESP. 5MM), REBOCO (TRAÇO 1:2:8, ESP. 25MM), UMA DEMÃO DE SELADOR ACRÍLICO E DUAS DEMÃOS DE PINTURA ACRÍLICA, INCLUSIVE TAMPO PARA ASSENTO COM CONCRETO DESEMPENADO, ESP. 20MM E REATERRO DO VÃO ENTRE AS ALVENARIAS</v>
      </c>
      <c r="C196" s="92" t="str">
        <f>'PLANILHA ORÇAMENTÁRIA'!E99</f>
        <v>Unid.</v>
      </c>
      <c r="D196" s="134">
        <f>E196</f>
        <v>2</v>
      </c>
      <c r="E196" s="99">
        <v>2</v>
      </c>
      <c r="F196" s="99"/>
      <c r="G196" s="109"/>
      <c r="H196" s="105"/>
      <c r="I196" s="105"/>
      <c r="J196" s="105"/>
      <c r="K196" s="105"/>
      <c r="L196" s="105"/>
      <c r="M196" s="105"/>
      <c r="N196" s="105"/>
      <c r="O196" s="105"/>
      <c r="P196" s="105"/>
      <c r="Q196" s="105"/>
      <c r="R196" s="104" t="s">
        <v>388</v>
      </c>
    </row>
    <row r="197" spans="1:19" ht="36" customHeight="1" x14ac:dyDescent="0.2">
      <c r="A197" s="236">
        <f>'PLANILHA ORÇAMENTÁRIA'!A100</f>
        <v>68</v>
      </c>
      <c r="B197" s="239" t="str">
        <f>'PLANILHA ORÇAMENTÁRIA'!D100</f>
        <v>CORRIMÃO DUPLO EM TUBO GALVANIZADO, COM COSTURA, DIÂMETRO DE 1.1/2", ESP. 3MM, FIXADO EM PISO COM MONTANTE VERTICAL, DIÂMETRO DE 1.1/2", INCLUSIVE SUPORTE PARA CORRIMÃO EM BARRA CHATA (1"X1/2"), EXCLUSIVE PINTURA</v>
      </c>
      <c r="C197" s="239" t="str">
        <f>'PLANILHA ORÇAMENTÁRIA'!E100</f>
        <v>m</v>
      </c>
      <c r="D197" s="242">
        <f>SUM(I197:I198)</f>
        <v>13.42</v>
      </c>
      <c r="E197" s="99"/>
      <c r="F197" s="99"/>
      <c r="G197" s="109"/>
      <c r="H197" s="105"/>
      <c r="I197" s="139">
        <f>3.61*2</f>
        <v>7.22</v>
      </c>
      <c r="J197" s="139"/>
      <c r="K197" s="139"/>
      <c r="L197" s="139"/>
      <c r="M197" s="139"/>
      <c r="N197" s="139"/>
      <c r="O197" s="139"/>
      <c r="P197" s="139"/>
      <c r="Q197" s="139"/>
      <c r="R197" s="136" t="s">
        <v>389</v>
      </c>
    </row>
    <row r="198" spans="1:19" ht="36" customHeight="1" x14ac:dyDescent="0.2">
      <c r="A198" s="238"/>
      <c r="B198" s="241"/>
      <c r="C198" s="241"/>
      <c r="D198" s="244"/>
      <c r="E198" s="99"/>
      <c r="F198" s="99"/>
      <c r="G198" s="109"/>
      <c r="H198" s="105"/>
      <c r="I198" s="139">
        <f>3.1*2</f>
        <v>6.2</v>
      </c>
      <c r="J198" s="139"/>
      <c r="K198" s="139"/>
      <c r="L198" s="139"/>
      <c r="M198" s="139"/>
      <c r="N198" s="139"/>
      <c r="O198" s="139"/>
      <c r="P198" s="139"/>
      <c r="Q198" s="139"/>
      <c r="R198" s="136" t="s">
        <v>390</v>
      </c>
    </row>
    <row r="199" spans="1:19" ht="63.75" x14ac:dyDescent="0.2">
      <c r="A199" s="107">
        <f>'PLANILHA ORÇAMENTÁRIA'!A101</f>
        <v>69</v>
      </c>
      <c r="B199" s="92" t="str">
        <f>'PLANILHA ORÇAMENTÁRIA'!D101</f>
        <v>INSTALAÇÃO DE EQUIPAMENTOS DE ACADEMIA AO AR LIVRE, FIXADOS COM CONCRETO NÃO ESTRUTURAL, PREPARADO EM OBRA COM BETONEIRA, COM FCK DE 15MPA, INCLUSIVE ESCAVAÇÃO E TRANSPORTE COM RETIRADA DO MATERIAL ESCAVADO (EM CAÇAMBA)</v>
      </c>
      <c r="C199" s="92" t="str">
        <f>'PLANILHA ORÇAMENTÁRIA'!E101</f>
        <v>Unid.</v>
      </c>
      <c r="D199" s="135">
        <f>E199</f>
        <v>7</v>
      </c>
      <c r="E199" s="99">
        <v>7</v>
      </c>
      <c r="F199" s="99"/>
      <c r="G199" s="105"/>
      <c r="H199" s="105"/>
      <c r="I199" s="105"/>
      <c r="J199" s="105"/>
      <c r="K199" s="105"/>
      <c r="L199" s="105"/>
      <c r="M199" s="105"/>
      <c r="N199" s="105"/>
      <c r="O199" s="92"/>
      <c r="P199" s="105"/>
      <c r="Q199" s="105"/>
      <c r="R199" s="104" t="s">
        <v>356</v>
      </c>
    </row>
    <row r="200" spans="1:19" ht="14.45" customHeight="1" x14ac:dyDescent="0.2">
      <c r="A200" s="245" t="str">
        <f>'PLANILHA ORÇAMENTÁRIA'!A102</f>
        <v>ENTREGA DE OBRA</v>
      </c>
      <c r="B200" s="246"/>
      <c r="C200" s="246"/>
      <c r="D200" s="246"/>
      <c r="E200" s="246"/>
      <c r="F200" s="246"/>
      <c r="G200" s="246"/>
      <c r="H200" s="246"/>
      <c r="I200" s="246"/>
      <c r="J200" s="246"/>
      <c r="K200" s="246"/>
      <c r="L200" s="246"/>
      <c r="M200" s="246"/>
      <c r="N200" s="246"/>
      <c r="O200" s="246"/>
      <c r="P200" s="246"/>
      <c r="Q200" s="246"/>
      <c r="R200" s="247"/>
      <c r="S200" s="94"/>
    </row>
    <row r="201" spans="1:19" ht="25.5" x14ac:dyDescent="0.2">
      <c r="A201" s="107">
        <f>'PLANILHA ORÇAMENTÁRIA'!A103</f>
        <v>70</v>
      </c>
      <c r="B201" s="92" t="str">
        <f>'PLANILHA ORÇAMENTÁRIA'!D103</f>
        <v>PLACA DE ALUMÍNIO FUNDIDO, DIMENSÃO (60X40)CM, PARA INAUGURAÇÃO, INCLUSIVE FIXAÇÃO</v>
      </c>
      <c r="C201" s="92" t="str">
        <f>'PLANILHA ORÇAMENTÁRIA'!E103</f>
        <v>Unid.</v>
      </c>
      <c r="D201" s="134">
        <f>E201</f>
        <v>1</v>
      </c>
      <c r="E201" s="99">
        <v>1</v>
      </c>
      <c r="F201" s="99"/>
      <c r="G201" s="109"/>
      <c r="H201" s="105"/>
      <c r="I201" s="105"/>
      <c r="J201" s="105"/>
      <c r="K201" s="105"/>
      <c r="L201" s="105"/>
      <c r="M201" s="105"/>
      <c r="N201" s="105"/>
      <c r="O201" s="105"/>
      <c r="P201" s="105"/>
      <c r="Q201" s="105"/>
      <c r="R201" s="104" t="s">
        <v>212</v>
      </c>
    </row>
    <row r="202" spans="1:19" ht="57" thickBot="1" x14ac:dyDescent="0.25">
      <c r="A202" s="107">
        <f>'PLANILHA ORÇAMENTÁRIA'!A104</f>
        <v>71</v>
      </c>
      <c r="B202" s="92" t="str">
        <f>'PLANILHA ORÇAMENTÁRIA'!D104</f>
        <v>LIMPEZA FINAL PARA ENTREGA DA OBRA</v>
      </c>
      <c r="C202" s="92" t="str">
        <f>'PLANILHA ORÇAMENTÁRIA'!E104</f>
        <v>m²</v>
      </c>
      <c r="D202" s="134">
        <f>P202</f>
        <v>439.40000000000003</v>
      </c>
      <c r="E202" s="99"/>
      <c r="F202" s="99"/>
      <c r="G202" s="109"/>
      <c r="H202" s="105"/>
      <c r="I202" s="105"/>
      <c r="J202" s="105"/>
      <c r="K202" s="105"/>
      <c r="L202" s="105"/>
      <c r="M202" s="105"/>
      <c r="N202" s="105"/>
      <c r="O202" s="105"/>
      <c r="P202" s="103">
        <f>199.69+192.42+30.79+6.16+5.31+2.34+2.69</f>
        <v>439.40000000000003</v>
      </c>
      <c r="Q202" s="103"/>
      <c r="R202" s="102" t="s">
        <v>391</v>
      </c>
    </row>
  </sheetData>
  <mergeCells count="166">
    <mergeCell ref="A113:R113"/>
    <mergeCell ref="D111:D112"/>
    <mergeCell ref="A111:A112"/>
    <mergeCell ref="B111:B112"/>
    <mergeCell ref="C111:C112"/>
    <mergeCell ref="A107:R107"/>
    <mergeCell ref="D86:D91"/>
    <mergeCell ref="C86:C91"/>
    <mergeCell ref="A122:A123"/>
    <mergeCell ref="B122:B123"/>
    <mergeCell ref="C122:C123"/>
    <mergeCell ref="D122:D123"/>
    <mergeCell ref="A97:R97"/>
    <mergeCell ref="A100:A106"/>
    <mergeCell ref="B100:B106"/>
    <mergeCell ref="C100:C106"/>
    <mergeCell ref="D100:D106"/>
    <mergeCell ref="B86:B91"/>
    <mergeCell ref="A86:A91"/>
    <mergeCell ref="A95:A96"/>
    <mergeCell ref="B95:B96"/>
    <mergeCell ref="C95:C96"/>
    <mergeCell ref="A116:R116"/>
    <mergeCell ref="A117:R117"/>
    <mergeCell ref="A40:A43"/>
    <mergeCell ref="A35:R35"/>
    <mergeCell ref="A78:A79"/>
    <mergeCell ref="B78:B79"/>
    <mergeCell ref="C78:C79"/>
    <mergeCell ref="D78:D79"/>
    <mergeCell ref="A74:A77"/>
    <mergeCell ref="B74:B77"/>
    <mergeCell ref="C74:C77"/>
    <mergeCell ref="D74:D77"/>
    <mergeCell ref="A80:A84"/>
    <mergeCell ref="B80:B84"/>
    <mergeCell ref="C80:C84"/>
    <mergeCell ref="D80:D84"/>
    <mergeCell ref="A24:A31"/>
    <mergeCell ref="B6:B9"/>
    <mergeCell ref="C6:C9"/>
    <mergeCell ref="D6:D9"/>
    <mergeCell ref="A18:A22"/>
    <mergeCell ref="B18:B22"/>
    <mergeCell ref="C18:C22"/>
    <mergeCell ref="D18:D22"/>
    <mergeCell ref="D69:D73"/>
    <mergeCell ref="D24:D31"/>
    <mergeCell ref="A32:R32"/>
    <mergeCell ref="A60:A63"/>
    <mergeCell ref="B60:B63"/>
    <mergeCell ref="C60:C63"/>
    <mergeCell ref="D60:D63"/>
    <mergeCell ref="D40:D43"/>
    <mergeCell ref="C40:C43"/>
    <mergeCell ref="B36:B39"/>
    <mergeCell ref="A36:A39"/>
    <mergeCell ref="B40:B43"/>
    <mergeCell ref="C44:C55"/>
    <mergeCell ref="B44:B55"/>
    <mergeCell ref="A44:A55"/>
    <mergeCell ref="D56:D59"/>
    <mergeCell ref="C56:C59"/>
    <mergeCell ref="B56:B59"/>
    <mergeCell ref="A56:A59"/>
    <mergeCell ref="A64:A67"/>
    <mergeCell ref="B64:B67"/>
    <mergeCell ref="C64:C67"/>
    <mergeCell ref="D64:D67"/>
    <mergeCell ref="A119:A120"/>
    <mergeCell ref="B119:B120"/>
    <mergeCell ref="C119:C120"/>
    <mergeCell ref="D119:D120"/>
    <mergeCell ref="A1:R1"/>
    <mergeCell ref="A4:R4"/>
    <mergeCell ref="A10:R10"/>
    <mergeCell ref="A11:A16"/>
    <mergeCell ref="B11:B16"/>
    <mergeCell ref="C11:C16"/>
    <mergeCell ref="D11:D16"/>
    <mergeCell ref="A6:A9"/>
    <mergeCell ref="A3:R3"/>
    <mergeCell ref="A69:A73"/>
    <mergeCell ref="B69:B73"/>
    <mergeCell ref="C69:C73"/>
    <mergeCell ref="D95:D96"/>
    <mergeCell ref="B24:B31"/>
    <mergeCell ref="C24:C31"/>
    <mergeCell ref="A68:R68"/>
    <mergeCell ref="D36:D39"/>
    <mergeCell ref="C36:C39"/>
    <mergeCell ref="A85:R85"/>
    <mergeCell ref="D44:D55"/>
    <mergeCell ref="A133:A138"/>
    <mergeCell ref="B133:B138"/>
    <mergeCell ref="C133:C138"/>
    <mergeCell ref="D133:D138"/>
    <mergeCell ref="A124:A126"/>
    <mergeCell ref="B124:B126"/>
    <mergeCell ref="C124:C126"/>
    <mergeCell ref="D124:D126"/>
    <mergeCell ref="A121:R121"/>
    <mergeCell ref="R124:R126"/>
    <mergeCell ref="A129:A130"/>
    <mergeCell ref="B129:B130"/>
    <mergeCell ref="C129:C130"/>
    <mergeCell ref="D129:D130"/>
    <mergeCell ref="A143:A144"/>
    <mergeCell ref="B143:B144"/>
    <mergeCell ref="C143:C144"/>
    <mergeCell ref="D143:D144"/>
    <mergeCell ref="A145:A146"/>
    <mergeCell ref="B145:B146"/>
    <mergeCell ref="C145:C146"/>
    <mergeCell ref="A142:R142"/>
    <mergeCell ref="A139:R139"/>
    <mergeCell ref="D145:D146"/>
    <mergeCell ref="A200:R200"/>
    <mergeCell ref="A192:R192"/>
    <mergeCell ref="A184:A191"/>
    <mergeCell ref="B184:B191"/>
    <mergeCell ref="C184:C191"/>
    <mergeCell ref="D184:D191"/>
    <mergeCell ref="A157:A158"/>
    <mergeCell ref="B157:B158"/>
    <mergeCell ref="C157:C158"/>
    <mergeCell ref="D157:D158"/>
    <mergeCell ref="A171:R171"/>
    <mergeCell ref="A161:A163"/>
    <mergeCell ref="B161:B163"/>
    <mergeCell ref="C161:C163"/>
    <mergeCell ref="D181:D182"/>
    <mergeCell ref="A153:A154"/>
    <mergeCell ref="B153:B154"/>
    <mergeCell ref="C153:C154"/>
    <mergeCell ref="D153:D154"/>
    <mergeCell ref="A155:A156"/>
    <mergeCell ref="D161:D163"/>
    <mergeCell ref="A165:A170"/>
    <mergeCell ref="B165:B170"/>
    <mergeCell ref="C165:C170"/>
    <mergeCell ref="D165:D170"/>
    <mergeCell ref="A147:A152"/>
    <mergeCell ref="B147:B152"/>
    <mergeCell ref="C147:C152"/>
    <mergeCell ref="D147:D152"/>
    <mergeCell ref="B155:B156"/>
    <mergeCell ref="C155:C156"/>
    <mergeCell ref="D155:D156"/>
    <mergeCell ref="A159:R159"/>
    <mergeCell ref="A197:A198"/>
    <mergeCell ref="B197:B198"/>
    <mergeCell ref="C197:C198"/>
    <mergeCell ref="D197:D198"/>
    <mergeCell ref="A183:R183"/>
    <mergeCell ref="A172:A173"/>
    <mergeCell ref="B172:B173"/>
    <mergeCell ref="C172:C173"/>
    <mergeCell ref="D172:D173"/>
    <mergeCell ref="A177:A179"/>
    <mergeCell ref="B177:B179"/>
    <mergeCell ref="C177:C179"/>
    <mergeCell ref="D177:D179"/>
    <mergeCell ref="A181:A182"/>
    <mergeCell ref="B181:B182"/>
    <mergeCell ref="C181:C182"/>
  </mergeCells>
  <phoneticPr fontId="3" type="noConversion"/>
  <printOptions horizontalCentered="1"/>
  <pageMargins left="0.23622047244094491" right="0.23622047244094491" top="0.74803149606299213" bottom="0.39370078740157483" header="0" footer="0"/>
  <pageSetup paperSize="8" scale="77" fitToHeight="0" orientation="landscape" r:id="rId1"/>
  <ignoredErrors>
    <ignoredError sqref="D74 D161"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H22"/>
  <sheetViews>
    <sheetView zoomScale="115" zoomScaleNormal="115" workbookViewId="0">
      <selection activeCell="B20" sqref="B20:B22"/>
    </sheetView>
  </sheetViews>
  <sheetFormatPr defaultRowHeight="12.75" x14ac:dyDescent="0.2"/>
  <cols>
    <col min="1" max="1" width="10.140625" customWidth="1"/>
    <col min="2" max="2" width="33.85546875" customWidth="1"/>
    <col min="3" max="8" width="14.28515625" customWidth="1"/>
  </cols>
  <sheetData>
    <row r="1" spans="1:8" ht="74.25" customHeight="1" x14ac:dyDescent="0.2">
      <c r="A1" s="270" t="s">
        <v>226</v>
      </c>
      <c r="B1" s="271"/>
      <c r="C1" s="271"/>
      <c r="D1" s="271"/>
      <c r="E1" s="271"/>
      <c r="F1" s="271"/>
      <c r="G1" s="271"/>
      <c r="H1" s="272"/>
    </row>
    <row r="2" spans="1:8" x14ac:dyDescent="0.2">
      <c r="A2" s="274" t="s">
        <v>26</v>
      </c>
      <c r="B2" s="275"/>
      <c r="C2" s="275"/>
      <c r="D2" s="275"/>
      <c r="E2" s="275"/>
      <c r="F2" s="275"/>
      <c r="G2" s="275"/>
      <c r="H2" s="276"/>
    </row>
    <row r="3" spans="1:8" ht="12.75" customHeight="1" x14ac:dyDescent="0.2">
      <c r="A3" s="277" t="str">
        <f>'PLANILHA ORÇAMENTÁRIA'!A3:E3</f>
        <v>PREFEITURA MUNICIPAL DE MARAVILHAS</v>
      </c>
      <c r="B3" s="277"/>
      <c r="C3" s="273" t="s">
        <v>36</v>
      </c>
      <c r="D3" s="278">
        <f>D12</f>
        <v>0</v>
      </c>
      <c r="E3" s="268" t="s">
        <v>422</v>
      </c>
      <c r="F3" s="268"/>
      <c r="G3" s="269" t="s">
        <v>146</v>
      </c>
      <c r="H3" s="269"/>
    </row>
    <row r="4" spans="1:8" ht="25.5" customHeight="1" x14ac:dyDescent="0.2">
      <c r="A4" s="266" t="str">
        <f>'PLANILHA ORÇAMENTÁRIA'!A4:E4</f>
        <v>OBRA: Reforma da Praça 21 de Abril e Praça 13 de Maio</v>
      </c>
      <c r="B4" s="267"/>
      <c r="C4" s="273"/>
      <c r="D4" s="278"/>
      <c r="E4" s="268"/>
      <c r="F4" s="268"/>
      <c r="G4" s="269"/>
      <c r="H4" s="269"/>
    </row>
    <row r="5" spans="1:8" ht="25.5" customHeight="1" x14ac:dyDescent="0.2">
      <c r="A5" s="279" t="str">
        <f>'PLANILHA ORÇAMENTÁRIA'!A5:E5</f>
        <v>LOCAL: Praça 21 de Abril e Praça 13 de Maio, bairro Centro, Município de Maravilhas-MG.</v>
      </c>
      <c r="B5" s="279"/>
      <c r="C5" s="279"/>
      <c r="D5" s="279"/>
      <c r="E5" s="273" t="s">
        <v>227</v>
      </c>
      <c r="F5" s="273"/>
      <c r="G5" s="273"/>
      <c r="H5" s="273"/>
    </row>
    <row r="6" spans="1:8" ht="24" x14ac:dyDescent="0.2">
      <c r="A6" s="280" t="s">
        <v>27</v>
      </c>
      <c r="B6" s="281"/>
      <c r="C6" s="18" t="s">
        <v>28</v>
      </c>
      <c r="D6" s="18" t="s">
        <v>29</v>
      </c>
      <c r="E6" s="17" t="s">
        <v>30</v>
      </c>
      <c r="F6" s="17" t="s">
        <v>31</v>
      </c>
      <c r="G6" s="17" t="s">
        <v>32</v>
      </c>
      <c r="H6" s="17" t="s">
        <v>33</v>
      </c>
    </row>
    <row r="7" spans="1:8" ht="12.75" customHeight="1" x14ac:dyDescent="0.2">
      <c r="A7" s="282" t="str">
        <f>'PLANILHA ORÇAMENTÁRIA'!A11</f>
        <v>ITEM A - PRAÇA 21 DE ABRIL</v>
      </c>
      <c r="B7" s="283"/>
      <c r="C7" s="58" t="s">
        <v>10</v>
      </c>
      <c r="D7" s="49" t="e">
        <f>D8/$D$12</f>
        <v>#DIV/0!</v>
      </c>
      <c r="E7" s="49">
        <v>0.66669999999999996</v>
      </c>
      <c r="F7" s="49">
        <v>0.33329999999999999</v>
      </c>
      <c r="G7" s="49"/>
      <c r="H7" s="49"/>
    </row>
    <row r="8" spans="1:8" x14ac:dyDescent="0.2">
      <c r="A8" s="284"/>
      <c r="B8" s="285"/>
      <c r="C8" s="20" t="s">
        <v>11</v>
      </c>
      <c r="D8" s="50">
        <f>'PLANILHA ORÇAMENTÁRIA'!I11</f>
        <v>0</v>
      </c>
      <c r="E8" s="50">
        <f>E7*$D$8</f>
        <v>0</v>
      </c>
      <c r="F8" s="50">
        <f>F7*$D$8</f>
        <v>0</v>
      </c>
      <c r="G8" s="50"/>
      <c r="H8" s="50"/>
    </row>
    <row r="9" spans="1:8" ht="12.75" customHeight="1" x14ac:dyDescent="0.2">
      <c r="A9" s="282" t="str">
        <f>'PLANILHA ORÇAMENTÁRIA'!A56</f>
        <v>ITEM B - PRAÇA 13 DE MAIO</v>
      </c>
      <c r="B9" s="283"/>
      <c r="C9" s="58" t="s">
        <v>10</v>
      </c>
      <c r="D9" s="49" t="e">
        <f>D10/$D$12</f>
        <v>#DIV/0!</v>
      </c>
      <c r="E9" s="49"/>
      <c r="F9" s="49">
        <v>0.33329999999999999</v>
      </c>
      <c r="G9" s="49">
        <v>0.66669999999999996</v>
      </c>
      <c r="H9" s="49"/>
    </row>
    <row r="10" spans="1:8" x14ac:dyDescent="0.2">
      <c r="A10" s="284"/>
      <c r="B10" s="285"/>
      <c r="C10" s="20" t="s">
        <v>11</v>
      </c>
      <c r="D10" s="50">
        <f>'PLANILHA ORÇAMENTÁRIA'!I56</f>
        <v>0</v>
      </c>
      <c r="E10" s="50"/>
      <c r="F10" s="50">
        <f>F9*$D$10</f>
        <v>0</v>
      </c>
      <c r="G10" s="50">
        <f>G9*$D$10</f>
        <v>0</v>
      </c>
      <c r="H10" s="50"/>
    </row>
    <row r="11" spans="1:8" x14ac:dyDescent="0.2">
      <c r="A11" s="273" t="s">
        <v>13</v>
      </c>
      <c r="B11" s="273"/>
      <c r="C11" s="58" t="s">
        <v>10</v>
      </c>
      <c r="D11" s="49" t="e">
        <f>SUM(D7+D9)</f>
        <v>#DIV/0!</v>
      </c>
      <c r="E11" s="49" t="e">
        <f>E12/$D$12</f>
        <v>#DIV/0!</v>
      </c>
      <c r="F11" s="49" t="e">
        <f>F12/$D$12</f>
        <v>#DIV/0!</v>
      </c>
      <c r="G11" s="49" t="e">
        <f>G12/$D$12</f>
        <v>#DIV/0!</v>
      </c>
      <c r="H11" s="49"/>
    </row>
    <row r="12" spans="1:8" x14ac:dyDescent="0.2">
      <c r="A12" s="273"/>
      <c r="B12" s="273"/>
      <c r="C12" s="19" t="s">
        <v>11</v>
      </c>
      <c r="D12" s="51">
        <f>SUM(D8+D10)</f>
        <v>0</v>
      </c>
      <c r="E12" s="51">
        <f>SUM(E8+E10)</f>
        <v>0</v>
      </c>
      <c r="F12" s="51">
        <f t="shared" ref="F12:G12" si="0">SUM(F8+F10)</f>
        <v>0</v>
      </c>
      <c r="G12" s="51">
        <f t="shared" si="0"/>
        <v>0</v>
      </c>
      <c r="H12" s="51"/>
    </row>
    <row r="13" spans="1:8" x14ac:dyDescent="0.2">
      <c r="A13" s="21"/>
      <c r="B13" s="22"/>
      <c r="C13" s="22"/>
      <c r="D13" s="22"/>
      <c r="E13" s="22"/>
      <c r="F13" s="22"/>
      <c r="G13" s="23" t="s">
        <v>34</v>
      </c>
      <c r="H13" s="24"/>
    </row>
    <row r="14" spans="1:8" x14ac:dyDescent="0.2">
      <c r="A14" s="21"/>
      <c r="B14" s="25"/>
      <c r="C14" s="22"/>
      <c r="D14" s="26"/>
      <c r="E14" s="27"/>
      <c r="F14" s="27"/>
      <c r="G14" s="28"/>
      <c r="H14" s="24"/>
    </row>
    <row r="15" spans="1:8" x14ac:dyDescent="0.2">
      <c r="A15" s="29"/>
      <c r="B15" s="30"/>
      <c r="C15" s="31"/>
      <c r="D15" s="32"/>
      <c r="E15" s="32"/>
      <c r="F15" s="32"/>
      <c r="G15" s="33"/>
      <c r="H15" s="34"/>
    </row>
    <row r="16" spans="1:8" x14ac:dyDescent="0.2">
      <c r="A16" s="35"/>
      <c r="B16" s="36"/>
      <c r="C16" s="31"/>
      <c r="D16" s="31"/>
      <c r="E16" s="37"/>
      <c r="F16" s="37"/>
      <c r="G16" s="35"/>
      <c r="H16" s="38"/>
    </row>
    <row r="17" spans="1:8" x14ac:dyDescent="0.2">
      <c r="A17" s="35"/>
      <c r="B17" s="36"/>
      <c r="C17" s="31"/>
      <c r="D17" s="31"/>
      <c r="E17" s="37"/>
      <c r="F17" s="37"/>
      <c r="G17" s="35"/>
      <c r="H17" s="38"/>
    </row>
    <row r="18" spans="1:8" x14ac:dyDescent="0.2">
      <c r="A18" s="28"/>
      <c r="B18" s="39"/>
      <c r="C18" s="26"/>
      <c r="D18" s="26"/>
      <c r="E18" s="27"/>
      <c r="F18" s="27"/>
      <c r="G18" s="28"/>
      <c r="H18" s="24"/>
    </row>
    <row r="19" spans="1:8" x14ac:dyDescent="0.2">
      <c r="A19" s="29"/>
      <c r="B19" s="40"/>
      <c r="C19" s="41"/>
      <c r="D19" s="41"/>
      <c r="E19" s="42"/>
      <c r="F19" s="42"/>
      <c r="G19" s="43"/>
      <c r="H19" s="24"/>
    </row>
    <row r="20" spans="1:8" x14ac:dyDescent="0.2">
      <c r="A20" s="35"/>
      <c r="B20" s="30"/>
      <c r="C20" s="31"/>
      <c r="D20" s="31"/>
      <c r="E20" s="37"/>
      <c r="F20" s="37"/>
      <c r="G20" s="35"/>
      <c r="H20" s="38"/>
    </row>
    <row r="21" spans="1:8" x14ac:dyDescent="0.2">
      <c r="A21" s="35"/>
      <c r="B21" s="44"/>
      <c r="C21" s="31"/>
      <c r="D21" s="31"/>
      <c r="E21" s="37"/>
      <c r="F21" s="37"/>
      <c r="G21" s="35"/>
      <c r="H21" s="38"/>
    </row>
    <row r="22" spans="1:8" x14ac:dyDescent="0.2">
      <c r="A22" s="45"/>
      <c r="B22" s="46"/>
      <c r="C22" s="47"/>
      <c r="D22" s="47"/>
      <c r="E22" s="46"/>
      <c r="F22" s="46"/>
      <c r="G22" s="45"/>
      <c r="H22" s="48"/>
    </row>
  </sheetData>
  <mergeCells count="14">
    <mergeCell ref="A4:B4"/>
    <mergeCell ref="E3:F4"/>
    <mergeCell ref="G3:H4"/>
    <mergeCell ref="A1:H1"/>
    <mergeCell ref="A11:B12"/>
    <mergeCell ref="A2:H2"/>
    <mergeCell ref="A3:B3"/>
    <mergeCell ref="D3:D4"/>
    <mergeCell ref="C3:C4"/>
    <mergeCell ref="A5:D5"/>
    <mergeCell ref="A6:B6"/>
    <mergeCell ref="A9:B10"/>
    <mergeCell ref="E5:H5"/>
    <mergeCell ref="A7:B8"/>
  </mergeCells>
  <printOptions horizontalCentered="1" verticalCentered="1"/>
  <pageMargins left="0.23622047244094491" right="0.23622047244094491" top="0.39370078740157483" bottom="0.39370078740157483" header="0" footer="0"/>
  <pageSetup paperSize="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Q41"/>
  <sheetViews>
    <sheetView zoomScale="145" zoomScaleNormal="145" workbookViewId="0">
      <selection sqref="A1:J1"/>
    </sheetView>
  </sheetViews>
  <sheetFormatPr defaultColWidth="9.140625" defaultRowHeight="12.75" x14ac:dyDescent="0.2"/>
  <cols>
    <col min="1" max="3" width="10.7109375" style="59" customWidth="1"/>
    <col min="4" max="8" width="7" style="59" customWidth="1"/>
    <col min="9" max="10" width="10.7109375" style="59" customWidth="1"/>
    <col min="11" max="11" width="9.140625" style="60"/>
    <col min="12" max="18" width="0" style="60" hidden="1" customWidth="1"/>
    <col min="19" max="16384" width="9.140625" style="60"/>
  </cols>
  <sheetData>
    <row r="1" spans="1:17" ht="60.75" customHeight="1" x14ac:dyDescent="0.2">
      <c r="A1" s="335" t="s">
        <v>226</v>
      </c>
      <c r="B1" s="336"/>
      <c r="C1" s="336"/>
      <c r="D1" s="336"/>
      <c r="E1" s="336"/>
      <c r="F1" s="336"/>
      <c r="G1" s="336"/>
      <c r="H1" s="336"/>
      <c r="I1" s="336"/>
      <c r="J1" s="337"/>
    </row>
    <row r="2" spans="1:17" ht="15.75" x14ac:dyDescent="0.2">
      <c r="A2" s="338" t="s">
        <v>37</v>
      </c>
      <c r="B2" s="339"/>
      <c r="C2" s="339"/>
      <c r="D2" s="339"/>
      <c r="E2" s="339"/>
      <c r="F2" s="339"/>
      <c r="G2" s="339"/>
      <c r="H2" s="339"/>
      <c r="I2" s="339"/>
      <c r="J2" s="340"/>
    </row>
    <row r="3" spans="1:17" ht="3" customHeight="1" thickBot="1" x14ac:dyDescent="0.25">
      <c r="A3" s="351"/>
      <c r="B3" s="352"/>
      <c r="C3" s="352"/>
      <c r="D3" s="352"/>
      <c r="E3" s="352"/>
      <c r="F3" s="352"/>
      <c r="G3" s="352"/>
      <c r="H3" s="352"/>
      <c r="I3" s="352"/>
      <c r="J3" s="353"/>
    </row>
    <row r="4" spans="1:17" ht="23.25" customHeight="1" x14ac:dyDescent="0.2">
      <c r="A4" s="341" t="s">
        <v>421</v>
      </c>
      <c r="B4" s="342"/>
      <c r="C4" s="342"/>
      <c r="D4" s="342"/>
      <c r="E4" s="342"/>
      <c r="F4" s="342"/>
      <c r="G4" s="342"/>
      <c r="H4" s="342"/>
      <c r="I4" s="342"/>
      <c r="J4" s="343"/>
    </row>
    <row r="5" spans="1:17" ht="13.5" thickBot="1" x14ac:dyDescent="0.25">
      <c r="A5" s="344"/>
      <c r="B5" s="345"/>
      <c r="C5" s="345"/>
      <c r="D5" s="345"/>
      <c r="E5" s="345"/>
      <c r="F5" s="345"/>
      <c r="G5" s="345"/>
      <c r="H5" s="345"/>
      <c r="I5" s="345"/>
      <c r="J5" s="346"/>
    </row>
    <row r="6" spans="1:17" ht="3" customHeight="1" x14ac:dyDescent="0.2">
      <c r="A6" s="332"/>
      <c r="B6" s="333"/>
      <c r="C6" s="333"/>
      <c r="D6" s="333"/>
      <c r="E6" s="333"/>
      <c r="F6" s="333"/>
      <c r="G6" s="333"/>
      <c r="H6" s="333"/>
      <c r="I6" s="333"/>
      <c r="J6" s="334"/>
    </row>
    <row r="7" spans="1:17" ht="25.5" customHeight="1" x14ac:dyDescent="0.2">
      <c r="A7" s="347" t="s">
        <v>41</v>
      </c>
      <c r="B7" s="348"/>
      <c r="C7" s="348"/>
      <c r="D7" s="348"/>
      <c r="E7" s="348"/>
      <c r="F7" s="348"/>
      <c r="G7" s="348"/>
      <c r="H7" s="348"/>
      <c r="I7" s="349">
        <v>1</v>
      </c>
      <c r="J7" s="350"/>
    </row>
    <row r="8" spans="1:17" ht="25.5" customHeight="1" x14ac:dyDescent="0.2">
      <c r="A8" s="316" t="s">
        <v>43</v>
      </c>
      <c r="B8" s="317"/>
      <c r="C8" s="317"/>
      <c r="D8" s="317"/>
      <c r="E8" s="317"/>
      <c r="F8" s="317"/>
      <c r="G8" s="317"/>
      <c r="H8" s="317"/>
      <c r="I8" s="318">
        <v>0.03</v>
      </c>
      <c r="J8" s="319"/>
    </row>
    <row r="9" spans="1:17" ht="3" customHeight="1" x14ac:dyDescent="0.2">
      <c r="A9" s="332"/>
      <c r="B9" s="333"/>
      <c r="C9" s="333"/>
      <c r="D9" s="333"/>
      <c r="E9" s="333"/>
      <c r="F9" s="333"/>
      <c r="G9" s="333"/>
      <c r="H9" s="333"/>
      <c r="I9" s="333"/>
      <c r="J9" s="334"/>
    </row>
    <row r="10" spans="1:17" x14ac:dyDescent="0.2">
      <c r="A10" s="320" t="s">
        <v>44</v>
      </c>
      <c r="B10" s="321"/>
      <c r="C10" s="321"/>
      <c r="D10" s="321"/>
      <c r="E10" s="321"/>
      <c r="F10" s="321"/>
      <c r="G10" s="321"/>
      <c r="H10" s="321"/>
      <c r="I10" s="321"/>
      <c r="J10" s="322"/>
    </row>
    <row r="11" spans="1:17" ht="13.5" thickBot="1" x14ac:dyDescent="0.25">
      <c r="A11" s="323" t="s">
        <v>228</v>
      </c>
      <c r="B11" s="324"/>
      <c r="C11" s="324"/>
      <c r="D11" s="324"/>
      <c r="E11" s="324"/>
      <c r="F11" s="324"/>
      <c r="G11" s="324"/>
      <c r="H11" s="324"/>
      <c r="I11" s="324"/>
      <c r="J11" s="325"/>
    </row>
    <row r="12" spans="1:17" x14ac:dyDescent="0.2">
      <c r="A12" s="326" t="s">
        <v>45</v>
      </c>
      <c r="B12" s="327"/>
      <c r="C12" s="327"/>
      <c r="D12" s="327"/>
      <c r="E12" s="327"/>
      <c r="F12" s="327"/>
      <c r="G12" s="327"/>
      <c r="H12" s="327"/>
      <c r="I12" s="327" t="s">
        <v>46</v>
      </c>
      <c r="J12" s="330" t="s">
        <v>47</v>
      </c>
      <c r="L12" s="312" t="s">
        <v>48</v>
      </c>
      <c r="M12" s="312"/>
      <c r="N12" s="312"/>
      <c r="O12" s="313" t="s">
        <v>49</v>
      </c>
      <c r="P12" s="313" t="s">
        <v>50</v>
      </c>
      <c r="Q12" s="313" t="s">
        <v>51</v>
      </c>
    </row>
    <row r="13" spans="1:17" ht="13.5" thickBot="1" x14ac:dyDescent="0.25">
      <c r="A13" s="328"/>
      <c r="B13" s="329"/>
      <c r="C13" s="329"/>
      <c r="D13" s="329"/>
      <c r="E13" s="329"/>
      <c r="F13" s="329"/>
      <c r="G13" s="329"/>
      <c r="H13" s="329"/>
      <c r="I13" s="329"/>
      <c r="J13" s="331"/>
      <c r="L13" s="312"/>
      <c r="M13" s="312"/>
      <c r="N13" s="312"/>
      <c r="O13" s="313"/>
      <c r="P13" s="313"/>
      <c r="Q13" s="313"/>
    </row>
    <row r="14" spans="1:17" ht="15" x14ac:dyDescent="0.2">
      <c r="A14" s="314" t="s">
        <v>53</v>
      </c>
      <c r="B14" s="315"/>
      <c r="C14" s="315"/>
      <c r="D14" s="315"/>
      <c r="E14" s="315"/>
      <c r="F14" s="315"/>
      <c r="G14" s="315"/>
      <c r="H14" s="315"/>
      <c r="I14" s="61" t="s">
        <v>52</v>
      </c>
      <c r="J14" s="164">
        <v>4.4999999999999998E-2</v>
      </c>
      <c r="L14" s="290" t="s">
        <v>54</v>
      </c>
      <c r="M14" s="290"/>
      <c r="N14" s="290"/>
      <c r="O14" s="62" t="e">
        <f>VLOOKUP(CONCATENATE(A11,"-",I14),#REF!,3,FALSE)</f>
        <v>#REF!</v>
      </c>
      <c r="P14" s="62" t="e">
        <f>VLOOKUP(CONCATENATE(A11,"-",I14),#REF!,4,FALSE)</f>
        <v>#REF!</v>
      </c>
      <c r="Q14" s="62" t="e">
        <f>VLOOKUP(CONCATENATE(A11,"-",I14),#REF!,5,FALSE)</f>
        <v>#REF!</v>
      </c>
    </row>
    <row r="15" spans="1:17" ht="15" x14ac:dyDescent="0.2">
      <c r="A15" s="311" t="s">
        <v>55</v>
      </c>
      <c r="B15" s="289"/>
      <c r="C15" s="289"/>
      <c r="D15" s="289"/>
      <c r="E15" s="289"/>
      <c r="F15" s="289"/>
      <c r="G15" s="289"/>
      <c r="H15" s="289"/>
      <c r="I15" s="63" t="s">
        <v>38</v>
      </c>
      <c r="J15" s="165">
        <v>7.0000000000000007E-2</v>
      </c>
      <c r="L15" s="290" t="s">
        <v>54</v>
      </c>
      <c r="M15" s="290"/>
      <c r="N15" s="290"/>
      <c r="O15" s="62" t="e">
        <f>VLOOKUP(CONCATENATE(A11,"-",I15),#REF!,3,FALSE)</f>
        <v>#REF!</v>
      </c>
      <c r="P15" s="62" t="e">
        <f>VLOOKUP(CONCATENATE(A11,"-",I15),#REF!,4,FALSE)</f>
        <v>#REF!</v>
      </c>
      <c r="Q15" s="62" t="e">
        <f>VLOOKUP(CONCATENATE(A11,"-",I15),#REF!,5,FALSE)</f>
        <v>#REF!</v>
      </c>
    </row>
    <row r="16" spans="1:17" ht="15" x14ac:dyDescent="0.2">
      <c r="A16" s="311" t="s">
        <v>56</v>
      </c>
      <c r="B16" s="289"/>
      <c r="C16" s="289"/>
      <c r="D16" s="289"/>
      <c r="E16" s="289"/>
      <c r="F16" s="289"/>
      <c r="G16" s="289"/>
      <c r="H16" s="289"/>
      <c r="I16" s="63" t="s">
        <v>42</v>
      </c>
      <c r="J16" s="165">
        <v>1.3299999999999999E-2</v>
      </c>
      <c r="L16" s="290" t="s">
        <v>54</v>
      </c>
      <c r="M16" s="290"/>
      <c r="N16" s="290"/>
      <c r="O16" s="62" t="e">
        <f>VLOOKUP(CONCATENATE(A11,"-",I16),#REF!,3,FALSE)</f>
        <v>#REF!</v>
      </c>
      <c r="P16" s="62" t="e">
        <f>VLOOKUP(CONCATENATE(A11,"-",I16),#REF!,4,FALSE)</f>
        <v>#REF!</v>
      </c>
      <c r="Q16" s="62" t="e">
        <f>VLOOKUP(CONCATENATE(A11,"-",I16),#REF!,5,FALSE)</f>
        <v>#REF!</v>
      </c>
    </row>
    <row r="17" spans="1:17" ht="15" x14ac:dyDescent="0.2">
      <c r="A17" s="311" t="s">
        <v>57</v>
      </c>
      <c r="B17" s="289"/>
      <c r="C17" s="289"/>
      <c r="D17" s="289"/>
      <c r="E17" s="289"/>
      <c r="F17" s="289"/>
      <c r="G17" s="289"/>
      <c r="H17" s="289"/>
      <c r="I17" s="63" t="s">
        <v>79</v>
      </c>
      <c r="J17" s="165">
        <f>SUM(J18+J19)</f>
        <v>2.0500000000000001E-2</v>
      </c>
      <c r="L17" s="290" t="s">
        <v>54</v>
      </c>
      <c r="M17" s="290"/>
      <c r="N17" s="290"/>
      <c r="O17" s="62" t="e">
        <f>VLOOKUP(CONCATENATE(A11,"-",I17),#REF!,3,FALSE)</f>
        <v>#REF!</v>
      </c>
      <c r="P17" s="62" t="e">
        <f>VLOOKUP(CONCATENATE(A11,"-",I17),#REF!,4,FALSE)</f>
        <v>#REF!</v>
      </c>
      <c r="Q17" s="62" t="e">
        <f>VLOOKUP(CONCATENATE(A11,"-",I17),#REF!,5,FALSE)</f>
        <v>#REF!</v>
      </c>
    </row>
    <row r="18" spans="1:17" ht="15" x14ac:dyDescent="0.2">
      <c r="A18" s="311" t="s">
        <v>58</v>
      </c>
      <c r="B18" s="289"/>
      <c r="C18" s="289"/>
      <c r="D18" s="289"/>
      <c r="E18" s="289"/>
      <c r="F18" s="289"/>
      <c r="G18" s="289"/>
      <c r="H18" s="289"/>
      <c r="I18" s="63" t="s">
        <v>39</v>
      </c>
      <c r="J18" s="165">
        <v>8.0000000000000002E-3</v>
      </c>
      <c r="L18" s="290" t="s">
        <v>54</v>
      </c>
      <c r="M18" s="290"/>
      <c r="N18" s="290"/>
      <c r="O18" s="62" t="e">
        <f>VLOOKUP(CONCATENATE(A11,"-",I18),#REF!,3,FALSE)</f>
        <v>#REF!</v>
      </c>
      <c r="P18" s="62" t="e">
        <f>VLOOKUP(CONCATENATE(A11,"-",I18),#REF!,4,FALSE)</f>
        <v>#REF!</v>
      </c>
      <c r="Q18" s="62" t="e">
        <f>VLOOKUP(CONCATENATE(A11,"-",I18),#REF!,5,FALSE)</f>
        <v>#REF!</v>
      </c>
    </row>
    <row r="19" spans="1:17" ht="15" x14ac:dyDescent="0.2">
      <c r="A19" s="288" t="s">
        <v>59</v>
      </c>
      <c r="B19" s="289"/>
      <c r="C19" s="289"/>
      <c r="D19" s="289"/>
      <c r="E19" s="289"/>
      <c r="F19" s="289"/>
      <c r="G19" s="289"/>
      <c r="H19" s="289"/>
      <c r="I19" s="63" t="s">
        <v>40</v>
      </c>
      <c r="J19" s="165">
        <v>1.2500000000000001E-2</v>
      </c>
      <c r="L19" s="290" t="s">
        <v>54</v>
      </c>
      <c r="M19" s="290"/>
      <c r="N19" s="290"/>
      <c r="O19" s="62">
        <v>3.6499999999999998E-2</v>
      </c>
      <c r="P19" s="62">
        <v>3.6499999999999998E-2</v>
      </c>
      <c r="Q19" s="62">
        <v>3.6499999999999998E-2</v>
      </c>
    </row>
    <row r="20" spans="1:17" ht="15" x14ac:dyDescent="0.2">
      <c r="A20" s="288" t="s">
        <v>60</v>
      </c>
      <c r="B20" s="289"/>
      <c r="C20" s="289"/>
      <c r="D20" s="289"/>
      <c r="E20" s="289"/>
      <c r="F20" s="289"/>
      <c r="G20" s="289"/>
      <c r="H20" s="289"/>
      <c r="I20" s="63" t="s">
        <v>61</v>
      </c>
      <c r="J20" s="166">
        <f>SUM(J21+J22+J23)</f>
        <v>6.6500000000000004E-2</v>
      </c>
      <c r="L20" s="290" t="s">
        <v>54</v>
      </c>
      <c r="M20" s="290"/>
      <c r="N20" s="290"/>
      <c r="O20" s="62">
        <v>0</v>
      </c>
      <c r="P20" s="62">
        <v>2.5000000000000001E-2</v>
      </c>
      <c r="Q20" s="62">
        <v>0.05</v>
      </c>
    </row>
    <row r="21" spans="1:17" ht="15" x14ac:dyDescent="0.2">
      <c r="A21" s="288" t="s">
        <v>62</v>
      </c>
      <c r="B21" s="289"/>
      <c r="C21" s="289"/>
      <c r="D21" s="289"/>
      <c r="E21" s="289"/>
      <c r="F21" s="289"/>
      <c r="G21" s="289"/>
      <c r="H21" s="289"/>
      <c r="I21" s="63" t="s">
        <v>62</v>
      </c>
      <c r="J21" s="166">
        <v>0.03</v>
      </c>
      <c r="L21" s="290" t="s">
        <v>54</v>
      </c>
      <c r="M21" s="290"/>
      <c r="N21" s="290"/>
      <c r="O21" s="64">
        <v>0</v>
      </c>
      <c r="P21" s="64">
        <v>4.4999999999999998E-2</v>
      </c>
      <c r="Q21" s="64">
        <v>4.4999999999999998E-2</v>
      </c>
    </row>
    <row r="22" spans="1:17" ht="15" x14ac:dyDescent="0.2">
      <c r="A22" s="288" t="s">
        <v>63</v>
      </c>
      <c r="B22" s="289"/>
      <c r="C22" s="289"/>
      <c r="D22" s="289"/>
      <c r="E22" s="289"/>
      <c r="F22" s="289"/>
      <c r="G22" s="289"/>
      <c r="H22" s="289"/>
      <c r="I22" s="63" t="s">
        <v>63</v>
      </c>
      <c r="J22" s="166">
        <v>6.4999999999999997E-3</v>
      </c>
      <c r="L22" s="290" t="s">
        <v>54</v>
      </c>
      <c r="M22" s="290"/>
      <c r="N22" s="290"/>
      <c r="O22" s="62">
        <v>0</v>
      </c>
      <c r="P22" s="62">
        <v>2.5000000000000001E-2</v>
      </c>
      <c r="Q22" s="62">
        <v>0.05</v>
      </c>
    </row>
    <row r="23" spans="1:17" ht="15" x14ac:dyDescent="0.2">
      <c r="A23" s="288" t="s">
        <v>64</v>
      </c>
      <c r="B23" s="289"/>
      <c r="C23" s="289"/>
      <c r="D23" s="289"/>
      <c r="E23" s="289"/>
      <c r="F23" s="289"/>
      <c r="G23" s="289"/>
      <c r="H23" s="289"/>
      <c r="I23" s="63" t="s">
        <v>65</v>
      </c>
      <c r="J23" s="166">
        <v>0.03</v>
      </c>
      <c r="L23" s="290" t="s">
        <v>54</v>
      </c>
      <c r="M23" s="290"/>
      <c r="N23" s="290"/>
      <c r="O23" s="62">
        <v>0</v>
      </c>
      <c r="P23" s="62">
        <v>2.5000000000000001E-2</v>
      </c>
      <c r="Q23" s="62">
        <v>0.05</v>
      </c>
    </row>
    <row r="24" spans="1:17" ht="15.75" thickBot="1" x14ac:dyDescent="0.25">
      <c r="A24" s="288" t="s">
        <v>66</v>
      </c>
      <c r="B24" s="289"/>
      <c r="C24" s="289"/>
      <c r="D24" s="289"/>
      <c r="E24" s="289"/>
      <c r="F24" s="289"/>
      <c r="G24" s="289"/>
      <c r="H24" s="289"/>
      <c r="I24" s="63" t="s">
        <v>80</v>
      </c>
      <c r="J24" s="166">
        <v>0</v>
      </c>
      <c r="L24" s="290" t="s">
        <v>54</v>
      </c>
      <c r="M24" s="290"/>
      <c r="N24" s="290"/>
      <c r="O24" s="62">
        <v>0</v>
      </c>
      <c r="P24" s="62">
        <v>2.5000000000000001E-2</v>
      </c>
      <c r="Q24" s="62">
        <v>0.05</v>
      </c>
    </row>
    <row r="25" spans="1:17" ht="15.75" thickBot="1" x14ac:dyDescent="0.25">
      <c r="A25" s="291" t="s">
        <v>67</v>
      </c>
      <c r="B25" s="292"/>
      <c r="C25" s="292"/>
      <c r="D25" s="292"/>
      <c r="E25" s="292"/>
      <c r="F25" s="292"/>
      <c r="G25" s="292"/>
      <c r="H25" s="292"/>
      <c r="I25" s="65" t="s">
        <v>68</v>
      </c>
      <c r="J25" s="66">
        <f>(1+(J14+J17))*(1+J16)*(1+J15)/(1-(J20+J24))-1</f>
        <v>0.23754486395286611</v>
      </c>
    </row>
    <row r="26" spans="1:17" x14ac:dyDescent="0.2">
      <c r="A26" s="67"/>
      <c r="J26" s="68"/>
    </row>
    <row r="27" spans="1:17" x14ac:dyDescent="0.2">
      <c r="A27" s="293" t="s">
        <v>69</v>
      </c>
      <c r="B27" s="294"/>
      <c r="C27" s="294"/>
      <c r="D27" s="294"/>
      <c r="E27" s="294"/>
      <c r="F27" s="294"/>
      <c r="G27" s="294"/>
      <c r="H27" s="294"/>
      <c r="I27" s="294"/>
      <c r="J27" s="295"/>
    </row>
    <row r="28" spans="1:17" ht="15.75" x14ac:dyDescent="0.25">
      <c r="A28" s="296" t="s">
        <v>70</v>
      </c>
      <c r="B28" s="69"/>
      <c r="C28" s="297" t="s">
        <v>71</v>
      </c>
      <c r="D28" s="297"/>
      <c r="E28" s="297"/>
      <c r="F28" s="297"/>
      <c r="G28" s="297"/>
      <c r="H28" s="70" t="s">
        <v>72</v>
      </c>
      <c r="I28" s="69"/>
      <c r="J28" s="71"/>
    </row>
    <row r="29" spans="1:17" ht="15.75" x14ac:dyDescent="0.2">
      <c r="A29" s="296"/>
      <c r="B29" s="69"/>
      <c r="C29" s="298" t="s">
        <v>73</v>
      </c>
      <c r="D29" s="298"/>
      <c r="E29" s="298"/>
      <c r="F29" s="298"/>
      <c r="G29" s="298"/>
      <c r="H29" s="70"/>
      <c r="I29" s="69"/>
      <c r="J29" s="71"/>
    </row>
    <row r="30" spans="1:17" ht="13.5" thickBot="1" x14ac:dyDescent="0.25">
      <c r="A30" s="72"/>
      <c r="B30" s="73"/>
      <c r="C30" s="73"/>
      <c r="D30" s="73"/>
      <c r="E30" s="73"/>
      <c r="F30" s="73"/>
      <c r="G30" s="73"/>
      <c r="H30" s="73"/>
      <c r="I30" s="73"/>
      <c r="J30" s="74"/>
    </row>
    <row r="31" spans="1:17" ht="26.25" customHeight="1" thickBot="1" x14ac:dyDescent="0.25">
      <c r="A31" s="299" t="str">
        <f>CONCATENATE("Declaro para os devidos fins que, conforme legislação tributária municipal, a base de cálculo deste tipo de obra corresponde à ",$I$7*100,"%, com a respectiva alíquota de ",$I$8*100,"%.")</f>
        <v>Declaro para os devidos fins que, conforme legislação tributária municipal, a base de cálculo deste tipo de obra corresponde à 100%, com a respectiva alíquota de 3%.</v>
      </c>
      <c r="B31" s="300"/>
      <c r="C31" s="300"/>
      <c r="D31" s="300"/>
      <c r="E31" s="300"/>
      <c r="F31" s="300"/>
      <c r="G31" s="300"/>
      <c r="H31" s="300"/>
      <c r="I31" s="300"/>
      <c r="J31" s="301"/>
    </row>
    <row r="32" spans="1:17" x14ac:dyDescent="0.2">
      <c r="A32" s="67"/>
      <c r="J32" s="75"/>
    </row>
    <row r="33" spans="1:10" x14ac:dyDescent="0.2">
      <c r="A33" s="302" t="s">
        <v>229</v>
      </c>
      <c r="B33" s="303"/>
      <c r="C33" s="303"/>
      <c r="D33" s="303"/>
      <c r="G33" s="304"/>
      <c r="H33" s="305"/>
      <c r="I33" s="305"/>
      <c r="J33" s="306"/>
    </row>
    <row r="34" spans="1:10" x14ac:dyDescent="0.2">
      <c r="A34" s="307" t="s">
        <v>74</v>
      </c>
      <c r="B34" s="308"/>
      <c r="C34" s="308"/>
      <c r="D34" s="308"/>
      <c r="F34" s="76"/>
      <c r="G34" s="77" t="s">
        <v>75</v>
      </c>
      <c r="H34" s="78"/>
      <c r="I34" s="78"/>
      <c r="J34" s="79"/>
    </row>
    <row r="35" spans="1:10" x14ac:dyDescent="0.2">
      <c r="A35" s="67"/>
      <c r="J35" s="68"/>
    </row>
    <row r="36" spans="1:10" ht="15" x14ac:dyDescent="0.2">
      <c r="A36" s="309"/>
      <c r="B36" s="310"/>
      <c r="C36" s="310"/>
      <c r="D36" s="310"/>
      <c r="E36" s="80"/>
      <c r="J36" s="68"/>
    </row>
    <row r="37" spans="1:10" x14ac:dyDescent="0.2">
      <c r="A37" s="286" t="s">
        <v>76</v>
      </c>
      <c r="B37" s="287"/>
      <c r="C37" s="287"/>
      <c r="D37" s="287"/>
      <c r="J37" s="68"/>
    </row>
    <row r="38" spans="1:10" ht="14.25" x14ac:dyDescent="0.2">
      <c r="A38" s="81" t="s">
        <v>77</v>
      </c>
      <c r="B38" s="82"/>
      <c r="C38" s="83"/>
      <c r="D38" s="83"/>
      <c r="E38" s="80"/>
      <c r="J38" s="68"/>
    </row>
    <row r="39" spans="1:10" ht="14.25" x14ac:dyDescent="0.2">
      <c r="A39" s="81" t="s">
        <v>78</v>
      </c>
      <c r="B39" s="82"/>
      <c r="C39" s="83"/>
      <c r="D39" s="83"/>
      <c r="E39" s="80"/>
      <c r="J39" s="68"/>
    </row>
    <row r="40" spans="1:10" ht="15" thickBot="1" x14ac:dyDescent="0.25">
      <c r="A40" s="84"/>
      <c r="B40" s="85"/>
      <c r="C40" s="86"/>
      <c r="D40" s="86"/>
      <c r="E40" s="87"/>
      <c r="F40" s="88"/>
      <c r="G40" s="88"/>
      <c r="H40" s="88"/>
      <c r="I40" s="88"/>
      <c r="J40" s="89"/>
    </row>
    <row r="41" spans="1:10" ht="15.75" x14ac:dyDescent="0.25">
      <c r="A41" s="90"/>
      <c r="B41" s="90"/>
      <c r="C41" s="90"/>
      <c r="D41" s="90"/>
      <c r="E41" s="90"/>
      <c r="F41" s="90"/>
      <c r="G41" s="90"/>
      <c r="H41" s="90"/>
      <c r="I41" s="90"/>
      <c r="J41" s="90"/>
    </row>
  </sheetData>
  <mergeCells count="52">
    <mergeCell ref="A1:J1"/>
    <mergeCell ref="A2:J2"/>
    <mergeCell ref="A4:J5"/>
    <mergeCell ref="A7:H7"/>
    <mergeCell ref="I7:J7"/>
    <mergeCell ref="A3:J3"/>
    <mergeCell ref="A6:J6"/>
    <mergeCell ref="A8:H8"/>
    <mergeCell ref="I8:J8"/>
    <mergeCell ref="A10:J10"/>
    <mergeCell ref="A11:J11"/>
    <mergeCell ref="A12:H13"/>
    <mergeCell ref="I12:I13"/>
    <mergeCell ref="J12:J13"/>
    <mergeCell ref="A9:J9"/>
    <mergeCell ref="L12:N13"/>
    <mergeCell ref="O12:O13"/>
    <mergeCell ref="P12:P13"/>
    <mergeCell ref="Q12:Q13"/>
    <mergeCell ref="A14:H14"/>
    <mergeCell ref="L14:N14"/>
    <mergeCell ref="A15:H15"/>
    <mergeCell ref="L15:N15"/>
    <mergeCell ref="A16:H16"/>
    <mergeCell ref="L16:N16"/>
    <mergeCell ref="A17:H17"/>
    <mergeCell ref="L17:N17"/>
    <mergeCell ref="A18:H18"/>
    <mergeCell ref="L18:N18"/>
    <mergeCell ref="A19:H19"/>
    <mergeCell ref="L19:N19"/>
    <mergeCell ref="A20:H20"/>
    <mergeCell ref="L20:N20"/>
    <mergeCell ref="A21:H21"/>
    <mergeCell ref="L21:N21"/>
    <mergeCell ref="A22:H22"/>
    <mergeCell ref="L22:N22"/>
    <mergeCell ref="A23:H23"/>
    <mergeCell ref="L23:N23"/>
    <mergeCell ref="A37:D37"/>
    <mergeCell ref="A24:H24"/>
    <mergeCell ref="L24:N24"/>
    <mergeCell ref="A25:H25"/>
    <mergeCell ref="A27:J27"/>
    <mergeCell ref="A28:A29"/>
    <mergeCell ref="C28:G28"/>
    <mergeCell ref="C29:G29"/>
    <mergeCell ref="A31:J31"/>
    <mergeCell ref="A33:D33"/>
    <mergeCell ref="G33:J33"/>
    <mergeCell ref="A34:D34"/>
    <mergeCell ref="A36:D36"/>
  </mergeCells>
  <conditionalFormatting sqref="A25:J25">
    <cfRule type="expression" dxfId="0" priority="1" stopIfTrue="1">
      <formula>DESONERACAO="não"</formula>
    </cfRule>
  </conditionalFormatting>
  <dataValidations count="6">
    <dataValidation type="list" allowBlank="1" showErrorMessage="1" sqref="A11:J11" xr:uid="{00000000-0002-0000-0300-000000000000}">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I7:J7" xr:uid="{00000000-0002-0000-0300-000001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I8:J8" xr:uid="{00000000-0002-0000-0300-000002000000}">
      <formula1>0</formula1>
      <formula2>0</formula2>
    </dataValidation>
    <dataValidation operator="greaterThanOrEqual" allowBlank="1" showErrorMessage="1" errorTitle="Erro de valores" error="Digite um valor igual a 0% ou 2%." sqref="J21" xr:uid="{00000000-0002-0000-0300-000003000000}">
      <formula1>0</formula1>
      <formula2>0</formula2>
    </dataValidation>
    <dataValidation type="decimal" allowBlank="1" showErrorMessage="1" errorTitle="Erro de valores" error="Digite um valor maior do que 0." sqref="J20 J22:J24" xr:uid="{00000000-0002-0000-0300-000004000000}">
      <formula1>0</formula1>
      <formula2>1</formula2>
    </dataValidation>
    <dataValidation type="decimal" allowBlank="1" showErrorMessage="1" errorTitle="Erro de valores" error="Digite um valor entre 0% e 100%" sqref="J14:J19" xr:uid="{00000000-0002-0000-0300-000005000000}">
      <formula1>0</formula1>
      <formula2>1</formula2>
    </dataValidation>
  </dataValidations>
  <printOptions horizontalCentered="1" verticalCentered="1"/>
  <pageMargins left="0.23622047244094491" right="0.23622047244094491" top="0.39370078740157483" bottom="0.39370078740157483" header="0" footer="0"/>
  <pageSetup paperSize="9" orientation="portrait" r:id="rId1"/>
  <ignoredErrors>
    <ignoredError sqref="J17"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4E8DC-7FD5-4ABC-B8F9-42200375DCB6}">
  <sheetPr>
    <tabColor rgb="FF92D050"/>
    <pageSetUpPr fitToPage="1"/>
  </sheetPr>
  <dimension ref="A1:H48"/>
  <sheetViews>
    <sheetView workbookViewId="0">
      <selection activeCell="I5" sqref="I5"/>
    </sheetView>
  </sheetViews>
  <sheetFormatPr defaultRowHeight="12.75" x14ac:dyDescent="0.2"/>
  <cols>
    <col min="1" max="1" width="16.140625" style="123" bestFit="1" customWidth="1"/>
    <col min="2" max="2" width="15" style="123" customWidth="1"/>
    <col min="3" max="3" width="10.140625" customWidth="1"/>
    <col min="4" max="4" width="11.5703125" bestFit="1" customWidth="1"/>
    <col min="5" max="5" width="11.5703125" customWidth="1"/>
    <col min="6" max="6" width="12.5703125" customWidth="1"/>
    <col min="8" max="8" width="15.7109375" customWidth="1"/>
    <col min="257" max="257" width="16.140625" bestFit="1" customWidth="1"/>
    <col min="258" max="258" width="15" customWidth="1"/>
    <col min="260" max="260" width="11.5703125" bestFit="1" customWidth="1"/>
    <col min="261" max="261" width="10.42578125" customWidth="1"/>
    <col min="262" max="262" width="12.5703125" customWidth="1"/>
    <col min="264" max="264" width="15.7109375" customWidth="1"/>
    <col min="513" max="513" width="16.140625" bestFit="1" customWidth="1"/>
    <col min="514" max="514" width="15" customWidth="1"/>
    <col min="516" max="516" width="11.5703125" bestFit="1" customWidth="1"/>
    <col min="517" max="517" width="10.42578125" customWidth="1"/>
    <col min="518" max="518" width="12.5703125" customWidth="1"/>
    <col min="520" max="520" width="15.7109375" customWidth="1"/>
    <col min="769" max="769" width="16.140625" bestFit="1" customWidth="1"/>
    <col min="770" max="770" width="15" customWidth="1"/>
    <col min="772" max="772" width="11.5703125" bestFit="1" customWidth="1"/>
    <col min="773" max="773" width="10.42578125" customWidth="1"/>
    <col min="774" max="774" width="12.5703125" customWidth="1"/>
    <col min="776" max="776" width="15.7109375" customWidth="1"/>
    <col min="1025" max="1025" width="16.140625" bestFit="1" customWidth="1"/>
    <col min="1026" max="1026" width="15" customWidth="1"/>
    <col min="1028" max="1028" width="11.5703125" bestFit="1" customWidth="1"/>
    <col min="1029" max="1029" width="10.42578125" customWidth="1"/>
    <col min="1030" max="1030" width="12.5703125" customWidth="1"/>
    <col min="1032" max="1032" width="15.7109375" customWidth="1"/>
    <col min="1281" max="1281" width="16.140625" bestFit="1" customWidth="1"/>
    <col min="1282" max="1282" width="15" customWidth="1"/>
    <col min="1284" max="1284" width="11.5703125" bestFit="1" customWidth="1"/>
    <col min="1285" max="1285" width="10.42578125" customWidth="1"/>
    <col min="1286" max="1286" width="12.5703125" customWidth="1"/>
    <col min="1288" max="1288" width="15.7109375" customWidth="1"/>
    <col min="1537" max="1537" width="16.140625" bestFit="1" customWidth="1"/>
    <col min="1538" max="1538" width="15" customWidth="1"/>
    <col min="1540" max="1540" width="11.5703125" bestFit="1" customWidth="1"/>
    <col min="1541" max="1541" width="10.42578125" customWidth="1"/>
    <col min="1542" max="1542" width="12.5703125" customWidth="1"/>
    <col min="1544" max="1544" width="15.7109375" customWidth="1"/>
    <col min="1793" max="1793" width="16.140625" bestFit="1" customWidth="1"/>
    <col min="1794" max="1794" width="15" customWidth="1"/>
    <col min="1796" max="1796" width="11.5703125" bestFit="1" customWidth="1"/>
    <col min="1797" max="1797" width="10.42578125" customWidth="1"/>
    <col min="1798" max="1798" width="12.5703125" customWidth="1"/>
    <col min="1800" max="1800" width="15.7109375" customWidth="1"/>
    <col min="2049" max="2049" width="16.140625" bestFit="1" customWidth="1"/>
    <col min="2050" max="2050" width="15" customWidth="1"/>
    <col min="2052" max="2052" width="11.5703125" bestFit="1" customWidth="1"/>
    <col min="2053" max="2053" width="10.42578125" customWidth="1"/>
    <col min="2054" max="2054" width="12.5703125" customWidth="1"/>
    <col min="2056" max="2056" width="15.7109375" customWidth="1"/>
    <col min="2305" max="2305" width="16.140625" bestFit="1" customWidth="1"/>
    <col min="2306" max="2306" width="15" customWidth="1"/>
    <col min="2308" max="2308" width="11.5703125" bestFit="1" customWidth="1"/>
    <col min="2309" max="2309" width="10.42578125" customWidth="1"/>
    <col min="2310" max="2310" width="12.5703125" customWidth="1"/>
    <col min="2312" max="2312" width="15.7109375" customWidth="1"/>
    <col min="2561" max="2561" width="16.140625" bestFit="1" customWidth="1"/>
    <col min="2562" max="2562" width="15" customWidth="1"/>
    <col min="2564" max="2564" width="11.5703125" bestFit="1" customWidth="1"/>
    <col min="2565" max="2565" width="10.42578125" customWidth="1"/>
    <col min="2566" max="2566" width="12.5703125" customWidth="1"/>
    <col min="2568" max="2568" width="15.7109375" customWidth="1"/>
    <col min="2817" max="2817" width="16.140625" bestFit="1" customWidth="1"/>
    <col min="2818" max="2818" width="15" customWidth="1"/>
    <col min="2820" max="2820" width="11.5703125" bestFit="1" customWidth="1"/>
    <col min="2821" max="2821" width="10.42578125" customWidth="1"/>
    <col min="2822" max="2822" width="12.5703125" customWidth="1"/>
    <col min="2824" max="2824" width="15.7109375" customWidth="1"/>
    <col min="3073" max="3073" width="16.140625" bestFit="1" customWidth="1"/>
    <col min="3074" max="3074" width="15" customWidth="1"/>
    <col min="3076" max="3076" width="11.5703125" bestFit="1" customWidth="1"/>
    <col min="3077" max="3077" width="10.42578125" customWidth="1"/>
    <col min="3078" max="3078" width="12.5703125" customWidth="1"/>
    <col min="3080" max="3080" width="15.7109375" customWidth="1"/>
    <col min="3329" max="3329" width="16.140625" bestFit="1" customWidth="1"/>
    <col min="3330" max="3330" width="15" customWidth="1"/>
    <col min="3332" max="3332" width="11.5703125" bestFit="1" customWidth="1"/>
    <col min="3333" max="3333" width="10.42578125" customWidth="1"/>
    <col min="3334" max="3334" width="12.5703125" customWidth="1"/>
    <col min="3336" max="3336" width="15.7109375" customWidth="1"/>
    <col min="3585" max="3585" width="16.140625" bestFit="1" customWidth="1"/>
    <col min="3586" max="3586" width="15" customWidth="1"/>
    <col min="3588" max="3588" width="11.5703125" bestFit="1" customWidth="1"/>
    <col min="3589" max="3589" width="10.42578125" customWidth="1"/>
    <col min="3590" max="3590" width="12.5703125" customWidth="1"/>
    <col min="3592" max="3592" width="15.7109375" customWidth="1"/>
    <col min="3841" max="3841" width="16.140625" bestFit="1" customWidth="1"/>
    <col min="3842" max="3842" width="15" customWidth="1"/>
    <col min="3844" max="3844" width="11.5703125" bestFit="1" customWidth="1"/>
    <col min="3845" max="3845" width="10.42578125" customWidth="1"/>
    <col min="3846" max="3846" width="12.5703125" customWidth="1"/>
    <col min="3848" max="3848" width="15.7109375" customWidth="1"/>
    <col min="4097" max="4097" width="16.140625" bestFit="1" customWidth="1"/>
    <col min="4098" max="4098" width="15" customWidth="1"/>
    <col min="4100" max="4100" width="11.5703125" bestFit="1" customWidth="1"/>
    <col min="4101" max="4101" width="10.42578125" customWidth="1"/>
    <col min="4102" max="4102" width="12.5703125" customWidth="1"/>
    <col min="4104" max="4104" width="15.7109375" customWidth="1"/>
    <col min="4353" max="4353" width="16.140625" bestFit="1" customWidth="1"/>
    <col min="4354" max="4354" width="15" customWidth="1"/>
    <col min="4356" max="4356" width="11.5703125" bestFit="1" customWidth="1"/>
    <col min="4357" max="4357" width="10.42578125" customWidth="1"/>
    <col min="4358" max="4358" width="12.5703125" customWidth="1"/>
    <col min="4360" max="4360" width="15.7109375" customWidth="1"/>
    <col min="4609" max="4609" width="16.140625" bestFit="1" customWidth="1"/>
    <col min="4610" max="4610" width="15" customWidth="1"/>
    <col min="4612" max="4612" width="11.5703125" bestFit="1" customWidth="1"/>
    <col min="4613" max="4613" width="10.42578125" customWidth="1"/>
    <col min="4614" max="4614" width="12.5703125" customWidth="1"/>
    <col min="4616" max="4616" width="15.7109375" customWidth="1"/>
    <col min="4865" max="4865" width="16.140625" bestFit="1" customWidth="1"/>
    <col min="4866" max="4866" width="15" customWidth="1"/>
    <col min="4868" max="4868" width="11.5703125" bestFit="1" customWidth="1"/>
    <col min="4869" max="4869" width="10.42578125" customWidth="1"/>
    <col min="4870" max="4870" width="12.5703125" customWidth="1"/>
    <col min="4872" max="4872" width="15.7109375" customWidth="1"/>
    <col min="5121" max="5121" width="16.140625" bestFit="1" customWidth="1"/>
    <col min="5122" max="5122" width="15" customWidth="1"/>
    <col min="5124" max="5124" width="11.5703125" bestFit="1" customWidth="1"/>
    <col min="5125" max="5125" width="10.42578125" customWidth="1"/>
    <col min="5126" max="5126" width="12.5703125" customWidth="1"/>
    <col min="5128" max="5128" width="15.7109375" customWidth="1"/>
    <col min="5377" max="5377" width="16.140625" bestFit="1" customWidth="1"/>
    <col min="5378" max="5378" width="15" customWidth="1"/>
    <col min="5380" max="5380" width="11.5703125" bestFit="1" customWidth="1"/>
    <col min="5381" max="5381" width="10.42578125" customWidth="1"/>
    <col min="5382" max="5382" width="12.5703125" customWidth="1"/>
    <col min="5384" max="5384" width="15.7109375" customWidth="1"/>
    <col min="5633" max="5633" width="16.140625" bestFit="1" customWidth="1"/>
    <col min="5634" max="5634" width="15" customWidth="1"/>
    <col min="5636" max="5636" width="11.5703125" bestFit="1" customWidth="1"/>
    <col min="5637" max="5637" width="10.42578125" customWidth="1"/>
    <col min="5638" max="5638" width="12.5703125" customWidth="1"/>
    <col min="5640" max="5640" width="15.7109375" customWidth="1"/>
    <col min="5889" max="5889" width="16.140625" bestFit="1" customWidth="1"/>
    <col min="5890" max="5890" width="15" customWidth="1"/>
    <col min="5892" max="5892" width="11.5703125" bestFit="1" customWidth="1"/>
    <col min="5893" max="5893" width="10.42578125" customWidth="1"/>
    <col min="5894" max="5894" width="12.5703125" customWidth="1"/>
    <col min="5896" max="5896" width="15.7109375" customWidth="1"/>
    <col min="6145" max="6145" width="16.140625" bestFit="1" customWidth="1"/>
    <col min="6146" max="6146" width="15" customWidth="1"/>
    <col min="6148" max="6148" width="11.5703125" bestFit="1" customWidth="1"/>
    <col min="6149" max="6149" width="10.42578125" customWidth="1"/>
    <col min="6150" max="6150" width="12.5703125" customWidth="1"/>
    <col min="6152" max="6152" width="15.7109375" customWidth="1"/>
    <col min="6401" max="6401" width="16.140625" bestFit="1" customWidth="1"/>
    <col min="6402" max="6402" width="15" customWidth="1"/>
    <col min="6404" max="6404" width="11.5703125" bestFit="1" customWidth="1"/>
    <col min="6405" max="6405" width="10.42578125" customWidth="1"/>
    <col min="6406" max="6406" width="12.5703125" customWidth="1"/>
    <col min="6408" max="6408" width="15.7109375" customWidth="1"/>
    <col min="6657" max="6657" width="16.140625" bestFit="1" customWidth="1"/>
    <col min="6658" max="6658" width="15" customWidth="1"/>
    <col min="6660" max="6660" width="11.5703125" bestFit="1" customWidth="1"/>
    <col min="6661" max="6661" width="10.42578125" customWidth="1"/>
    <col min="6662" max="6662" width="12.5703125" customWidth="1"/>
    <col min="6664" max="6664" width="15.7109375" customWidth="1"/>
    <col min="6913" max="6913" width="16.140625" bestFit="1" customWidth="1"/>
    <col min="6914" max="6914" width="15" customWidth="1"/>
    <col min="6916" max="6916" width="11.5703125" bestFit="1" customWidth="1"/>
    <col min="6917" max="6917" width="10.42578125" customWidth="1"/>
    <col min="6918" max="6918" width="12.5703125" customWidth="1"/>
    <col min="6920" max="6920" width="15.7109375" customWidth="1"/>
    <col min="7169" max="7169" width="16.140625" bestFit="1" customWidth="1"/>
    <col min="7170" max="7170" width="15" customWidth="1"/>
    <col min="7172" max="7172" width="11.5703125" bestFit="1" customWidth="1"/>
    <col min="7173" max="7173" width="10.42578125" customWidth="1"/>
    <col min="7174" max="7174" width="12.5703125" customWidth="1"/>
    <col min="7176" max="7176" width="15.7109375" customWidth="1"/>
    <col min="7425" max="7425" width="16.140625" bestFit="1" customWidth="1"/>
    <col min="7426" max="7426" width="15" customWidth="1"/>
    <col min="7428" max="7428" width="11.5703125" bestFit="1" customWidth="1"/>
    <col min="7429" max="7429" width="10.42578125" customWidth="1"/>
    <col min="7430" max="7430" width="12.5703125" customWidth="1"/>
    <col min="7432" max="7432" width="15.7109375" customWidth="1"/>
    <col min="7681" max="7681" width="16.140625" bestFit="1" customWidth="1"/>
    <col min="7682" max="7682" width="15" customWidth="1"/>
    <col min="7684" max="7684" width="11.5703125" bestFit="1" customWidth="1"/>
    <col min="7685" max="7685" width="10.42578125" customWidth="1"/>
    <col min="7686" max="7686" width="12.5703125" customWidth="1"/>
    <col min="7688" max="7688" width="15.7109375" customWidth="1"/>
    <col min="7937" max="7937" width="16.140625" bestFit="1" customWidth="1"/>
    <col min="7938" max="7938" width="15" customWidth="1"/>
    <col min="7940" max="7940" width="11.5703125" bestFit="1" customWidth="1"/>
    <col min="7941" max="7941" width="10.42578125" customWidth="1"/>
    <col min="7942" max="7942" width="12.5703125" customWidth="1"/>
    <col min="7944" max="7944" width="15.7109375" customWidth="1"/>
    <col min="8193" max="8193" width="16.140625" bestFit="1" customWidth="1"/>
    <col min="8194" max="8194" width="15" customWidth="1"/>
    <col min="8196" max="8196" width="11.5703125" bestFit="1" customWidth="1"/>
    <col min="8197" max="8197" width="10.42578125" customWidth="1"/>
    <col min="8198" max="8198" width="12.5703125" customWidth="1"/>
    <col min="8200" max="8200" width="15.7109375" customWidth="1"/>
    <col min="8449" max="8449" width="16.140625" bestFit="1" customWidth="1"/>
    <col min="8450" max="8450" width="15" customWidth="1"/>
    <col min="8452" max="8452" width="11.5703125" bestFit="1" customWidth="1"/>
    <col min="8453" max="8453" width="10.42578125" customWidth="1"/>
    <col min="8454" max="8454" width="12.5703125" customWidth="1"/>
    <col min="8456" max="8456" width="15.7109375" customWidth="1"/>
    <col min="8705" max="8705" width="16.140625" bestFit="1" customWidth="1"/>
    <col min="8706" max="8706" width="15" customWidth="1"/>
    <col min="8708" max="8708" width="11.5703125" bestFit="1" customWidth="1"/>
    <col min="8709" max="8709" width="10.42578125" customWidth="1"/>
    <col min="8710" max="8710" width="12.5703125" customWidth="1"/>
    <col min="8712" max="8712" width="15.7109375" customWidth="1"/>
    <col min="8961" max="8961" width="16.140625" bestFit="1" customWidth="1"/>
    <col min="8962" max="8962" width="15" customWidth="1"/>
    <col min="8964" max="8964" width="11.5703125" bestFit="1" customWidth="1"/>
    <col min="8965" max="8965" width="10.42578125" customWidth="1"/>
    <col min="8966" max="8966" width="12.5703125" customWidth="1"/>
    <col min="8968" max="8968" width="15.7109375" customWidth="1"/>
    <col min="9217" max="9217" width="16.140625" bestFit="1" customWidth="1"/>
    <col min="9218" max="9218" width="15" customWidth="1"/>
    <col min="9220" max="9220" width="11.5703125" bestFit="1" customWidth="1"/>
    <col min="9221" max="9221" width="10.42578125" customWidth="1"/>
    <col min="9222" max="9222" width="12.5703125" customWidth="1"/>
    <col min="9224" max="9224" width="15.7109375" customWidth="1"/>
    <col min="9473" max="9473" width="16.140625" bestFit="1" customWidth="1"/>
    <col min="9474" max="9474" width="15" customWidth="1"/>
    <col min="9476" max="9476" width="11.5703125" bestFit="1" customWidth="1"/>
    <col min="9477" max="9477" width="10.42578125" customWidth="1"/>
    <col min="9478" max="9478" width="12.5703125" customWidth="1"/>
    <col min="9480" max="9480" width="15.7109375" customWidth="1"/>
    <col min="9729" max="9729" width="16.140625" bestFit="1" customWidth="1"/>
    <col min="9730" max="9730" width="15" customWidth="1"/>
    <col min="9732" max="9732" width="11.5703125" bestFit="1" customWidth="1"/>
    <col min="9733" max="9733" width="10.42578125" customWidth="1"/>
    <col min="9734" max="9734" width="12.5703125" customWidth="1"/>
    <col min="9736" max="9736" width="15.7109375" customWidth="1"/>
    <col min="9985" max="9985" width="16.140625" bestFit="1" customWidth="1"/>
    <col min="9986" max="9986" width="15" customWidth="1"/>
    <col min="9988" max="9988" width="11.5703125" bestFit="1" customWidth="1"/>
    <col min="9989" max="9989" width="10.42578125" customWidth="1"/>
    <col min="9990" max="9990" width="12.5703125" customWidth="1"/>
    <col min="9992" max="9992" width="15.7109375" customWidth="1"/>
    <col min="10241" max="10241" width="16.140625" bestFit="1" customWidth="1"/>
    <col min="10242" max="10242" width="15" customWidth="1"/>
    <col min="10244" max="10244" width="11.5703125" bestFit="1" customWidth="1"/>
    <col min="10245" max="10245" width="10.42578125" customWidth="1"/>
    <col min="10246" max="10246" width="12.5703125" customWidth="1"/>
    <col min="10248" max="10248" width="15.7109375" customWidth="1"/>
    <col min="10497" max="10497" width="16.140625" bestFit="1" customWidth="1"/>
    <col min="10498" max="10498" width="15" customWidth="1"/>
    <col min="10500" max="10500" width="11.5703125" bestFit="1" customWidth="1"/>
    <col min="10501" max="10501" width="10.42578125" customWidth="1"/>
    <col min="10502" max="10502" width="12.5703125" customWidth="1"/>
    <col min="10504" max="10504" width="15.7109375" customWidth="1"/>
    <col min="10753" max="10753" width="16.140625" bestFit="1" customWidth="1"/>
    <col min="10754" max="10754" width="15" customWidth="1"/>
    <col min="10756" max="10756" width="11.5703125" bestFit="1" customWidth="1"/>
    <col min="10757" max="10757" width="10.42578125" customWidth="1"/>
    <col min="10758" max="10758" width="12.5703125" customWidth="1"/>
    <col min="10760" max="10760" width="15.7109375" customWidth="1"/>
    <col min="11009" max="11009" width="16.140625" bestFit="1" customWidth="1"/>
    <col min="11010" max="11010" width="15" customWidth="1"/>
    <col min="11012" max="11012" width="11.5703125" bestFit="1" customWidth="1"/>
    <col min="11013" max="11013" width="10.42578125" customWidth="1"/>
    <col min="11014" max="11014" width="12.5703125" customWidth="1"/>
    <col min="11016" max="11016" width="15.7109375" customWidth="1"/>
    <col min="11265" max="11265" width="16.140625" bestFit="1" customWidth="1"/>
    <col min="11266" max="11266" width="15" customWidth="1"/>
    <col min="11268" max="11268" width="11.5703125" bestFit="1" customWidth="1"/>
    <col min="11269" max="11269" width="10.42578125" customWidth="1"/>
    <col min="11270" max="11270" width="12.5703125" customWidth="1"/>
    <col min="11272" max="11272" width="15.7109375" customWidth="1"/>
    <col min="11521" max="11521" width="16.140625" bestFit="1" customWidth="1"/>
    <col min="11522" max="11522" width="15" customWidth="1"/>
    <col min="11524" max="11524" width="11.5703125" bestFit="1" customWidth="1"/>
    <col min="11525" max="11525" width="10.42578125" customWidth="1"/>
    <col min="11526" max="11526" width="12.5703125" customWidth="1"/>
    <col min="11528" max="11528" width="15.7109375" customWidth="1"/>
    <col min="11777" max="11777" width="16.140625" bestFit="1" customWidth="1"/>
    <col min="11778" max="11778" width="15" customWidth="1"/>
    <col min="11780" max="11780" width="11.5703125" bestFit="1" customWidth="1"/>
    <col min="11781" max="11781" width="10.42578125" customWidth="1"/>
    <col min="11782" max="11782" width="12.5703125" customWidth="1"/>
    <col min="11784" max="11784" width="15.7109375" customWidth="1"/>
    <col min="12033" max="12033" width="16.140625" bestFit="1" customWidth="1"/>
    <col min="12034" max="12034" width="15" customWidth="1"/>
    <col min="12036" max="12036" width="11.5703125" bestFit="1" customWidth="1"/>
    <col min="12037" max="12037" width="10.42578125" customWidth="1"/>
    <col min="12038" max="12038" width="12.5703125" customWidth="1"/>
    <col min="12040" max="12040" width="15.7109375" customWidth="1"/>
    <col min="12289" max="12289" width="16.140625" bestFit="1" customWidth="1"/>
    <col min="12290" max="12290" width="15" customWidth="1"/>
    <col min="12292" max="12292" width="11.5703125" bestFit="1" customWidth="1"/>
    <col min="12293" max="12293" width="10.42578125" customWidth="1"/>
    <col min="12294" max="12294" width="12.5703125" customWidth="1"/>
    <col min="12296" max="12296" width="15.7109375" customWidth="1"/>
    <col min="12545" max="12545" width="16.140625" bestFit="1" customWidth="1"/>
    <col min="12546" max="12546" width="15" customWidth="1"/>
    <col min="12548" max="12548" width="11.5703125" bestFit="1" customWidth="1"/>
    <col min="12549" max="12549" width="10.42578125" customWidth="1"/>
    <col min="12550" max="12550" width="12.5703125" customWidth="1"/>
    <col min="12552" max="12552" width="15.7109375" customWidth="1"/>
    <col min="12801" max="12801" width="16.140625" bestFit="1" customWidth="1"/>
    <col min="12802" max="12802" width="15" customWidth="1"/>
    <col min="12804" max="12804" width="11.5703125" bestFit="1" customWidth="1"/>
    <col min="12805" max="12805" width="10.42578125" customWidth="1"/>
    <col min="12806" max="12806" width="12.5703125" customWidth="1"/>
    <col min="12808" max="12808" width="15.7109375" customWidth="1"/>
    <col min="13057" max="13057" width="16.140625" bestFit="1" customWidth="1"/>
    <col min="13058" max="13058" width="15" customWidth="1"/>
    <col min="13060" max="13060" width="11.5703125" bestFit="1" customWidth="1"/>
    <col min="13061" max="13061" width="10.42578125" customWidth="1"/>
    <col min="13062" max="13062" width="12.5703125" customWidth="1"/>
    <col min="13064" max="13064" width="15.7109375" customWidth="1"/>
    <col min="13313" max="13313" width="16.140625" bestFit="1" customWidth="1"/>
    <col min="13314" max="13314" width="15" customWidth="1"/>
    <col min="13316" max="13316" width="11.5703125" bestFit="1" customWidth="1"/>
    <col min="13317" max="13317" width="10.42578125" customWidth="1"/>
    <col min="13318" max="13318" width="12.5703125" customWidth="1"/>
    <col min="13320" max="13320" width="15.7109375" customWidth="1"/>
    <col min="13569" max="13569" width="16.140625" bestFit="1" customWidth="1"/>
    <col min="13570" max="13570" width="15" customWidth="1"/>
    <col min="13572" max="13572" width="11.5703125" bestFit="1" customWidth="1"/>
    <col min="13573" max="13573" width="10.42578125" customWidth="1"/>
    <col min="13574" max="13574" width="12.5703125" customWidth="1"/>
    <col min="13576" max="13576" width="15.7109375" customWidth="1"/>
    <col min="13825" max="13825" width="16.140625" bestFit="1" customWidth="1"/>
    <col min="13826" max="13826" width="15" customWidth="1"/>
    <col min="13828" max="13828" width="11.5703125" bestFit="1" customWidth="1"/>
    <col min="13829" max="13829" width="10.42578125" customWidth="1"/>
    <col min="13830" max="13830" width="12.5703125" customWidth="1"/>
    <col min="13832" max="13832" width="15.7109375" customWidth="1"/>
    <col min="14081" max="14081" width="16.140625" bestFit="1" customWidth="1"/>
    <col min="14082" max="14082" width="15" customWidth="1"/>
    <col min="14084" max="14084" width="11.5703125" bestFit="1" customWidth="1"/>
    <col min="14085" max="14085" width="10.42578125" customWidth="1"/>
    <col min="14086" max="14086" width="12.5703125" customWidth="1"/>
    <col min="14088" max="14088" width="15.7109375" customWidth="1"/>
    <col min="14337" max="14337" width="16.140625" bestFit="1" customWidth="1"/>
    <col min="14338" max="14338" width="15" customWidth="1"/>
    <col min="14340" max="14340" width="11.5703125" bestFit="1" customWidth="1"/>
    <col min="14341" max="14341" width="10.42578125" customWidth="1"/>
    <col min="14342" max="14342" width="12.5703125" customWidth="1"/>
    <col min="14344" max="14344" width="15.7109375" customWidth="1"/>
    <col min="14593" max="14593" width="16.140625" bestFit="1" customWidth="1"/>
    <col min="14594" max="14594" width="15" customWidth="1"/>
    <col min="14596" max="14596" width="11.5703125" bestFit="1" customWidth="1"/>
    <col min="14597" max="14597" width="10.42578125" customWidth="1"/>
    <col min="14598" max="14598" width="12.5703125" customWidth="1"/>
    <col min="14600" max="14600" width="15.7109375" customWidth="1"/>
    <col min="14849" max="14849" width="16.140625" bestFit="1" customWidth="1"/>
    <col min="14850" max="14850" width="15" customWidth="1"/>
    <col min="14852" max="14852" width="11.5703125" bestFit="1" customWidth="1"/>
    <col min="14853" max="14853" width="10.42578125" customWidth="1"/>
    <col min="14854" max="14854" width="12.5703125" customWidth="1"/>
    <col min="14856" max="14856" width="15.7109375" customWidth="1"/>
    <col min="15105" max="15105" width="16.140625" bestFit="1" customWidth="1"/>
    <col min="15106" max="15106" width="15" customWidth="1"/>
    <col min="15108" max="15108" width="11.5703125" bestFit="1" customWidth="1"/>
    <col min="15109" max="15109" width="10.42578125" customWidth="1"/>
    <col min="15110" max="15110" width="12.5703125" customWidth="1"/>
    <col min="15112" max="15112" width="15.7109375" customWidth="1"/>
    <col min="15361" max="15361" width="16.140625" bestFit="1" customWidth="1"/>
    <col min="15362" max="15362" width="15" customWidth="1"/>
    <col min="15364" max="15364" width="11.5703125" bestFit="1" customWidth="1"/>
    <col min="15365" max="15365" width="10.42578125" customWidth="1"/>
    <col min="15366" max="15366" width="12.5703125" customWidth="1"/>
    <col min="15368" max="15368" width="15.7109375" customWidth="1"/>
    <col min="15617" max="15617" width="16.140625" bestFit="1" customWidth="1"/>
    <col min="15618" max="15618" width="15" customWidth="1"/>
    <col min="15620" max="15620" width="11.5703125" bestFit="1" customWidth="1"/>
    <col min="15621" max="15621" width="10.42578125" customWidth="1"/>
    <col min="15622" max="15622" width="12.5703125" customWidth="1"/>
    <col min="15624" max="15624" width="15.7109375" customWidth="1"/>
    <col min="15873" max="15873" width="16.140625" bestFit="1" customWidth="1"/>
    <col min="15874" max="15874" width="15" customWidth="1"/>
    <col min="15876" max="15876" width="11.5703125" bestFit="1" customWidth="1"/>
    <col min="15877" max="15877" width="10.42578125" customWidth="1"/>
    <col min="15878" max="15878" width="12.5703125" customWidth="1"/>
    <col min="15880" max="15880" width="15.7109375" customWidth="1"/>
    <col min="16129" max="16129" width="16.140625" bestFit="1" customWidth="1"/>
    <col min="16130" max="16130" width="15" customWidth="1"/>
    <col min="16132" max="16132" width="11.5703125" bestFit="1" customWidth="1"/>
    <col min="16133" max="16133" width="10.42578125" customWidth="1"/>
    <col min="16134" max="16134" width="12.5703125" customWidth="1"/>
    <col min="16136" max="16136" width="15.7109375" customWidth="1"/>
  </cols>
  <sheetData>
    <row r="1" spans="1:8" ht="33" x14ac:dyDescent="0.2">
      <c r="A1" s="356"/>
      <c r="B1" s="357" t="s">
        <v>216</v>
      </c>
      <c r="C1" s="357"/>
      <c r="D1" s="357"/>
      <c r="E1" s="357"/>
      <c r="F1" s="357"/>
      <c r="G1" s="357"/>
      <c r="H1" s="357"/>
    </row>
    <row r="2" spans="1:8" ht="18.75" x14ac:dyDescent="0.2">
      <c r="A2" s="356"/>
      <c r="B2" s="358" t="s">
        <v>103</v>
      </c>
      <c r="C2" s="358"/>
      <c r="D2" s="358"/>
      <c r="E2" s="358"/>
      <c r="F2" s="358"/>
      <c r="G2" s="358"/>
      <c r="H2" s="358"/>
    </row>
    <row r="3" spans="1:8" ht="15.75" x14ac:dyDescent="0.2">
      <c r="A3" s="356"/>
      <c r="B3" s="359" t="s">
        <v>213</v>
      </c>
      <c r="C3" s="359"/>
      <c r="D3" s="359"/>
      <c r="E3" s="359"/>
      <c r="F3" s="359"/>
      <c r="G3" s="359"/>
      <c r="H3" s="359"/>
    </row>
    <row r="4" spans="1:8" x14ac:dyDescent="0.2">
      <c r="A4" s="356"/>
      <c r="B4" s="356"/>
      <c r="C4" s="356"/>
      <c r="D4" s="356"/>
      <c r="E4" s="356"/>
      <c r="F4" s="356"/>
      <c r="G4" s="356"/>
      <c r="H4" s="356"/>
    </row>
    <row r="5" spans="1:8" x14ac:dyDescent="0.2">
      <c r="A5" s="356"/>
      <c r="B5" s="356"/>
      <c r="C5" s="356"/>
      <c r="D5" s="356"/>
      <c r="E5" s="356"/>
      <c r="F5" s="356"/>
      <c r="G5" s="356"/>
      <c r="H5" s="356"/>
    </row>
    <row r="6" spans="1:8" x14ac:dyDescent="0.2">
      <c r="A6" s="360" t="s">
        <v>392</v>
      </c>
      <c r="B6" s="360"/>
      <c r="C6" s="360"/>
      <c r="D6" s="360"/>
      <c r="E6" s="360"/>
      <c r="F6" s="360"/>
      <c r="G6" s="360"/>
      <c r="H6" s="360"/>
    </row>
    <row r="7" spans="1:8" x14ac:dyDescent="0.2">
      <c r="A7" s="360" t="s">
        <v>393</v>
      </c>
      <c r="B7" s="360"/>
      <c r="C7" s="360"/>
      <c r="D7" s="360"/>
      <c r="E7" s="360"/>
      <c r="F7" s="360"/>
      <c r="G7" s="360"/>
      <c r="H7" s="360"/>
    </row>
    <row r="8" spans="1:8" x14ac:dyDescent="0.2">
      <c r="A8" s="361"/>
      <c r="B8" s="361"/>
      <c r="C8" s="361"/>
      <c r="D8" s="361"/>
      <c r="E8" s="361"/>
      <c r="F8" s="361"/>
      <c r="G8" s="361"/>
      <c r="H8" s="361"/>
    </row>
    <row r="9" spans="1:8" ht="50.45" customHeight="1" x14ac:dyDescent="0.2">
      <c r="A9" s="354" t="s">
        <v>220</v>
      </c>
      <c r="B9" s="354"/>
      <c r="C9" s="354"/>
      <c r="D9" s="354"/>
      <c r="E9" s="354"/>
      <c r="F9" s="354"/>
      <c r="G9" s="354"/>
      <c r="H9" s="354"/>
    </row>
    <row r="10" spans="1:8" x14ac:dyDescent="0.2">
      <c r="A10" s="361"/>
      <c r="B10" s="361"/>
      <c r="C10" s="361"/>
      <c r="D10" s="361"/>
      <c r="E10" s="361"/>
      <c r="F10" s="361"/>
      <c r="G10" s="361"/>
      <c r="H10" s="361"/>
    </row>
    <row r="11" spans="1:8" x14ac:dyDescent="0.2">
      <c r="A11" s="354" t="s">
        <v>217</v>
      </c>
      <c r="B11" s="354"/>
      <c r="C11" s="354"/>
      <c r="D11" s="354"/>
      <c r="E11" s="355" t="s">
        <v>423</v>
      </c>
      <c r="F11" s="355"/>
      <c r="G11" s="355"/>
      <c r="H11" s="355"/>
    </row>
    <row r="12" spans="1:8" x14ac:dyDescent="0.2">
      <c r="A12" s="361"/>
      <c r="B12" s="361"/>
      <c r="C12" s="361"/>
      <c r="D12" s="361"/>
      <c r="E12" s="361"/>
      <c r="F12" s="361"/>
      <c r="G12" s="361"/>
      <c r="H12" s="361"/>
    </row>
    <row r="13" spans="1:8" s="115" customFormat="1" x14ac:dyDescent="0.2">
      <c r="A13" s="113" t="s">
        <v>104</v>
      </c>
      <c r="B13" s="113" t="s">
        <v>105</v>
      </c>
      <c r="C13" s="113" t="s">
        <v>106</v>
      </c>
      <c r="D13" s="113" t="s">
        <v>107</v>
      </c>
      <c r="E13" s="114" t="s">
        <v>108</v>
      </c>
      <c r="F13" s="113" t="s">
        <v>109</v>
      </c>
      <c r="G13" s="113" t="s">
        <v>110</v>
      </c>
      <c r="H13" s="113" t="s">
        <v>111</v>
      </c>
    </row>
    <row r="14" spans="1:8" s="115" customFormat="1" x14ac:dyDescent="0.2">
      <c r="A14" s="116"/>
      <c r="B14" s="116"/>
      <c r="C14" s="117"/>
      <c r="D14" s="117"/>
      <c r="E14" s="118"/>
      <c r="F14" s="119" t="s">
        <v>112</v>
      </c>
      <c r="G14" s="362">
        <v>0</v>
      </c>
      <c r="H14" s="362"/>
    </row>
    <row r="16" spans="1:8" x14ac:dyDescent="0.2">
      <c r="A16" s="363" t="s">
        <v>113</v>
      </c>
      <c r="B16" s="363"/>
      <c r="C16" s="120" t="s">
        <v>105</v>
      </c>
      <c r="D16" s="120" t="s">
        <v>114</v>
      </c>
      <c r="E16" s="120" t="s">
        <v>115</v>
      </c>
      <c r="F16" s="120" t="s">
        <v>116</v>
      </c>
      <c r="G16" s="120" t="s">
        <v>110</v>
      </c>
      <c r="H16" s="120" t="s">
        <v>111</v>
      </c>
    </row>
    <row r="17" spans="1:8" s="115" customFormat="1" x14ac:dyDescent="0.2">
      <c r="A17" s="116"/>
      <c r="B17" s="116"/>
      <c r="C17" s="117"/>
      <c r="D17" s="117"/>
      <c r="E17" s="118"/>
      <c r="F17" s="119" t="s">
        <v>117</v>
      </c>
      <c r="G17" s="362">
        <v>0</v>
      </c>
      <c r="H17" s="362"/>
    </row>
    <row r="18" spans="1:8" s="115" customFormat="1" x14ac:dyDescent="0.2">
      <c r="A18" s="116"/>
      <c r="B18" s="116"/>
      <c r="C18" s="117"/>
      <c r="D18" s="117"/>
      <c r="E18" s="118"/>
      <c r="F18" s="119"/>
      <c r="G18" s="121"/>
      <c r="H18" s="121"/>
    </row>
    <row r="19" spans="1:8" x14ac:dyDescent="0.2">
      <c r="A19" s="363" t="s">
        <v>118</v>
      </c>
      <c r="B19" s="363"/>
      <c r="C19" s="122" t="s">
        <v>105</v>
      </c>
      <c r="D19" s="122" t="s">
        <v>119</v>
      </c>
      <c r="E19" s="122" t="s">
        <v>120</v>
      </c>
      <c r="F19" s="122" t="s">
        <v>121</v>
      </c>
      <c r="G19" s="122" t="s">
        <v>122</v>
      </c>
      <c r="H19" s="122" t="s">
        <v>123</v>
      </c>
    </row>
    <row r="20" spans="1:8" s="115" customFormat="1" x14ac:dyDescent="0.2">
      <c r="A20" s="116"/>
      <c r="B20" s="116"/>
      <c r="C20" s="117"/>
      <c r="D20" s="117"/>
      <c r="E20" s="118"/>
      <c r="F20" s="119" t="s">
        <v>124</v>
      </c>
      <c r="G20" s="362">
        <v>0</v>
      </c>
      <c r="H20" s="362"/>
    </row>
    <row r="21" spans="1:8" x14ac:dyDescent="0.2">
      <c r="A21" s="364"/>
      <c r="B21" s="364"/>
    </row>
    <row r="22" spans="1:8" s="115" customFormat="1" x14ac:dyDescent="0.2">
      <c r="A22" s="365" t="s">
        <v>125</v>
      </c>
      <c r="B22" s="365"/>
      <c r="C22" s="365"/>
      <c r="D22" s="365"/>
      <c r="E22" s="365"/>
      <c r="F22" s="365"/>
      <c r="G22" s="366">
        <f>G14+G17+G20</f>
        <v>0</v>
      </c>
      <c r="H22" s="366"/>
    </row>
    <row r="23" spans="1:8" s="115" customFormat="1" x14ac:dyDescent="0.2">
      <c r="A23" s="365" t="s">
        <v>126</v>
      </c>
      <c r="B23" s="365"/>
      <c r="C23" s="365"/>
      <c r="D23" s="365"/>
      <c r="E23" s="365"/>
      <c r="F23" s="365"/>
      <c r="G23" s="367">
        <v>1</v>
      </c>
      <c r="H23" s="367"/>
    </row>
    <row r="24" spans="1:8" s="115" customFormat="1" x14ac:dyDescent="0.2">
      <c r="A24" s="365" t="s">
        <v>127</v>
      </c>
      <c r="B24" s="365"/>
      <c r="C24" s="365"/>
      <c r="D24" s="365"/>
      <c r="E24" s="365"/>
      <c r="F24" s="365"/>
      <c r="G24" s="367">
        <f>ROUND(G22/G23,2)</f>
        <v>0</v>
      </c>
      <c r="H24" s="367"/>
    </row>
    <row r="25" spans="1:8" x14ac:dyDescent="0.2">
      <c r="A25" s="364"/>
      <c r="B25" s="364"/>
    </row>
    <row r="26" spans="1:8" x14ac:dyDescent="0.2">
      <c r="A26" s="368" t="s">
        <v>128</v>
      </c>
      <c r="B26" s="368"/>
      <c r="C26" s="120" t="s">
        <v>105</v>
      </c>
      <c r="D26" s="120" t="s">
        <v>129</v>
      </c>
      <c r="E26" s="122" t="s">
        <v>110</v>
      </c>
      <c r="F26" s="369" t="s">
        <v>130</v>
      </c>
      <c r="G26" s="370"/>
      <c r="H26" s="122" t="s">
        <v>131</v>
      </c>
    </row>
    <row r="27" spans="1:8" s="125" customFormat="1" ht="45.6" customHeight="1" x14ac:dyDescent="0.2">
      <c r="A27" s="380" t="s">
        <v>218</v>
      </c>
      <c r="B27" s="381"/>
      <c r="C27" s="108" t="s">
        <v>219</v>
      </c>
      <c r="D27" s="127" t="s">
        <v>100</v>
      </c>
      <c r="E27" s="163">
        <v>4.7249999999999996</v>
      </c>
      <c r="F27" s="382">
        <v>1.7</v>
      </c>
      <c r="G27" s="383"/>
      <c r="H27" s="124">
        <f t="shared" ref="H27" si="0">ROUND((E27*F27),2)</f>
        <v>8.0299999999999994</v>
      </c>
    </row>
    <row r="28" spans="1:8" s="125" customFormat="1" ht="74.45" customHeight="1" x14ac:dyDescent="0.2">
      <c r="A28" s="380" t="s">
        <v>221</v>
      </c>
      <c r="B28" s="381"/>
      <c r="C28" s="108" t="s">
        <v>222</v>
      </c>
      <c r="D28" s="127" t="s">
        <v>8</v>
      </c>
      <c r="E28" s="163">
        <v>1.05</v>
      </c>
      <c r="F28" s="382">
        <v>59.31</v>
      </c>
      <c r="G28" s="383"/>
      <c r="H28" s="124">
        <f t="shared" ref="H28" si="1">ROUND((E28*F28),2)</f>
        <v>62.28</v>
      </c>
    </row>
    <row r="29" spans="1:8" s="115" customFormat="1" x14ac:dyDescent="0.2">
      <c r="A29" s="116"/>
      <c r="B29" s="116"/>
      <c r="C29" s="117"/>
      <c r="D29" s="117"/>
      <c r="E29" s="118"/>
      <c r="F29" s="119" t="s">
        <v>132</v>
      </c>
      <c r="G29" s="384">
        <f>SUM(H27:H28)</f>
        <v>70.31</v>
      </c>
      <c r="H29" s="385"/>
    </row>
    <row r="30" spans="1:8" x14ac:dyDescent="0.2">
      <c r="A30" s="386"/>
      <c r="B30" s="386"/>
      <c r="F30" s="386"/>
      <c r="G30" s="386"/>
    </row>
    <row r="31" spans="1:8" x14ac:dyDescent="0.2">
      <c r="A31" s="368" t="s">
        <v>133</v>
      </c>
      <c r="B31" s="368"/>
      <c r="C31" s="120" t="s">
        <v>105</v>
      </c>
      <c r="D31" s="120" t="s">
        <v>129</v>
      </c>
      <c r="E31" s="126" t="s">
        <v>110</v>
      </c>
      <c r="F31" s="387" t="s">
        <v>130</v>
      </c>
      <c r="G31" s="387"/>
      <c r="H31" s="126" t="s">
        <v>131</v>
      </c>
    </row>
    <row r="32" spans="1:8" s="125" customFormat="1" ht="25.5" x14ac:dyDescent="0.2">
      <c r="A32" s="371" t="s">
        <v>141</v>
      </c>
      <c r="B32" s="372"/>
      <c r="C32" s="108" t="s">
        <v>142</v>
      </c>
      <c r="D32" s="127" t="s">
        <v>143</v>
      </c>
      <c r="E32" s="163">
        <v>0.24399999999999999</v>
      </c>
      <c r="F32" s="373">
        <v>24.89</v>
      </c>
      <c r="G32" s="373"/>
      <c r="H32" s="124">
        <f t="shared" ref="H32:H34" si="2">ROUND((E32*F32),2)</f>
        <v>6.07</v>
      </c>
    </row>
    <row r="33" spans="1:8" s="125" customFormat="1" ht="25.5" x14ac:dyDescent="0.2">
      <c r="A33" s="371" t="s">
        <v>144</v>
      </c>
      <c r="B33" s="372"/>
      <c r="C33" s="108" t="s">
        <v>145</v>
      </c>
      <c r="D33" s="127" t="s">
        <v>143</v>
      </c>
      <c r="E33" s="163">
        <v>0.48899999999999999</v>
      </c>
      <c r="F33" s="373">
        <v>33.630000000000003</v>
      </c>
      <c r="G33" s="373"/>
      <c r="H33" s="124">
        <f t="shared" ref="H33" si="3">ROUND((E33*F33),2)</f>
        <v>16.45</v>
      </c>
    </row>
    <row r="34" spans="1:8" s="125" customFormat="1" ht="82.9" customHeight="1" x14ac:dyDescent="0.2">
      <c r="A34" s="371" t="s">
        <v>223</v>
      </c>
      <c r="B34" s="372"/>
      <c r="C34" s="108" t="s">
        <v>224</v>
      </c>
      <c r="D34" s="127" t="s">
        <v>8</v>
      </c>
      <c r="E34" s="163">
        <v>1</v>
      </c>
      <c r="F34" s="373">
        <v>8.07</v>
      </c>
      <c r="G34" s="373"/>
      <c r="H34" s="124">
        <f t="shared" si="2"/>
        <v>8.07</v>
      </c>
    </row>
    <row r="35" spans="1:8" s="115" customFormat="1" x14ac:dyDescent="0.2">
      <c r="A35" s="116"/>
      <c r="B35" s="116"/>
      <c r="C35" s="117"/>
      <c r="D35" s="117"/>
      <c r="E35" s="118"/>
      <c r="F35" s="117" t="s">
        <v>134</v>
      </c>
      <c r="G35" s="374">
        <f>SUM(H32:H34)</f>
        <v>30.59</v>
      </c>
      <c r="H35" s="374"/>
    </row>
    <row r="36" spans="1:8" s="125" customFormat="1" x14ac:dyDescent="0.2">
      <c r="A36" s="375"/>
      <c r="B36" s="375"/>
      <c r="F36" s="375"/>
      <c r="G36" s="375"/>
    </row>
    <row r="37" spans="1:8" ht="25.5" x14ac:dyDescent="0.2">
      <c r="A37" s="128" t="s">
        <v>135</v>
      </c>
      <c r="B37" s="129" t="s">
        <v>105</v>
      </c>
      <c r="C37" s="129" t="s">
        <v>129</v>
      </c>
      <c r="D37" s="130" t="s">
        <v>136</v>
      </c>
      <c r="E37" s="130" t="s">
        <v>137</v>
      </c>
      <c r="F37" s="130" t="s">
        <v>110</v>
      </c>
      <c r="G37" s="130" t="s">
        <v>123</v>
      </c>
      <c r="H37" s="130" t="s">
        <v>131</v>
      </c>
    </row>
    <row r="38" spans="1:8" s="115" customFormat="1" x14ac:dyDescent="0.2">
      <c r="A38" s="116"/>
      <c r="B38" s="116"/>
      <c r="C38" s="117"/>
      <c r="D38" s="117"/>
      <c r="E38" s="118"/>
      <c r="F38" s="119" t="s">
        <v>138</v>
      </c>
      <c r="G38" s="374">
        <f>SUM(H36:H37)</f>
        <v>0</v>
      </c>
      <c r="H38" s="374"/>
    </row>
    <row r="39" spans="1:8" s="125" customFormat="1" x14ac:dyDescent="0.2">
      <c r="A39" s="375"/>
      <c r="B39" s="375"/>
      <c r="F39" s="376"/>
      <c r="G39" s="376"/>
    </row>
    <row r="40" spans="1:8" s="115" customFormat="1" x14ac:dyDescent="0.2">
      <c r="A40" s="365" t="s">
        <v>139</v>
      </c>
      <c r="B40" s="365"/>
      <c r="C40" s="365"/>
      <c r="D40" s="365"/>
      <c r="E40" s="365"/>
      <c r="F40" s="365"/>
      <c r="G40" s="379">
        <f>G24+G29+G35+G38</f>
        <v>100.9</v>
      </c>
      <c r="H40" s="379"/>
    </row>
    <row r="41" spans="1:8" s="125" customFormat="1" ht="39" customHeight="1" x14ac:dyDescent="0.2">
      <c r="A41" s="375"/>
      <c r="B41" s="375"/>
      <c r="F41" s="376"/>
      <c r="G41" s="376"/>
    </row>
    <row r="42" spans="1:8" s="125" customFormat="1" x14ac:dyDescent="0.2">
      <c r="A42" s="377" t="s">
        <v>140</v>
      </c>
      <c r="B42" s="376"/>
      <c r="C42" s="376"/>
      <c r="D42" s="376"/>
      <c r="E42" s="376"/>
      <c r="F42" s="376"/>
      <c r="G42" s="376"/>
      <c r="H42" s="376"/>
    </row>
    <row r="43" spans="1:8" s="125" customFormat="1" x14ac:dyDescent="0.2">
      <c r="A43" s="378" t="s">
        <v>81</v>
      </c>
      <c r="B43" s="376"/>
      <c r="C43" s="376"/>
      <c r="D43" s="376"/>
      <c r="E43" s="376"/>
      <c r="F43" s="376"/>
      <c r="G43" s="376"/>
      <c r="H43" s="376"/>
    </row>
    <row r="44" spans="1:8" s="125" customFormat="1" x14ac:dyDescent="0.2">
      <c r="A44" s="375"/>
      <c r="B44" s="375"/>
      <c r="F44" s="376"/>
      <c r="G44" s="376"/>
    </row>
    <row r="45" spans="1:8" s="125" customFormat="1" x14ac:dyDescent="0.2">
      <c r="A45" s="375"/>
      <c r="B45" s="375"/>
      <c r="F45" s="376"/>
      <c r="G45" s="376"/>
    </row>
    <row r="46" spans="1:8" s="125" customFormat="1" x14ac:dyDescent="0.2">
      <c r="A46" s="375"/>
      <c r="B46" s="375"/>
      <c r="F46" s="376"/>
      <c r="G46" s="376"/>
    </row>
    <row r="47" spans="1:8" s="125" customFormat="1" x14ac:dyDescent="0.2">
      <c r="A47" s="375"/>
      <c r="B47" s="375"/>
      <c r="F47" s="376"/>
      <c r="G47" s="376"/>
    </row>
    <row r="48" spans="1:8" s="125" customFormat="1" x14ac:dyDescent="0.2">
      <c r="A48" s="375"/>
      <c r="B48" s="375"/>
      <c r="F48" s="376"/>
      <c r="G48" s="376"/>
    </row>
  </sheetData>
  <mergeCells count="66">
    <mergeCell ref="A27:B27"/>
    <mergeCell ref="F27:G27"/>
    <mergeCell ref="A33:B33"/>
    <mergeCell ref="F33:G33"/>
    <mergeCell ref="F28:G28"/>
    <mergeCell ref="A28:B28"/>
    <mergeCell ref="G29:H29"/>
    <mergeCell ref="A30:B30"/>
    <mergeCell ref="F30:G30"/>
    <mergeCell ref="A31:B31"/>
    <mergeCell ref="F31:G31"/>
    <mergeCell ref="A32:B32"/>
    <mergeCell ref="F32:G32"/>
    <mergeCell ref="F47:G47"/>
    <mergeCell ref="G38:H38"/>
    <mergeCell ref="A39:B39"/>
    <mergeCell ref="F39:G39"/>
    <mergeCell ref="A40:F40"/>
    <mergeCell ref="G40:H40"/>
    <mergeCell ref="A41:B41"/>
    <mergeCell ref="F41:G41"/>
    <mergeCell ref="A34:B34"/>
    <mergeCell ref="F34:G34"/>
    <mergeCell ref="G35:H35"/>
    <mergeCell ref="A48:B48"/>
    <mergeCell ref="F48:G48"/>
    <mergeCell ref="A42:H42"/>
    <mergeCell ref="A43:H43"/>
    <mergeCell ref="A44:B44"/>
    <mergeCell ref="F44:G44"/>
    <mergeCell ref="A45:B45"/>
    <mergeCell ref="F45:G45"/>
    <mergeCell ref="A36:B36"/>
    <mergeCell ref="F36:G36"/>
    <mergeCell ref="A46:B46"/>
    <mergeCell ref="F46:G46"/>
    <mergeCell ref="A47:B47"/>
    <mergeCell ref="A24:F24"/>
    <mergeCell ref="G24:H24"/>
    <mergeCell ref="A25:B25"/>
    <mergeCell ref="A26:B26"/>
    <mergeCell ref="F26:G26"/>
    <mergeCell ref="G20:H20"/>
    <mergeCell ref="A21:B21"/>
    <mergeCell ref="A22:F22"/>
    <mergeCell ref="G22:H22"/>
    <mergeCell ref="A23:F23"/>
    <mergeCell ref="G23:H23"/>
    <mergeCell ref="A12:H12"/>
    <mergeCell ref="G14:H14"/>
    <mergeCell ref="A16:B16"/>
    <mergeCell ref="G17:H17"/>
    <mergeCell ref="A19:B19"/>
    <mergeCell ref="A11:D11"/>
    <mergeCell ref="E11:H11"/>
    <mergeCell ref="A1:A3"/>
    <mergeCell ref="B1:H1"/>
    <mergeCell ref="B2:H2"/>
    <mergeCell ref="B3:H3"/>
    <mergeCell ref="A4:H4"/>
    <mergeCell ref="A5:H5"/>
    <mergeCell ref="A6:H6"/>
    <mergeCell ref="A7:H7"/>
    <mergeCell ref="A8:H8"/>
    <mergeCell ref="A9:H9"/>
    <mergeCell ref="A10:H10"/>
  </mergeCells>
  <printOptions horizontalCentered="1"/>
  <pageMargins left="0.23622047244094491" right="0.23622047244094491" top="0.39370078740157483" bottom="0.39370078740157483" header="0" footer="0"/>
  <pageSetup paperSize="9" scale="9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EBE97-0E49-4829-B566-53125F3216C4}">
  <sheetPr>
    <tabColor rgb="FF92D050"/>
    <pageSetUpPr fitToPage="1"/>
  </sheetPr>
  <dimension ref="A1:H46"/>
  <sheetViews>
    <sheetView workbookViewId="0">
      <selection activeCell="B1" sqref="B1:H1"/>
    </sheetView>
  </sheetViews>
  <sheetFormatPr defaultRowHeight="12.75" x14ac:dyDescent="0.2"/>
  <cols>
    <col min="1" max="1" width="16.140625" style="123" bestFit="1" customWidth="1"/>
    <col min="2" max="2" width="15" style="123" customWidth="1"/>
    <col min="3" max="3" width="10.140625" customWidth="1"/>
    <col min="4" max="4" width="11.5703125" bestFit="1" customWidth="1"/>
    <col min="5" max="5" width="11.5703125" customWidth="1"/>
    <col min="6" max="6" width="12.5703125" customWidth="1"/>
    <col min="8" max="8" width="15.7109375" customWidth="1"/>
    <col min="257" max="257" width="16.140625" bestFit="1" customWidth="1"/>
    <col min="258" max="258" width="15" customWidth="1"/>
    <col min="260" max="260" width="11.5703125" bestFit="1" customWidth="1"/>
    <col min="261" max="261" width="10.42578125" customWidth="1"/>
    <col min="262" max="262" width="12.5703125" customWidth="1"/>
    <col min="264" max="264" width="15.7109375" customWidth="1"/>
    <col min="513" max="513" width="16.140625" bestFit="1" customWidth="1"/>
    <col min="514" max="514" width="15" customWidth="1"/>
    <col min="516" max="516" width="11.5703125" bestFit="1" customWidth="1"/>
    <col min="517" max="517" width="10.42578125" customWidth="1"/>
    <col min="518" max="518" width="12.5703125" customWidth="1"/>
    <col min="520" max="520" width="15.7109375" customWidth="1"/>
    <col min="769" max="769" width="16.140625" bestFit="1" customWidth="1"/>
    <col min="770" max="770" width="15" customWidth="1"/>
    <col min="772" max="772" width="11.5703125" bestFit="1" customWidth="1"/>
    <col min="773" max="773" width="10.42578125" customWidth="1"/>
    <col min="774" max="774" width="12.5703125" customWidth="1"/>
    <col min="776" max="776" width="15.7109375" customWidth="1"/>
    <col min="1025" max="1025" width="16.140625" bestFit="1" customWidth="1"/>
    <col min="1026" max="1026" width="15" customWidth="1"/>
    <col min="1028" max="1028" width="11.5703125" bestFit="1" customWidth="1"/>
    <col min="1029" max="1029" width="10.42578125" customWidth="1"/>
    <col min="1030" max="1030" width="12.5703125" customWidth="1"/>
    <col min="1032" max="1032" width="15.7109375" customWidth="1"/>
    <col min="1281" max="1281" width="16.140625" bestFit="1" customWidth="1"/>
    <col min="1282" max="1282" width="15" customWidth="1"/>
    <col min="1284" max="1284" width="11.5703125" bestFit="1" customWidth="1"/>
    <col min="1285" max="1285" width="10.42578125" customWidth="1"/>
    <col min="1286" max="1286" width="12.5703125" customWidth="1"/>
    <col min="1288" max="1288" width="15.7109375" customWidth="1"/>
    <col min="1537" max="1537" width="16.140625" bestFit="1" customWidth="1"/>
    <col min="1538" max="1538" width="15" customWidth="1"/>
    <col min="1540" max="1540" width="11.5703125" bestFit="1" customWidth="1"/>
    <col min="1541" max="1541" width="10.42578125" customWidth="1"/>
    <col min="1542" max="1542" width="12.5703125" customWidth="1"/>
    <col min="1544" max="1544" width="15.7109375" customWidth="1"/>
    <col min="1793" max="1793" width="16.140625" bestFit="1" customWidth="1"/>
    <col min="1794" max="1794" width="15" customWidth="1"/>
    <col min="1796" max="1796" width="11.5703125" bestFit="1" customWidth="1"/>
    <col min="1797" max="1797" width="10.42578125" customWidth="1"/>
    <col min="1798" max="1798" width="12.5703125" customWidth="1"/>
    <col min="1800" max="1800" width="15.7109375" customWidth="1"/>
    <col min="2049" max="2049" width="16.140625" bestFit="1" customWidth="1"/>
    <col min="2050" max="2050" width="15" customWidth="1"/>
    <col min="2052" max="2052" width="11.5703125" bestFit="1" customWidth="1"/>
    <col min="2053" max="2053" width="10.42578125" customWidth="1"/>
    <col min="2054" max="2054" width="12.5703125" customWidth="1"/>
    <col min="2056" max="2056" width="15.7109375" customWidth="1"/>
    <col min="2305" max="2305" width="16.140625" bestFit="1" customWidth="1"/>
    <col min="2306" max="2306" width="15" customWidth="1"/>
    <col min="2308" max="2308" width="11.5703125" bestFit="1" customWidth="1"/>
    <col min="2309" max="2309" width="10.42578125" customWidth="1"/>
    <col min="2310" max="2310" width="12.5703125" customWidth="1"/>
    <col min="2312" max="2312" width="15.7109375" customWidth="1"/>
    <col min="2561" max="2561" width="16.140625" bestFit="1" customWidth="1"/>
    <col min="2562" max="2562" width="15" customWidth="1"/>
    <col min="2564" max="2564" width="11.5703125" bestFit="1" customWidth="1"/>
    <col min="2565" max="2565" width="10.42578125" customWidth="1"/>
    <col min="2566" max="2566" width="12.5703125" customWidth="1"/>
    <col min="2568" max="2568" width="15.7109375" customWidth="1"/>
    <col min="2817" max="2817" width="16.140625" bestFit="1" customWidth="1"/>
    <col min="2818" max="2818" width="15" customWidth="1"/>
    <col min="2820" max="2820" width="11.5703125" bestFit="1" customWidth="1"/>
    <col min="2821" max="2821" width="10.42578125" customWidth="1"/>
    <col min="2822" max="2822" width="12.5703125" customWidth="1"/>
    <col min="2824" max="2824" width="15.7109375" customWidth="1"/>
    <col min="3073" max="3073" width="16.140625" bestFit="1" customWidth="1"/>
    <col min="3074" max="3074" width="15" customWidth="1"/>
    <col min="3076" max="3076" width="11.5703125" bestFit="1" customWidth="1"/>
    <col min="3077" max="3077" width="10.42578125" customWidth="1"/>
    <col min="3078" max="3078" width="12.5703125" customWidth="1"/>
    <col min="3080" max="3080" width="15.7109375" customWidth="1"/>
    <col min="3329" max="3329" width="16.140625" bestFit="1" customWidth="1"/>
    <col min="3330" max="3330" width="15" customWidth="1"/>
    <col min="3332" max="3332" width="11.5703125" bestFit="1" customWidth="1"/>
    <col min="3333" max="3333" width="10.42578125" customWidth="1"/>
    <col min="3334" max="3334" width="12.5703125" customWidth="1"/>
    <col min="3336" max="3336" width="15.7109375" customWidth="1"/>
    <col min="3585" max="3585" width="16.140625" bestFit="1" customWidth="1"/>
    <col min="3586" max="3586" width="15" customWidth="1"/>
    <col min="3588" max="3588" width="11.5703125" bestFit="1" customWidth="1"/>
    <col min="3589" max="3589" width="10.42578125" customWidth="1"/>
    <col min="3590" max="3590" width="12.5703125" customWidth="1"/>
    <col min="3592" max="3592" width="15.7109375" customWidth="1"/>
    <col min="3841" max="3841" width="16.140625" bestFit="1" customWidth="1"/>
    <col min="3842" max="3842" width="15" customWidth="1"/>
    <col min="3844" max="3844" width="11.5703125" bestFit="1" customWidth="1"/>
    <col min="3845" max="3845" width="10.42578125" customWidth="1"/>
    <col min="3846" max="3846" width="12.5703125" customWidth="1"/>
    <col min="3848" max="3848" width="15.7109375" customWidth="1"/>
    <col min="4097" max="4097" width="16.140625" bestFit="1" customWidth="1"/>
    <col min="4098" max="4098" width="15" customWidth="1"/>
    <col min="4100" max="4100" width="11.5703125" bestFit="1" customWidth="1"/>
    <col min="4101" max="4101" width="10.42578125" customWidth="1"/>
    <col min="4102" max="4102" width="12.5703125" customWidth="1"/>
    <col min="4104" max="4104" width="15.7109375" customWidth="1"/>
    <col min="4353" max="4353" width="16.140625" bestFit="1" customWidth="1"/>
    <col min="4354" max="4354" width="15" customWidth="1"/>
    <col min="4356" max="4356" width="11.5703125" bestFit="1" customWidth="1"/>
    <col min="4357" max="4357" width="10.42578125" customWidth="1"/>
    <col min="4358" max="4358" width="12.5703125" customWidth="1"/>
    <col min="4360" max="4360" width="15.7109375" customWidth="1"/>
    <col min="4609" max="4609" width="16.140625" bestFit="1" customWidth="1"/>
    <col min="4610" max="4610" width="15" customWidth="1"/>
    <col min="4612" max="4612" width="11.5703125" bestFit="1" customWidth="1"/>
    <col min="4613" max="4613" width="10.42578125" customWidth="1"/>
    <col min="4614" max="4614" width="12.5703125" customWidth="1"/>
    <col min="4616" max="4616" width="15.7109375" customWidth="1"/>
    <col min="4865" max="4865" width="16.140625" bestFit="1" customWidth="1"/>
    <col min="4866" max="4866" width="15" customWidth="1"/>
    <col min="4868" max="4868" width="11.5703125" bestFit="1" customWidth="1"/>
    <col min="4869" max="4869" width="10.42578125" customWidth="1"/>
    <col min="4870" max="4870" width="12.5703125" customWidth="1"/>
    <col min="4872" max="4872" width="15.7109375" customWidth="1"/>
    <col min="5121" max="5121" width="16.140625" bestFit="1" customWidth="1"/>
    <col min="5122" max="5122" width="15" customWidth="1"/>
    <col min="5124" max="5124" width="11.5703125" bestFit="1" customWidth="1"/>
    <col min="5125" max="5125" width="10.42578125" customWidth="1"/>
    <col min="5126" max="5126" width="12.5703125" customWidth="1"/>
    <col min="5128" max="5128" width="15.7109375" customWidth="1"/>
    <col min="5377" max="5377" width="16.140625" bestFit="1" customWidth="1"/>
    <col min="5378" max="5378" width="15" customWidth="1"/>
    <col min="5380" max="5380" width="11.5703125" bestFit="1" customWidth="1"/>
    <col min="5381" max="5381" width="10.42578125" customWidth="1"/>
    <col min="5382" max="5382" width="12.5703125" customWidth="1"/>
    <col min="5384" max="5384" width="15.7109375" customWidth="1"/>
    <col min="5633" max="5633" width="16.140625" bestFit="1" customWidth="1"/>
    <col min="5634" max="5634" width="15" customWidth="1"/>
    <col min="5636" max="5636" width="11.5703125" bestFit="1" customWidth="1"/>
    <col min="5637" max="5637" width="10.42578125" customWidth="1"/>
    <col min="5638" max="5638" width="12.5703125" customWidth="1"/>
    <col min="5640" max="5640" width="15.7109375" customWidth="1"/>
    <col min="5889" max="5889" width="16.140625" bestFit="1" customWidth="1"/>
    <col min="5890" max="5890" width="15" customWidth="1"/>
    <col min="5892" max="5892" width="11.5703125" bestFit="1" customWidth="1"/>
    <col min="5893" max="5893" width="10.42578125" customWidth="1"/>
    <col min="5894" max="5894" width="12.5703125" customWidth="1"/>
    <col min="5896" max="5896" width="15.7109375" customWidth="1"/>
    <col min="6145" max="6145" width="16.140625" bestFit="1" customWidth="1"/>
    <col min="6146" max="6146" width="15" customWidth="1"/>
    <col min="6148" max="6148" width="11.5703125" bestFit="1" customWidth="1"/>
    <col min="6149" max="6149" width="10.42578125" customWidth="1"/>
    <col min="6150" max="6150" width="12.5703125" customWidth="1"/>
    <col min="6152" max="6152" width="15.7109375" customWidth="1"/>
    <col min="6401" max="6401" width="16.140625" bestFit="1" customWidth="1"/>
    <col min="6402" max="6402" width="15" customWidth="1"/>
    <col min="6404" max="6404" width="11.5703125" bestFit="1" customWidth="1"/>
    <col min="6405" max="6405" width="10.42578125" customWidth="1"/>
    <col min="6406" max="6406" width="12.5703125" customWidth="1"/>
    <col min="6408" max="6408" width="15.7109375" customWidth="1"/>
    <col min="6657" max="6657" width="16.140625" bestFit="1" customWidth="1"/>
    <col min="6658" max="6658" width="15" customWidth="1"/>
    <col min="6660" max="6660" width="11.5703125" bestFit="1" customWidth="1"/>
    <col min="6661" max="6661" width="10.42578125" customWidth="1"/>
    <col min="6662" max="6662" width="12.5703125" customWidth="1"/>
    <col min="6664" max="6664" width="15.7109375" customWidth="1"/>
    <col min="6913" max="6913" width="16.140625" bestFit="1" customWidth="1"/>
    <col min="6914" max="6914" width="15" customWidth="1"/>
    <col min="6916" max="6916" width="11.5703125" bestFit="1" customWidth="1"/>
    <col min="6917" max="6917" width="10.42578125" customWidth="1"/>
    <col min="6918" max="6918" width="12.5703125" customWidth="1"/>
    <col min="6920" max="6920" width="15.7109375" customWidth="1"/>
    <col min="7169" max="7169" width="16.140625" bestFit="1" customWidth="1"/>
    <col min="7170" max="7170" width="15" customWidth="1"/>
    <col min="7172" max="7172" width="11.5703125" bestFit="1" customWidth="1"/>
    <col min="7173" max="7173" width="10.42578125" customWidth="1"/>
    <col min="7174" max="7174" width="12.5703125" customWidth="1"/>
    <col min="7176" max="7176" width="15.7109375" customWidth="1"/>
    <col min="7425" max="7425" width="16.140625" bestFit="1" customWidth="1"/>
    <col min="7426" max="7426" width="15" customWidth="1"/>
    <col min="7428" max="7428" width="11.5703125" bestFit="1" customWidth="1"/>
    <col min="7429" max="7429" width="10.42578125" customWidth="1"/>
    <col min="7430" max="7430" width="12.5703125" customWidth="1"/>
    <col min="7432" max="7432" width="15.7109375" customWidth="1"/>
    <col min="7681" max="7681" width="16.140625" bestFit="1" customWidth="1"/>
    <col min="7682" max="7682" width="15" customWidth="1"/>
    <col min="7684" max="7684" width="11.5703125" bestFit="1" customWidth="1"/>
    <col min="7685" max="7685" width="10.42578125" customWidth="1"/>
    <col min="7686" max="7686" width="12.5703125" customWidth="1"/>
    <col min="7688" max="7688" width="15.7109375" customWidth="1"/>
    <col min="7937" max="7937" width="16.140625" bestFit="1" customWidth="1"/>
    <col min="7938" max="7938" width="15" customWidth="1"/>
    <col min="7940" max="7940" width="11.5703125" bestFit="1" customWidth="1"/>
    <col min="7941" max="7941" width="10.42578125" customWidth="1"/>
    <col min="7942" max="7942" width="12.5703125" customWidth="1"/>
    <col min="7944" max="7944" width="15.7109375" customWidth="1"/>
    <col min="8193" max="8193" width="16.140625" bestFit="1" customWidth="1"/>
    <col min="8194" max="8194" width="15" customWidth="1"/>
    <col min="8196" max="8196" width="11.5703125" bestFit="1" customWidth="1"/>
    <col min="8197" max="8197" width="10.42578125" customWidth="1"/>
    <col min="8198" max="8198" width="12.5703125" customWidth="1"/>
    <col min="8200" max="8200" width="15.7109375" customWidth="1"/>
    <col min="8449" max="8449" width="16.140625" bestFit="1" customWidth="1"/>
    <col min="8450" max="8450" width="15" customWidth="1"/>
    <col min="8452" max="8452" width="11.5703125" bestFit="1" customWidth="1"/>
    <col min="8453" max="8453" width="10.42578125" customWidth="1"/>
    <col min="8454" max="8454" width="12.5703125" customWidth="1"/>
    <col min="8456" max="8456" width="15.7109375" customWidth="1"/>
    <col min="8705" max="8705" width="16.140625" bestFit="1" customWidth="1"/>
    <col min="8706" max="8706" width="15" customWidth="1"/>
    <col min="8708" max="8708" width="11.5703125" bestFit="1" customWidth="1"/>
    <col min="8709" max="8709" width="10.42578125" customWidth="1"/>
    <col min="8710" max="8710" width="12.5703125" customWidth="1"/>
    <col min="8712" max="8712" width="15.7109375" customWidth="1"/>
    <col min="8961" max="8961" width="16.140625" bestFit="1" customWidth="1"/>
    <col min="8962" max="8962" width="15" customWidth="1"/>
    <col min="8964" max="8964" width="11.5703125" bestFit="1" customWidth="1"/>
    <col min="8965" max="8965" width="10.42578125" customWidth="1"/>
    <col min="8966" max="8966" width="12.5703125" customWidth="1"/>
    <col min="8968" max="8968" width="15.7109375" customWidth="1"/>
    <col min="9217" max="9217" width="16.140625" bestFit="1" customWidth="1"/>
    <col min="9218" max="9218" width="15" customWidth="1"/>
    <col min="9220" max="9220" width="11.5703125" bestFit="1" customWidth="1"/>
    <col min="9221" max="9221" width="10.42578125" customWidth="1"/>
    <col min="9222" max="9222" width="12.5703125" customWidth="1"/>
    <col min="9224" max="9224" width="15.7109375" customWidth="1"/>
    <col min="9473" max="9473" width="16.140625" bestFit="1" customWidth="1"/>
    <col min="9474" max="9474" width="15" customWidth="1"/>
    <col min="9476" max="9476" width="11.5703125" bestFit="1" customWidth="1"/>
    <col min="9477" max="9477" width="10.42578125" customWidth="1"/>
    <col min="9478" max="9478" width="12.5703125" customWidth="1"/>
    <col min="9480" max="9480" width="15.7109375" customWidth="1"/>
    <col min="9729" max="9729" width="16.140625" bestFit="1" customWidth="1"/>
    <col min="9730" max="9730" width="15" customWidth="1"/>
    <col min="9732" max="9732" width="11.5703125" bestFit="1" customWidth="1"/>
    <col min="9733" max="9733" width="10.42578125" customWidth="1"/>
    <col min="9734" max="9734" width="12.5703125" customWidth="1"/>
    <col min="9736" max="9736" width="15.7109375" customWidth="1"/>
    <col min="9985" max="9985" width="16.140625" bestFit="1" customWidth="1"/>
    <col min="9986" max="9986" width="15" customWidth="1"/>
    <col min="9988" max="9988" width="11.5703125" bestFit="1" customWidth="1"/>
    <col min="9989" max="9989" width="10.42578125" customWidth="1"/>
    <col min="9990" max="9990" width="12.5703125" customWidth="1"/>
    <col min="9992" max="9992" width="15.7109375" customWidth="1"/>
    <col min="10241" max="10241" width="16.140625" bestFit="1" customWidth="1"/>
    <col min="10242" max="10242" width="15" customWidth="1"/>
    <col min="10244" max="10244" width="11.5703125" bestFit="1" customWidth="1"/>
    <col min="10245" max="10245" width="10.42578125" customWidth="1"/>
    <col min="10246" max="10246" width="12.5703125" customWidth="1"/>
    <col min="10248" max="10248" width="15.7109375" customWidth="1"/>
    <col min="10497" max="10497" width="16.140625" bestFit="1" customWidth="1"/>
    <col min="10498" max="10498" width="15" customWidth="1"/>
    <col min="10500" max="10500" width="11.5703125" bestFit="1" customWidth="1"/>
    <col min="10501" max="10501" width="10.42578125" customWidth="1"/>
    <col min="10502" max="10502" width="12.5703125" customWidth="1"/>
    <col min="10504" max="10504" width="15.7109375" customWidth="1"/>
    <col min="10753" max="10753" width="16.140625" bestFit="1" customWidth="1"/>
    <col min="10754" max="10754" width="15" customWidth="1"/>
    <col min="10756" max="10756" width="11.5703125" bestFit="1" customWidth="1"/>
    <col min="10757" max="10757" width="10.42578125" customWidth="1"/>
    <col min="10758" max="10758" width="12.5703125" customWidth="1"/>
    <col min="10760" max="10760" width="15.7109375" customWidth="1"/>
    <col min="11009" max="11009" width="16.140625" bestFit="1" customWidth="1"/>
    <col min="11010" max="11010" width="15" customWidth="1"/>
    <col min="11012" max="11012" width="11.5703125" bestFit="1" customWidth="1"/>
    <col min="11013" max="11013" width="10.42578125" customWidth="1"/>
    <col min="11014" max="11014" width="12.5703125" customWidth="1"/>
    <col min="11016" max="11016" width="15.7109375" customWidth="1"/>
    <col min="11265" max="11265" width="16.140625" bestFit="1" customWidth="1"/>
    <col min="11266" max="11266" width="15" customWidth="1"/>
    <col min="11268" max="11268" width="11.5703125" bestFit="1" customWidth="1"/>
    <col min="11269" max="11269" width="10.42578125" customWidth="1"/>
    <col min="11270" max="11270" width="12.5703125" customWidth="1"/>
    <col min="11272" max="11272" width="15.7109375" customWidth="1"/>
    <col min="11521" max="11521" width="16.140625" bestFit="1" customWidth="1"/>
    <col min="11522" max="11522" width="15" customWidth="1"/>
    <col min="11524" max="11524" width="11.5703125" bestFit="1" customWidth="1"/>
    <col min="11525" max="11525" width="10.42578125" customWidth="1"/>
    <col min="11526" max="11526" width="12.5703125" customWidth="1"/>
    <col min="11528" max="11528" width="15.7109375" customWidth="1"/>
    <col min="11777" max="11777" width="16.140625" bestFit="1" customWidth="1"/>
    <col min="11778" max="11778" width="15" customWidth="1"/>
    <col min="11780" max="11780" width="11.5703125" bestFit="1" customWidth="1"/>
    <col min="11781" max="11781" width="10.42578125" customWidth="1"/>
    <col min="11782" max="11782" width="12.5703125" customWidth="1"/>
    <col min="11784" max="11784" width="15.7109375" customWidth="1"/>
    <col min="12033" max="12033" width="16.140625" bestFit="1" customWidth="1"/>
    <col min="12034" max="12034" width="15" customWidth="1"/>
    <col min="12036" max="12036" width="11.5703125" bestFit="1" customWidth="1"/>
    <col min="12037" max="12037" width="10.42578125" customWidth="1"/>
    <col min="12038" max="12038" width="12.5703125" customWidth="1"/>
    <col min="12040" max="12040" width="15.7109375" customWidth="1"/>
    <col min="12289" max="12289" width="16.140625" bestFit="1" customWidth="1"/>
    <col min="12290" max="12290" width="15" customWidth="1"/>
    <col min="12292" max="12292" width="11.5703125" bestFit="1" customWidth="1"/>
    <col min="12293" max="12293" width="10.42578125" customWidth="1"/>
    <col min="12294" max="12294" width="12.5703125" customWidth="1"/>
    <col min="12296" max="12296" width="15.7109375" customWidth="1"/>
    <col min="12545" max="12545" width="16.140625" bestFit="1" customWidth="1"/>
    <col min="12546" max="12546" width="15" customWidth="1"/>
    <col min="12548" max="12548" width="11.5703125" bestFit="1" customWidth="1"/>
    <col min="12549" max="12549" width="10.42578125" customWidth="1"/>
    <col min="12550" max="12550" width="12.5703125" customWidth="1"/>
    <col min="12552" max="12552" width="15.7109375" customWidth="1"/>
    <col min="12801" max="12801" width="16.140625" bestFit="1" customWidth="1"/>
    <col min="12802" max="12802" width="15" customWidth="1"/>
    <col min="12804" max="12804" width="11.5703125" bestFit="1" customWidth="1"/>
    <col min="12805" max="12805" width="10.42578125" customWidth="1"/>
    <col min="12806" max="12806" width="12.5703125" customWidth="1"/>
    <col min="12808" max="12808" width="15.7109375" customWidth="1"/>
    <col min="13057" max="13057" width="16.140625" bestFit="1" customWidth="1"/>
    <col min="13058" max="13058" width="15" customWidth="1"/>
    <col min="13060" max="13060" width="11.5703125" bestFit="1" customWidth="1"/>
    <col min="13061" max="13061" width="10.42578125" customWidth="1"/>
    <col min="13062" max="13062" width="12.5703125" customWidth="1"/>
    <col min="13064" max="13064" width="15.7109375" customWidth="1"/>
    <col min="13313" max="13313" width="16.140625" bestFit="1" customWidth="1"/>
    <col min="13314" max="13314" width="15" customWidth="1"/>
    <col min="13316" max="13316" width="11.5703125" bestFit="1" customWidth="1"/>
    <col min="13317" max="13317" width="10.42578125" customWidth="1"/>
    <col min="13318" max="13318" width="12.5703125" customWidth="1"/>
    <col min="13320" max="13320" width="15.7109375" customWidth="1"/>
    <col min="13569" max="13569" width="16.140625" bestFit="1" customWidth="1"/>
    <col min="13570" max="13570" width="15" customWidth="1"/>
    <col min="13572" max="13572" width="11.5703125" bestFit="1" customWidth="1"/>
    <col min="13573" max="13573" width="10.42578125" customWidth="1"/>
    <col min="13574" max="13574" width="12.5703125" customWidth="1"/>
    <col min="13576" max="13576" width="15.7109375" customWidth="1"/>
    <col min="13825" max="13825" width="16.140625" bestFit="1" customWidth="1"/>
    <col min="13826" max="13826" width="15" customWidth="1"/>
    <col min="13828" max="13828" width="11.5703125" bestFit="1" customWidth="1"/>
    <col min="13829" max="13829" width="10.42578125" customWidth="1"/>
    <col min="13830" max="13830" width="12.5703125" customWidth="1"/>
    <col min="13832" max="13832" width="15.7109375" customWidth="1"/>
    <col min="14081" max="14081" width="16.140625" bestFit="1" customWidth="1"/>
    <col min="14082" max="14082" width="15" customWidth="1"/>
    <col min="14084" max="14084" width="11.5703125" bestFit="1" customWidth="1"/>
    <col min="14085" max="14085" width="10.42578125" customWidth="1"/>
    <col min="14086" max="14086" width="12.5703125" customWidth="1"/>
    <col min="14088" max="14088" width="15.7109375" customWidth="1"/>
    <col min="14337" max="14337" width="16.140625" bestFit="1" customWidth="1"/>
    <col min="14338" max="14338" width="15" customWidth="1"/>
    <col min="14340" max="14340" width="11.5703125" bestFit="1" customWidth="1"/>
    <col min="14341" max="14341" width="10.42578125" customWidth="1"/>
    <col min="14342" max="14342" width="12.5703125" customWidth="1"/>
    <col min="14344" max="14344" width="15.7109375" customWidth="1"/>
    <col min="14593" max="14593" width="16.140625" bestFit="1" customWidth="1"/>
    <col min="14594" max="14594" width="15" customWidth="1"/>
    <col min="14596" max="14596" width="11.5703125" bestFit="1" customWidth="1"/>
    <col min="14597" max="14597" width="10.42578125" customWidth="1"/>
    <col min="14598" max="14598" width="12.5703125" customWidth="1"/>
    <col min="14600" max="14600" width="15.7109375" customWidth="1"/>
    <col min="14849" max="14849" width="16.140625" bestFit="1" customWidth="1"/>
    <col min="14850" max="14850" width="15" customWidth="1"/>
    <col min="14852" max="14852" width="11.5703125" bestFit="1" customWidth="1"/>
    <col min="14853" max="14853" width="10.42578125" customWidth="1"/>
    <col min="14854" max="14854" width="12.5703125" customWidth="1"/>
    <col min="14856" max="14856" width="15.7109375" customWidth="1"/>
    <col min="15105" max="15105" width="16.140625" bestFit="1" customWidth="1"/>
    <col min="15106" max="15106" width="15" customWidth="1"/>
    <col min="15108" max="15108" width="11.5703125" bestFit="1" customWidth="1"/>
    <col min="15109" max="15109" width="10.42578125" customWidth="1"/>
    <col min="15110" max="15110" width="12.5703125" customWidth="1"/>
    <col min="15112" max="15112" width="15.7109375" customWidth="1"/>
    <col min="15361" max="15361" width="16.140625" bestFit="1" customWidth="1"/>
    <col min="15362" max="15362" width="15" customWidth="1"/>
    <col min="15364" max="15364" width="11.5703125" bestFit="1" customWidth="1"/>
    <col min="15365" max="15365" width="10.42578125" customWidth="1"/>
    <col min="15366" max="15366" width="12.5703125" customWidth="1"/>
    <col min="15368" max="15368" width="15.7109375" customWidth="1"/>
    <col min="15617" max="15617" width="16.140625" bestFit="1" customWidth="1"/>
    <col min="15618" max="15618" width="15" customWidth="1"/>
    <col min="15620" max="15620" width="11.5703125" bestFit="1" customWidth="1"/>
    <col min="15621" max="15621" width="10.42578125" customWidth="1"/>
    <col min="15622" max="15622" width="12.5703125" customWidth="1"/>
    <col min="15624" max="15624" width="15.7109375" customWidth="1"/>
    <col min="15873" max="15873" width="16.140625" bestFit="1" customWidth="1"/>
    <col min="15874" max="15874" width="15" customWidth="1"/>
    <col min="15876" max="15876" width="11.5703125" bestFit="1" customWidth="1"/>
    <col min="15877" max="15877" width="10.42578125" customWidth="1"/>
    <col min="15878" max="15878" width="12.5703125" customWidth="1"/>
    <col min="15880" max="15880" width="15.7109375" customWidth="1"/>
    <col min="16129" max="16129" width="16.140625" bestFit="1" customWidth="1"/>
    <col min="16130" max="16130" width="15" customWidth="1"/>
    <col min="16132" max="16132" width="11.5703125" bestFit="1" customWidth="1"/>
    <col min="16133" max="16133" width="10.42578125" customWidth="1"/>
    <col min="16134" max="16134" width="12.5703125" customWidth="1"/>
    <col min="16136" max="16136" width="15.7109375" customWidth="1"/>
  </cols>
  <sheetData>
    <row r="1" spans="1:8" ht="33" x14ac:dyDescent="0.2">
      <c r="A1" s="361"/>
      <c r="B1" s="388" t="s">
        <v>216</v>
      </c>
      <c r="C1" s="388"/>
      <c r="D1" s="388"/>
      <c r="E1" s="388"/>
      <c r="F1" s="388"/>
      <c r="G1" s="388"/>
      <c r="H1" s="388"/>
    </row>
    <row r="2" spans="1:8" ht="18.75" x14ac:dyDescent="0.2">
      <c r="A2" s="361"/>
      <c r="B2" s="389" t="s">
        <v>103</v>
      </c>
      <c r="C2" s="389"/>
      <c r="D2" s="389"/>
      <c r="E2" s="389"/>
      <c r="F2" s="389"/>
      <c r="G2" s="389"/>
      <c r="H2" s="389"/>
    </row>
    <row r="3" spans="1:8" ht="15.75" x14ac:dyDescent="0.2">
      <c r="A3" s="361"/>
      <c r="B3" s="390" t="s">
        <v>213</v>
      </c>
      <c r="C3" s="390"/>
      <c r="D3" s="390"/>
      <c r="E3" s="390"/>
      <c r="F3" s="390"/>
      <c r="G3" s="390"/>
      <c r="H3" s="390"/>
    </row>
    <row r="4" spans="1:8" x14ac:dyDescent="0.2">
      <c r="A4" s="361"/>
      <c r="B4" s="361"/>
      <c r="C4" s="361"/>
      <c r="D4" s="361"/>
      <c r="E4" s="361"/>
      <c r="F4" s="361"/>
      <c r="G4" s="361"/>
      <c r="H4" s="361"/>
    </row>
    <row r="5" spans="1:8" x14ac:dyDescent="0.2">
      <c r="A5" s="361"/>
      <c r="B5" s="361"/>
      <c r="C5" s="361"/>
      <c r="D5" s="361"/>
      <c r="E5" s="361"/>
      <c r="F5" s="361"/>
      <c r="G5" s="361"/>
      <c r="H5" s="361"/>
    </row>
    <row r="6" spans="1:8" x14ac:dyDescent="0.2">
      <c r="A6" s="360" t="s">
        <v>394</v>
      </c>
      <c r="B6" s="360"/>
      <c r="C6" s="360"/>
      <c r="D6" s="360"/>
      <c r="E6" s="360"/>
      <c r="F6" s="360"/>
      <c r="G6" s="360"/>
      <c r="H6" s="360"/>
    </row>
    <row r="7" spans="1:8" x14ac:dyDescent="0.2">
      <c r="A7" s="360" t="s">
        <v>393</v>
      </c>
      <c r="B7" s="360"/>
      <c r="C7" s="360"/>
      <c r="D7" s="360"/>
      <c r="E7" s="360"/>
      <c r="F7" s="360"/>
      <c r="G7" s="360"/>
      <c r="H7" s="360"/>
    </row>
    <row r="8" spans="1:8" x14ac:dyDescent="0.2">
      <c r="A8" s="361"/>
      <c r="B8" s="361"/>
      <c r="C8" s="361"/>
      <c r="D8" s="361"/>
      <c r="E8" s="361"/>
      <c r="F8" s="361"/>
      <c r="G8" s="361"/>
      <c r="H8" s="361"/>
    </row>
    <row r="9" spans="1:8" ht="50.45" customHeight="1" x14ac:dyDescent="0.2">
      <c r="A9" s="354" t="s">
        <v>397</v>
      </c>
      <c r="B9" s="354"/>
      <c r="C9" s="354"/>
      <c r="D9" s="354"/>
      <c r="E9" s="354"/>
      <c r="F9" s="354"/>
      <c r="G9" s="354"/>
      <c r="H9" s="354"/>
    </row>
    <row r="10" spans="1:8" x14ac:dyDescent="0.2">
      <c r="A10" s="361"/>
      <c r="B10" s="361"/>
      <c r="C10" s="361"/>
      <c r="D10" s="361"/>
      <c r="E10" s="361"/>
      <c r="F10" s="361"/>
      <c r="G10" s="361"/>
      <c r="H10" s="361"/>
    </row>
    <row r="11" spans="1:8" x14ac:dyDescent="0.2">
      <c r="A11" s="354" t="s">
        <v>395</v>
      </c>
      <c r="B11" s="354"/>
      <c r="C11" s="354"/>
      <c r="D11" s="354"/>
      <c r="E11" s="355" t="s">
        <v>423</v>
      </c>
      <c r="F11" s="355"/>
      <c r="G11" s="355"/>
      <c r="H11" s="355"/>
    </row>
    <row r="12" spans="1:8" x14ac:dyDescent="0.2">
      <c r="A12" s="361"/>
      <c r="B12" s="361"/>
      <c r="C12" s="361"/>
      <c r="D12" s="361"/>
      <c r="E12" s="361"/>
      <c r="F12" s="361"/>
      <c r="G12" s="361"/>
      <c r="H12" s="361"/>
    </row>
    <row r="13" spans="1:8" s="115" customFormat="1" x14ac:dyDescent="0.2">
      <c r="A13" s="113" t="s">
        <v>104</v>
      </c>
      <c r="B13" s="113" t="s">
        <v>105</v>
      </c>
      <c r="C13" s="113" t="s">
        <v>106</v>
      </c>
      <c r="D13" s="113" t="s">
        <v>107</v>
      </c>
      <c r="E13" s="114" t="s">
        <v>108</v>
      </c>
      <c r="F13" s="113" t="s">
        <v>109</v>
      </c>
      <c r="G13" s="113" t="s">
        <v>110</v>
      </c>
      <c r="H13" s="113" t="s">
        <v>111</v>
      </c>
    </row>
    <row r="14" spans="1:8" s="115" customFormat="1" x14ac:dyDescent="0.2">
      <c r="A14" s="116"/>
      <c r="B14" s="116"/>
      <c r="C14" s="117"/>
      <c r="D14" s="117"/>
      <c r="E14" s="118"/>
      <c r="F14" s="119" t="s">
        <v>112</v>
      </c>
      <c r="G14" s="362">
        <v>0</v>
      </c>
      <c r="H14" s="362"/>
    </row>
    <row r="16" spans="1:8" x14ac:dyDescent="0.2">
      <c r="A16" s="363" t="s">
        <v>113</v>
      </c>
      <c r="B16" s="363"/>
      <c r="C16" s="120" t="s">
        <v>105</v>
      </c>
      <c r="D16" s="120" t="s">
        <v>114</v>
      </c>
      <c r="E16" s="120" t="s">
        <v>115</v>
      </c>
      <c r="F16" s="120" t="s">
        <v>116</v>
      </c>
      <c r="G16" s="120" t="s">
        <v>110</v>
      </c>
      <c r="H16" s="120" t="s">
        <v>111</v>
      </c>
    </row>
    <row r="17" spans="1:8" s="115" customFormat="1" x14ac:dyDescent="0.2">
      <c r="A17" s="116"/>
      <c r="B17" s="116"/>
      <c r="C17" s="117"/>
      <c r="D17" s="117"/>
      <c r="E17" s="118"/>
      <c r="F17" s="119" t="s">
        <v>117</v>
      </c>
      <c r="G17" s="362">
        <v>0</v>
      </c>
      <c r="H17" s="362"/>
    </row>
    <row r="18" spans="1:8" s="115" customFormat="1" x14ac:dyDescent="0.2">
      <c r="A18" s="116"/>
      <c r="B18" s="116"/>
      <c r="C18" s="117"/>
      <c r="D18" s="117"/>
      <c r="E18" s="118"/>
      <c r="F18" s="119"/>
      <c r="G18" s="121"/>
      <c r="H18" s="121"/>
    </row>
    <row r="19" spans="1:8" x14ac:dyDescent="0.2">
      <c r="A19" s="363" t="s">
        <v>118</v>
      </c>
      <c r="B19" s="363"/>
      <c r="C19" s="122" t="s">
        <v>105</v>
      </c>
      <c r="D19" s="122" t="s">
        <v>119</v>
      </c>
      <c r="E19" s="122" t="s">
        <v>120</v>
      </c>
      <c r="F19" s="122" t="s">
        <v>121</v>
      </c>
      <c r="G19" s="122" t="s">
        <v>122</v>
      </c>
      <c r="H19" s="122" t="s">
        <v>123</v>
      </c>
    </row>
    <row r="20" spans="1:8" s="115" customFormat="1" x14ac:dyDescent="0.2">
      <c r="A20" s="116"/>
      <c r="B20" s="116"/>
      <c r="C20" s="117"/>
      <c r="D20" s="117"/>
      <c r="E20" s="118"/>
      <c r="F20" s="119" t="s">
        <v>124</v>
      </c>
      <c r="G20" s="362">
        <v>0</v>
      </c>
      <c r="H20" s="362"/>
    </row>
    <row r="21" spans="1:8" x14ac:dyDescent="0.2">
      <c r="A21" s="364"/>
      <c r="B21" s="364"/>
    </row>
    <row r="22" spans="1:8" s="115" customFormat="1" x14ac:dyDescent="0.2">
      <c r="A22" s="365" t="s">
        <v>125</v>
      </c>
      <c r="B22" s="365"/>
      <c r="C22" s="365"/>
      <c r="D22" s="365"/>
      <c r="E22" s="365"/>
      <c r="F22" s="365"/>
      <c r="G22" s="366">
        <f>G14+G17+G20</f>
        <v>0</v>
      </c>
      <c r="H22" s="366"/>
    </row>
    <row r="23" spans="1:8" s="115" customFormat="1" x14ac:dyDescent="0.2">
      <c r="A23" s="365" t="s">
        <v>126</v>
      </c>
      <c r="B23" s="365"/>
      <c r="C23" s="365"/>
      <c r="D23" s="365"/>
      <c r="E23" s="365"/>
      <c r="F23" s="365"/>
      <c r="G23" s="367">
        <v>1</v>
      </c>
      <c r="H23" s="367"/>
    </row>
    <row r="24" spans="1:8" s="115" customFormat="1" x14ac:dyDescent="0.2">
      <c r="A24" s="365" t="s">
        <v>127</v>
      </c>
      <c r="B24" s="365"/>
      <c r="C24" s="365"/>
      <c r="D24" s="365"/>
      <c r="E24" s="365"/>
      <c r="F24" s="365"/>
      <c r="G24" s="367">
        <f>ROUND(G22/G23,2)</f>
        <v>0</v>
      </c>
      <c r="H24" s="367"/>
    </row>
    <row r="25" spans="1:8" x14ac:dyDescent="0.2">
      <c r="A25" s="364"/>
      <c r="B25" s="364"/>
    </row>
    <row r="26" spans="1:8" x14ac:dyDescent="0.2">
      <c r="A26" s="368" t="s">
        <v>128</v>
      </c>
      <c r="B26" s="368"/>
      <c r="C26" s="120" t="s">
        <v>105</v>
      </c>
      <c r="D26" s="120" t="s">
        <v>129</v>
      </c>
      <c r="E26" s="122" t="s">
        <v>110</v>
      </c>
      <c r="F26" s="369" t="s">
        <v>130</v>
      </c>
      <c r="G26" s="370"/>
      <c r="H26" s="122" t="s">
        <v>131</v>
      </c>
    </row>
    <row r="27" spans="1:8" s="115" customFormat="1" x14ac:dyDescent="0.2">
      <c r="A27" s="116"/>
      <c r="B27" s="116"/>
      <c r="C27" s="117"/>
      <c r="D27" s="117"/>
      <c r="E27" s="118"/>
      <c r="F27" s="119" t="s">
        <v>132</v>
      </c>
      <c r="G27" s="384">
        <v>0</v>
      </c>
      <c r="H27" s="385"/>
    </row>
    <row r="28" spans="1:8" x14ac:dyDescent="0.2">
      <c r="A28" s="386"/>
      <c r="B28" s="386"/>
      <c r="F28" s="386"/>
      <c r="G28" s="386"/>
    </row>
    <row r="29" spans="1:8" x14ac:dyDescent="0.2">
      <c r="A29" s="368" t="s">
        <v>133</v>
      </c>
      <c r="B29" s="368"/>
      <c r="C29" s="120" t="s">
        <v>105</v>
      </c>
      <c r="D29" s="120" t="s">
        <v>129</v>
      </c>
      <c r="E29" s="126" t="s">
        <v>110</v>
      </c>
      <c r="F29" s="387" t="s">
        <v>130</v>
      </c>
      <c r="G29" s="387"/>
      <c r="H29" s="126" t="s">
        <v>131</v>
      </c>
    </row>
    <row r="30" spans="1:8" s="125" customFormat="1" ht="25.5" x14ac:dyDescent="0.2">
      <c r="A30" s="371" t="s">
        <v>141</v>
      </c>
      <c r="B30" s="372"/>
      <c r="C30" s="108" t="s">
        <v>142</v>
      </c>
      <c r="D30" s="127" t="s">
        <v>143</v>
      </c>
      <c r="E30" s="163">
        <v>0.25</v>
      </c>
      <c r="F30" s="373">
        <v>24.89</v>
      </c>
      <c r="G30" s="373"/>
      <c r="H30" s="124">
        <f t="shared" ref="H30:H32" si="0">ROUND((E30*F30),2)</f>
        <v>6.22</v>
      </c>
    </row>
    <row r="31" spans="1:8" s="125" customFormat="1" ht="25.5" x14ac:dyDescent="0.2">
      <c r="A31" s="371" t="s">
        <v>144</v>
      </c>
      <c r="B31" s="372"/>
      <c r="C31" s="108" t="s">
        <v>145</v>
      </c>
      <c r="D31" s="127" t="s">
        <v>143</v>
      </c>
      <c r="E31" s="163">
        <v>0.5</v>
      </c>
      <c r="F31" s="373">
        <v>33.630000000000003</v>
      </c>
      <c r="G31" s="373"/>
      <c r="H31" s="124">
        <f t="shared" si="0"/>
        <v>16.82</v>
      </c>
    </row>
    <row r="32" spans="1:8" s="125" customFormat="1" ht="82.9" customHeight="1" x14ac:dyDescent="0.2">
      <c r="A32" s="371" t="s">
        <v>338</v>
      </c>
      <c r="B32" s="372"/>
      <c r="C32" s="108" t="s">
        <v>396</v>
      </c>
      <c r="D32" s="127" t="s">
        <v>97</v>
      </c>
      <c r="E32" s="163">
        <v>0.08</v>
      </c>
      <c r="F32" s="373">
        <v>358.77</v>
      </c>
      <c r="G32" s="373"/>
      <c r="H32" s="124">
        <f t="shared" si="0"/>
        <v>28.7</v>
      </c>
    </row>
    <row r="33" spans="1:8" s="115" customFormat="1" x14ac:dyDescent="0.2">
      <c r="A33" s="116"/>
      <c r="B33" s="116"/>
      <c r="C33" s="117"/>
      <c r="D33" s="117"/>
      <c r="E33" s="118"/>
      <c r="F33" s="117" t="s">
        <v>134</v>
      </c>
      <c r="G33" s="374">
        <f>SUM(H30:H32)</f>
        <v>51.739999999999995</v>
      </c>
      <c r="H33" s="374"/>
    </row>
    <row r="34" spans="1:8" s="125" customFormat="1" x14ac:dyDescent="0.2">
      <c r="A34" s="375"/>
      <c r="B34" s="375"/>
      <c r="F34" s="375"/>
      <c r="G34" s="375"/>
    </row>
    <row r="35" spans="1:8" ht="25.5" x14ac:dyDescent="0.2">
      <c r="A35" s="128" t="s">
        <v>135</v>
      </c>
      <c r="B35" s="129" t="s">
        <v>105</v>
      </c>
      <c r="C35" s="129" t="s">
        <v>129</v>
      </c>
      <c r="D35" s="130" t="s">
        <v>136</v>
      </c>
      <c r="E35" s="130" t="s">
        <v>137</v>
      </c>
      <c r="F35" s="130" t="s">
        <v>110</v>
      </c>
      <c r="G35" s="130" t="s">
        <v>123</v>
      </c>
      <c r="H35" s="130" t="s">
        <v>131</v>
      </c>
    </row>
    <row r="36" spans="1:8" s="115" customFormat="1" x14ac:dyDescent="0.2">
      <c r="A36" s="116"/>
      <c r="B36" s="116"/>
      <c r="C36" s="117"/>
      <c r="D36" s="117"/>
      <c r="E36" s="118"/>
      <c r="F36" s="119" t="s">
        <v>138</v>
      </c>
      <c r="G36" s="374">
        <f>SUM(H34:H35)</f>
        <v>0</v>
      </c>
      <c r="H36" s="374"/>
    </row>
    <row r="37" spans="1:8" s="125" customFormat="1" x14ac:dyDescent="0.2">
      <c r="A37" s="375"/>
      <c r="B37" s="375"/>
      <c r="F37" s="376"/>
      <c r="G37" s="376"/>
    </row>
    <row r="38" spans="1:8" s="115" customFormat="1" x14ac:dyDescent="0.2">
      <c r="A38" s="365" t="s">
        <v>139</v>
      </c>
      <c r="B38" s="365"/>
      <c r="C38" s="365"/>
      <c r="D38" s="365"/>
      <c r="E38" s="365"/>
      <c r="F38" s="365"/>
      <c r="G38" s="379">
        <f>G24+G27+G33+G36</f>
        <v>51.739999999999995</v>
      </c>
      <c r="H38" s="379"/>
    </row>
    <row r="39" spans="1:8" s="125" customFormat="1" ht="39" customHeight="1" x14ac:dyDescent="0.2">
      <c r="A39" s="375"/>
      <c r="B39" s="375"/>
      <c r="F39" s="376"/>
      <c r="G39" s="376"/>
    </row>
    <row r="40" spans="1:8" s="125" customFormat="1" x14ac:dyDescent="0.2">
      <c r="A40" s="377" t="s">
        <v>140</v>
      </c>
      <c r="B40" s="376"/>
      <c r="C40" s="376"/>
      <c r="D40" s="376"/>
      <c r="E40" s="376"/>
      <c r="F40" s="376"/>
      <c r="G40" s="376"/>
      <c r="H40" s="376"/>
    </row>
    <row r="41" spans="1:8" s="125" customFormat="1" x14ac:dyDescent="0.2">
      <c r="A41" s="378" t="s">
        <v>81</v>
      </c>
      <c r="B41" s="376"/>
      <c r="C41" s="376"/>
      <c r="D41" s="376"/>
      <c r="E41" s="376"/>
      <c r="F41" s="376"/>
      <c r="G41" s="376"/>
      <c r="H41" s="376"/>
    </row>
    <row r="42" spans="1:8" s="125" customFormat="1" x14ac:dyDescent="0.2">
      <c r="A42" s="375"/>
      <c r="B42" s="375"/>
      <c r="F42" s="376"/>
      <c r="G42" s="376"/>
    </row>
    <row r="43" spans="1:8" s="125" customFormat="1" x14ac:dyDescent="0.2">
      <c r="A43" s="375"/>
      <c r="B43" s="375"/>
      <c r="F43" s="376"/>
      <c r="G43" s="376"/>
    </row>
    <row r="44" spans="1:8" s="125" customFormat="1" x14ac:dyDescent="0.2">
      <c r="A44" s="375"/>
      <c r="B44" s="375"/>
      <c r="F44" s="376"/>
      <c r="G44" s="376"/>
    </row>
    <row r="45" spans="1:8" s="125" customFormat="1" x14ac:dyDescent="0.2">
      <c r="A45" s="375"/>
      <c r="B45" s="375"/>
      <c r="F45" s="376"/>
      <c r="G45" s="376"/>
    </row>
    <row r="46" spans="1:8" s="125" customFormat="1" x14ac:dyDescent="0.2">
      <c r="A46" s="375"/>
      <c r="B46" s="375"/>
      <c r="F46" s="376"/>
      <c r="G46" s="376"/>
    </row>
  </sheetData>
  <mergeCells count="62">
    <mergeCell ref="A11:D11"/>
    <mergeCell ref="E11:H11"/>
    <mergeCell ref="A1:A3"/>
    <mergeCell ref="B1:H1"/>
    <mergeCell ref="B2:H2"/>
    <mergeCell ref="B3:H3"/>
    <mergeCell ref="A4:H4"/>
    <mergeCell ref="A5:H5"/>
    <mergeCell ref="A6:H6"/>
    <mergeCell ref="A7:H7"/>
    <mergeCell ref="A8:H8"/>
    <mergeCell ref="A9:H9"/>
    <mergeCell ref="A10:H10"/>
    <mergeCell ref="A24:F24"/>
    <mergeCell ref="G24:H24"/>
    <mergeCell ref="A12:H12"/>
    <mergeCell ref="G14:H14"/>
    <mergeCell ref="A16:B16"/>
    <mergeCell ref="G17:H17"/>
    <mergeCell ref="A19:B19"/>
    <mergeCell ref="G20:H20"/>
    <mergeCell ref="A21:B21"/>
    <mergeCell ref="A22:F22"/>
    <mergeCell ref="G22:H22"/>
    <mergeCell ref="A23:F23"/>
    <mergeCell ref="G23:H23"/>
    <mergeCell ref="A30:B30"/>
    <mergeCell ref="F30:G30"/>
    <mergeCell ref="A25:B25"/>
    <mergeCell ref="A26:B26"/>
    <mergeCell ref="F26:G26"/>
    <mergeCell ref="G27:H27"/>
    <mergeCell ref="A28:B28"/>
    <mergeCell ref="F28:G28"/>
    <mergeCell ref="A29:B29"/>
    <mergeCell ref="F29:G29"/>
    <mergeCell ref="A39:B39"/>
    <mergeCell ref="F39:G39"/>
    <mergeCell ref="A31:B31"/>
    <mergeCell ref="F31:G31"/>
    <mergeCell ref="A32:B32"/>
    <mergeCell ref="F32:G32"/>
    <mergeCell ref="G33:H33"/>
    <mergeCell ref="A34:B34"/>
    <mergeCell ref="F34:G34"/>
    <mergeCell ref="G36:H36"/>
    <mergeCell ref="A37:B37"/>
    <mergeCell ref="F37:G37"/>
    <mergeCell ref="A38:F38"/>
    <mergeCell ref="G38:H38"/>
    <mergeCell ref="A40:H40"/>
    <mergeCell ref="A41:H41"/>
    <mergeCell ref="A42:B42"/>
    <mergeCell ref="F42:G42"/>
    <mergeCell ref="A43:B43"/>
    <mergeCell ref="F43:G43"/>
    <mergeCell ref="A44:B44"/>
    <mergeCell ref="F44:G44"/>
    <mergeCell ref="A45:B45"/>
    <mergeCell ref="F45:G45"/>
    <mergeCell ref="A46:B46"/>
    <mergeCell ref="F46:G46"/>
  </mergeCells>
  <printOptions horizontalCentered="1"/>
  <pageMargins left="0.23622047244094491" right="0.23622047244094491" top="0.39370078740157483" bottom="0.39370078740157483" header="0" footer="0"/>
  <pageSetup paperSize="9"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5E683-1A96-4330-9650-9AA69C3490E4}">
  <sheetPr>
    <tabColor rgb="FF92D050"/>
    <pageSetUpPr fitToPage="1"/>
  </sheetPr>
  <dimension ref="A1:H51"/>
  <sheetViews>
    <sheetView workbookViewId="0">
      <selection activeCell="B1" sqref="B1:H1"/>
    </sheetView>
  </sheetViews>
  <sheetFormatPr defaultRowHeight="12.75" x14ac:dyDescent="0.2"/>
  <cols>
    <col min="1" max="1" width="16.140625" style="123" bestFit="1" customWidth="1"/>
    <col min="2" max="2" width="15" style="123" customWidth="1"/>
    <col min="3" max="3" width="10.140625" customWidth="1"/>
    <col min="4" max="4" width="11.5703125" bestFit="1" customWidth="1"/>
    <col min="5" max="5" width="11.5703125" customWidth="1"/>
    <col min="6" max="6" width="12.5703125" customWidth="1"/>
    <col min="8" max="8" width="15.7109375" customWidth="1"/>
    <col min="257" max="257" width="16.140625" bestFit="1" customWidth="1"/>
    <col min="258" max="258" width="15" customWidth="1"/>
    <col min="260" max="260" width="11.5703125" bestFit="1" customWidth="1"/>
    <col min="261" max="261" width="10.42578125" customWidth="1"/>
    <col min="262" max="262" width="12.5703125" customWidth="1"/>
    <col min="264" max="264" width="15.7109375" customWidth="1"/>
    <col min="513" max="513" width="16.140625" bestFit="1" customWidth="1"/>
    <col min="514" max="514" width="15" customWidth="1"/>
    <col min="516" max="516" width="11.5703125" bestFit="1" customWidth="1"/>
    <col min="517" max="517" width="10.42578125" customWidth="1"/>
    <col min="518" max="518" width="12.5703125" customWidth="1"/>
    <col min="520" max="520" width="15.7109375" customWidth="1"/>
    <col min="769" max="769" width="16.140625" bestFit="1" customWidth="1"/>
    <col min="770" max="770" width="15" customWidth="1"/>
    <col min="772" max="772" width="11.5703125" bestFit="1" customWidth="1"/>
    <col min="773" max="773" width="10.42578125" customWidth="1"/>
    <col min="774" max="774" width="12.5703125" customWidth="1"/>
    <col min="776" max="776" width="15.7109375" customWidth="1"/>
    <col min="1025" max="1025" width="16.140625" bestFit="1" customWidth="1"/>
    <col min="1026" max="1026" width="15" customWidth="1"/>
    <col min="1028" max="1028" width="11.5703125" bestFit="1" customWidth="1"/>
    <col min="1029" max="1029" width="10.42578125" customWidth="1"/>
    <col min="1030" max="1030" width="12.5703125" customWidth="1"/>
    <col min="1032" max="1032" width="15.7109375" customWidth="1"/>
    <col min="1281" max="1281" width="16.140625" bestFit="1" customWidth="1"/>
    <col min="1282" max="1282" width="15" customWidth="1"/>
    <col min="1284" max="1284" width="11.5703125" bestFit="1" customWidth="1"/>
    <col min="1285" max="1285" width="10.42578125" customWidth="1"/>
    <col min="1286" max="1286" width="12.5703125" customWidth="1"/>
    <col min="1288" max="1288" width="15.7109375" customWidth="1"/>
    <col min="1537" max="1537" width="16.140625" bestFit="1" customWidth="1"/>
    <col min="1538" max="1538" width="15" customWidth="1"/>
    <col min="1540" max="1540" width="11.5703125" bestFit="1" customWidth="1"/>
    <col min="1541" max="1541" width="10.42578125" customWidth="1"/>
    <col min="1542" max="1542" width="12.5703125" customWidth="1"/>
    <col min="1544" max="1544" width="15.7109375" customWidth="1"/>
    <col min="1793" max="1793" width="16.140625" bestFit="1" customWidth="1"/>
    <col min="1794" max="1794" width="15" customWidth="1"/>
    <col min="1796" max="1796" width="11.5703125" bestFit="1" customWidth="1"/>
    <col min="1797" max="1797" width="10.42578125" customWidth="1"/>
    <col min="1798" max="1798" width="12.5703125" customWidth="1"/>
    <col min="1800" max="1800" width="15.7109375" customWidth="1"/>
    <col min="2049" max="2049" width="16.140625" bestFit="1" customWidth="1"/>
    <col min="2050" max="2050" width="15" customWidth="1"/>
    <col min="2052" max="2052" width="11.5703125" bestFit="1" customWidth="1"/>
    <col min="2053" max="2053" width="10.42578125" customWidth="1"/>
    <col min="2054" max="2054" width="12.5703125" customWidth="1"/>
    <col min="2056" max="2056" width="15.7109375" customWidth="1"/>
    <col min="2305" max="2305" width="16.140625" bestFit="1" customWidth="1"/>
    <col min="2306" max="2306" width="15" customWidth="1"/>
    <col min="2308" max="2308" width="11.5703125" bestFit="1" customWidth="1"/>
    <col min="2309" max="2309" width="10.42578125" customWidth="1"/>
    <col min="2310" max="2310" width="12.5703125" customWidth="1"/>
    <col min="2312" max="2312" width="15.7109375" customWidth="1"/>
    <col min="2561" max="2561" width="16.140625" bestFit="1" customWidth="1"/>
    <col min="2562" max="2562" width="15" customWidth="1"/>
    <col min="2564" max="2564" width="11.5703125" bestFit="1" customWidth="1"/>
    <col min="2565" max="2565" width="10.42578125" customWidth="1"/>
    <col min="2566" max="2566" width="12.5703125" customWidth="1"/>
    <col min="2568" max="2568" width="15.7109375" customWidth="1"/>
    <col min="2817" max="2817" width="16.140625" bestFit="1" customWidth="1"/>
    <col min="2818" max="2818" width="15" customWidth="1"/>
    <col min="2820" max="2820" width="11.5703125" bestFit="1" customWidth="1"/>
    <col min="2821" max="2821" width="10.42578125" customWidth="1"/>
    <col min="2822" max="2822" width="12.5703125" customWidth="1"/>
    <col min="2824" max="2824" width="15.7109375" customWidth="1"/>
    <col min="3073" max="3073" width="16.140625" bestFit="1" customWidth="1"/>
    <col min="3074" max="3074" width="15" customWidth="1"/>
    <col min="3076" max="3076" width="11.5703125" bestFit="1" customWidth="1"/>
    <col min="3077" max="3077" width="10.42578125" customWidth="1"/>
    <col min="3078" max="3078" width="12.5703125" customWidth="1"/>
    <col min="3080" max="3080" width="15.7109375" customWidth="1"/>
    <col min="3329" max="3329" width="16.140625" bestFit="1" customWidth="1"/>
    <col min="3330" max="3330" width="15" customWidth="1"/>
    <col min="3332" max="3332" width="11.5703125" bestFit="1" customWidth="1"/>
    <col min="3333" max="3333" width="10.42578125" customWidth="1"/>
    <col min="3334" max="3334" width="12.5703125" customWidth="1"/>
    <col min="3336" max="3336" width="15.7109375" customWidth="1"/>
    <col min="3585" max="3585" width="16.140625" bestFit="1" customWidth="1"/>
    <col min="3586" max="3586" width="15" customWidth="1"/>
    <col min="3588" max="3588" width="11.5703125" bestFit="1" customWidth="1"/>
    <col min="3589" max="3589" width="10.42578125" customWidth="1"/>
    <col min="3590" max="3590" width="12.5703125" customWidth="1"/>
    <col min="3592" max="3592" width="15.7109375" customWidth="1"/>
    <col min="3841" max="3841" width="16.140625" bestFit="1" customWidth="1"/>
    <col min="3842" max="3842" width="15" customWidth="1"/>
    <col min="3844" max="3844" width="11.5703125" bestFit="1" customWidth="1"/>
    <col min="3845" max="3845" width="10.42578125" customWidth="1"/>
    <col min="3846" max="3846" width="12.5703125" customWidth="1"/>
    <col min="3848" max="3848" width="15.7109375" customWidth="1"/>
    <col min="4097" max="4097" width="16.140625" bestFit="1" customWidth="1"/>
    <col min="4098" max="4098" width="15" customWidth="1"/>
    <col min="4100" max="4100" width="11.5703125" bestFit="1" customWidth="1"/>
    <col min="4101" max="4101" width="10.42578125" customWidth="1"/>
    <col min="4102" max="4102" width="12.5703125" customWidth="1"/>
    <col min="4104" max="4104" width="15.7109375" customWidth="1"/>
    <col min="4353" max="4353" width="16.140625" bestFit="1" customWidth="1"/>
    <col min="4354" max="4354" width="15" customWidth="1"/>
    <col min="4356" max="4356" width="11.5703125" bestFit="1" customWidth="1"/>
    <col min="4357" max="4357" width="10.42578125" customWidth="1"/>
    <col min="4358" max="4358" width="12.5703125" customWidth="1"/>
    <col min="4360" max="4360" width="15.7109375" customWidth="1"/>
    <col min="4609" max="4609" width="16.140625" bestFit="1" customWidth="1"/>
    <col min="4610" max="4610" width="15" customWidth="1"/>
    <col min="4612" max="4612" width="11.5703125" bestFit="1" customWidth="1"/>
    <col min="4613" max="4613" width="10.42578125" customWidth="1"/>
    <col min="4614" max="4614" width="12.5703125" customWidth="1"/>
    <col min="4616" max="4616" width="15.7109375" customWidth="1"/>
    <col min="4865" max="4865" width="16.140625" bestFit="1" customWidth="1"/>
    <col min="4866" max="4866" width="15" customWidth="1"/>
    <col min="4868" max="4868" width="11.5703125" bestFit="1" customWidth="1"/>
    <col min="4869" max="4869" width="10.42578125" customWidth="1"/>
    <col min="4870" max="4870" width="12.5703125" customWidth="1"/>
    <col min="4872" max="4872" width="15.7109375" customWidth="1"/>
    <col min="5121" max="5121" width="16.140625" bestFit="1" customWidth="1"/>
    <col min="5122" max="5122" width="15" customWidth="1"/>
    <col min="5124" max="5124" width="11.5703125" bestFit="1" customWidth="1"/>
    <col min="5125" max="5125" width="10.42578125" customWidth="1"/>
    <col min="5126" max="5126" width="12.5703125" customWidth="1"/>
    <col min="5128" max="5128" width="15.7109375" customWidth="1"/>
    <col min="5377" max="5377" width="16.140625" bestFit="1" customWidth="1"/>
    <col min="5378" max="5378" width="15" customWidth="1"/>
    <col min="5380" max="5380" width="11.5703125" bestFit="1" customWidth="1"/>
    <col min="5381" max="5381" width="10.42578125" customWidth="1"/>
    <col min="5382" max="5382" width="12.5703125" customWidth="1"/>
    <col min="5384" max="5384" width="15.7109375" customWidth="1"/>
    <col min="5633" max="5633" width="16.140625" bestFit="1" customWidth="1"/>
    <col min="5634" max="5634" width="15" customWidth="1"/>
    <col min="5636" max="5636" width="11.5703125" bestFit="1" customWidth="1"/>
    <col min="5637" max="5637" width="10.42578125" customWidth="1"/>
    <col min="5638" max="5638" width="12.5703125" customWidth="1"/>
    <col min="5640" max="5640" width="15.7109375" customWidth="1"/>
    <col min="5889" max="5889" width="16.140625" bestFit="1" customWidth="1"/>
    <col min="5890" max="5890" width="15" customWidth="1"/>
    <col min="5892" max="5892" width="11.5703125" bestFit="1" customWidth="1"/>
    <col min="5893" max="5893" width="10.42578125" customWidth="1"/>
    <col min="5894" max="5894" width="12.5703125" customWidth="1"/>
    <col min="5896" max="5896" width="15.7109375" customWidth="1"/>
    <col min="6145" max="6145" width="16.140625" bestFit="1" customWidth="1"/>
    <col min="6146" max="6146" width="15" customWidth="1"/>
    <col min="6148" max="6148" width="11.5703125" bestFit="1" customWidth="1"/>
    <col min="6149" max="6149" width="10.42578125" customWidth="1"/>
    <col min="6150" max="6150" width="12.5703125" customWidth="1"/>
    <col min="6152" max="6152" width="15.7109375" customWidth="1"/>
    <col min="6401" max="6401" width="16.140625" bestFit="1" customWidth="1"/>
    <col min="6402" max="6402" width="15" customWidth="1"/>
    <col min="6404" max="6404" width="11.5703125" bestFit="1" customWidth="1"/>
    <col min="6405" max="6405" width="10.42578125" customWidth="1"/>
    <col min="6406" max="6406" width="12.5703125" customWidth="1"/>
    <col min="6408" max="6408" width="15.7109375" customWidth="1"/>
    <col min="6657" max="6657" width="16.140625" bestFit="1" customWidth="1"/>
    <col min="6658" max="6658" width="15" customWidth="1"/>
    <col min="6660" max="6660" width="11.5703125" bestFit="1" customWidth="1"/>
    <col min="6661" max="6661" width="10.42578125" customWidth="1"/>
    <col min="6662" max="6662" width="12.5703125" customWidth="1"/>
    <col min="6664" max="6664" width="15.7109375" customWidth="1"/>
    <col min="6913" max="6913" width="16.140625" bestFit="1" customWidth="1"/>
    <col min="6914" max="6914" width="15" customWidth="1"/>
    <col min="6916" max="6916" width="11.5703125" bestFit="1" customWidth="1"/>
    <col min="6917" max="6917" width="10.42578125" customWidth="1"/>
    <col min="6918" max="6918" width="12.5703125" customWidth="1"/>
    <col min="6920" max="6920" width="15.7109375" customWidth="1"/>
    <col min="7169" max="7169" width="16.140625" bestFit="1" customWidth="1"/>
    <col min="7170" max="7170" width="15" customWidth="1"/>
    <col min="7172" max="7172" width="11.5703125" bestFit="1" customWidth="1"/>
    <col min="7173" max="7173" width="10.42578125" customWidth="1"/>
    <col min="7174" max="7174" width="12.5703125" customWidth="1"/>
    <col min="7176" max="7176" width="15.7109375" customWidth="1"/>
    <col min="7425" max="7425" width="16.140625" bestFit="1" customWidth="1"/>
    <col min="7426" max="7426" width="15" customWidth="1"/>
    <col min="7428" max="7428" width="11.5703125" bestFit="1" customWidth="1"/>
    <col min="7429" max="7429" width="10.42578125" customWidth="1"/>
    <col min="7430" max="7430" width="12.5703125" customWidth="1"/>
    <col min="7432" max="7432" width="15.7109375" customWidth="1"/>
    <col min="7681" max="7681" width="16.140625" bestFit="1" customWidth="1"/>
    <col min="7682" max="7682" width="15" customWidth="1"/>
    <col min="7684" max="7684" width="11.5703125" bestFit="1" customWidth="1"/>
    <col min="7685" max="7685" width="10.42578125" customWidth="1"/>
    <col min="7686" max="7686" width="12.5703125" customWidth="1"/>
    <col min="7688" max="7688" width="15.7109375" customWidth="1"/>
    <col min="7937" max="7937" width="16.140625" bestFit="1" customWidth="1"/>
    <col min="7938" max="7938" width="15" customWidth="1"/>
    <col min="7940" max="7940" width="11.5703125" bestFit="1" customWidth="1"/>
    <col min="7941" max="7941" width="10.42578125" customWidth="1"/>
    <col min="7942" max="7942" width="12.5703125" customWidth="1"/>
    <col min="7944" max="7944" width="15.7109375" customWidth="1"/>
    <col min="8193" max="8193" width="16.140625" bestFit="1" customWidth="1"/>
    <col min="8194" max="8194" width="15" customWidth="1"/>
    <col min="8196" max="8196" width="11.5703125" bestFit="1" customWidth="1"/>
    <col min="8197" max="8197" width="10.42578125" customWidth="1"/>
    <col min="8198" max="8198" width="12.5703125" customWidth="1"/>
    <col min="8200" max="8200" width="15.7109375" customWidth="1"/>
    <col min="8449" max="8449" width="16.140625" bestFit="1" customWidth="1"/>
    <col min="8450" max="8450" width="15" customWidth="1"/>
    <col min="8452" max="8452" width="11.5703125" bestFit="1" customWidth="1"/>
    <col min="8453" max="8453" width="10.42578125" customWidth="1"/>
    <col min="8454" max="8454" width="12.5703125" customWidth="1"/>
    <col min="8456" max="8456" width="15.7109375" customWidth="1"/>
    <col min="8705" max="8705" width="16.140625" bestFit="1" customWidth="1"/>
    <col min="8706" max="8706" width="15" customWidth="1"/>
    <col min="8708" max="8708" width="11.5703125" bestFit="1" customWidth="1"/>
    <col min="8709" max="8709" width="10.42578125" customWidth="1"/>
    <col min="8710" max="8710" width="12.5703125" customWidth="1"/>
    <col min="8712" max="8712" width="15.7109375" customWidth="1"/>
    <col min="8961" max="8961" width="16.140625" bestFit="1" customWidth="1"/>
    <col min="8962" max="8962" width="15" customWidth="1"/>
    <col min="8964" max="8964" width="11.5703125" bestFit="1" customWidth="1"/>
    <col min="8965" max="8965" width="10.42578125" customWidth="1"/>
    <col min="8966" max="8966" width="12.5703125" customWidth="1"/>
    <col min="8968" max="8968" width="15.7109375" customWidth="1"/>
    <col min="9217" max="9217" width="16.140625" bestFit="1" customWidth="1"/>
    <col min="9218" max="9218" width="15" customWidth="1"/>
    <col min="9220" max="9220" width="11.5703125" bestFit="1" customWidth="1"/>
    <col min="9221" max="9221" width="10.42578125" customWidth="1"/>
    <col min="9222" max="9222" width="12.5703125" customWidth="1"/>
    <col min="9224" max="9224" width="15.7109375" customWidth="1"/>
    <col min="9473" max="9473" width="16.140625" bestFit="1" customWidth="1"/>
    <col min="9474" max="9474" width="15" customWidth="1"/>
    <col min="9476" max="9476" width="11.5703125" bestFit="1" customWidth="1"/>
    <col min="9477" max="9477" width="10.42578125" customWidth="1"/>
    <col min="9478" max="9478" width="12.5703125" customWidth="1"/>
    <col min="9480" max="9480" width="15.7109375" customWidth="1"/>
    <col min="9729" max="9729" width="16.140625" bestFit="1" customWidth="1"/>
    <col min="9730" max="9730" width="15" customWidth="1"/>
    <col min="9732" max="9732" width="11.5703125" bestFit="1" customWidth="1"/>
    <col min="9733" max="9733" width="10.42578125" customWidth="1"/>
    <col min="9734" max="9734" width="12.5703125" customWidth="1"/>
    <col min="9736" max="9736" width="15.7109375" customWidth="1"/>
    <col min="9985" max="9985" width="16.140625" bestFit="1" customWidth="1"/>
    <col min="9986" max="9986" width="15" customWidth="1"/>
    <col min="9988" max="9988" width="11.5703125" bestFit="1" customWidth="1"/>
    <col min="9989" max="9989" width="10.42578125" customWidth="1"/>
    <col min="9990" max="9990" width="12.5703125" customWidth="1"/>
    <col min="9992" max="9992" width="15.7109375" customWidth="1"/>
    <col min="10241" max="10241" width="16.140625" bestFit="1" customWidth="1"/>
    <col min="10242" max="10242" width="15" customWidth="1"/>
    <col min="10244" max="10244" width="11.5703125" bestFit="1" customWidth="1"/>
    <col min="10245" max="10245" width="10.42578125" customWidth="1"/>
    <col min="10246" max="10246" width="12.5703125" customWidth="1"/>
    <col min="10248" max="10248" width="15.7109375" customWidth="1"/>
    <col min="10497" max="10497" width="16.140625" bestFit="1" customWidth="1"/>
    <col min="10498" max="10498" width="15" customWidth="1"/>
    <col min="10500" max="10500" width="11.5703125" bestFit="1" customWidth="1"/>
    <col min="10501" max="10501" width="10.42578125" customWidth="1"/>
    <col min="10502" max="10502" width="12.5703125" customWidth="1"/>
    <col min="10504" max="10504" width="15.7109375" customWidth="1"/>
    <col min="10753" max="10753" width="16.140625" bestFit="1" customWidth="1"/>
    <col min="10754" max="10754" width="15" customWidth="1"/>
    <col min="10756" max="10756" width="11.5703125" bestFit="1" customWidth="1"/>
    <col min="10757" max="10757" width="10.42578125" customWidth="1"/>
    <col min="10758" max="10758" width="12.5703125" customWidth="1"/>
    <col min="10760" max="10760" width="15.7109375" customWidth="1"/>
    <col min="11009" max="11009" width="16.140625" bestFit="1" customWidth="1"/>
    <col min="11010" max="11010" width="15" customWidth="1"/>
    <col min="11012" max="11012" width="11.5703125" bestFit="1" customWidth="1"/>
    <col min="11013" max="11013" width="10.42578125" customWidth="1"/>
    <col min="11014" max="11014" width="12.5703125" customWidth="1"/>
    <col min="11016" max="11016" width="15.7109375" customWidth="1"/>
    <col min="11265" max="11265" width="16.140625" bestFit="1" customWidth="1"/>
    <col min="11266" max="11266" width="15" customWidth="1"/>
    <col min="11268" max="11268" width="11.5703125" bestFit="1" customWidth="1"/>
    <col min="11269" max="11269" width="10.42578125" customWidth="1"/>
    <col min="11270" max="11270" width="12.5703125" customWidth="1"/>
    <col min="11272" max="11272" width="15.7109375" customWidth="1"/>
    <col min="11521" max="11521" width="16.140625" bestFit="1" customWidth="1"/>
    <col min="11522" max="11522" width="15" customWidth="1"/>
    <col min="11524" max="11524" width="11.5703125" bestFit="1" customWidth="1"/>
    <col min="11525" max="11525" width="10.42578125" customWidth="1"/>
    <col min="11526" max="11526" width="12.5703125" customWidth="1"/>
    <col min="11528" max="11528" width="15.7109375" customWidth="1"/>
    <col min="11777" max="11777" width="16.140625" bestFit="1" customWidth="1"/>
    <col min="11778" max="11778" width="15" customWidth="1"/>
    <col min="11780" max="11780" width="11.5703125" bestFit="1" customWidth="1"/>
    <col min="11781" max="11781" width="10.42578125" customWidth="1"/>
    <col min="11782" max="11782" width="12.5703125" customWidth="1"/>
    <col min="11784" max="11784" width="15.7109375" customWidth="1"/>
    <col min="12033" max="12033" width="16.140625" bestFit="1" customWidth="1"/>
    <col min="12034" max="12034" width="15" customWidth="1"/>
    <col min="12036" max="12036" width="11.5703125" bestFit="1" customWidth="1"/>
    <col min="12037" max="12037" width="10.42578125" customWidth="1"/>
    <col min="12038" max="12038" width="12.5703125" customWidth="1"/>
    <col min="12040" max="12040" width="15.7109375" customWidth="1"/>
    <col min="12289" max="12289" width="16.140625" bestFit="1" customWidth="1"/>
    <col min="12290" max="12290" width="15" customWidth="1"/>
    <col min="12292" max="12292" width="11.5703125" bestFit="1" customWidth="1"/>
    <col min="12293" max="12293" width="10.42578125" customWidth="1"/>
    <col min="12294" max="12294" width="12.5703125" customWidth="1"/>
    <col min="12296" max="12296" width="15.7109375" customWidth="1"/>
    <col min="12545" max="12545" width="16.140625" bestFit="1" customWidth="1"/>
    <col min="12546" max="12546" width="15" customWidth="1"/>
    <col min="12548" max="12548" width="11.5703125" bestFit="1" customWidth="1"/>
    <col min="12549" max="12549" width="10.42578125" customWidth="1"/>
    <col min="12550" max="12550" width="12.5703125" customWidth="1"/>
    <col min="12552" max="12552" width="15.7109375" customWidth="1"/>
    <col min="12801" max="12801" width="16.140625" bestFit="1" customWidth="1"/>
    <col min="12802" max="12802" width="15" customWidth="1"/>
    <col min="12804" max="12804" width="11.5703125" bestFit="1" customWidth="1"/>
    <col min="12805" max="12805" width="10.42578125" customWidth="1"/>
    <col min="12806" max="12806" width="12.5703125" customWidth="1"/>
    <col min="12808" max="12808" width="15.7109375" customWidth="1"/>
    <col min="13057" max="13057" width="16.140625" bestFit="1" customWidth="1"/>
    <col min="13058" max="13058" width="15" customWidth="1"/>
    <col min="13060" max="13060" width="11.5703125" bestFit="1" customWidth="1"/>
    <col min="13061" max="13061" width="10.42578125" customWidth="1"/>
    <col min="13062" max="13062" width="12.5703125" customWidth="1"/>
    <col min="13064" max="13064" width="15.7109375" customWidth="1"/>
    <col min="13313" max="13313" width="16.140625" bestFit="1" customWidth="1"/>
    <col min="13314" max="13314" width="15" customWidth="1"/>
    <col min="13316" max="13316" width="11.5703125" bestFit="1" customWidth="1"/>
    <col min="13317" max="13317" width="10.42578125" customWidth="1"/>
    <col min="13318" max="13318" width="12.5703125" customWidth="1"/>
    <col min="13320" max="13320" width="15.7109375" customWidth="1"/>
    <col min="13569" max="13569" width="16.140625" bestFit="1" customWidth="1"/>
    <col min="13570" max="13570" width="15" customWidth="1"/>
    <col min="13572" max="13572" width="11.5703125" bestFit="1" customWidth="1"/>
    <col min="13573" max="13573" width="10.42578125" customWidth="1"/>
    <col min="13574" max="13574" width="12.5703125" customWidth="1"/>
    <col min="13576" max="13576" width="15.7109375" customWidth="1"/>
    <col min="13825" max="13825" width="16.140625" bestFit="1" customWidth="1"/>
    <col min="13826" max="13826" width="15" customWidth="1"/>
    <col min="13828" max="13828" width="11.5703125" bestFit="1" customWidth="1"/>
    <col min="13829" max="13829" width="10.42578125" customWidth="1"/>
    <col min="13830" max="13830" width="12.5703125" customWidth="1"/>
    <col min="13832" max="13832" width="15.7109375" customWidth="1"/>
    <col min="14081" max="14081" width="16.140625" bestFit="1" customWidth="1"/>
    <col min="14082" max="14082" width="15" customWidth="1"/>
    <col min="14084" max="14084" width="11.5703125" bestFit="1" customWidth="1"/>
    <col min="14085" max="14085" width="10.42578125" customWidth="1"/>
    <col min="14086" max="14086" width="12.5703125" customWidth="1"/>
    <col min="14088" max="14088" width="15.7109375" customWidth="1"/>
    <col min="14337" max="14337" width="16.140625" bestFit="1" customWidth="1"/>
    <col min="14338" max="14338" width="15" customWidth="1"/>
    <col min="14340" max="14340" width="11.5703125" bestFit="1" customWidth="1"/>
    <col min="14341" max="14341" width="10.42578125" customWidth="1"/>
    <col min="14342" max="14342" width="12.5703125" customWidth="1"/>
    <col min="14344" max="14344" width="15.7109375" customWidth="1"/>
    <col min="14593" max="14593" width="16.140625" bestFit="1" customWidth="1"/>
    <col min="14594" max="14594" width="15" customWidth="1"/>
    <col min="14596" max="14596" width="11.5703125" bestFit="1" customWidth="1"/>
    <col min="14597" max="14597" width="10.42578125" customWidth="1"/>
    <col min="14598" max="14598" width="12.5703125" customWidth="1"/>
    <col min="14600" max="14600" width="15.7109375" customWidth="1"/>
    <col min="14849" max="14849" width="16.140625" bestFit="1" customWidth="1"/>
    <col min="14850" max="14850" width="15" customWidth="1"/>
    <col min="14852" max="14852" width="11.5703125" bestFit="1" customWidth="1"/>
    <col min="14853" max="14853" width="10.42578125" customWidth="1"/>
    <col min="14854" max="14854" width="12.5703125" customWidth="1"/>
    <col min="14856" max="14856" width="15.7109375" customWidth="1"/>
    <col min="15105" max="15105" width="16.140625" bestFit="1" customWidth="1"/>
    <col min="15106" max="15106" width="15" customWidth="1"/>
    <col min="15108" max="15108" width="11.5703125" bestFit="1" customWidth="1"/>
    <col min="15109" max="15109" width="10.42578125" customWidth="1"/>
    <col min="15110" max="15110" width="12.5703125" customWidth="1"/>
    <col min="15112" max="15112" width="15.7109375" customWidth="1"/>
    <col min="15361" max="15361" width="16.140625" bestFit="1" customWidth="1"/>
    <col min="15362" max="15362" width="15" customWidth="1"/>
    <col min="15364" max="15364" width="11.5703125" bestFit="1" customWidth="1"/>
    <col min="15365" max="15365" width="10.42578125" customWidth="1"/>
    <col min="15366" max="15366" width="12.5703125" customWidth="1"/>
    <col min="15368" max="15368" width="15.7109375" customWidth="1"/>
    <col min="15617" max="15617" width="16.140625" bestFit="1" customWidth="1"/>
    <col min="15618" max="15618" width="15" customWidth="1"/>
    <col min="15620" max="15620" width="11.5703125" bestFit="1" customWidth="1"/>
    <col min="15621" max="15621" width="10.42578125" customWidth="1"/>
    <col min="15622" max="15622" width="12.5703125" customWidth="1"/>
    <col min="15624" max="15624" width="15.7109375" customWidth="1"/>
    <col min="15873" max="15873" width="16.140625" bestFit="1" customWidth="1"/>
    <col min="15874" max="15874" width="15" customWidth="1"/>
    <col min="15876" max="15876" width="11.5703125" bestFit="1" customWidth="1"/>
    <col min="15877" max="15877" width="10.42578125" customWidth="1"/>
    <col min="15878" max="15878" width="12.5703125" customWidth="1"/>
    <col min="15880" max="15880" width="15.7109375" customWidth="1"/>
    <col min="16129" max="16129" width="16.140625" bestFit="1" customWidth="1"/>
    <col min="16130" max="16130" width="15" customWidth="1"/>
    <col min="16132" max="16132" width="11.5703125" bestFit="1" customWidth="1"/>
    <col min="16133" max="16133" width="10.42578125" customWidth="1"/>
    <col min="16134" max="16134" width="12.5703125" customWidth="1"/>
    <col min="16136" max="16136" width="15.7109375" customWidth="1"/>
  </cols>
  <sheetData>
    <row r="1" spans="1:8" ht="33" x14ac:dyDescent="0.2">
      <c r="A1" s="361"/>
      <c r="B1" s="388" t="s">
        <v>216</v>
      </c>
      <c r="C1" s="388"/>
      <c r="D1" s="388"/>
      <c r="E1" s="388"/>
      <c r="F1" s="388"/>
      <c r="G1" s="388"/>
      <c r="H1" s="388"/>
    </row>
    <row r="2" spans="1:8" ht="18.75" x14ac:dyDescent="0.2">
      <c r="A2" s="361"/>
      <c r="B2" s="389" t="s">
        <v>103</v>
      </c>
      <c r="C2" s="389"/>
      <c r="D2" s="389"/>
      <c r="E2" s="389"/>
      <c r="F2" s="389"/>
      <c r="G2" s="389"/>
      <c r="H2" s="389"/>
    </row>
    <row r="3" spans="1:8" ht="15.75" x14ac:dyDescent="0.2">
      <c r="A3" s="361"/>
      <c r="B3" s="390" t="s">
        <v>213</v>
      </c>
      <c r="C3" s="390"/>
      <c r="D3" s="390"/>
      <c r="E3" s="390"/>
      <c r="F3" s="390"/>
      <c r="G3" s="390"/>
      <c r="H3" s="390"/>
    </row>
    <row r="4" spans="1:8" x14ac:dyDescent="0.2">
      <c r="A4" s="361"/>
      <c r="B4" s="361"/>
      <c r="C4" s="361"/>
      <c r="D4" s="361"/>
      <c r="E4" s="361"/>
      <c r="F4" s="361"/>
      <c r="G4" s="361"/>
      <c r="H4" s="361"/>
    </row>
    <row r="5" spans="1:8" x14ac:dyDescent="0.2">
      <c r="A5" s="361"/>
      <c r="B5" s="361"/>
      <c r="C5" s="361"/>
      <c r="D5" s="361"/>
      <c r="E5" s="361"/>
      <c r="F5" s="361"/>
      <c r="G5" s="361"/>
      <c r="H5" s="361"/>
    </row>
    <row r="6" spans="1:8" x14ac:dyDescent="0.2">
      <c r="A6" s="360" t="s">
        <v>398</v>
      </c>
      <c r="B6" s="360"/>
      <c r="C6" s="360"/>
      <c r="D6" s="360"/>
      <c r="E6" s="360"/>
      <c r="F6" s="360"/>
      <c r="G6" s="360"/>
      <c r="H6" s="360"/>
    </row>
    <row r="7" spans="1:8" x14ac:dyDescent="0.2">
      <c r="A7" s="360" t="s">
        <v>393</v>
      </c>
      <c r="B7" s="360"/>
      <c r="C7" s="360"/>
      <c r="D7" s="360"/>
      <c r="E7" s="360"/>
      <c r="F7" s="360"/>
      <c r="G7" s="360"/>
      <c r="H7" s="360"/>
    </row>
    <row r="8" spans="1:8" x14ac:dyDescent="0.2">
      <c r="A8" s="361"/>
      <c r="B8" s="361"/>
      <c r="C8" s="361"/>
      <c r="D8" s="361"/>
      <c r="E8" s="361"/>
      <c r="F8" s="361"/>
      <c r="G8" s="361"/>
      <c r="H8" s="361"/>
    </row>
    <row r="9" spans="1:8" ht="66" customHeight="1" x14ac:dyDescent="0.2">
      <c r="A9" s="354" t="s">
        <v>403</v>
      </c>
      <c r="B9" s="354"/>
      <c r="C9" s="354"/>
      <c r="D9" s="354"/>
      <c r="E9" s="354"/>
      <c r="F9" s="354"/>
      <c r="G9" s="354"/>
      <c r="H9" s="354"/>
    </row>
    <row r="10" spans="1:8" x14ac:dyDescent="0.2">
      <c r="A10" s="361"/>
      <c r="B10" s="361"/>
      <c r="C10" s="361"/>
      <c r="D10" s="361"/>
      <c r="E10" s="361"/>
      <c r="F10" s="361"/>
      <c r="G10" s="361"/>
      <c r="H10" s="361"/>
    </row>
    <row r="11" spans="1:8" x14ac:dyDescent="0.2">
      <c r="A11" s="354" t="s">
        <v>395</v>
      </c>
      <c r="B11" s="354"/>
      <c r="C11" s="354"/>
      <c r="D11" s="354"/>
      <c r="E11" s="355" t="s">
        <v>423</v>
      </c>
      <c r="F11" s="355"/>
      <c r="G11" s="355"/>
      <c r="H11" s="355"/>
    </row>
    <row r="12" spans="1:8" x14ac:dyDescent="0.2">
      <c r="A12" s="361"/>
      <c r="B12" s="361"/>
      <c r="C12" s="361"/>
      <c r="D12" s="361"/>
      <c r="E12" s="361"/>
      <c r="F12" s="361"/>
      <c r="G12" s="361"/>
      <c r="H12" s="361"/>
    </row>
    <row r="13" spans="1:8" s="115" customFormat="1" x14ac:dyDescent="0.2">
      <c r="A13" s="113" t="s">
        <v>104</v>
      </c>
      <c r="B13" s="113" t="s">
        <v>105</v>
      </c>
      <c r="C13" s="113" t="s">
        <v>106</v>
      </c>
      <c r="D13" s="113" t="s">
        <v>107</v>
      </c>
      <c r="E13" s="114" t="s">
        <v>108</v>
      </c>
      <c r="F13" s="113" t="s">
        <v>109</v>
      </c>
      <c r="G13" s="113" t="s">
        <v>110</v>
      </c>
      <c r="H13" s="113" t="s">
        <v>111</v>
      </c>
    </row>
    <row r="14" spans="1:8" s="115" customFormat="1" x14ac:dyDescent="0.2">
      <c r="A14" s="116"/>
      <c r="B14" s="116"/>
      <c r="C14" s="117"/>
      <c r="D14" s="117"/>
      <c r="E14" s="118"/>
      <c r="F14" s="119" t="s">
        <v>112</v>
      </c>
      <c r="G14" s="362">
        <v>0</v>
      </c>
      <c r="H14" s="362"/>
    </row>
    <row r="16" spans="1:8" x14ac:dyDescent="0.2">
      <c r="A16" s="363" t="s">
        <v>113</v>
      </c>
      <c r="B16" s="363"/>
      <c r="C16" s="120" t="s">
        <v>105</v>
      </c>
      <c r="D16" s="120" t="s">
        <v>114</v>
      </c>
      <c r="E16" s="120" t="s">
        <v>115</v>
      </c>
      <c r="F16" s="120" t="s">
        <v>116</v>
      </c>
      <c r="G16" s="120" t="s">
        <v>110</v>
      </c>
      <c r="H16" s="120" t="s">
        <v>111</v>
      </c>
    </row>
    <row r="17" spans="1:8" s="115" customFormat="1" x14ac:dyDescent="0.2">
      <c r="A17" s="116"/>
      <c r="B17" s="116"/>
      <c r="C17" s="117"/>
      <c r="D17" s="117"/>
      <c r="E17" s="118"/>
      <c r="F17" s="119" t="s">
        <v>117</v>
      </c>
      <c r="G17" s="362">
        <v>0</v>
      </c>
      <c r="H17" s="362"/>
    </row>
    <row r="18" spans="1:8" s="115" customFormat="1" x14ac:dyDescent="0.2">
      <c r="A18" s="116"/>
      <c r="B18" s="116"/>
      <c r="C18" s="117"/>
      <c r="D18" s="117"/>
      <c r="E18" s="118"/>
      <c r="F18" s="119"/>
      <c r="G18" s="121"/>
      <c r="H18" s="121"/>
    </row>
    <row r="19" spans="1:8" x14ac:dyDescent="0.2">
      <c r="A19" s="363" t="s">
        <v>118</v>
      </c>
      <c r="B19" s="363"/>
      <c r="C19" s="122" t="s">
        <v>105</v>
      </c>
      <c r="D19" s="122" t="s">
        <v>119</v>
      </c>
      <c r="E19" s="122" t="s">
        <v>120</v>
      </c>
      <c r="F19" s="122" t="s">
        <v>121</v>
      </c>
      <c r="G19" s="122" t="s">
        <v>122</v>
      </c>
      <c r="H19" s="122" t="s">
        <v>123</v>
      </c>
    </row>
    <row r="20" spans="1:8" s="115" customFormat="1" x14ac:dyDescent="0.2">
      <c r="A20" s="116"/>
      <c r="B20" s="116"/>
      <c r="C20" s="117"/>
      <c r="D20" s="117"/>
      <c r="E20" s="118"/>
      <c r="F20" s="119" t="s">
        <v>124</v>
      </c>
      <c r="G20" s="362">
        <v>0</v>
      </c>
      <c r="H20" s="362"/>
    </row>
    <row r="21" spans="1:8" x14ac:dyDescent="0.2">
      <c r="A21" s="364"/>
      <c r="B21" s="364"/>
    </row>
    <row r="22" spans="1:8" s="115" customFormat="1" x14ac:dyDescent="0.2">
      <c r="A22" s="365" t="s">
        <v>125</v>
      </c>
      <c r="B22" s="365"/>
      <c r="C22" s="365"/>
      <c r="D22" s="365"/>
      <c r="E22" s="365"/>
      <c r="F22" s="365"/>
      <c r="G22" s="366">
        <f>G14+G17+G20</f>
        <v>0</v>
      </c>
      <c r="H22" s="366"/>
    </row>
    <row r="23" spans="1:8" s="115" customFormat="1" x14ac:dyDescent="0.2">
      <c r="A23" s="365" t="s">
        <v>126</v>
      </c>
      <c r="B23" s="365"/>
      <c r="C23" s="365"/>
      <c r="D23" s="365"/>
      <c r="E23" s="365"/>
      <c r="F23" s="365"/>
      <c r="G23" s="367">
        <v>1</v>
      </c>
      <c r="H23" s="367"/>
    </row>
    <row r="24" spans="1:8" s="115" customFormat="1" x14ac:dyDescent="0.2">
      <c r="A24" s="365" t="s">
        <v>127</v>
      </c>
      <c r="B24" s="365"/>
      <c r="C24" s="365"/>
      <c r="D24" s="365"/>
      <c r="E24" s="365"/>
      <c r="F24" s="365"/>
      <c r="G24" s="367">
        <f>ROUND(G22/G23,2)</f>
        <v>0</v>
      </c>
      <c r="H24" s="367"/>
    </row>
    <row r="25" spans="1:8" x14ac:dyDescent="0.2">
      <c r="A25" s="364"/>
      <c r="B25" s="364"/>
    </row>
    <row r="26" spans="1:8" x14ac:dyDescent="0.2">
      <c r="A26" s="368" t="s">
        <v>128</v>
      </c>
      <c r="B26" s="368"/>
      <c r="C26" s="120" t="s">
        <v>105</v>
      </c>
      <c r="D26" s="120" t="s">
        <v>129</v>
      </c>
      <c r="E26" s="122" t="s">
        <v>110</v>
      </c>
      <c r="F26" s="369" t="s">
        <v>130</v>
      </c>
      <c r="G26" s="370"/>
      <c r="H26" s="122" t="s">
        <v>131</v>
      </c>
    </row>
    <row r="27" spans="1:8" s="115" customFormat="1" x14ac:dyDescent="0.2">
      <c r="A27" s="116"/>
      <c r="B27" s="116"/>
      <c r="C27" s="117"/>
      <c r="D27" s="117"/>
      <c r="E27" s="118"/>
      <c r="F27" s="119" t="s">
        <v>132</v>
      </c>
      <c r="G27" s="384">
        <v>0</v>
      </c>
      <c r="H27" s="385"/>
    </row>
    <row r="28" spans="1:8" x14ac:dyDescent="0.2">
      <c r="A28" s="386"/>
      <c r="B28" s="386"/>
      <c r="F28" s="386"/>
      <c r="G28" s="386"/>
    </row>
    <row r="29" spans="1:8" x14ac:dyDescent="0.2">
      <c r="A29" s="368" t="s">
        <v>133</v>
      </c>
      <c r="B29" s="368"/>
      <c r="C29" s="120" t="s">
        <v>105</v>
      </c>
      <c r="D29" s="120" t="s">
        <v>129</v>
      </c>
      <c r="E29" s="126" t="s">
        <v>110</v>
      </c>
      <c r="F29" s="387" t="s">
        <v>130</v>
      </c>
      <c r="G29" s="387"/>
      <c r="H29" s="126" t="s">
        <v>131</v>
      </c>
    </row>
    <row r="30" spans="1:8" s="125" customFormat="1" ht="74.45" customHeight="1" x14ac:dyDescent="0.2">
      <c r="A30" s="380" t="s">
        <v>400</v>
      </c>
      <c r="B30" s="381"/>
      <c r="C30" s="108" t="s">
        <v>399</v>
      </c>
      <c r="D30" s="127" t="s">
        <v>8</v>
      </c>
      <c r="E30" s="124">
        <f>ROUND((2*3.14*1.15*0.43)+(2*3.14*0.75*0.43),2)</f>
        <v>5.13</v>
      </c>
      <c r="F30" s="382">
        <v>67.02</v>
      </c>
      <c r="G30" s="383"/>
      <c r="H30" s="124">
        <f t="shared" ref="H30" si="0">ROUND((E30*F30),2)</f>
        <v>343.81</v>
      </c>
    </row>
    <row r="31" spans="1:8" s="125" customFormat="1" ht="58.15" customHeight="1" x14ac:dyDescent="0.2">
      <c r="A31" s="380" t="s">
        <v>402</v>
      </c>
      <c r="B31" s="381"/>
      <c r="C31" s="108" t="s">
        <v>401</v>
      </c>
      <c r="D31" s="127" t="s">
        <v>97</v>
      </c>
      <c r="E31" s="124">
        <f>ROUND(((3.14*1.05*1.05)-(3.14*0.85*0.85))*0.43,2)</f>
        <v>0.51</v>
      </c>
      <c r="F31" s="382">
        <v>84.9</v>
      </c>
      <c r="G31" s="383"/>
      <c r="H31" s="124">
        <f t="shared" ref="H31:H37" si="1">ROUND((E31*F31),2)</f>
        <v>43.3</v>
      </c>
    </row>
    <row r="32" spans="1:8" s="125" customFormat="1" ht="101.45" customHeight="1" x14ac:dyDescent="0.2">
      <c r="A32" s="380" t="s">
        <v>177</v>
      </c>
      <c r="B32" s="381"/>
      <c r="C32" s="108" t="s">
        <v>404</v>
      </c>
      <c r="D32" s="127" t="s">
        <v>8</v>
      </c>
      <c r="E32" s="124">
        <f>E30</f>
        <v>5.13</v>
      </c>
      <c r="F32" s="382">
        <v>11.02</v>
      </c>
      <c r="G32" s="383"/>
      <c r="H32" s="124">
        <f t="shared" si="1"/>
        <v>56.53</v>
      </c>
    </row>
    <row r="33" spans="1:8" s="125" customFormat="1" ht="67.150000000000006" customHeight="1" x14ac:dyDescent="0.2">
      <c r="A33" s="380" t="s">
        <v>179</v>
      </c>
      <c r="B33" s="381"/>
      <c r="C33" s="108" t="s">
        <v>405</v>
      </c>
      <c r="D33" s="127" t="s">
        <v>8</v>
      </c>
      <c r="E33" s="124">
        <f>E32</f>
        <v>5.13</v>
      </c>
      <c r="F33" s="382">
        <v>49.55</v>
      </c>
      <c r="G33" s="383"/>
      <c r="H33" s="124">
        <f t="shared" si="1"/>
        <v>254.19</v>
      </c>
    </row>
    <row r="34" spans="1:8" s="125" customFormat="1" ht="70.150000000000006" customHeight="1" x14ac:dyDescent="0.2">
      <c r="A34" s="380" t="s">
        <v>185</v>
      </c>
      <c r="B34" s="381"/>
      <c r="C34" s="108" t="s">
        <v>406</v>
      </c>
      <c r="D34" s="127" t="s">
        <v>8</v>
      </c>
      <c r="E34" s="124">
        <f>E33</f>
        <v>5.13</v>
      </c>
      <c r="F34" s="382">
        <v>8.3000000000000007</v>
      </c>
      <c r="G34" s="383"/>
      <c r="H34" s="124">
        <f t="shared" si="1"/>
        <v>42.58</v>
      </c>
    </row>
    <row r="35" spans="1:8" s="125" customFormat="1" ht="67.150000000000006" customHeight="1" x14ac:dyDescent="0.2">
      <c r="A35" s="380" t="s">
        <v>187</v>
      </c>
      <c r="B35" s="381"/>
      <c r="C35" s="108" t="s">
        <v>407</v>
      </c>
      <c r="D35" s="127" t="s">
        <v>8</v>
      </c>
      <c r="E35" s="124">
        <f>E34</f>
        <v>5.13</v>
      </c>
      <c r="F35" s="382">
        <v>17.77</v>
      </c>
      <c r="G35" s="383"/>
      <c r="H35" s="124">
        <f t="shared" ref="H35:H36" si="2">ROUND((E35*F35),2)</f>
        <v>91.16</v>
      </c>
    </row>
    <row r="36" spans="1:8" s="125" customFormat="1" ht="67.150000000000006" customHeight="1" x14ac:dyDescent="0.2">
      <c r="A36" s="380" t="s">
        <v>409</v>
      </c>
      <c r="B36" s="381"/>
      <c r="C36" s="108" t="s">
        <v>408</v>
      </c>
      <c r="D36" s="127" t="s">
        <v>8</v>
      </c>
      <c r="E36" s="124">
        <f>ROUND((3.14*1.15*1.15)-(3.14*0.75*0.75),2)</f>
        <v>2.39</v>
      </c>
      <c r="F36" s="382">
        <v>42.92</v>
      </c>
      <c r="G36" s="383"/>
      <c r="H36" s="124">
        <f t="shared" si="2"/>
        <v>102.58</v>
      </c>
    </row>
    <row r="37" spans="1:8" s="125" customFormat="1" ht="85.15" customHeight="1" x14ac:dyDescent="0.2">
      <c r="A37" s="380" t="s">
        <v>411</v>
      </c>
      <c r="B37" s="381"/>
      <c r="C37" s="108" t="s">
        <v>410</v>
      </c>
      <c r="D37" s="127" t="s">
        <v>97</v>
      </c>
      <c r="E37" s="124">
        <f>E36*0.05</f>
        <v>0.11950000000000001</v>
      </c>
      <c r="F37" s="382">
        <v>784.21</v>
      </c>
      <c r="G37" s="383"/>
      <c r="H37" s="124">
        <f t="shared" si="1"/>
        <v>93.71</v>
      </c>
    </row>
    <row r="38" spans="1:8" s="115" customFormat="1" x14ac:dyDescent="0.2">
      <c r="A38" s="116"/>
      <c r="B38" s="116"/>
      <c r="C38" s="117"/>
      <c r="D38" s="117"/>
      <c r="E38" s="118"/>
      <c r="F38" s="117" t="s">
        <v>134</v>
      </c>
      <c r="G38" s="367">
        <f>SUM(H30:H37)</f>
        <v>1027.8599999999999</v>
      </c>
      <c r="H38" s="367"/>
    </row>
    <row r="39" spans="1:8" s="125" customFormat="1" x14ac:dyDescent="0.2">
      <c r="A39" s="375"/>
      <c r="B39" s="375"/>
      <c r="F39" s="375"/>
      <c r="G39" s="375"/>
    </row>
    <row r="40" spans="1:8" ht="25.5" x14ac:dyDescent="0.2">
      <c r="A40" s="128" t="s">
        <v>135</v>
      </c>
      <c r="B40" s="129" t="s">
        <v>105</v>
      </c>
      <c r="C40" s="129" t="s">
        <v>129</v>
      </c>
      <c r="D40" s="130" t="s">
        <v>136</v>
      </c>
      <c r="E40" s="130" t="s">
        <v>137</v>
      </c>
      <c r="F40" s="130" t="s">
        <v>110</v>
      </c>
      <c r="G40" s="130" t="s">
        <v>123</v>
      </c>
      <c r="H40" s="130" t="s">
        <v>131</v>
      </c>
    </row>
    <row r="41" spans="1:8" s="115" customFormat="1" x14ac:dyDescent="0.2">
      <c r="A41" s="116"/>
      <c r="B41" s="116"/>
      <c r="C41" s="117"/>
      <c r="D41" s="117"/>
      <c r="E41" s="118"/>
      <c r="F41" s="119" t="s">
        <v>138</v>
      </c>
      <c r="G41" s="374">
        <f>SUM(H39:H40)</f>
        <v>0</v>
      </c>
      <c r="H41" s="374"/>
    </row>
    <row r="42" spans="1:8" s="125" customFormat="1" x14ac:dyDescent="0.2">
      <c r="A42" s="375"/>
      <c r="B42" s="375"/>
      <c r="F42" s="376"/>
      <c r="G42" s="376"/>
    </row>
    <row r="43" spans="1:8" s="115" customFormat="1" x14ac:dyDescent="0.2">
      <c r="A43" s="365" t="s">
        <v>139</v>
      </c>
      <c r="B43" s="365"/>
      <c r="C43" s="365"/>
      <c r="D43" s="365"/>
      <c r="E43" s="365"/>
      <c r="F43" s="365"/>
      <c r="G43" s="379">
        <f>G24+G27+G38+G41</f>
        <v>1027.8599999999999</v>
      </c>
      <c r="H43" s="379"/>
    </row>
    <row r="44" spans="1:8" s="125" customFormat="1" ht="39" customHeight="1" x14ac:dyDescent="0.2">
      <c r="A44" s="375"/>
      <c r="B44" s="375"/>
      <c r="F44" s="376"/>
      <c r="G44" s="376"/>
    </row>
    <row r="45" spans="1:8" s="125" customFormat="1" x14ac:dyDescent="0.2">
      <c r="A45" s="377" t="s">
        <v>140</v>
      </c>
      <c r="B45" s="376"/>
      <c r="C45" s="376"/>
      <c r="D45" s="376"/>
      <c r="E45" s="376"/>
      <c r="F45" s="376"/>
      <c r="G45" s="376"/>
      <c r="H45" s="376"/>
    </row>
    <row r="46" spans="1:8" s="125" customFormat="1" x14ac:dyDescent="0.2">
      <c r="A46" s="378" t="s">
        <v>81</v>
      </c>
      <c r="B46" s="376"/>
      <c r="C46" s="376"/>
      <c r="D46" s="376"/>
      <c r="E46" s="376"/>
      <c r="F46" s="376"/>
      <c r="G46" s="376"/>
      <c r="H46" s="376"/>
    </row>
    <row r="47" spans="1:8" s="125" customFormat="1" x14ac:dyDescent="0.2">
      <c r="A47" s="375"/>
      <c r="B47" s="375"/>
      <c r="F47" s="376"/>
      <c r="G47" s="376"/>
    </row>
    <row r="48" spans="1:8" s="125" customFormat="1" x14ac:dyDescent="0.2">
      <c r="A48" s="375"/>
      <c r="B48" s="375"/>
      <c r="F48" s="376"/>
      <c r="G48" s="376"/>
    </row>
    <row r="49" spans="1:7" s="125" customFormat="1" x14ac:dyDescent="0.2">
      <c r="A49" s="375"/>
      <c r="B49" s="375"/>
      <c r="F49" s="376"/>
      <c r="G49" s="376"/>
    </row>
    <row r="50" spans="1:7" s="125" customFormat="1" x14ac:dyDescent="0.2">
      <c r="A50" s="375"/>
      <c r="B50" s="375"/>
      <c r="F50" s="376"/>
      <c r="G50" s="376"/>
    </row>
    <row r="51" spans="1:7" s="125" customFormat="1" x14ac:dyDescent="0.2">
      <c r="A51" s="375"/>
      <c r="B51" s="375"/>
      <c r="F51" s="376"/>
      <c r="G51" s="376"/>
    </row>
  </sheetData>
  <mergeCells count="72">
    <mergeCell ref="A11:D11"/>
    <mergeCell ref="E11:H11"/>
    <mergeCell ref="A1:A3"/>
    <mergeCell ref="B1:H1"/>
    <mergeCell ref="B2:H2"/>
    <mergeCell ref="B3:H3"/>
    <mergeCell ref="A4:H4"/>
    <mergeCell ref="A5:H5"/>
    <mergeCell ref="A6:H6"/>
    <mergeCell ref="A7:H7"/>
    <mergeCell ref="A8:H8"/>
    <mergeCell ref="A9:H9"/>
    <mergeCell ref="A10:H10"/>
    <mergeCell ref="A24:F24"/>
    <mergeCell ref="G24:H24"/>
    <mergeCell ref="A12:H12"/>
    <mergeCell ref="G14:H14"/>
    <mergeCell ref="A16:B16"/>
    <mergeCell ref="G17:H17"/>
    <mergeCell ref="A19:B19"/>
    <mergeCell ref="G20:H20"/>
    <mergeCell ref="A21:B21"/>
    <mergeCell ref="A22:F22"/>
    <mergeCell ref="G22:H22"/>
    <mergeCell ref="A23:F23"/>
    <mergeCell ref="G23:H23"/>
    <mergeCell ref="A30:B30"/>
    <mergeCell ref="F30:G30"/>
    <mergeCell ref="A25:B25"/>
    <mergeCell ref="A26:B26"/>
    <mergeCell ref="F26:G26"/>
    <mergeCell ref="G27:H27"/>
    <mergeCell ref="A28:B28"/>
    <mergeCell ref="F28:G28"/>
    <mergeCell ref="A29:B29"/>
    <mergeCell ref="F29:G29"/>
    <mergeCell ref="A31:B31"/>
    <mergeCell ref="F31:G31"/>
    <mergeCell ref="A37:B37"/>
    <mergeCell ref="F37:G37"/>
    <mergeCell ref="G38:H38"/>
    <mergeCell ref="A32:B32"/>
    <mergeCell ref="F32:G32"/>
    <mergeCell ref="A33:B33"/>
    <mergeCell ref="A36:B36"/>
    <mergeCell ref="F36:G36"/>
    <mergeCell ref="A51:B51"/>
    <mergeCell ref="F51:G51"/>
    <mergeCell ref="A45:H45"/>
    <mergeCell ref="A46:H46"/>
    <mergeCell ref="A47:B47"/>
    <mergeCell ref="F47:G47"/>
    <mergeCell ref="A48:B48"/>
    <mergeCell ref="F48:G48"/>
    <mergeCell ref="A49:B49"/>
    <mergeCell ref="F49:G49"/>
    <mergeCell ref="A50:B50"/>
    <mergeCell ref="F50:G50"/>
    <mergeCell ref="A44:B44"/>
    <mergeCell ref="F44:G44"/>
    <mergeCell ref="A39:B39"/>
    <mergeCell ref="F39:G39"/>
    <mergeCell ref="F33:G33"/>
    <mergeCell ref="A34:B34"/>
    <mergeCell ref="F34:G34"/>
    <mergeCell ref="A35:B35"/>
    <mergeCell ref="F35:G35"/>
    <mergeCell ref="G41:H41"/>
    <mergeCell ref="A42:B42"/>
    <mergeCell ref="F42:G42"/>
    <mergeCell ref="A43:F43"/>
    <mergeCell ref="G43:H43"/>
  </mergeCells>
  <printOptions horizontalCentered="1"/>
  <pageMargins left="0.23622047244094491" right="0.23622047244094491" top="0.39370078740157483" bottom="0.39370078740157483" header="0" footer="0"/>
  <pageSetup paperSize="9"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34D76-A2DF-4B95-AF2F-A08B4C87302E}">
  <sheetPr>
    <tabColor rgb="FF92D050"/>
    <pageSetUpPr fitToPage="1"/>
  </sheetPr>
  <dimension ref="A1:H49"/>
  <sheetViews>
    <sheetView workbookViewId="0">
      <selection activeCell="B1" sqref="B1:H1"/>
    </sheetView>
  </sheetViews>
  <sheetFormatPr defaultRowHeight="12.75" x14ac:dyDescent="0.2"/>
  <cols>
    <col min="1" max="1" width="16.140625" style="123" bestFit="1" customWidth="1"/>
    <col min="2" max="2" width="15" style="123" customWidth="1"/>
    <col min="3" max="3" width="10.140625" customWidth="1"/>
    <col min="4" max="4" width="11.5703125" bestFit="1" customWidth="1"/>
    <col min="5" max="5" width="11.5703125" customWidth="1"/>
    <col min="6" max="6" width="12.5703125" customWidth="1"/>
    <col min="8" max="8" width="15.7109375" customWidth="1"/>
    <col min="257" max="257" width="16.140625" bestFit="1" customWidth="1"/>
    <col min="258" max="258" width="15" customWidth="1"/>
    <col min="260" max="260" width="11.5703125" bestFit="1" customWidth="1"/>
    <col min="261" max="261" width="10.42578125" customWidth="1"/>
    <col min="262" max="262" width="12.5703125" customWidth="1"/>
    <col min="264" max="264" width="15.7109375" customWidth="1"/>
    <col min="513" max="513" width="16.140625" bestFit="1" customWidth="1"/>
    <col min="514" max="514" width="15" customWidth="1"/>
    <col min="516" max="516" width="11.5703125" bestFit="1" customWidth="1"/>
    <col min="517" max="517" width="10.42578125" customWidth="1"/>
    <col min="518" max="518" width="12.5703125" customWidth="1"/>
    <col min="520" max="520" width="15.7109375" customWidth="1"/>
    <col min="769" max="769" width="16.140625" bestFit="1" customWidth="1"/>
    <col min="770" max="770" width="15" customWidth="1"/>
    <col min="772" max="772" width="11.5703125" bestFit="1" customWidth="1"/>
    <col min="773" max="773" width="10.42578125" customWidth="1"/>
    <col min="774" max="774" width="12.5703125" customWidth="1"/>
    <col min="776" max="776" width="15.7109375" customWidth="1"/>
    <col min="1025" max="1025" width="16.140625" bestFit="1" customWidth="1"/>
    <col min="1026" max="1026" width="15" customWidth="1"/>
    <col min="1028" max="1028" width="11.5703125" bestFit="1" customWidth="1"/>
    <col min="1029" max="1029" width="10.42578125" customWidth="1"/>
    <col min="1030" max="1030" width="12.5703125" customWidth="1"/>
    <col min="1032" max="1032" width="15.7109375" customWidth="1"/>
    <col min="1281" max="1281" width="16.140625" bestFit="1" customWidth="1"/>
    <col min="1282" max="1282" width="15" customWidth="1"/>
    <col min="1284" max="1284" width="11.5703125" bestFit="1" customWidth="1"/>
    <col min="1285" max="1285" width="10.42578125" customWidth="1"/>
    <col min="1286" max="1286" width="12.5703125" customWidth="1"/>
    <col min="1288" max="1288" width="15.7109375" customWidth="1"/>
    <col min="1537" max="1537" width="16.140625" bestFit="1" customWidth="1"/>
    <col min="1538" max="1538" width="15" customWidth="1"/>
    <col min="1540" max="1540" width="11.5703125" bestFit="1" customWidth="1"/>
    <col min="1541" max="1541" width="10.42578125" customWidth="1"/>
    <col min="1542" max="1542" width="12.5703125" customWidth="1"/>
    <col min="1544" max="1544" width="15.7109375" customWidth="1"/>
    <col min="1793" max="1793" width="16.140625" bestFit="1" customWidth="1"/>
    <col min="1794" max="1794" width="15" customWidth="1"/>
    <col min="1796" max="1796" width="11.5703125" bestFit="1" customWidth="1"/>
    <col min="1797" max="1797" width="10.42578125" customWidth="1"/>
    <col min="1798" max="1798" width="12.5703125" customWidth="1"/>
    <col min="1800" max="1800" width="15.7109375" customWidth="1"/>
    <col min="2049" max="2049" width="16.140625" bestFit="1" customWidth="1"/>
    <col min="2050" max="2050" width="15" customWidth="1"/>
    <col min="2052" max="2052" width="11.5703125" bestFit="1" customWidth="1"/>
    <col min="2053" max="2053" width="10.42578125" customWidth="1"/>
    <col min="2054" max="2054" width="12.5703125" customWidth="1"/>
    <col min="2056" max="2056" width="15.7109375" customWidth="1"/>
    <col min="2305" max="2305" width="16.140625" bestFit="1" customWidth="1"/>
    <col min="2306" max="2306" width="15" customWidth="1"/>
    <col min="2308" max="2308" width="11.5703125" bestFit="1" customWidth="1"/>
    <col min="2309" max="2309" width="10.42578125" customWidth="1"/>
    <col min="2310" max="2310" width="12.5703125" customWidth="1"/>
    <col min="2312" max="2312" width="15.7109375" customWidth="1"/>
    <col min="2561" max="2561" width="16.140625" bestFit="1" customWidth="1"/>
    <col min="2562" max="2562" width="15" customWidth="1"/>
    <col min="2564" max="2564" width="11.5703125" bestFit="1" customWidth="1"/>
    <col min="2565" max="2565" width="10.42578125" customWidth="1"/>
    <col min="2566" max="2566" width="12.5703125" customWidth="1"/>
    <col min="2568" max="2568" width="15.7109375" customWidth="1"/>
    <col min="2817" max="2817" width="16.140625" bestFit="1" customWidth="1"/>
    <col min="2818" max="2818" width="15" customWidth="1"/>
    <col min="2820" max="2820" width="11.5703125" bestFit="1" customWidth="1"/>
    <col min="2821" max="2821" width="10.42578125" customWidth="1"/>
    <col min="2822" max="2822" width="12.5703125" customWidth="1"/>
    <col min="2824" max="2824" width="15.7109375" customWidth="1"/>
    <col min="3073" max="3073" width="16.140625" bestFit="1" customWidth="1"/>
    <col min="3074" max="3074" width="15" customWidth="1"/>
    <col min="3076" max="3076" width="11.5703125" bestFit="1" customWidth="1"/>
    <col min="3077" max="3077" width="10.42578125" customWidth="1"/>
    <col min="3078" max="3078" width="12.5703125" customWidth="1"/>
    <col min="3080" max="3080" width="15.7109375" customWidth="1"/>
    <col min="3329" max="3329" width="16.140625" bestFit="1" customWidth="1"/>
    <col min="3330" max="3330" width="15" customWidth="1"/>
    <col min="3332" max="3332" width="11.5703125" bestFit="1" customWidth="1"/>
    <col min="3333" max="3333" width="10.42578125" customWidth="1"/>
    <col min="3334" max="3334" width="12.5703125" customWidth="1"/>
    <col min="3336" max="3336" width="15.7109375" customWidth="1"/>
    <col min="3585" max="3585" width="16.140625" bestFit="1" customWidth="1"/>
    <col min="3586" max="3586" width="15" customWidth="1"/>
    <col min="3588" max="3588" width="11.5703125" bestFit="1" customWidth="1"/>
    <col min="3589" max="3589" width="10.42578125" customWidth="1"/>
    <col min="3590" max="3590" width="12.5703125" customWidth="1"/>
    <col min="3592" max="3592" width="15.7109375" customWidth="1"/>
    <col min="3841" max="3841" width="16.140625" bestFit="1" customWidth="1"/>
    <col min="3842" max="3842" width="15" customWidth="1"/>
    <col min="3844" max="3844" width="11.5703125" bestFit="1" customWidth="1"/>
    <col min="3845" max="3845" width="10.42578125" customWidth="1"/>
    <col min="3846" max="3846" width="12.5703125" customWidth="1"/>
    <col min="3848" max="3848" width="15.7109375" customWidth="1"/>
    <col min="4097" max="4097" width="16.140625" bestFit="1" customWidth="1"/>
    <col min="4098" max="4098" width="15" customWidth="1"/>
    <col min="4100" max="4100" width="11.5703125" bestFit="1" customWidth="1"/>
    <col min="4101" max="4101" width="10.42578125" customWidth="1"/>
    <col min="4102" max="4102" width="12.5703125" customWidth="1"/>
    <col min="4104" max="4104" width="15.7109375" customWidth="1"/>
    <col min="4353" max="4353" width="16.140625" bestFit="1" customWidth="1"/>
    <col min="4354" max="4354" width="15" customWidth="1"/>
    <col min="4356" max="4356" width="11.5703125" bestFit="1" customWidth="1"/>
    <col min="4357" max="4357" width="10.42578125" customWidth="1"/>
    <col min="4358" max="4358" width="12.5703125" customWidth="1"/>
    <col min="4360" max="4360" width="15.7109375" customWidth="1"/>
    <col min="4609" max="4609" width="16.140625" bestFit="1" customWidth="1"/>
    <col min="4610" max="4610" width="15" customWidth="1"/>
    <col min="4612" max="4612" width="11.5703125" bestFit="1" customWidth="1"/>
    <col min="4613" max="4613" width="10.42578125" customWidth="1"/>
    <col min="4614" max="4614" width="12.5703125" customWidth="1"/>
    <col min="4616" max="4616" width="15.7109375" customWidth="1"/>
    <col min="4865" max="4865" width="16.140625" bestFit="1" customWidth="1"/>
    <col min="4866" max="4866" width="15" customWidth="1"/>
    <col min="4868" max="4868" width="11.5703125" bestFit="1" customWidth="1"/>
    <col min="4869" max="4869" width="10.42578125" customWidth="1"/>
    <col min="4870" max="4870" width="12.5703125" customWidth="1"/>
    <col min="4872" max="4872" width="15.7109375" customWidth="1"/>
    <col min="5121" max="5121" width="16.140625" bestFit="1" customWidth="1"/>
    <col min="5122" max="5122" width="15" customWidth="1"/>
    <col min="5124" max="5124" width="11.5703125" bestFit="1" customWidth="1"/>
    <col min="5125" max="5125" width="10.42578125" customWidth="1"/>
    <col min="5126" max="5126" width="12.5703125" customWidth="1"/>
    <col min="5128" max="5128" width="15.7109375" customWidth="1"/>
    <col min="5377" max="5377" width="16.140625" bestFit="1" customWidth="1"/>
    <col min="5378" max="5378" width="15" customWidth="1"/>
    <col min="5380" max="5380" width="11.5703125" bestFit="1" customWidth="1"/>
    <col min="5381" max="5381" width="10.42578125" customWidth="1"/>
    <col min="5382" max="5382" width="12.5703125" customWidth="1"/>
    <col min="5384" max="5384" width="15.7109375" customWidth="1"/>
    <col min="5633" max="5633" width="16.140625" bestFit="1" customWidth="1"/>
    <col min="5634" max="5634" width="15" customWidth="1"/>
    <col min="5636" max="5636" width="11.5703125" bestFit="1" customWidth="1"/>
    <col min="5637" max="5637" width="10.42578125" customWidth="1"/>
    <col min="5638" max="5638" width="12.5703125" customWidth="1"/>
    <col min="5640" max="5640" width="15.7109375" customWidth="1"/>
    <col min="5889" max="5889" width="16.140625" bestFit="1" customWidth="1"/>
    <col min="5890" max="5890" width="15" customWidth="1"/>
    <col min="5892" max="5892" width="11.5703125" bestFit="1" customWidth="1"/>
    <col min="5893" max="5893" width="10.42578125" customWidth="1"/>
    <col min="5894" max="5894" width="12.5703125" customWidth="1"/>
    <col min="5896" max="5896" width="15.7109375" customWidth="1"/>
    <col min="6145" max="6145" width="16.140625" bestFit="1" customWidth="1"/>
    <col min="6146" max="6146" width="15" customWidth="1"/>
    <col min="6148" max="6148" width="11.5703125" bestFit="1" customWidth="1"/>
    <col min="6149" max="6149" width="10.42578125" customWidth="1"/>
    <col min="6150" max="6150" width="12.5703125" customWidth="1"/>
    <col min="6152" max="6152" width="15.7109375" customWidth="1"/>
    <col min="6401" max="6401" width="16.140625" bestFit="1" customWidth="1"/>
    <col min="6402" max="6402" width="15" customWidth="1"/>
    <col min="6404" max="6404" width="11.5703125" bestFit="1" customWidth="1"/>
    <col min="6405" max="6405" width="10.42578125" customWidth="1"/>
    <col min="6406" max="6406" width="12.5703125" customWidth="1"/>
    <col min="6408" max="6408" width="15.7109375" customWidth="1"/>
    <col min="6657" max="6657" width="16.140625" bestFit="1" customWidth="1"/>
    <col min="6658" max="6658" width="15" customWidth="1"/>
    <col min="6660" max="6660" width="11.5703125" bestFit="1" customWidth="1"/>
    <col min="6661" max="6661" width="10.42578125" customWidth="1"/>
    <col min="6662" max="6662" width="12.5703125" customWidth="1"/>
    <col min="6664" max="6664" width="15.7109375" customWidth="1"/>
    <col min="6913" max="6913" width="16.140625" bestFit="1" customWidth="1"/>
    <col min="6914" max="6914" width="15" customWidth="1"/>
    <col min="6916" max="6916" width="11.5703125" bestFit="1" customWidth="1"/>
    <col min="6917" max="6917" width="10.42578125" customWidth="1"/>
    <col min="6918" max="6918" width="12.5703125" customWidth="1"/>
    <col min="6920" max="6920" width="15.7109375" customWidth="1"/>
    <col min="7169" max="7169" width="16.140625" bestFit="1" customWidth="1"/>
    <col min="7170" max="7170" width="15" customWidth="1"/>
    <col min="7172" max="7172" width="11.5703125" bestFit="1" customWidth="1"/>
    <col min="7173" max="7173" width="10.42578125" customWidth="1"/>
    <col min="7174" max="7174" width="12.5703125" customWidth="1"/>
    <col min="7176" max="7176" width="15.7109375" customWidth="1"/>
    <col min="7425" max="7425" width="16.140625" bestFit="1" customWidth="1"/>
    <col min="7426" max="7426" width="15" customWidth="1"/>
    <col min="7428" max="7428" width="11.5703125" bestFit="1" customWidth="1"/>
    <col min="7429" max="7429" width="10.42578125" customWidth="1"/>
    <col min="7430" max="7430" width="12.5703125" customWidth="1"/>
    <col min="7432" max="7432" width="15.7109375" customWidth="1"/>
    <col min="7681" max="7681" width="16.140625" bestFit="1" customWidth="1"/>
    <col min="7682" max="7682" width="15" customWidth="1"/>
    <col min="7684" max="7684" width="11.5703125" bestFit="1" customWidth="1"/>
    <col min="7685" max="7685" width="10.42578125" customWidth="1"/>
    <col min="7686" max="7686" width="12.5703125" customWidth="1"/>
    <col min="7688" max="7688" width="15.7109375" customWidth="1"/>
    <col min="7937" max="7937" width="16.140625" bestFit="1" customWidth="1"/>
    <col min="7938" max="7938" width="15" customWidth="1"/>
    <col min="7940" max="7940" width="11.5703125" bestFit="1" customWidth="1"/>
    <col min="7941" max="7941" width="10.42578125" customWidth="1"/>
    <col min="7942" max="7942" width="12.5703125" customWidth="1"/>
    <col min="7944" max="7944" width="15.7109375" customWidth="1"/>
    <col min="8193" max="8193" width="16.140625" bestFit="1" customWidth="1"/>
    <col min="8194" max="8194" width="15" customWidth="1"/>
    <col min="8196" max="8196" width="11.5703125" bestFit="1" customWidth="1"/>
    <col min="8197" max="8197" width="10.42578125" customWidth="1"/>
    <col min="8198" max="8198" width="12.5703125" customWidth="1"/>
    <col min="8200" max="8200" width="15.7109375" customWidth="1"/>
    <col min="8449" max="8449" width="16.140625" bestFit="1" customWidth="1"/>
    <col min="8450" max="8450" width="15" customWidth="1"/>
    <col min="8452" max="8452" width="11.5703125" bestFit="1" customWidth="1"/>
    <col min="8453" max="8453" width="10.42578125" customWidth="1"/>
    <col min="8454" max="8454" width="12.5703125" customWidth="1"/>
    <col min="8456" max="8456" width="15.7109375" customWidth="1"/>
    <col min="8705" max="8705" width="16.140625" bestFit="1" customWidth="1"/>
    <col min="8706" max="8706" width="15" customWidth="1"/>
    <col min="8708" max="8708" width="11.5703125" bestFit="1" customWidth="1"/>
    <col min="8709" max="8709" width="10.42578125" customWidth="1"/>
    <col min="8710" max="8710" width="12.5703125" customWidth="1"/>
    <col min="8712" max="8712" width="15.7109375" customWidth="1"/>
    <col min="8961" max="8961" width="16.140625" bestFit="1" customWidth="1"/>
    <col min="8962" max="8962" width="15" customWidth="1"/>
    <col min="8964" max="8964" width="11.5703125" bestFit="1" customWidth="1"/>
    <col min="8965" max="8965" width="10.42578125" customWidth="1"/>
    <col min="8966" max="8966" width="12.5703125" customWidth="1"/>
    <col min="8968" max="8968" width="15.7109375" customWidth="1"/>
    <col min="9217" max="9217" width="16.140625" bestFit="1" customWidth="1"/>
    <col min="9218" max="9218" width="15" customWidth="1"/>
    <col min="9220" max="9220" width="11.5703125" bestFit="1" customWidth="1"/>
    <col min="9221" max="9221" width="10.42578125" customWidth="1"/>
    <col min="9222" max="9222" width="12.5703125" customWidth="1"/>
    <col min="9224" max="9224" width="15.7109375" customWidth="1"/>
    <col min="9473" max="9473" width="16.140625" bestFit="1" customWidth="1"/>
    <col min="9474" max="9474" width="15" customWidth="1"/>
    <col min="9476" max="9476" width="11.5703125" bestFit="1" customWidth="1"/>
    <col min="9477" max="9477" width="10.42578125" customWidth="1"/>
    <col min="9478" max="9478" width="12.5703125" customWidth="1"/>
    <col min="9480" max="9480" width="15.7109375" customWidth="1"/>
    <col min="9729" max="9729" width="16.140625" bestFit="1" customWidth="1"/>
    <col min="9730" max="9730" width="15" customWidth="1"/>
    <col min="9732" max="9732" width="11.5703125" bestFit="1" customWidth="1"/>
    <col min="9733" max="9733" width="10.42578125" customWidth="1"/>
    <col min="9734" max="9734" width="12.5703125" customWidth="1"/>
    <col min="9736" max="9736" width="15.7109375" customWidth="1"/>
    <col min="9985" max="9985" width="16.140625" bestFit="1" customWidth="1"/>
    <col min="9986" max="9986" width="15" customWidth="1"/>
    <col min="9988" max="9988" width="11.5703125" bestFit="1" customWidth="1"/>
    <col min="9989" max="9989" width="10.42578125" customWidth="1"/>
    <col min="9990" max="9990" width="12.5703125" customWidth="1"/>
    <col min="9992" max="9992" width="15.7109375" customWidth="1"/>
    <col min="10241" max="10241" width="16.140625" bestFit="1" customWidth="1"/>
    <col min="10242" max="10242" width="15" customWidth="1"/>
    <col min="10244" max="10244" width="11.5703125" bestFit="1" customWidth="1"/>
    <col min="10245" max="10245" width="10.42578125" customWidth="1"/>
    <col min="10246" max="10246" width="12.5703125" customWidth="1"/>
    <col min="10248" max="10248" width="15.7109375" customWidth="1"/>
    <col min="10497" max="10497" width="16.140625" bestFit="1" customWidth="1"/>
    <col min="10498" max="10498" width="15" customWidth="1"/>
    <col min="10500" max="10500" width="11.5703125" bestFit="1" customWidth="1"/>
    <col min="10501" max="10501" width="10.42578125" customWidth="1"/>
    <col min="10502" max="10502" width="12.5703125" customWidth="1"/>
    <col min="10504" max="10504" width="15.7109375" customWidth="1"/>
    <col min="10753" max="10753" width="16.140625" bestFit="1" customWidth="1"/>
    <col min="10754" max="10754" width="15" customWidth="1"/>
    <col min="10756" max="10756" width="11.5703125" bestFit="1" customWidth="1"/>
    <col min="10757" max="10757" width="10.42578125" customWidth="1"/>
    <col min="10758" max="10758" width="12.5703125" customWidth="1"/>
    <col min="10760" max="10760" width="15.7109375" customWidth="1"/>
    <col min="11009" max="11009" width="16.140625" bestFit="1" customWidth="1"/>
    <col min="11010" max="11010" width="15" customWidth="1"/>
    <col min="11012" max="11012" width="11.5703125" bestFit="1" customWidth="1"/>
    <col min="11013" max="11013" width="10.42578125" customWidth="1"/>
    <col min="11014" max="11014" width="12.5703125" customWidth="1"/>
    <col min="11016" max="11016" width="15.7109375" customWidth="1"/>
    <col min="11265" max="11265" width="16.140625" bestFit="1" customWidth="1"/>
    <col min="11266" max="11266" width="15" customWidth="1"/>
    <col min="11268" max="11268" width="11.5703125" bestFit="1" customWidth="1"/>
    <col min="11269" max="11269" width="10.42578125" customWidth="1"/>
    <col min="11270" max="11270" width="12.5703125" customWidth="1"/>
    <col min="11272" max="11272" width="15.7109375" customWidth="1"/>
    <col min="11521" max="11521" width="16.140625" bestFit="1" customWidth="1"/>
    <col min="11522" max="11522" width="15" customWidth="1"/>
    <col min="11524" max="11524" width="11.5703125" bestFit="1" customWidth="1"/>
    <col min="11525" max="11525" width="10.42578125" customWidth="1"/>
    <col min="11526" max="11526" width="12.5703125" customWidth="1"/>
    <col min="11528" max="11528" width="15.7109375" customWidth="1"/>
    <col min="11777" max="11777" width="16.140625" bestFit="1" customWidth="1"/>
    <col min="11778" max="11778" width="15" customWidth="1"/>
    <col min="11780" max="11780" width="11.5703125" bestFit="1" customWidth="1"/>
    <col min="11781" max="11781" width="10.42578125" customWidth="1"/>
    <col min="11782" max="11782" width="12.5703125" customWidth="1"/>
    <col min="11784" max="11784" width="15.7109375" customWidth="1"/>
    <col min="12033" max="12033" width="16.140625" bestFit="1" customWidth="1"/>
    <col min="12034" max="12034" width="15" customWidth="1"/>
    <col min="12036" max="12036" width="11.5703125" bestFit="1" customWidth="1"/>
    <col min="12037" max="12037" width="10.42578125" customWidth="1"/>
    <col min="12038" max="12038" width="12.5703125" customWidth="1"/>
    <col min="12040" max="12040" width="15.7109375" customWidth="1"/>
    <col min="12289" max="12289" width="16.140625" bestFit="1" customWidth="1"/>
    <col min="12290" max="12290" width="15" customWidth="1"/>
    <col min="12292" max="12292" width="11.5703125" bestFit="1" customWidth="1"/>
    <col min="12293" max="12293" width="10.42578125" customWidth="1"/>
    <col min="12294" max="12294" width="12.5703125" customWidth="1"/>
    <col min="12296" max="12296" width="15.7109375" customWidth="1"/>
    <col min="12545" max="12545" width="16.140625" bestFit="1" customWidth="1"/>
    <col min="12546" max="12546" width="15" customWidth="1"/>
    <col min="12548" max="12548" width="11.5703125" bestFit="1" customWidth="1"/>
    <col min="12549" max="12549" width="10.42578125" customWidth="1"/>
    <col min="12550" max="12550" width="12.5703125" customWidth="1"/>
    <col min="12552" max="12552" width="15.7109375" customWidth="1"/>
    <col min="12801" max="12801" width="16.140625" bestFit="1" customWidth="1"/>
    <col min="12802" max="12802" width="15" customWidth="1"/>
    <col min="12804" max="12804" width="11.5703125" bestFit="1" customWidth="1"/>
    <col min="12805" max="12805" width="10.42578125" customWidth="1"/>
    <col min="12806" max="12806" width="12.5703125" customWidth="1"/>
    <col min="12808" max="12808" width="15.7109375" customWidth="1"/>
    <col min="13057" max="13057" width="16.140625" bestFit="1" customWidth="1"/>
    <col min="13058" max="13058" width="15" customWidth="1"/>
    <col min="13060" max="13060" width="11.5703125" bestFit="1" customWidth="1"/>
    <col min="13061" max="13061" width="10.42578125" customWidth="1"/>
    <col min="13062" max="13062" width="12.5703125" customWidth="1"/>
    <col min="13064" max="13064" width="15.7109375" customWidth="1"/>
    <col min="13313" max="13313" width="16.140625" bestFit="1" customWidth="1"/>
    <col min="13314" max="13314" width="15" customWidth="1"/>
    <col min="13316" max="13316" width="11.5703125" bestFit="1" customWidth="1"/>
    <col min="13317" max="13317" width="10.42578125" customWidth="1"/>
    <col min="13318" max="13318" width="12.5703125" customWidth="1"/>
    <col min="13320" max="13320" width="15.7109375" customWidth="1"/>
    <col min="13569" max="13569" width="16.140625" bestFit="1" customWidth="1"/>
    <col min="13570" max="13570" width="15" customWidth="1"/>
    <col min="13572" max="13572" width="11.5703125" bestFit="1" customWidth="1"/>
    <col min="13573" max="13573" width="10.42578125" customWidth="1"/>
    <col min="13574" max="13574" width="12.5703125" customWidth="1"/>
    <col min="13576" max="13576" width="15.7109375" customWidth="1"/>
    <col min="13825" max="13825" width="16.140625" bestFit="1" customWidth="1"/>
    <col min="13826" max="13826" width="15" customWidth="1"/>
    <col min="13828" max="13828" width="11.5703125" bestFit="1" customWidth="1"/>
    <col min="13829" max="13829" width="10.42578125" customWidth="1"/>
    <col min="13830" max="13830" width="12.5703125" customWidth="1"/>
    <col min="13832" max="13832" width="15.7109375" customWidth="1"/>
    <col min="14081" max="14081" width="16.140625" bestFit="1" customWidth="1"/>
    <col min="14082" max="14082" width="15" customWidth="1"/>
    <col min="14084" max="14084" width="11.5703125" bestFit="1" customWidth="1"/>
    <col min="14085" max="14085" width="10.42578125" customWidth="1"/>
    <col min="14086" max="14086" width="12.5703125" customWidth="1"/>
    <col min="14088" max="14088" width="15.7109375" customWidth="1"/>
    <col min="14337" max="14337" width="16.140625" bestFit="1" customWidth="1"/>
    <col min="14338" max="14338" width="15" customWidth="1"/>
    <col min="14340" max="14340" width="11.5703125" bestFit="1" customWidth="1"/>
    <col min="14341" max="14341" width="10.42578125" customWidth="1"/>
    <col min="14342" max="14342" width="12.5703125" customWidth="1"/>
    <col min="14344" max="14344" width="15.7109375" customWidth="1"/>
    <col min="14593" max="14593" width="16.140625" bestFit="1" customWidth="1"/>
    <col min="14594" max="14594" width="15" customWidth="1"/>
    <col min="14596" max="14596" width="11.5703125" bestFit="1" customWidth="1"/>
    <col min="14597" max="14597" width="10.42578125" customWidth="1"/>
    <col min="14598" max="14598" width="12.5703125" customWidth="1"/>
    <col min="14600" max="14600" width="15.7109375" customWidth="1"/>
    <col min="14849" max="14849" width="16.140625" bestFit="1" customWidth="1"/>
    <col min="14850" max="14850" width="15" customWidth="1"/>
    <col min="14852" max="14852" width="11.5703125" bestFit="1" customWidth="1"/>
    <col min="14853" max="14853" width="10.42578125" customWidth="1"/>
    <col min="14854" max="14854" width="12.5703125" customWidth="1"/>
    <col min="14856" max="14856" width="15.7109375" customWidth="1"/>
    <col min="15105" max="15105" width="16.140625" bestFit="1" customWidth="1"/>
    <col min="15106" max="15106" width="15" customWidth="1"/>
    <col min="15108" max="15108" width="11.5703125" bestFit="1" customWidth="1"/>
    <col min="15109" max="15109" width="10.42578125" customWidth="1"/>
    <col min="15110" max="15110" width="12.5703125" customWidth="1"/>
    <col min="15112" max="15112" width="15.7109375" customWidth="1"/>
    <col min="15361" max="15361" width="16.140625" bestFit="1" customWidth="1"/>
    <col min="15362" max="15362" width="15" customWidth="1"/>
    <col min="15364" max="15364" width="11.5703125" bestFit="1" customWidth="1"/>
    <col min="15365" max="15365" width="10.42578125" customWidth="1"/>
    <col min="15366" max="15366" width="12.5703125" customWidth="1"/>
    <col min="15368" max="15368" width="15.7109375" customWidth="1"/>
    <col min="15617" max="15617" width="16.140625" bestFit="1" customWidth="1"/>
    <col min="15618" max="15618" width="15" customWidth="1"/>
    <col min="15620" max="15620" width="11.5703125" bestFit="1" customWidth="1"/>
    <col min="15621" max="15621" width="10.42578125" customWidth="1"/>
    <col min="15622" max="15622" width="12.5703125" customWidth="1"/>
    <col min="15624" max="15624" width="15.7109375" customWidth="1"/>
    <col min="15873" max="15873" width="16.140625" bestFit="1" customWidth="1"/>
    <col min="15874" max="15874" width="15" customWidth="1"/>
    <col min="15876" max="15876" width="11.5703125" bestFit="1" customWidth="1"/>
    <col min="15877" max="15877" width="10.42578125" customWidth="1"/>
    <col min="15878" max="15878" width="12.5703125" customWidth="1"/>
    <col min="15880" max="15880" width="15.7109375" customWidth="1"/>
    <col min="16129" max="16129" width="16.140625" bestFit="1" customWidth="1"/>
    <col min="16130" max="16130" width="15" customWidth="1"/>
    <col min="16132" max="16132" width="11.5703125" bestFit="1" customWidth="1"/>
    <col min="16133" max="16133" width="10.42578125" customWidth="1"/>
    <col min="16134" max="16134" width="12.5703125" customWidth="1"/>
    <col min="16136" max="16136" width="15.7109375" customWidth="1"/>
  </cols>
  <sheetData>
    <row r="1" spans="1:8" ht="33" x14ac:dyDescent="0.2">
      <c r="A1" s="361"/>
      <c r="B1" s="388" t="s">
        <v>216</v>
      </c>
      <c r="C1" s="388"/>
      <c r="D1" s="388"/>
      <c r="E1" s="388"/>
      <c r="F1" s="388"/>
      <c r="G1" s="388"/>
      <c r="H1" s="388"/>
    </row>
    <row r="2" spans="1:8" ht="18.75" x14ac:dyDescent="0.2">
      <c r="A2" s="361"/>
      <c r="B2" s="389" t="s">
        <v>103</v>
      </c>
      <c r="C2" s="389"/>
      <c r="D2" s="389"/>
      <c r="E2" s="389"/>
      <c r="F2" s="389"/>
      <c r="G2" s="389"/>
      <c r="H2" s="389"/>
    </row>
    <row r="3" spans="1:8" ht="15.75" x14ac:dyDescent="0.2">
      <c r="A3" s="361"/>
      <c r="B3" s="390" t="s">
        <v>213</v>
      </c>
      <c r="C3" s="390"/>
      <c r="D3" s="390"/>
      <c r="E3" s="390"/>
      <c r="F3" s="390"/>
      <c r="G3" s="390"/>
      <c r="H3" s="390"/>
    </row>
    <row r="4" spans="1:8" x14ac:dyDescent="0.2">
      <c r="A4" s="361"/>
      <c r="B4" s="361"/>
      <c r="C4" s="361"/>
      <c r="D4" s="361"/>
      <c r="E4" s="361"/>
      <c r="F4" s="361"/>
      <c r="G4" s="361"/>
      <c r="H4" s="361"/>
    </row>
    <row r="5" spans="1:8" x14ac:dyDescent="0.2">
      <c r="A5" s="361"/>
      <c r="B5" s="361"/>
      <c r="C5" s="361"/>
      <c r="D5" s="361"/>
      <c r="E5" s="361"/>
      <c r="F5" s="361"/>
      <c r="G5" s="361"/>
      <c r="H5" s="361"/>
    </row>
    <row r="6" spans="1:8" x14ac:dyDescent="0.2">
      <c r="A6" s="360" t="s">
        <v>418</v>
      </c>
      <c r="B6" s="360"/>
      <c r="C6" s="360"/>
      <c r="D6" s="360"/>
      <c r="E6" s="360"/>
      <c r="F6" s="360"/>
      <c r="G6" s="360"/>
      <c r="H6" s="360"/>
    </row>
    <row r="7" spans="1:8" x14ac:dyDescent="0.2">
      <c r="A7" s="360" t="s">
        <v>393</v>
      </c>
      <c r="B7" s="360"/>
      <c r="C7" s="360"/>
      <c r="D7" s="360"/>
      <c r="E7" s="360"/>
      <c r="F7" s="360"/>
      <c r="G7" s="360"/>
      <c r="H7" s="360"/>
    </row>
    <row r="8" spans="1:8" x14ac:dyDescent="0.2">
      <c r="A8" s="361"/>
      <c r="B8" s="361"/>
      <c r="C8" s="361"/>
      <c r="D8" s="361"/>
      <c r="E8" s="361"/>
      <c r="F8" s="361"/>
      <c r="G8" s="361"/>
      <c r="H8" s="361"/>
    </row>
    <row r="9" spans="1:8" ht="50.45" customHeight="1" x14ac:dyDescent="0.2">
      <c r="A9" s="354" t="s">
        <v>412</v>
      </c>
      <c r="B9" s="354"/>
      <c r="C9" s="354"/>
      <c r="D9" s="354"/>
      <c r="E9" s="354"/>
      <c r="F9" s="354"/>
      <c r="G9" s="354"/>
      <c r="H9" s="354"/>
    </row>
    <row r="10" spans="1:8" x14ac:dyDescent="0.2">
      <c r="A10" s="361"/>
      <c r="B10" s="361"/>
      <c r="C10" s="361"/>
      <c r="D10" s="361"/>
      <c r="E10" s="361"/>
      <c r="F10" s="361"/>
      <c r="G10" s="361"/>
      <c r="H10" s="361"/>
    </row>
    <row r="11" spans="1:8" x14ac:dyDescent="0.2">
      <c r="A11" s="354" t="s">
        <v>395</v>
      </c>
      <c r="B11" s="354"/>
      <c r="C11" s="354"/>
      <c r="D11" s="354"/>
      <c r="E11" s="355" t="s">
        <v>423</v>
      </c>
      <c r="F11" s="355"/>
      <c r="G11" s="355"/>
      <c r="H11" s="355"/>
    </row>
    <row r="12" spans="1:8" x14ac:dyDescent="0.2">
      <c r="A12" s="361"/>
      <c r="B12" s="361"/>
      <c r="C12" s="361"/>
      <c r="D12" s="361"/>
      <c r="E12" s="361"/>
      <c r="F12" s="361"/>
      <c r="G12" s="361"/>
      <c r="H12" s="361"/>
    </row>
    <row r="13" spans="1:8" s="115" customFormat="1" x14ac:dyDescent="0.2">
      <c r="A13" s="113" t="s">
        <v>104</v>
      </c>
      <c r="B13" s="113" t="s">
        <v>105</v>
      </c>
      <c r="C13" s="113" t="s">
        <v>106</v>
      </c>
      <c r="D13" s="113" t="s">
        <v>107</v>
      </c>
      <c r="E13" s="114" t="s">
        <v>108</v>
      </c>
      <c r="F13" s="113" t="s">
        <v>109</v>
      </c>
      <c r="G13" s="113" t="s">
        <v>110</v>
      </c>
      <c r="H13" s="113" t="s">
        <v>111</v>
      </c>
    </row>
    <row r="14" spans="1:8" s="115" customFormat="1" x14ac:dyDescent="0.2">
      <c r="A14" s="116"/>
      <c r="B14" s="116"/>
      <c r="C14" s="117"/>
      <c r="D14" s="117"/>
      <c r="E14" s="118"/>
      <c r="F14" s="119" t="s">
        <v>112</v>
      </c>
      <c r="G14" s="362">
        <v>0</v>
      </c>
      <c r="H14" s="362"/>
    </row>
    <row r="16" spans="1:8" x14ac:dyDescent="0.2">
      <c r="A16" s="363" t="s">
        <v>113</v>
      </c>
      <c r="B16" s="363"/>
      <c r="C16" s="120" t="s">
        <v>105</v>
      </c>
      <c r="D16" s="120" t="s">
        <v>114</v>
      </c>
      <c r="E16" s="120" t="s">
        <v>115</v>
      </c>
      <c r="F16" s="120" t="s">
        <v>116</v>
      </c>
      <c r="G16" s="120" t="s">
        <v>110</v>
      </c>
      <c r="H16" s="120" t="s">
        <v>111</v>
      </c>
    </row>
    <row r="17" spans="1:8" s="115" customFormat="1" x14ac:dyDescent="0.2">
      <c r="A17" s="116"/>
      <c r="B17" s="116"/>
      <c r="C17" s="117"/>
      <c r="D17" s="117"/>
      <c r="E17" s="118"/>
      <c r="F17" s="119" t="s">
        <v>117</v>
      </c>
      <c r="G17" s="362">
        <v>0</v>
      </c>
      <c r="H17" s="362"/>
    </row>
    <row r="18" spans="1:8" s="115" customFormat="1" x14ac:dyDescent="0.2">
      <c r="A18" s="116"/>
      <c r="B18" s="116"/>
      <c r="C18" s="117"/>
      <c r="D18" s="117"/>
      <c r="E18" s="118"/>
      <c r="F18" s="119"/>
      <c r="G18" s="121"/>
      <c r="H18" s="121"/>
    </row>
    <row r="19" spans="1:8" x14ac:dyDescent="0.2">
      <c r="A19" s="363" t="s">
        <v>118</v>
      </c>
      <c r="B19" s="363"/>
      <c r="C19" s="122" t="s">
        <v>105</v>
      </c>
      <c r="D19" s="122" t="s">
        <v>119</v>
      </c>
      <c r="E19" s="122" t="s">
        <v>120</v>
      </c>
      <c r="F19" s="122" t="s">
        <v>121</v>
      </c>
      <c r="G19" s="122" t="s">
        <v>122</v>
      </c>
      <c r="H19" s="122" t="s">
        <v>123</v>
      </c>
    </row>
    <row r="20" spans="1:8" s="115" customFormat="1" x14ac:dyDescent="0.2">
      <c r="A20" s="116"/>
      <c r="B20" s="116"/>
      <c r="C20" s="117"/>
      <c r="D20" s="117"/>
      <c r="E20" s="118"/>
      <c r="F20" s="119" t="s">
        <v>124</v>
      </c>
      <c r="G20" s="362">
        <v>0</v>
      </c>
      <c r="H20" s="362"/>
    </row>
    <row r="21" spans="1:8" x14ac:dyDescent="0.2">
      <c r="A21" s="364"/>
      <c r="B21" s="364"/>
    </row>
    <row r="22" spans="1:8" s="115" customFormat="1" x14ac:dyDescent="0.2">
      <c r="A22" s="365" t="s">
        <v>125</v>
      </c>
      <c r="B22" s="365"/>
      <c r="C22" s="365"/>
      <c r="D22" s="365"/>
      <c r="E22" s="365"/>
      <c r="F22" s="365"/>
      <c r="G22" s="366">
        <f>G14+G17+G20</f>
        <v>0</v>
      </c>
      <c r="H22" s="366"/>
    </row>
    <row r="23" spans="1:8" s="115" customFormat="1" x14ac:dyDescent="0.2">
      <c r="A23" s="365" t="s">
        <v>126</v>
      </c>
      <c r="B23" s="365"/>
      <c r="C23" s="365"/>
      <c r="D23" s="365"/>
      <c r="E23" s="365"/>
      <c r="F23" s="365"/>
      <c r="G23" s="367">
        <v>1</v>
      </c>
      <c r="H23" s="367"/>
    </row>
    <row r="24" spans="1:8" s="115" customFormat="1" x14ac:dyDescent="0.2">
      <c r="A24" s="365" t="s">
        <v>127</v>
      </c>
      <c r="B24" s="365"/>
      <c r="C24" s="365"/>
      <c r="D24" s="365"/>
      <c r="E24" s="365"/>
      <c r="F24" s="365"/>
      <c r="G24" s="367">
        <f>ROUND(G22/G23,2)</f>
        <v>0</v>
      </c>
      <c r="H24" s="367"/>
    </row>
    <row r="25" spans="1:8" x14ac:dyDescent="0.2">
      <c r="A25" s="364"/>
      <c r="B25" s="364"/>
    </row>
    <row r="26" spans="1:8" x14ac:dyDescent="0.2">
      <c r="A26" s="368" t="s">
        <v>128</v>
      </c>
      <c r="B26" s="368"/>
      <c r="C26" s="120" t="s">
        <v>105</v>
      </c>
      <c r="D26" s="120" t="s">
        <v>129</v>
      </c>
      <c r="E26" s="122" t="s">
        <v>110</v>
      </c>
      <c r="F26" s="369" t="s">
        <v>130</v>
      </c>
      <c r="G26" s="370"/>
      <c r="H26" s="122" t="s">
        <v>131</v>
      </c>
    </row>
    <row r="27" spans="1:8" s="115" customFormat="1" x14ac:dyDescent="0.2">
      <c r="A27" s="116"/>
      <c r="B27" s="116"/>
      <c r="C27" s="117"/>
      <c r="D27" s="117"/>
      <c r="E27" s="118"/>
      <c r="F27" s="119" t="s">
        <v>132</v>
      </c>
      <c r="G27" s="384">
        <v>0</v>
      </c>
      <c r="H27" s="385"/>
    </row>
    <row r="28" spans="1:8" x14ac:dyDescent="0.2">
      <c r="A28" s="386"/>
      <c r="B28" s="386"/>
      <c r="F28" s="386"/>
      <c r="G28" s="386"/>
    </row>
    <row r="29" spans="1:8" x14ac:dyDescent="0.2">
      <c r="A29" s="368" t="s">
        <v>133</v>
      </c>
      <c r="B29" s="368"/>
      <c r="C29" s="120" t="s">
        <v>105</v>
      </c>
      <c r="D29" s="120" t="s">
        <v>129</v>
      </c>
      <c r="E29" s="126" t="s">
        <v>110</v>
      </c>
      <c r="F29" s="387" t="s">
        <v>130</v>
      </c>
      <c r="G29" s="387"/>
      <c r="H29" s="126" t="s">
        <v>131</v>
      </c>
    </row>
    <row r="30" spans="1:8" s="125" customFormat="1" ht="25.5" x14ac:dyDescent="0.2">
      <c r="A30" s="371" t="s">
        <v>141</v>
      </c>
      <c r="B30" s="372"/>
      <c r="C30" s="108" t="s">
        <v>142</v>
      </c>
      <c r="D30" s="127" t="s">
        <v>143</v>
      </c>
      <c r="E30" s="163">
        <v>0.9</v>
      </c>
      <c r="F30" s="373">
        <v>24.89</v>
      </c>
      <c r="G30" s="373"/>
      <c r="H30" s="124">
        <f t="shared" ref="H30:H31" si="0">ROUND((E30*F30),2)</f>
        <v>22.4</v>
      </c>
    </row>
    <row r="31" spans="1:8" s="125" customFormat="1" ht="25.5" x14ac:dyDescent="0.2">
      <c r="A31" s="371" t="s">
        <v>144</v>
      </c>
      <c r="B31" s="372"/>
      <c r="C31" s="108" t="s">
        <v>145</v>
      </c>
      <c r="D31" s="127" t="s">
        <v>143</v>
      </c>
      <c r="E31" s="163">
        <v>0.9</v>
      </c>
      <c r="F31" s="373">
        <v>33.630000000000003</v>
      </c>
      <c r="G31" s="373"/>
      <c r="H31" s="124">
        <f t="shared" si="0"/>
        <v>30.27</v>
      </c>
    </row>
    <row r="32" spans="1:8" s="125" customFormat="1" ht="83.45" customHeight="1" x14ac:dyDescent="0.2">
      <c r="A32" s="371" t="s">
        <v>411</v>
      </c>
      <c r="B32" s="372"/>
      <c r="C32" s="108" t="s">
        <v>410</v>
      </c>
      <c r="D32" s="127" t="s">
        <v>97</v>
      </c>
      <c r="E32" s="163">
        <v>0.08</v>
      </c>
      <c r="F32" s="391">
        <v>784.21</v>
      </c>
      <c r="G32" s="373"/>
      <c r="H32" s="124">
        <f t="shared" ref="H32:H35" si="1">ROUND((E32*F32),2)</f>
        <v>62.74</v>
      </c>
    </row>
    <row r="33" spans="1:8" s="125" customFormat="1" ht="57.6" customHeight="1" x14ac:dyDescent="0.2">
      <c r="A33" s="371" t="s">
        <v>166</v>
      </c>
      <c r="B33" s="372"/>
      <c r="C33" s="108" t="s">
        <v>413</v>
      </c>
      <c r="D33" s="127" t="s">
        <v>97</v>
      </c>
      <c r="E33" s="163">
        <v>0.08</v>
      </c>
      <c r="F33" s="373">
        <v>84.9</v>
      </c>
      <c r="G33" s="373"/>
      <c r="H33" s="124">
        <f t="shared" si="1"/>
        <v>6.79</v>
      </c>
    </row>
    <row r="34" spans="1:8" s="125" customFormat="1" ht="55.9" customHeight="1" x14ac:dyDescent="0.2">
      <c r="A34" s="371" t="s">
        <v>415</v>
      </c>
      <c r="B34" s="372"/>
      <c r="C34" s="108" t="s">
        <v>414</v>
      </c>
      <c r="D34" s="127" t="s">
        <v>97</v>
      </c>
      <c r="E34" s="163">
        <v>0.08</v>
      </c>
      <c r="F34" s="373">
        <v>60</v>
      </c>
      <c r="G34" s="373"/>
      <c r="H34" s="124">
        <f t="shared" si="1"/>
        <v>4.8</v>
      </c>
    </row>
    <row r="35" spans="1:8" s="125" customFormat="1" ht="84" customHeight="1" x14ac:dyDescent="0.2">
      <c r="A35" s="371" t="s">
        <v>416</v>
      </c>
      <c r="B35" s="372"/>
      <c r="C35" s="108" t="s">
        <v>417</v>
      </c>
      <c r="D35" s="127" t="s">
        <v>97</v>
      </c>
      <c r="E35" s="163">
        <v>0.08</v>
      </c>
      <c r="F35" s="373">
        <v>29.44</v>
      </c>
      <c r="G35" s="373"/>
      <c r="H35" s="124">
        <f t="shared" si="1"/>
        <v>2.36</v>
      </c>
    </row>
    <row r="36" spans="1:8" s="115" customFormat="1" x14ac:dyDescent="0.2">
      <c r="A36" s="116"/>
      <c r="B36" s="116"/>
      <c r="C36" s="117"/>
      <c r="D36" s="117"/>
      <c r="E36" s="118"/>
      <c r="F36" s="117" t="s">
        <v>134</v>
      </c>
      <c r="G36" s="374">
        <f>SUM(H30:H35)</f>
        <v>129.36000000000001</v>
      </c>
      <c r="H36" s="374"/>
    </row>
    <row r="37" spans="1:8" s="125" customFormat="1" x14ac:dyDescent="0.2">
      <c r="A37" s="375"/>
      <c r="B37" s="375"/>
      <c r="F37" s="375"/>
      <c r="G37" s="375"/>
    </row>
    <row r="38" spans="1:8" ht="25.5" x14ac:dyDescent="0.2">
      <c r="A38" s="128" t="s">
        <v>135</v>
      </c>
      <c r="B38" s="129" t="s">
        <v>105</v>
      </c>
      <c r="C38" s="129" t="s">
        <v>129</v>
      </c>
      <c r="D38" s="130" t="s">
        <v>136</v>
      </c>
      <c r="E38" s="130" t="s">
        <v>137</v>
      </c>
      <c r="F38" s="130" t="s">
        <v>110</v>
      </c>
      <c r="G38" s="130" t="s">
        <v>123</v>
      </c>
      <c r="H38" s="130" t="s">
        <v>131</v>
      </c>
    </row>
    <row r="39" spans="1:8" s="115" customFormat="1" x14ac:dyDescent="0.2">
      <c r="A39" s="116"/>
      <c r="B39" s="116"/>
      <c r="C39" s="117"/>
      <c r="D39" s="117"/>
      <c r="E39" s="118"/>
      <c r="F39" s="119" t="s">
        <v>138</v>
      </c>
      <c r="G39" s="374">
        <f>SUM(H37:H38)</f>
        <v>0</v>
      </c>
      <c r="H39" s="374"/>
    </row>
    <row r="40" spans="1:8" s="125" customFormat="1" x14ac:dyDescent="0.2">
      <c r="A40" s="375"/>
      <c r="B40" s="375"/>
      <c r="F40" s="376"/>
      <c r="G40" s="376"/>
    </row>
    <row r="41" spans="1:8" s="115" customFormat="1" x14ac:dyDescent="0.2">
      <c r="A41" s="365" t="s">
        <v>139</v>
      </c>
      <c r="B41" s="365"/>
      <c r="C41" s="365"/>
      <c r="D41" s="365"/>
      <c r="E41" s="365"/>
      <c r="F41" s="365"/>
      <c r="G41" s="379">
        <f>G24+G27+G36+G39</f>
        <v>129.36000000000001</v>
      </c>
      <c r="H41" s="379"/>
    </row>
    <row r="42" spans="1:8" s="125" customFormat="1" ht="39" customHeight="1" x14ac:dyDescent="0.2">
      <c r="A42" s="375"/>
      <c r="B42" s="375"/>
      <c r="F42" s="376"/>
      <c r="G42" s="376"/>
    </row>
    <row r="43" spans="1:8" s="125" customFormat="1" x14ac:dyDescent="0.2">
      <c r="A43" s="377" t="s">
        <v>140</v>
      </c>
      <c r="B43" s="376"/>
      <c r="C43" s="376"/>
      <c r="D43" s="376"/>
      <c r="E43" s="376"/>
      <c r="F43" s="376"/>
      <c r="G43" s="376"/>
      <c r="H43" s="376"/>
    </row>
    <row r="44" spans="1:8" s="125" customFormat="1" x14ac:dyDescent="0.2">
      <c r="A44" s="378" t="s">
        <v>81</v>
      </c>
      <c r="B44" s="376"/>
      <c r="C44" s="376"/>
      <c r="D44" s="376"/>
      <c r="E44" s="376"/>
      <c r="F44" s="376"/>
      <c r="G44" s="376"/>
      <c r="H44" s="376"/>
    </row>
    <row r="45" spans="1:8" s="125" customFormat="1" x14ac:dyDescent="0.2">
      <c r="A45" s="375"/>
      <c r="B45" s="375"/>
      <c r="F45" s="376"/>
      <c r="G45" s="376"/>
    </row>
    <row r="46" spans="1:8" s="125" customFormat="1" x14ac:dyDescent="0.2">
      <c r="A46" s="375"/>
      <c r="B46" s="375"/>
      <c r="F46" s="376"/>
      <c r="G46" s="376"/>
    </row>
    <row r="47" spans="1:8" s="125" customFormat="1" x14ac:dyDescent="0.2">
      <c r="A47" s="375"/>
      <c r="B47" s="375"/>
      <c r="F47" s="376"/>
      <c r="G47" s="376"/>
    </row>
    <row r="48" spans="1:8" s="125" customFormat="1" x14ac:dyDescent="0.2">
      <c r="A48" s="375"/>
      <c r="B48" s="375"/>
      <c r="F48" s="376"/>
      <c r="G48" s="376"/>
    </row>
    <row r="49" spans="1:7" s="125" customFormat="1" x14ac:dyDescent="0.2">
      <c r="A49" s="375"/>
      <c r="B49" s="375"/>
      <c r="F49" s="376"/>
      <c r="G49" s="376"/>
    </row>
  </sheetData>
  <mergeCells count="68">
    <mergeCell ref="A11:D11"/>
    <mergeCell ref="E11:H11"/>
    <mergeCell ref="A1:A3"/>
    <mergeCell ref="B1:H1"/>
    <mergeCell ref="B2:H2"/>
    <mergeCell ref="B3:H3"/>
    <mergeCell ref="A4:H4"/>
    <mergeCell ref="A5:H5"/>
    <mergeCell ref="A6:H6"/>
    <mergeCell ref="A7:H7"/>
    <mergeCell ref="A8:H8"/>
    <mergeCell ref="A9:H9"/>
    <mergeCell ref="A10:H10"/>
    <mergeCell ref="A24:F24"/>
    <mergeCell ref="G24:H24"/>
    <mergeCell ref="A12:H12"/>
    <mergeCell ref="G14:H14"/>
    <mergeCell ref="A16:B16"/>
    <mergeCell ref="G17:H17"/>
    <mergeCell ref="A19:B19"/>
    <mergeCell ref="G20:H20"/>
    <mergeCell ref="A21:B21"/>
    <mergeCell ref="A22:F22"/>
    <mergeCell ref="G22:H22"/>
    <mergeCell ref="A23:F23"/>
    <mergeCell ref="G23:H23"/>
    <mergeCell ref="A25:B25"/>
    <mergeCell ref="A26:B26"/>
    <mergeCell ref="F26:G26"/>
    <mergeCell ref="G27:H27"/>
    <mergeCell ref="A28:B28"/>
    <mergeCell ref="F28:G28"/>
    <mergeCell ref="A37:B37"/>
    <mergeCell ref="F37:G37"/>
    <mergeCell ref="A32:B32"/>
    <mergeCell ref="F32:G32"/>
    <mergeCell ref="A33:B33"/>
    <mergeCell ref="F33:G33"/>
    <mergeCell ref="A29:B29"/>
    <mergeCell ref="F29:G29"/>
    <mergeCell ref="A30:B30"/>
    <mergeCell ref="F30:G30"/>
    <mergeCell ref="A31:B31"/>
    <mergeCell ref="F31:G31"/>
    <mergeCell ref="A49:B49"/>
    <mergeCell ref="F49:G49"/>
    <mergeCell ref="A43:H43"/>
    <mergeCell ref="A44:H44"/>
    <mergeCell ref="A45:B45"/>
    <mergeCell ref="F45:G45"/>
    <mergeCell ref="A46:B46"/>
    <mergeCell ref="F46:G46"/>
    <mergeCell ref="A34:B34"/>
    <mergeCell ref="F34:G34"/>
    <mergeCell ref="A47:B47"/>
    <mergeCell ref="F47:G47"/>
    <mergeCell ref="A48:B48"/>
    <mergeCell ref="F48:G48"/>
    <mergeCell ref="A40:B40"/>
    <mergeCell ref="F40:G40"/>
    <mergeCell ref="A41:F41"/>
    <mergeCell ref="G41:H41"/>
    <mergeCell ref="A42:B42"/>
    <mergeCell ref="F42:G42"/>
    <mergeCell ref="G39:H39"/>
    <mergeCell ref="A35:B35"/>
    <mergeCell ref="F35:G35"/>
    <mergeCell ref="G36:H36"/>
  </mergeCells>
  <printOptions horizontalCentered="1"/>
  <pageMargins left="0.23622047244094488" right="0.23622047244094488" top="0.39370078740157483" bottom="0.39370078740157483" header="0" footer="0"/>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4</vt:i4>
      </vt:variant>
    </vt:vector>
  </HeadingPairs>
  <TitlesOfParts>
    <vt:vector size="12" baseType="lpstr">
      <vt:lpstr>PLANILHA ORÇAMENTÁRIA</vt:lpstr>
      <vt:lpstr>MEM. CÁLCULO</vt:lpstr>
      <vt:lpstr>CRONOGRAMA FF</vt:lpstr>
      <vt:lpstr>COMPOSIÇÃO BDI</vt:lpstr>
      <vt:lpstr>CPU-01</vt:lpstr>
      <vt:lpstr>CPU-02</vt:lpstr>
      <vt:lpstr>CPU-03</vt:lpstr>
      <vt:lpstr>CPU-04</vt:lpstr>
      <vt:lpstr>'MEM. CÁLCULO'!Area_de_impressao</vt:lpstr>
      <vt:lpstr>'PLANILHA ORÇAMENTÁRIA'!Area_de_impressao</vt:lpstr>
      <vt:lpstr>'MEM. CÁLCULO'!Titulos_de_impressao</vt:lpstr>
      <vt:lpstr>'PLANILHA ORÇAMENTÁRIA'!Titulos_de_impressao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PICHAU</cp:lastModifiedBy>
  <cp:lastPrinted>2026-09-30T12:28:03Z</cp:lastPrinted>
  <dcterms:created xsi:type="dcterms:W3CDTF">2006-09-22T13:55:22Z</dcterms:created>
  <dcterms:modified xsi:type="dcterms:W3CDTF">2026-10-15T13:56:51Z</dcterms:modified>
</cp:coreProperties>
</file>